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Requests" sheetId="1" r:id="rId4"/>
    <sheet state="visible" name="Full Dataset" sheetId="2" r:id="rId5"/>
    <sheet state="visible" name="FreeFire" sheetId="3" r:id="rId6"/>
    <sheet state="visible" name="PubG" sheetId="4" r:id="rId7"/>
    <sheet state="visible" name="Dashboard" sheetId="5" r:id="rId8"/>
    <sheet state="visible" name="Question" sheetId="6" r:id="rId9"/>
  </sheets>
  <definedNames>
    <definedName name="zsupermetrics_refreshAllSilent">#REF!</definedName>
    <definedName name="zsupermetrics_QhfPXKzZ3nJJf6NkKpZWQXHDMycomu">FreeFire!$A$1:$N$301</definedName>
    <definedName name="zsupermetrics_forceRefresh">#REF!</definedName>
    <definedName name="zsupermetrics_gTqqDPhqxggwtX00ttsPiLpqzK4Rhv">PubG!$A$1:$N$248</definedName>
    <definedName name="zsupermetrics_refreshAll">#REF!</definedName>
    <definedName name="FULLDATA">'Full Dataset'!$A$1:$P$548</definedName>
    <definedName name="PUBG">PubG!$A$1:$N$248</definedName>
    <definedName name="ALL_DATA">#REF!</definedName>
    <definedName name="FREEFIRE">FreeFire!$A$1:$N$301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<sst xmlns="http://schemas.openxmlformats.org/spreadsheetml/2006/main" count="7181" uniqueCount="1678">
  <si>
    <t>Questions that User want to know</t>
  </si>
  <si>
    <t>โพสต์ไหนปังไม่ปัง? โพสต์ประเภทไหนได้ like, engagement</t>
  </si>
  <si>
    <t>โพสต์ไหนคนชอบแชร์ viral (top 5)</t>
  </si>
  <si>
    <t>เวลาไหนที่แบรนด์ชอบโพสต์</t>
  </si>
  <si>
    <t>โพสต์ยาว คนชอบอ่านไหม แชร์ไหม</t>
  </si>
  <si>
    <t>Promotion posts เยอะไหม =&gt; โปรโมชั่น บาท</t>
  </si>
  <si>
    <t>ความสัมพันธ์ระหว่าง like vs. post share</t>
  </si>
  <si>
    <t>จัดประเภท content ของ page =&gt; promotion, news, update patch game</t>
  </si>
  <si>
    <t>weekly + monthly data (TREND)</t>
  </si>
  <si>
    <t>weekday vs. weekend</t>
  </si>
  <si>
    <t>Created date</t>
  </si>
  <si>
    <t>Created time</t>
  </si>
  <si>
    <t>Name (Profile)</t>
  </si>
  <si>
    <t>Post ID</t>
  </si>
  <si>
    <t>Post type</t>
  </si>
  <si>
    <t>Content type</t>
  </si>
  <si>
    <t>Message</t>
  </si>
  <si>
    <t>Link to post</t>
  </si>
  <si>
    <t>Posts</t>
  </si>
  <si>
    <t>Likes</t>
  </si>
  <si>
    <t>Reactions</t>
  </si>
  <si>
    <t>Comments</t>
  </si>
  <si>
    <t>Post shares</t>
  </si>
  <si>
    <t>Likes per post</t>
  </si>
  <si>
    <t>FB_Page</t>
  </si>
  <si>
    <t>Lenght of Message</t>
  </si>
  <si>
    <t>Garena Free Fire</t>
  </si>
  <si>
    <t>740460599475760_1913693218819153</t>
  </si>
  <si>
    <t>added_photos</t>
  </si>
  <si>
    <t>profile_media</t>
  </si>
  <si>
    <t>https://www.facebook.com/740460599475760/posts/1913522198836255/?substory_index=1</t>
  </si>
  <si>
    <t>FreeFire</t>
  </si>
  <si>
    <t>740460599475760_1914580795397062</t>
  </si>
  <si>
    <t>mobile_status_update</t>
  </si>
  <si>
    <t>photo</t>
  </si>
  <si>
    <t>https://www.facebook.com/740460599475760/posts/1914580795397062/</t>
  </si>
  <si>
    <t>740460599475760_1916081251913683</t>
  </si>
  <si>
    <t>cover_photo</t>
  </si>
  <si>
    <t>https://www.facebook.com/740460599475760/posts/1916081251913683/</t>
  </si>
  <si>
    <t>740460599475760_1927797234075418</t>
  </si>
  <si>
    <t>https://www.facebook.com/740460599475760/posts/1927797234075418/</t>
  </si>
  <si>
    <t>740460599475760_1927801720741636</t>
  </si>
  <si>
    <t>https://www.facebook.com/740460599475760/posts/1927801720741636/?substory_index=0</t>
  </si>
  <si>
    <t>740460599475760_1932721116916363</t>
  </si>
  <si>
    <t>share</t>
  </si>
  <si>
    <t>https://www.facebook.com/740460599475760/posts/1932721116916363/</t>
  </si>
  <si>
    <t>740460599475760_1940827519439056</t>
  </si>
  <si>
    <t>https://www.facebook.com/740460599475760/posts/1940827519439056/</t>
  </si>
  <si>
    <t>740460599475760_1949208095267665</t>
  </si>
  <si>
    <t>https://www.facebook.com/740460599475760/posts/1949208095267665/</t>
  </si>
  <si>
    <t>PUBG: BATTLEGROUNDS</t>
  </si>
  <si>
    <t>172882636630076_987097465208585</t>
  </si>
  <si>
    <t>https://www.facebook.com/172882636630076/posts/987097465208585/</t>
  </si>
  <si>
    <t>PUBG</t>
  </si>
  <si>
    <t>172882636630076_991318428119822</t>
  </si>
  <si>
    <t>https://www.facebook.com/172882636630076/posts/991318428119822/</t>
  </si>
  <si>
    <t>172882636630076_1014482262470105</t>
  </si>
  <si>
    <t>https://www.facebook.com/172882636630076/posts/1014482262470105/</t>
  </si>
  <si>
    <t>172882636630076_1014489645802700</t>
  </si>
  <si>
    <t>https://www.facebook.com/172882636630076/posts/1014489645802700/</t>
  </si>
  <si>
    <t>740460599475760_4546634405427841</t>
  </si>
  <si>
    <t>added_video</t>
  </si>
  <si>
    <t>video_inline</t>
  </si>
  <si>
    <t>Free Fire Show off Special : MEW x EARENA</t>
  </si>
  <si>
    <t>https://www.facebook.com/freefireth/videos/4546634405427841/</t>
  </si>
  <si>
    <t>740460599475760_306128691099558</t>
  </si>
  <si>
    <t>Free Fire Show-off ซ้อมกับโปร : KOG และ SYZ ตัวแทนประเทศไทยที่จะลุยศึก FFAC</t>
  </si>
  <si>
    <t>https://www.facebook.com/freefireth/videos/306128691099558/</t>
  </si>
  <si>
    <t>740460599475760_1951513731703768</t>
  </si>
  <si>
    <t>SURVIVALS MASTER WINTER ❄️
เส้นทางสู่โปรลีก...กำลังจะเริ่มต้นขึ้น 
#FFSM  #R2FFPL #FFESPORTS</t>
  </si>
  <si>
    <t>https://www.facebook.com/740460599475760/posts/1951513731703768/</t>
  </si>
  <si>
    <t>172882636630076_1003205673597764</t>
  </si>
  <si>
    <t>shared_story</t>
  </si>
  <si>
    <t>🎥 𝐏𝐆𝐂𝟐𝟎𝟐𝟏 𝐒𝐂𝐎𝐏𝐄 พาบุกกองงาน Media Day อย่างหล่ออย่างเท่ห์ เจอ AAA และ BRU ด้วยนะ</t>
  </si>
  <si>
    <t>https://www.facebook.com/172882636630076/posts/1003205673597764/</t>
  </si>
  <si>
    <t>740460599475760_1905962889592186</t>
  </si>
  <si>
    <t>video</t>
  </si>
  <si>
    <t>[ANIMATION] จากโรงงานร้าง สู่สมรภูมิ
เอาชีวิตรอดและชิงความที่หนึ่ง ⚙
ให้สมรภูมิรบแห่งนี้ลุกเป็นไฟ Booyah 🔥</t>
  </si>
  <si>
    <t>https://www.facebook.com/740460599475760/posts/1905962889592186/</t>
  </si>
  <si>
    <t>172882636630076_1013230399261958</t>
  </si>
  <si>
    <t>🎬 Team Voice PGC2021 Rivals EP.2 อารมณ์หลังกินไก่ในสัปดาห์ที่ 2
#PUBG #ESPORTS #PGC2021 #พับจีชิงแชมป์โลก</t>
  </si>
  <si>
    <t>https://www.facebook.com/172882636630076/posts/1013230399261958/</t>
  </si>
  <si>
    <t>740460599475760_1963778730477268</t>
  </si>
  <si>
    <t>[VDO] Dragon Hunter
Live Action จากแฟชั่นสุดเท่ 💥
ของเหล่านักล่ามังกรในตำนาน
มาสัมผัสความโหดเหี้ยมพร้อมกัน 🔥</t>
  </si>
  <si>
    <t>https://www.facebook.com/740460599475760/posts/1963778730477268/</t>
  </si>
  <si>
    <t>740460599475760_1947695698752238</t>
  </si>
  <si>
    <t>[VDO] คาตานะ กะโหลกทอง
เตรียมพบพลังอำนาจแห่งความมืดมิด
ที่แฝงอยู่ในดาบคาตานะสุดยิ่งใหญ๋ ✨
กะโหลกประกายทองแผ่ขนายพลัง</t>
  </si>
  <si>
    <t>https://www.facebook.com/740460599475760/posts/1947695698752238/</t>
  </si>
  <si>
    <t>740460599475760_1963827217139086</t>
  </si>
  <si>
    <t>native_templates</t>
  </si>
  <si>
    <t>[VDO] ต๊าชชชช แฟชั่นเย็นเจี๊ยบ
ฤดูนี้ หนาวแค่ไหนให้ถามใจดู✨
กับแฟชั่นโชว์กล้ามท้าลมเย็น ❄️
แค่เห็นก็สั่นสะท้านไปหมดแล้ว 🔥</t>
  </si>
  <si>
    <t>https://www.facebook.com/740460599475760/posts/1963827217139086/</t>
  </si>
  <si>
    <t>740460599475760_1911243259064149</t>
  </si>
  <si>
    <t>ห้ามพลาด วันเดียวเท่านั้น ❗
เพียงเข้ามาล็อคอินก็รับไอเทมแบบปัง ๆ ✨
เฉพาะวันที่ 9 ตุลาคม 2564 
แล้วมาร่ามกิจกรรมกันเยอะ ๆ นะ 💕</t>
  </si>
  <si>
    <t>https://www.facebook.com/740460599475760/posts/1911243259064149/</t>
  </si>
  <si>
    <t>740460599475760_295978249106529</t>
  </si>
  <si>
    <t>BOOYAH x Free Fire Asia Tournament Day 1
เตรียมร่วมเชียร์ตัวแทนประเทศไทยลุยศึกแห่งศักดิ์ศรี
#FFTHSTREAMER #THNO1 #ASIASURVIVORS</t>
  </si>
  <si>
    <t>https://www.facebook.com/freefireth/videos/295978249106529/</t>
  </si>
  <si>
    <t>740460599475760_1963845677137240</t>
  </si>
  <si>
    <t>[VDO] กิจกรรม NEW YEAR เร็ว ๆ นี้
กับกิจกรรม Free Fire มันส์ข้ามปี ❄️
จะมีความสนุกสุดมันส์อะไรบ้าง ❓
 แล้วเตรียมมาเจอกันนนนน ❤️</t>
  </si>
  <si>
    <t>https://www.facebook.com/740460599475760/posts/1963845677137240/</t>
  </si>
  <si>
    <t>740460599475760_1949254281929713</t>
  </si>
  <si>
    <t>[VDO] จุดเริ่มต้นของจุดจบ
มหากาพย์แผนการสุดอลังการครั้งสุดท้าย ✨
ที่เป็นจุดเริ่มต้นของแผนการขนทอง
กับ Free Fire x ทรชนคนปล้นโลก 💥</t>
  </si>
  <si>
    <t>https://www.facebook.com/740460599475760/posts/1949254281929713/</t>
  </si>
  <si>
    <t>740460599475760_1908796782642130</t>
  </si>
  <si>
    <t>ไอเทมสุดเดือดประจำสัปดาห์ 🔥
จัดมาให้ครบทั้งสกินปืนและแฟชั่นสุดเท่ 💥
ต้อนรับเดือนตุลาคม 
ไอเทมแต่ละวันสุดจัดทั้งนั้น ต้องห้ามพลาด ❗</t>
  </si>
  <si>
    <t>https://www.facebook.com/740460599475760/posts/1908796782642130/</t>
  </si>
  <si>
    <t>740460599475760_1908797172642091</t>
  </si>
  <si>
    <t>อัพเกรดอนิเมชั่นอาวุธใหม่ ✨
ให้สวยขึ้น และสมจริงมากยิ่งขึ้น ❗
จะมองมุมไหนก็เท่ซะเหลือเกิน 💥
ใครชอบอาวุธไหนคอมเมนต์บอกกันหน่อยน้า 💕</t>
  </si>
  <si>
    <t>https://www.facebook.com/740460599475760/posts/1908797172642091/</t>
  </si>
  <si>
    <t>172882636630076_1021170775134587</t>
  </si>
  <si>
    <t>🏆💓 ส่งท้ายความประทับใจ PGC2021 แล้วเจอกันใหม่ในศึก PUBG ESPORTS 2022 ปีหน้ามาลุยกันมันส์ตลอดปี!
#PUBG #ESPORTS #PGC2021 #PUBGESPORTS</t>
  </si>
  <si>
    <t>https://www.facebook.com/172882636630076/posts/1021170775134587/</t>
  </si>
  <si>
    <t>740460599475760_1911243639064111</t>
  </si>
  <si>
    <t>คร๊าฟแลนด์ โหมดที่แสดงความเป็นตัวตน 💥
ยิ่งมาเล่นเยอะ ยิ่งสะสมคะแนน
มาร่วมด้วยช่วยกันปลดล็อครางวัล 🏆
รับไอเทมและสกินปืนสุดเท่กันไปเลย 🔥</t>
  </si>
  <si>
    <t>https://www.facebook.com/740460599475760/posts/1911243639064111/</t>
  </si>
  <si>
    <t>740460599475760_1967695280085613</t>
  </si>
  <si>
    <t>[VDO] คอลเลกชันต้องห้ามพลาด
กับไอเทมมากมายที่เข้ากับเทศกาล ✨
ในฤดูหนาวแบบนี้ ต้องมาฟินกับของคลู ๆ ❄
มาสะสมกันให้ครบ แล้วออกไปลุยกันเลย 💥</t>
  </si>
  <si>
    <t>https://www.facebook.com/740460599475760/posts/1967695280085613/</t>
  </si>
  <si>
    <t>740460599475760_1908168186038323</t>
  </si>
  <si>
    <t>[FFMAX] ใครยังไม่ลองต้องลอง
เพราะ Free Fire MAX 💥
มาพร้อมประสบการณ์ขั้นเหนือกว่า ✨
สัมผัสความสมจริงด้วยเอฟเฟกต์เสียงพิเศษได้แล้ววันนี้ 🥰</t>
  </si>
  <si>
    <t>https://www.facebook.com/740460599475760/posts/1908168186038323/</t>
  </si>
  <si>
    <t>740460599475760_1917008835154258</t>
  </si>
  <si>
    <t>โหมดใหม่ ❗ ที่จะมาสร้างความเร้าใจ 
ลุ้นระทึกทุกฝีก้าว 🔥
เตรียมตัวให้พร้อม เพราะครั้งนี้ ✨
จะทำให้คุณต้องขวัญผวา 
แล้วเจอกันเร็ว ๆ นี้ 💥</t>
  </si>
  <si>
    <t>https://www.facebook.com/740460599475760/posts/1917008835154258/</t>
  </si>
  <si>
    <t>740460599475760_1944019885786486</t>
  </si>
  <si>
    <t>[VDO] เจ้าหน้าที่ ฮ็อป กลับมาแล้ว
โดนวงบีบมาหรอ ใครเค้ากลัวกัน 💥
ถ้าเป็นคู่หู เจ้าหน้าที่ฮ็อปล่ะก็ หายห่วง
จะโดนมาหนักขนาดไหนก็รอดได้สบาย ✨</t>
  </si>
  <si>
    <t>https://www.facebook.com/740460599475760/posts/1944019885786486/</t>
  </si>
  <si>
    <t>740460599475760_1910342392487569</t>
  </si>
  <si>
    <t>[VDO] ระวัง ❗ บางอย่างกำลังจะมา
ความมืดมิดที่ค่อย ๆ แผงตัวเข้ามาทีละนิด 💥
พร้อมกลืนกินทุกสิ่งที่ขวางหน้า 
พาคุณดำดิ่งสู่ความน่าสะพรึงกลัว 🖤</t>
  </si>
  <si>
    <t>https://www.facebook.com/740460599475760/posts/1910342392487569/</t>
  </si>
  <si>
    <t>740460599475760_1969128239942317</t>
  </si>
  <si>
    <t>[VDO] เปิดคลังเทศกาลลมหนาว
รับลมเย็นส่งท้ายปี กับแฟชันคู่รัก 😘
สีขาวบนเสื้อ บ่งบอกความบริสุทธิ์ ราวกับหิมะ
และสีแดง คือความรักที่มีของทั้งสอง 💕</t>
  </si>
  <si>
    <t>https://www.facebook.com/740460599475760/posts/1969128239942317/</t>
  </si>
  <si>
    <t>740460599475760_1964456007076207</t>
  </si>
  <si>
    <t>[VDO] ขั้นตอนการสร้าง นิคมรกร้าง
เมื่อเหล่าวายร้ายมาชิงแกนพลัง 💥
ทำให้นิคมแห่งนี้ถูกปกคลุมไปด้วยน้ำแข็ง ❄️
มาร่วมกันฟื้นฟูนิคมแห่งนี้ไปพร้อมกัน ✨</t>
  </si>
  <si>
    <t>https://www.facebook.com/740460599475760/posts/1964456007076207/</t>
  </si>
  <si>
    <t>740460599475760_1951423808379427</t>
  </si>
  <si>
    <t>[VDO] รับลมหนาวเร็ว ๆ นี้
Free Fire ต้อนรับเดือนแห่งความหนาวเหน็บ ❄
กับสิ่งที่จะมาใหม่เพียบ ดูวิดีโอไว้ให้ดี
จะเห็นสิ่งที่กำลังจะมา แล้วเจอกันนะ 💕</t>
  </si>
  <si>
    <t>https://www.facebook.com/740460599475760/posts/1951423808379427/</t>
  </si>
  <si>
    <t>740460599475760_1911245965730545</t>
  </si>
  <si>
    <t>ห้ามลืม ❗ วันสุดท้ายแล้วนะ
ใครที่ลงทะเบียนล่วงหน้า Free Fire MAX
มารับทั้งแฟชั่นสุดเท่และไอเทมสวย ๆ มากมาย
รับของรางวัลได้ในหน้ากิจกรรมพิเศษน้าา 💥</t>
  </si>
  <si>
    <t>https://www.facebook.com/740460599475760/posts/1911245965730545/</t>
  </si>
  <si>
    <t>740460599475760_1938587642996377</t>
  </si>
  <si>
    <t>[VDO] แผนลับ ฝั่งร้าย
เบื้องหลังก่อนจะเป็นแผนการบุกเข้าโจมตี 💥
ในเทศการ BOOYAH DAY ที่แสนสงบสุข
การร่วมมือของสองตัวร้าย Skull King และ Mist Queen 🔥</t>
  </si>
  <si>
    <t>https://www.facebook.com/740460599475760/posts/1938587642996377/</t>
  </si>
  <si>
    <t>740460599475760_1944766482378493</t>
  </si>
  <si>
    <t>วันนี้มาให้กำลังใจทีมตัวแทนประเทศไทยในการแข่งขัน 
FREE FIRE ASIA CHAMPIONSHIP รอบ PLAY-INS GROUP A
มารับชมพร้อมกันได้ที่
https://youtu.be/q-LdcO3cG_M</t>
  </si>
  <si>
    <t>https://www.facebook.com/740460599475760/posts/1944766482378493/</t>
  </si>
  <si>
    <t>172882636630076_1010822766169388</t>
  </si>
  <si>
    <t>🪂💥 ไฮไลท์ 5 ช็อทเด็ด ศึกชิงแชมป์โลก PGC2021 สัปดาห์ที่ 2 พับจี | PUBG
 #PUBG #ESPORTS #PGC2021 #พับจีชิงแชมป์โลก
#เชียร์ไทยไปชิงแชมป์โลก #BRU #AAA</t>
  </si>
  <si>
    <t>https://www.facebook.com/172882636630076/posts/1010822766169388/</t>
  </si>
  <si>
    <t>740460599475760_1928432400678568</t>
  </si>
  <si>
    <t>เหล่าผู้เล่น Free Fire ทั้งหลาย บอกแอดหน่อย ❓
ชื่นชอบชุดเซ็ต EVO ไหนมากที่สุด
และอยากให้อันไหนกลับมาอีกครั้ง ✨
กดอีโมจิชุดที่ต้องการมารัว ๆ ได้เลย 💥</t>
  </si>
  <si>
    <t>https://www.facebook.com/740460599475760/posts/1928432400678568/</t>
  </si>
  <si>
    <t>740460599475760_1945472215641253</t>
  </si>
  <si>
    <t>วันนี้ 17.00 น.
มาให้กำลังใจทีมตัวแทนประเทศไทยในการแข่งขัน
FREE FIRE ASIA CHAMPIONSHIP 
รอบ PLAY-INS GROUP B
🔴 Youtube : https://youtu.be/7qYhcIjIYz8</t>
  </si>
  <si>
    <t>https://www.facebook.com/740460599475760/posts/1945472215641253/</t>
  </si>
  <si>
    <t>172882636630076_996848754233456</t>
  </si>
  <si>
    <t>🍗 ดึกๆก็หิวไก่สิค๊าบ มาโดดร่มยาวไปกับฟางโกะ!! เชียร์หน่อยคืนนี้ไม่ได้ไก่ไม่นอน! ❤️ ถูกใจใช่เลยก็อย่าลืมไปกดติดตามช่องได้ที่ ➡ ฟางโกะ OK
#PUBG #ฟางโกะ</t>
  </si>
  <si>
    <t>https://www.facebook.com/172882636630076/posts/996848754233456/</t>
  </si>
  <si>
    <t>740460599475760_1963822657139542</t>
  </si>
  <si>
    <t>เอ๊าาา ❗️ ใครสายลงแรงก์ต้องมา
เราเปิดการจัดอันดับให้เล่นแล้ว 🔥
ในโหมด "หมาป่าเดียวดาย"
กับความเร้าใจสุดระทึกยากจะลืม
เปิดให้เล่นพร้อมกันวันพรุ่งนี้  ✨</t>
  </si>
  <si>
    <t>https://www.facebook.com/740460599475760/posts/1963822657139542/</t>
  </si>
  <si>
    <t>740460599475760_1933467933508348</t>
  </si>
  <si>
    <t>[VDO] โดดไกลให้ถึงฝัน
ลีออนผู้ที่ไม่เคยหยุดนิ่งในการใช้ชีวิต ✨
เค้าเรียนรู้และพัฒนาตัวเองไม่ให้อยู่กับที่
วันนี้เค้าพร้อมแล้วในสรมภูมิเดือดอันยิ่งใหญ่ 🔥</t>
  </si>
  <si>
    <t>https://www.facebook.com/740460599475760/posts/1933467933508348/</t>
  </si>
  <si>
    <t>740460599475760_1933463956842079</t>
  </si>
  <si>
    <t>[VDO] แฟชันเที่ยวทิพย์ กลับมาแล้ว !
วิถีคนรวย ๆ อยากเที่ยวต้องได้เที่ยว 😎
ต้องนี่เลย ชุดแฟชั่นเที่ยวทิพย์ 
อยู่ไหนก็เที่ยวได้ อยู่บ้านชิว ๆ นี่แหละใช่ 💲</t>
  </si>
  <si>
    <t>https://www.facebook.com/740460599475760/posts/1933463956842079/</t>
  </si>
  <si>
    <t>740460599475760_1911360665719075</t>
  </si>
  <si>
    <t>[VDO] เกาะสวรรค์ขั้นสุด
Free Fire MAX ขออาสาพาทัวร์แผนใหม่ล่าสุด ✨
เพิ่มความมันส์ และการเดินเกมใหม่ ๆ 🎉 
ที่จะทำให้คุณและทีม ต้องคิดกลยุทธ์เพื่อคว้าชัย 🏆</t>
  </si>
  <si>
    <t>https://www.facebook.com/740460599475760/posts/1911360665719075/</t>
  </si>
  <si>
    <t>740460599475760_1908306979357777</t>
  </si>
  <si>
    <t>[VDO] ไหนใครเป็นสาย 4x4 กันบ้าง ❓
เตรียมตัวกันให้พร้อมกับเกาะสวรรค์ MAX "โรงงาน" 🚧
สมรภูมิเดือดใหม่ ที่เข้ามาเติมความเร้าใจ 🔥
จัดตี้ครบแล้ว ก็ลุยกันเลย 💥</t>
  </si>
  <si>
    <t>https://www.facebook.com/740460599475760/posts/1908306979357777/</t>
  </si>
  <si>
    <t>740460599475760_1935447329977075</t>
  </si>
  <si>
    <t>ขอต้อนรับเข้าสู่ช่วง "ตัวจริงเรื่อง Free Fire"
จากเงาปริศนาของปืนในรูปนี้ 
คิดว่าอาวุธอัพเกรดถัดไปจะเป็นปืนอะไร ❓
ลองคอมเม้นท์คำตอบมาบอกแอดกันหน่อยเร็ววว ✨</t>
  </si>
  <si>
    <t>https://www.facebook.com/740460599475760/posts/1935447329977075/</t>
  </si>
  <si>
    <t>172882636630076_1012621895989475</t>
  </si>
  <si>
    <t>🎬 PUBG Squad Reunion EP.1การกลับมาเจอกันของสมาชิกทีม GEN.G ที่คุณคิดถึง
#PUBG #ESPORTS #PGC2021 #พับจีชิงแชมป์โลก 
#เชียร์ไทยไปชิงแชมป์โลก #BRU #AAA #GENG</t>
  </si>
  <si>
    <t>https://www.facebook.com/172882636630076/posts/1012621895989475/</t>
  </si>
  <si>
    <t>740460599475760_1933552703499871</t>
  </si>
  <si>
    <t>ในทุกครั้งที่เข้าร่วมสมรภูมิ 💥
ในทุก ๆ เกมย่อมมีความแตกต่าง
เหมือนชีวิตที่ไม่มีวันเหมือนเดิมในแต่ละวัน 🔥
ชีวิตคือการต่อสู้
"BATTLE IN STYLE สู้อย่างมีสไตล์"</t>
  </si>
  <si>
    <t>https://www.facebook.com/740460599475760/posts/1933552703499871/</t>
  </si>
  <si>
    <t>740460599475760_1921944611327347</t>
  </si>
  <si>
    <t>ระบบ iOS พร้อมให้เล่นแล้ว 💥
กับโหมดสุดระทึก A E I O U หยุด
จับมือถือให้แน่น เตรียมใจให้พร้อม ❗
เพราะการขยับเพียงนิดเดียว = จุดจบ 
ถ้าหากพร้อมแล้ว ก็ลุยเลย! 🔥</t>
  </si>
  <si>
    <t>https://www.facebook.com/740460599475760/posts/1921944611327347/</t>
  </si>
  <si>
    <t>172882636630076_1014471625804502</t>
  </si>
  <si>
    <t>video_direct_response</t>
  </si>
  <si>
    <t>เกมพับจีเล่นฟรี 12 มกราคม 2022 เป็นต้นไป ลงทะเบียนล่วงหน้าที่ https://bit.ly/PUBG_F2P_PreRegister
#PUBG #BATTLEGROUNDS #BATTLEROYALE #FREETOPLAY #พับจี #เกมพับจี</t>
  </si>
  <si>
    <t>https://www.facebook.com/172882636630076/posts/1014471625804502/</t>
  </si>
  <si>
    <t>740460599475760_1924909847697490</t>
  </si>
  <si>
    <t>[VDO] คู่หูสุดซิ่ง เร็ว ๆ นี้
สัตว์เลี้ยงตัวป่วนที่จะมาตะลุยด่าน
สุดโหด มันส์ ฮา 💥
พร้อมแล้วรึยังกับความคิ้วในสนามแข่งขัน 😘
แล้วเจอกัน 30 ตุลาคม 2564 นี้นะจ๊ะ 💕</t>
  </si>
  <si>
    <t>https://www.facebook.com/740460599475760/posts/1924909847697490/</t>
  </si>
  <si>
    <t>172882636630076_1013251422593189</t>
  </si>
  <si>
    <t>🎬 ทำซีนปั่นๆแล้วใส่เพลงประกอบ ดูแล้วอินขึ้นปั่นขึ้นนิดนึง 555 
แล้วมาเชียร์ไทยกันต่อเย็นนี้ 17.00 น. ลุ้นเข้ารอบกันหน่อย!
#PUBG #ESPORTS #PGC2021 #พับจีชิงแชมป์โลก</t>
  </si>
  <si>
    <t>https://www.facebook.com/172882636630076/posts/1013251422593189/</t>
  </si>
  <si>
    <t>740460599475760_1967775646744243</t>
  </si>
  <si>
    <t>ออกมาเต้น เอ๊า ❗ ออกมาเต้น
มาออกลวดลายสายแดนซ์ ✨
ด้วยท่าทางสเต็ปเท้าไฟ 🔥
เต้นกันให้สมรภูมิแตกกันไปข้างนึง
⏳ ระยะเวลากิจกรรม
ตั้งแต่วันที่ 28 ธันวาคม 2564 เป็นต้นไป</t>
  </si>
  <si>
    <t>https://www.facebook.com/740460599475760/posts/1967775646744243/</t>
  </si>
  <si>
    <t>740460599475760_1928446460677162</t>
  </si>
  <si>
    <t>[VDO] คู่มือโหมด คู่หูสุดซิ่ง
4 ด่านสุดหฤโหด กับ 3 มินิเกมสุดฮา 🤣
ที่จะให้เหล่าตัวป่วนแสนคิวท์
มาโลดแล่นในสนามแข่งขันนี้ 💥
ใครยังไม่ได้ลองเล่น บอกเลยว่า ต้องลอง! ✨</t>
  </si>
  <si>
    <t>https://www.facebook.com/740460599475760/posts/1928446460677162/</t>
  </si>
  <si>
    <t>740460599475760_1930474490474359</t>
  </si>
  <si>
    <t>เตรียมพบกับ MUSIC VIDEO เพลงจากภาคเหนือ
ยืนหนึ่ง - PMCปู่จ๋าน ลองไมค์ x โอห์ม ฟลุ้ค
ให้กลิ่งอายเหนือ ๆ แบบจัดเต็ม
ถึงกับต้องอู้กำเมืองว่า "กึ๊ดเติงหา"
#FreeFire4FEST</t>
  </si>
  <si>
    <t>https://www.facebook.com/740460599475760/posts/1930474490474359/</t>
  </si>
  <si>
    <t>740460599475760_1943968502458291</t>
  </si>
  <si>
    <t>รวมมาให้แบบไม่มีกั๊กในกิจกรรม BOOYAH DAY ❗
ที่มียาว ๆ จนถึงท้ายเดือน
มีตั้งแต่แฟชั่นระดับตำนาน ✨
ไปยันท่าทางใหม่ฉบับ Booyah 💥
ใครเล็งไอเทมไหน ห้ามพลาดกันเชียวล่ะ 💕</t>
  </si>
  <si>
    <t>https://www.facebook.com/740460599475760/posts/1943968502458291/</t>
  </si>
  <si>
    <t>740460599475760_1921838101337998</t>
  </si>
  <si>
    <t>หยิบมือถือและตั้งเวลาไว้ ห้ามลืมเด็ดขาด ❗
กิจกรรมต้อนรับวันฮาโลวีนสุดหลอน 🎃
เพียงเข้าเกม Free Fire
รับไปเลย บัตรสร้างห้อง ฟรี 💥
23 ตุลาคม 2564 วันเดียวเท่านั้นน้าา 💕</t>
  </si>
  <si>
    <t>https://www.facebook.com/740460599475760/posts/1921838101337998/</t>
  </si>
  <si>
    <t>740460599475760_1923459334509208</t>
  </si>
  <si>
    <t>[#FFPLSS5] ได้ทีมแชมป์เป็นที่เรียบร้อย 💥
ยินดีกับทีม EARENA ✨
เป็นตัวแทนประเทศไทยแข่งรายการ 🇹🇭
Free Fire Asia Championships 2021 ที่ใกล้จะถึงนี้
#FFPLSS5 #GRANDFINAL</t>
  </si>
  <si>
    <t>https://www.facebook.com/740460599475760/posts/1923459334509208/</t>
  </si>
  <si>
    <t>740460599475760_1905729416282200</t>
  </si>
  <si>
    <t>[FFMAX] ปลดล็อกรางวัลตามขั้น 🌡
ชวนเพื่อน พ่อ แม่ พี่ น้อง หรือแฟน 💕
ยิ่งมีคนมาเล่นมากเท่าไหร่
ยิ่งได้ของรางวัลมากเท่านั้น 💥
เข้ามาเล่นโหมดคร๊าฟแลนด์กันเยอะ ๆ น้าาาา 🥰</t>
  </si>
  <si>
    <t>https://www.facebook.com/740460599475760/posts/1905729416282200/</t>
  </si>
  <si>
    <t>740460599475760_1936441439877664</t>
  </si>
  <si>
    <t>TEASER MV เพลงสุดซึ้ง ❗
"ก่อนรักกลายเป็นเกลียด"
จากศิลปิน Violette Wautier x Mew Suppasit
บทเพลงกินใจ เนื้อหาโดน ๆ
พร้อมปาดน้ำตากันได้ที่นี่ : https://youtu.be/JE_31UyRJ0I</t>
  </si>
  <si>
    <t>https://www.facebook.com/740460599475760/posts/1936441439877664/</t>
  </si>
  <si>
    <t>740460599475760_1943825175805957</t>
  </si>
  <si>
    <t>[VDO] แฟชั่นระดับตำนาน BOOYAH! DAY
ได้เวลาของแฟชั่น EVO ใหม่สุดเดือด 🔥
ปลดปล่อยพลังในแบบของตัวเอง 💥
โลดแล่นและต่อสู้ในสไตล์ที่ใช่ ✨
พร้อมโชว์ศักยภาพให้ทุกคนได้ประจักษ์ 👊</t>
  </si>
  <si>
    <t>https://www.facebook.com/740460599475760/posts/1943825175805957/</t>
  </si>
  <si>
    <t>740460599475760_1943971055791369</t>
  </si>
  <si>
    <t>5 วันเต็มกับกิจกรรม BATTLE IN STYLE ✨
ภารกิจสุดมันส์ที่ให้คุณได้ออกลีลาในสมรภูมิ 🔥
ตามสไตล์ของตัวเอง จะสายแฟชั่น สายยิงคม 
และอย่าลืมเข้ามาล็อกอินเพื่อรับท่าทางกันเลย ฟรี ❗</t>
  </si>
  <si>
    <t>https://www.facebook.com/740460599475760/posts/1943971055791369/</t>
  </si>
  <si>
    <t>740460599475760_1964448330410308</t>
  </si>
  <si>
    <t>album</t>
  </si>
  <si>
    <t>อัลบั้มภาพ Cosplay จากแฟชั่นสุดอลังการ ✨
พบกับ "Dragon Hunter" เหล่านักล่ามังกร 🐉
ที่จะมาล้างเผ่าพันธุ์นี้ และครองความยิ่งใหญ๋
สัมผัสความโหดเหี้ยมของชุดผ่าน Cosplay นี้ได้เลย 🔥</t>
  </si>
  <si>
    <t>https://www.facebook.com/740460599475760/posts/1964448330410308/</t>
  </si>
  <si>
    <t>740460599475760_1943171275871347</t>
  </si>
  <si>
    <t>TEASER MUSIC VIDEO สุดพิเศษ ✨
จากโปรเจกต์ Free Fire 4 Fest
ที่ได้ความร่วมมือจาก 3 ศิลปิน ❗
แจ็ค แฟนฉัน x กลัฟ คณาวุฒิ X ลุค อิชิคาว่า
รับชมเลยที่นี่ : https://youtu.be/YibcKJn8rkw</t>
  </si>
  <si>
    <t>https://www.facebook.com/740460599475760/posts/1943171275871347/</t>
  </si>
  <si>
    <t>740460599475760_1905971419591333</t>
  </si>
  <si>
    <t>[VDO] สร้างเสร็จแล้ว ก็พร้อมลุย
วันนี้ Free Fire ของนำเสนอ 💥
วิธีชวนเพื่อน ๆ พี่ ๆ น้อง ๆ 💕
เข้ามามันส์ในสมรภูมิรบ โหมดคร๊าฟแลนด์ 🌎
ทำตามกันได้ง่าย ๆ ไม่กี่ขั้นตอนก็พร้อมเดือด🌡</t>
  </si>
  <si>
    <t>https://www.facebook.com/740460599475760/posts/1905971419591333/</t>
  </si>
  <si>
    <t>740460599475760_1933489020172906</t>
  </si>
  <si>
    <t>[VDO] เปิดเทอมเล่น Free Fire
เปิดเทอมทั้งที เรียนก็เรียนให้สุด เล่นก็เล่นให้สุด ✨
แต่ต้องให้ถูกเวลา พักเที่ยงหรือเลิกเรียนเมื่อไหร่ 
มาเจอกัน รวมเพื่อน ตั้งตี้ เล่น Free Fire เลย 💥</t>
  </si>
  <si>
    <t>https://www.facebook.com/740460599475760/posts/1933489020172906/</t>
  </si>
  <si>
    <t>740460599475760_3272605146348688</t>
  </si>
  <si>
    <t>ถ่ายทอดสดการแข่งขัน
Free Fire Survivals Master Winter รอบคัดเลือก
ทัวร์นาเม้นเส้นทางสู่ Free Fire Pro League Season 6
8 ทีมเท่านั้น ที่จะผ่านสู่การเป็นนักกีฬามืออาชีพของเกม Free Fire</t>
  </si>
  <si>
    <t>https://www.facebook.com/freefireth/videos/3272605146348688/</t>
  </si>
  <si>
    <t>740460599475760_1967821676739640</t>
  </si>
  <si>
    <t>[VDO] เปิดตำนานแฟชั่นและสกินอาวุธ
ยักษ์และปลาคาร์ฟ สัญลักษณ์ความแข็งแกร่ง ✨
ที่มีมาอย่างยาวนานของชายญี่ปุ่น 🎌
แฟชั่นสุดโหดและสกินปืนสุกน่าเกรงขาม
ที่ไม่ว่าใครเห็นเป็นต้องสั่นกลัว 💥</t>
  </si>
  <si>
    <t>https://www.facebook.com/740460599475760/posts/1967821676739640/</t>
  </si>
  <si>
    <t>740460599475760_1966795856842222</t>
  </si>
  <si>
    <t>ตารางการถ่ายทอดสด Free Fire Survivals Master Winter ❄️
รอบ GROUP STAGE สายบนรอบที่ 1 DAY1
เริ่มเวลา 19.00 น. เป็นต้นไป
📺 รับชมการแข่งขันได้ที่
🔔 YT &amp; FB : Garena Free Fire Thailand</t>
  </si>
  <si>
    <t>https://www.facebook.com/740460599475760/posts/1966795856842222/</t>
  </si>
  <si>
    <t>740460599475760_1967657196756088</t>
  </si>
  <si>
    <t>ตารางการถ่ายทอดสด Free Fire Survivals Master Winter ❄️
รอบ GROUP STAGE สายบนรอบที่ 1 DAY2
เริ่มเวลา 19.00 น. เป็นต้นไป
📺 รับชมการแข่งขันได้ที่
🔔 YT &amp; FB : Garena Free Fire Thailand</t>
  </si>
  <si>
    <t>https://www.facebook.com/740460599475760/posts/1967657196756088/</t>
  </si>
  <si>
    <t>740460599475760_1969321056589702</t>
  </si>
  <si>
    <t>ตารางการถ่ายทอดสด Free Fire Survivals Master Winter ❄️
รอบ GROUP STAGE สายล่างรอบที่ 1
🔴 เริ่มเวลา 19.00 น. เป็นต้นไป
📺 รับชมการแข่งขันได้ที่
🔔 YT &amp; FB : Garena Free Fire Thailand</t>
  </si>
  <si>
    <t>https://www.facebook.com/740460599475760/posts/1969321056589702/</t>
  </si>
  <si>
    <t>740460599475760_1905939169594558</t>
  </si>
  <si>
    <t>TOP-UP ตุลารับชุดสุดคุ้ม 🔥
เติม 💎 ปั๊บ รับชุดปุ๊บ 
ให้คุณพร้อมไปอวดเพื่อน ๆ ในเกม ✨
⏳ ระยะเวลากิจกรรม
ตั้งแต่วันที่ 3 ตุลาคม 2564 เวลา 00.01 น.
ถึงวันที่ 5 ตุลาคม 2564 เวลา 23.59 น.</t>
  </si>
  <si>
    <t>https://www.facebook.com/740460599475760/posts/1905939169594558/</t>
  </si>
  <si>
    <t>740460599475760_1928430600678748</t>
  </si>
  <si>
    <t>เคล็ดไม่ลับฉบับของแอดมิน 💥
ในโหมดสุดน่ารักน่าชัง "คู่หูสุดซิ่ง"
ลองเอาทริคเหล่านี้ไปเล่นกันดูน้า ✨
ส่วนใครที่เล่นจนเซียนแล้ว ลองเอาทริคที่ใช้
มาแชร์ให้เพื่อน ๆ ได้รู้กันหน่อยเร็วว 😘</t>
  </si>
  <si>
    <t>https://www.facebook.com/740460599475760/posts/1928430600678748/</t>
  </si>
  <si>
    <t>740460599475760_1949241151931026</t>
  </si>
  <si>
    <t>กลับมาอีกครั้ง งานสังสรรค์ของเหล่าทรชน 👺
กับการปิดฉากภารกิจครั้งสุดท้ายของแผนการ
ระหว่าง Free Fire x ทรชนคนปล้นโลก
เตรียมพบกับภารกิจครั้งใหม่ 🔥
ที่เหล่าผู้รอดชีวิตทั้งหลายต้องเผชิญ ✨</t>
  </si>
  <si>
    <t>https://www.facebook.com/740460599475760/posts/1949241151931026/</t>
  </si>
  <si>
    <t>740460599475760_1932019070319901</t>
  </si>
  <si>
    <t>ตั้งแต่เล่นโหมดคู่หูสุดซิ่งมาเป็นอย่างไรบ้าง ❓
ด้วยความน่ารักแบบ โหด มันส์ ฮา ขนาดนี้
ในทุก ๆ เกมที่เล่นจบไป ✨
พี่ ๆ น้อง ๆ เป็นสายไหนใน 4 สาย
กดอิโมจิมาบอกแอดกันหน่อยสิ๊ แอดอยากรู้ 💕</t>
  </si>
  <si>
    <t>https://www.facebook.com/740460599475760/posts/1932019070319901/</t>
  </si>
  <si>
    <t>740460599475760_1963833767138431</t>
  </si>
  <si>
    <t>เมื่อความร้อนปะทะกับความเย็น 💥
ระเบิดออกกลายมาเป็นสกินปืนทั้ง 4
2 ปืนเร่าร้อน 2 ปืนเยือกเย็น 
ใครอยากมีปืนเจ๋ง ๆ ต้องโดนนน 🔥
⏳ ระยะเวลากิจกรรม
ตั้งแต่วันที่ 20 ธันวาคม 2564 เป็นต้นไป</t>
  </si>
  <si>
    <t>https://www.facebook.com/740460599475760/posts/1963833767138431/</t>
  </si>
  <si>
    <t>740460599475760_1963836677138140</t>
  </si>
  <si>
    <t>มาแล้วกับกิจกรรมแจกของฟรี รับปีใหม่ ❄️
ไล่ยาวตั้งแต่ท้ายปี ถึงต้นปีแบบจุก ๆ 🔥
กากปฏิทินไว้ให้พร้อม จำวันให้ดี
ห้ามพลาดเลยแม้แต่กิจกรรมเดียว ✨
ใครอยากได้ไอเทมไหนคอมเมนต์บอกแอดมาหน่อย 💕</t>
  </si>
  <si>
    <t>https://www.facebook.com/740460599475760/posts/1963836677138140/</t>
  </si>
  <si>
    <t>740460599475760_1967775140077627</t>
  </si>
  <si>
    <t>เตรียมพบกับ MUSIC VIDEO สุดน่ารัก 💕
"FOREVERMORE" ของ WJMILD
ใครเห็นความสดใสในครั้งนี้เป็นต้องละลาย ❄
และมาทำให้ทุกวันเป็นวันที่ BOOYAH กัน 🔥
รับชมพร้อมกันได้ในวันที่ 24 ธันวาคม นี้ ✨</t>
  </si>
  <si>
    <t>https://www.facebook.com/740460599475760/posts/1967775140077627/</t>
  </si>
  <si>
    <t>740460599475760_1968403463348128</t>
  </si>
  <si>
    <t>รวมภาพ COSPLAY สุดเท่กระชากใจ ✨
ในโหมดใหม่ "หมาป่าเดียวดาย"
จะสู้แบบ 1v1 หรือ 2v2 ก็ไม่หวั่น
เข้ามาสัมผัสความมันส์ขั้นสุดได้แล้ววันนี้ 💥
และมาเป็นที่หนึ่งให้ได้ ดุจหมาป่าผู้เดียวดาย 🏆</t>
  </si>
  <si>
    <t>https://www.facebook.com/740460599475760/posts/1968403463348128/</t>
  </si>
  <si>
    <t>740460599475760_1926680174187124</t>
  </si>
  <si>
    <t>[VDO] DARK DRAGON ตระกลูมังกรทมิฬ
เปลวเพลิงเดือดพล่านปะทุออกจากปีก ✨
อัลบัมคอสเพลย์ครั้งยิ่งใหญ่
ที่จะทำให้หัวใจคุณเร่าร้อนดั่งไฟ 🔥
เตรียมพบความแข็งแกร่งจากสายเลือดมังกรได้เร็ว ๆ นี้ 💥</t>
  </si>
  <si>
    <t>https://www.facebook.com/740460599475760/posts/1926680174187124/</t>
  </si>
  <si>
    <t>740460599475760_1914729018715573</t>
  </si>
  <si>
    <t>[VDO] ครั้งแรกกับสกินอาวุธ Kingfisher
อสรพิษร้ายที่พร้อมเขมือบศัตรูให้สิ้น 🐍
สู่สกินปืนแสนอำมหิต 💥
ที่ใครได้เห็นเป็นต้องขวัญผวา 😈
⏳ ระยะเวลากิจกรรม
ตั้งแต่วันที่ 14 ตุลาคม 2564 เป็นต้นไป</t>
  </si>
  <si>
    <t>https://www.facebook.com/740460599475760/posts/1914729018715573/</t>
  </si>
  <si>
    <t>740460599475760_1963839930471148</t>
  </si>
  <si>
    <t>[หนังสั้นสอนใจ EP.4] PRO-PLAYER
เรื่องของการเล่นเกม หากฝึกฝนที่มากพอ 💥
ไม่ว่าใครก็สามารถเป็นผู้เล่นมืออาชีพได้
เรื่องสอนใจครั้งนี้จะมาบอกถึงเรื่อง ❗️
"อย่าดูถูกใคร และอย่ามองคนแค่ที่ภายนอก" ✨</t>
  </si>
  <si>
    <t>https://www.facebook.com/740460599475760/posts/1963839930471148/</t>
  </si>
  <si>
    <t>740460599475760_1967618723426602</t>
  </si>
  <si>
    <t>มาไต่แรงก์เพื่อเป็นที่หนึ่งไปด้วยกัน 🏆
กับโหมด "หมาป่าเดียวดาย"
การต่อสู้แบบตัวต่อตัว ในพื้นที่จำกัด 💥
ที่พลาดแม้แต่นิดเดียว เท่ากับ พ่ายแพ้ 🔥
มาบอกแรงก์ที่อยากขึ้นไปถึงให้แอดรู้กันหน่อย ✨</t>
  </si>
  <si>
    <t>https://www.facebook.com/740460599475760/posts/1967618723426602/</t>
  </si>
  <si>
    <t>740460599475760_1911365515718590</t>
  </si>
  <si>
    <t>[VDO] ดาบคาตานะลายคราม ✨
เปลวเพลิงสีครามที่พร้อมแผดเผาทุกสิ่ง 🔥
ให้มอดไหม้กลายเป็นผุยผง 💥 
⏳ ระยะเวลากิจกรรม
ตั้งแต่วันที่ 10 ตุลาคม 2564 เวลา 00.01 น.
ถึงวันที่ 16 ตุลาคม 2564 เวลา 23.59 น.</t>
  </si>
  <si>
    <t>https://www.facebook.com/740460599475760/posts/1911365515718590/</t>
  </si>
  <si>
    <t>740460599475760_1966958943492580</t>
  </si>
  <si>
    <t>[TEASER] ชิงบัลลังก์หมาป่าเดียวดาย
พร้อมออกรบกันแล้วหรือยัง  ❓
ที่จะพบความมันส์แบบสุดขีด
กับการมาถึงของเกมจัดอันดับ 🏆
ในโหมด "หมาป่าเดียวดาย" 🐺
ออกมาขย้ำเหยื่อราวกับหมาป่าที่หิวโหยกันเถอะ 🔥</t>
  </si>
  <si>
    <t>https://www.facebook.com/740460599475760/posts/1966958943492580/</t>
  </si>
  <si>
    <t>740460599475760_1913811978807277</t>
  </si>
  <si>
    <t>ได้ดูกันแล้วหรือยัง ❓ UNDEFEATED 💥
ภาพยนต์ Live-Action ของ Free Fire 🔥
ที่ตอกย้ำความสำเร็จ ✨
ด้วยการคว้า 2 รางวัลสุดยิ่งใหญ่แห่งปี 🏆
ใครที่ยังไม่ได้ดู สามารถดูได้ที่ : https://bit.ly/3AvE6dp</t>
  </si>
  <si>
    <t>https://www.facebook.com/740460599475760/posts/1913811978807277/</t>
  </si>
  <si>
    <t>740460599475760_1936446436543831</t>
  </si>
  <si>
    <t>เหล่าผู้รอดชีวิตทั้งหลายมาร่วมกันเป็นส่วนหนึ่ง 
ในการโหวตเพื่อให้ FREE FIRE MAX ✨
เป็นสุดยอดเกมเอาตัวรอด
มาแสดงพลังขอพวกเราให้ทุกคนได้ประจักษ์ 🔥
มาร่วมกันโหวตได้ที่นี่ : https://bit.ly/30cDP2C</t>
  </si>
  <si>
    <t>https://www.facebook.com/740460599475760/posts/1936446436543831/</t>
  </si>
  <si>
    <t>740460599475760_1963833210471820</t>
  </si>
  <si>
    <t>[VDO] แฟชั่น ฮันเตอร์ดรากอน
จะยกโขยงมังกรมาทั้งฝูงก็ไม่หวั่น ❗️
เพราะเขามาเพื่อล่าและกำจัดมังกรให้สิ้น 🔥
กับแฟชั่นสุดเดือด ท่ามกลางความหนาวเย็น ❄️
เตรียมเป็นเจ้าของแฟชั่นนี้ได้ที่ร้านค้าโมโค ✨</t>
  </si>
  <si>
    <t>https://www.facebook.com/740460599475760/posts/1963833210471820/</t>
  </si>
  <si>
    <t>740460599475760_1933425790179229</t>
  </si>
  <si>
    <t>MV ภาคเหนือที่รอคอย มาแล้ว ❗
ยืนหนึ่ง - PMCปู่จ๋าน ลองไมค์ x โอห์ม ฟลุ้ค
เพลงฟังสบาย "เปิงใจ๋แต้ ๆ" 
ให้คุณได้อบอุ่นหัวใจผ่านบทเพลง 💕
เข้ามาดู MV สุดพิเศษนี้ได้ที่ : https://youtu.be/ISli9hgQ29Q</t>
  </si>
  <si>
    <t>https://www.facebook.com/740460599475760/posts/1933425790179229/</t>
  </si>
  <si>
    <t>172882636630076_1004804416771223</t>
  </si>
  <si>
    <t>สกินไอเทมใหม่ล่าสุด GodV โปรเพลย์เยอร์ระดับโลกและสตรีมเมอร์ชาวจีนดินแดนมังกร ที่วางจำหน่ายในรูปแบบชุด Jumpsuit และปืน M416 ใครที่เป็นแฟนๆ GodV ต้องไม่พลาด!!
#พับจี #เกมพับจี #PUBG #Season14 #GodV</t>
  </si>
  <si>
    <t>https://www.facebook.com/172882636630076/posts/1004804416771223/</t>
  </si>
  <si>
    <t>740460599475760_1911244335730708</t>
  </si>
  <si>
    <t>[FFMAX] เล่นเกาะสวรรค์ใหม่มาแล้ว เป็นไงบ้าง ❓
แต่ละจุด แต่ละมุมในแผนที่ ดี ๆ ทั้งนั้น 💥
แอดเล่นแล้วยังมันส์เลย ✨
แต่แอดยังไม่มีมุมอร่อยของตัวเองสักที 🤣
ไหนมาแชร์มุมอร่อยของแต่ละคนให้แอดรู้หน่อย 💕</t>
  </si>
  <si>
    <t>https://www.facebook.com/740460599475760/posts/1911244335730708/</t>
  </si>
  <si>
    <t>740460599475760_1943967959125012</t>
  </si>
  <si>
    <t>ดูวันไว้ให้ดี วันเดียวเท่านั้น 💥
เข้าเกม Free Fire มาล็อกอิน 
รับผู้รอดชีวิตใหม่ "ลีออน" 
ทักบอกเพื่อน แฟน ตี้ที่เล่นทุกวัน
ให้มารับของฟรีกันด้วยน้าา 😘
⏳ วันที่ 20 พฤศจิกายน 2564 วันเดียวเท่านั้น❗❗</t>
  </si>
  <si>
    <t>https://www.facebook.com/740460599475760/posts/1943967959125012/</t>
  </si>
  <si>
    <t>740460599475760_1017690712111095</t>
  </si>
  <si>
    <t>ถ่ายทอดสดการแข่งขัน
Free Fire Survivals Master Winter รอบคัดเลือก
ทัวร์นาเม้นเส้นทางสู่ Free Fire Pro League Season 6
8 ทีมเท่านั้น ที่จะผ่านสู่การเป็นนักกีฬามืออาชีพของเกม Free Fire
#FFSM #FFesports</t>
  </si>
  <si>
    <t>https://www.facebook.com/freefireth/videos/1017690712111095/</t>
  </si>
  <si>
    <t>740460599475760_1963557903832684</t>
  </si>
  <si>
    <t>[ANIMATION] ปกป้องนิคมรกร้าง
ข่าวด่วน ข่าวด่วน ขณะนี้พายุหิมะ ❄
กำลังโหมกระหน่ำพัดเข้าสู่เมือง
เป็นผลมาจากวายร้ายขโมยแกนพลังงานไป ✨
เหล่าผู้รอดชีวิตทั้งหลายต้องร่วมมือ
ชิงแกนพลังงานนี้กลับมาให้จงได้ 💥</t>
  </si>
  <si>
    <t>https://www.facebook.com/740460599475760/posts/1963557903832684/</t>
  </si>
  <si>
    <t>740460599475760_1943970059124802</t>
  </si>
  <si>
    <t>หาตี้มาลงสมรภูมิและ BOOYAH ไปด้วยกัน ❗
กิจกรรมที่มีแต่ได้กับได้ ทั้งผู้เชิญและผู้ถูกเชิญ 💥
รับไอเทมกันไปแบบจุก ๆ
คุ้มสุดมีโอกาสรับ 💎 แบบถล่มถลาย
ชวนเพื่อน พ่อ แม่ พี่ น้อง มาเล่น Free Fire กันเถอะ 💕</t>
  </si>
  <si>
    <t>https://www.facebook.com/740460599475760/posts/1943970059124802/</t>
  </si>
  <si>
    <t>172882636630076_987160195202312</t>
  </si>
  <si>
    <t>🔴Live ไปส่ง 💙AAA และ 💙BRU บินตรงไปเกาหลี สู่เวทีชิงแชมป์โลก PGC2021 มาให้กำลังใจผู้เล่นทั้งสองทีมและทีมงานทุกคน 
ขอบคุณไลฟ์จากเพจ MS Chonburi PUBG
#PUBG #ESPORTS #PGC2021 #พับจีชิงแชมป์โลก
#AAA #BRU</t>
  </si>
  <si>
    <t>https://www.facebook.com/172882636630076/posts/987160195202312/</t>
  </si>
  <si>
    <t>740460599475760_1908168586038283</t>
  </si>
  <si>
    <t>[FFMAX] พบกิจกรรมสุดพิเศษ
ต้อนรับการมาถึงของ Free Fire MAX 💥
และโหมดใหม่สุดครีเอทีฟอย่าง คร๊าฟแลนด์ ✨
เล่นด้วยกัน รับรางวัลด้วยกันยกเซิร์ฟได้แล้วตอนนี้จ้า
เข้ารับรางวัลได้ทางหน้ากิจกรรมพิเศษ MAX น้า 🥰</t>
  </si>
  <si>
    <t>https://www.facebook.com/740460599475760/posts/1908168586038283/</t>
  </si>
  <si>
    <t>740460599475760_1905181179670357</t>
  </si>
  <si>
    <t>[VDO] แอนิเมชัน สมรภูมิใหม่เต็ม MAX
ต้อนรับ Free Fire MAX
ด้วยสมรภูมิใหม่สุดเดือด 🔥
เอาใจผู้เล่นในโหมด 4v4
รวมตี้มันส์กับเพื่อนให้สุด 💥
แล้วหยุดที่คว้า BOOYAH!
เฉพาะผู้เล่น Free Fire MAX เท่านั้นน้า 💕</t>
  </si>
  <si>
    <t>https://www.facebook.com/740460599475760/posts/1905181179670357/</t>
  </si>
  <si>
    <t>740460599475760_1969269273261547</t>
  </si>
  <si>
    <t>[TEASER] Forevermore - WJMILD
วิดีโอ TEASER มูสเพลงแห่งความสุข ✨
"FOREVERMORE" จาก WJMILD
เตรียมตัวให้พร้อมกับความน่ารักสดใส 💕
ตามสไตล์ของ FREE FIRE กันเลยย 💥
แล้วมารับชม MV ตัวเต็มกันได้เร็ว ๆ นี้ 😘</t>
  </si>
  <si>
    <t>https://www.facebook.com/740460599475760/posts/1969269273261547/</t>
  </si>
  <si>
    <t>740460599475760_1932850766903398</t>
  </si>
  <si>
    <t>เริ่มต้นกิจกรรมที่ยิ่งใหญ่ BOOYAH! DAY
แจกไอเทมเพียบ แบบยาว ๆ จนถึงท้ายเดือน 🔥
ทำภารกิจแต่ละวันเพื่อรับโทเคน
มาใช้ร่วมกิจกรรมต่าง ๆ ที่จะเกิดขึ้น 💥
⏰ ตั้งเวลาเตือนไว้ให้ดี จะได้ไม่พลาดไอเทมเด็ดที่ต้องการ</t>
  </si>
  <si>
    <t>https://www.facebook.com/740460599475760/posts/1932850766903398/</t>
  </si>
  <si>
    <t>740460599475760_1931244117064063</t>
  </si>
  <si>
    <t>มาแล้วกับ TEASER MV ภาคเหนือที่รอคอย
ยืนหนึ่ง - PMCปู่จ๋าน ลองไมค์ x โอห์ม ฟลุ้ค
อบอวนไปด้วยอารมณ์สนุกสนาน ✨
แต่เต็มไปด้วยความ "น่าฮักขนาด" แบบเต็มเปี่ยม 💕
ตามไปยืนหนึ่งก่อนใครที่นี่: https://bit.ly/2ZODTp2</t>
  </si>
  <si>
    <t>https://www.facebook.com/740460599475760/posts/1931244117064063/</t>
  </si>
  <si>
    <t>740460599475760_1951403998381408</t>
  </si>
  <si>
    <t>อีกหนึ่งความสำเร็จสุดยิ่งใหญ่ของ Free Fire MAX ✨
ที่ได้รับรับผลโหวตจากผู้เล่นทั่วโลก ให้กลายมาเป็น
"สุดยอดเกมเอาตัวรอด" จาก Google Play 🔥
เราขอขอบคุณผู้รอดชีวิตทุกท่าน 
ที่มาเป็นกำลังใจให้กับพวกเราเสมอมา 💕</t>
  </si>
  <si>
    <t>https://www.facebook.com/740460599475760/posts/1951403998381408/</t>
  </si>
  <si>
    <t>740460599475760_1969123923276082</t>
  </si>
  <si>
    <t>[VDO] แอนิเมชันเปิดตัว เลื่อนของขวัญ
คลิสต์มาสทั้งที ต้องมีของขวัญแล้วมั้ยย ❓
ปะ ออกไปให้ของขวัญคนอื่น ๆ กัน
กับท่าเปิดตัว ที่พร้อมส่งมอบความสุขใรครั้งนี้ ❄
#FreeFire #FreeFireTH #นิคมรกร้าง #FreeFireNewAge</t>
  </si>
  <si>
    <t>https://www.facebook.com/740460599475760/posts/1969123923276082/</t>
  </si>
  <si>
    <t>740460599475760_1928433627345112</t>
  </si>
  <si>
    <t>จงลุกเป็นไฟและเผาทุกอย่างที่ขวางหน้าให้สิ้น 🔥
อัลบั้มชุดแฟชันสิทธิ์ขั้นสูง EP. 42 INFERNO RAGE
ความร้อนแรง ความดุดัน และความมีอำนาจ ✨
แผ่ขยายอำนาจของพลังมังกรไปให้ทั่ว
สามารถซื้อสิทธิขั้นสูงได้แล้ววันนี้ 💥</t>
  </si>
  <si>
    <t>https://www.facebook.com/740460599475760/posts/1928433627345112/</t>
  </si>
  <si>
    <t>172882636630076_1013823322535999</t>
  </si>
  <si>
    <t>อีก 24 ชม. พบกับประกาศก้าวสำคัญของเกม PUBG: BATTLEGROUNDS ในงาน Game Awards 2021 สดจาก Los Angeles ประเทศสหรัฐอเมริกา วันที่ 10.12.2021 เวลา 9.30 (ประเทศไทย) แฟนๆ พับจีทุกคน ห้ามพลาด!!
#พับจี #เกมพับจี #PUBG</t>
  </si>
  <si>
    <t>https://www.facebook.com/172882636630076/posts/1013823322535999/</t>
  </si>
  <si>
    <t>740460599475760_1935728093282332</t>
  </si>
  <si>
    <t>เอ๊าาาา ไหนใครรอแผนที่ใหม่อยู่ ยกมือขึ้น 🖐🏻
ใกล้เข้าเข้ามาแล้วกับแผนที่ขนาด 4X4
ที่จะมาเพิ่มความเร้าใจมากยิ่งขึ้น 🔥
ซ้อมมือไว้ให้พร้อม และเตรียมเดือดกันไว้ให้ดี 
แล้วมาเจอกันในแผนที่ใหม่นี้ได้เร็ว ๆ นี้ 💕</t>
  </si>
  <si>
    <t>https://www.facebook.com/740460599475760/posts/1935728093282332/</t>
  </si>
  <si>
    <t>740460599475760_1917113598477115</t>
  </si>
  <si>
    <t>[VDO] M1887 ทองสอยร่วง
ปืนสำหรับสายคลุกวงใน ✨
ยิงโดนที ต้องมีล้ม 💥
สกินปืนสุดแวววาวที่ใครเห็นเป็นต้องกลัว 🔥
⏳ ระยะเวลากิจกรรม
ตั้งแต่วันที่ 16 ตุลาคม 2564 เวลา 04.00 น.
ถึงวันที่ 22 ตุลาคม 2564 เวลา 23.59 น.</t>
  </si>
  <si>
    <t>https://www.facebook.com/740460599475760/posts/1917113598477115/</t>
  </si>
  <si>
    <t>740460599475760_1921840288004446</t>
  </si>
  <si>
    <t>เหลือเวลา 2 วันสุดท้ายเท่านั้น ❗
กับภารกิจจิตวิญญาณแห่งเวน่อม 💥
กำจัดเหล่าร้ายให้สิ้นซากและรับไอเทมสุดพิเศษใน
Free Fire X Venom: Let There Be Carnage 🖤
#FFxเวน่อม2
#FreeFirexVenom
#Venom: Let There Be Carnage</t>
  </si>
  <si>
    <t>https://www.facebook.com/740460599475760/posts/1921840288004446/</t>
  </si>
  <si>
    <t>740460599475760_1947015365486938</t>
  </si>
  <si>
    <t>เหมายกแพ็คผู้รอดชีวิต "ออโท" พร้อมชุดประจำถิ่น
ให้อารมณ์เม็กซีโกซิตี้แบบจัดเต็ม ✨
ใครยังไม่มีตัวละครนี้ รออะไรอยู่ ❓
เป็นเจ้าของได้แล้ววันนี้ที่ร้านค้า
⏳ ระยะเวลากิจกรรม
ตั้งแต่วันที่ 24 พศจิกายน 2564 เป็นต้นไป</t>
  </si>
  <si>
    <t>https://www.facebook.com/740460599475760/posts/1947015365486938/</t>
  </si>
  <si>
    <t>740460599475760_1964809903707484</t>
  </si>
  <si>
    <t>ตารางถ่ายทอดสด 📡
FFSM รอบ GROUP STAGE ❄️
🔸 UPPER BRACKET : 20-22 ธันวาคม 2564
🔹 LOWER BRACKET : 23-24 ธันวาคม 2564
เริ่มเวลา 19.00 น. เป็นต้นไป
📺 รับชมการแข่งขันได้ที่
🔔 YT &amp; FB : Garena Free Fire Thailand</t>
  </si>
  <si>
    <t>https://www.facebook.com/740460599475760/posts/1964809903707484/</t>
  </si>
  <si>
    <t>740460599475760_1909625719225903</t>
  </si>
  <si>
    <t>[VDO] นินจาสาว แดนอาทิตย์อุทัย 🐱‍👤
มาท่องคาถา พรางตัว และลอบโจมตี 💥 
และชิงความเป็นที่หนึ่งในสมรภูมิ Booyah ✨
⏳ ระยะเวลากิจกรรม
ตั้งแต่วันที่ 8 ตุลาคม 2564 เวลา 00.01 น.
ถึงวันที่ 15 ตุลาคม 2564 เวลา 23.59 น.</t>
  </si>
  <si>
    <t>https://www.facebook.com/740460599475760/posts/1909625719225903/</t>
  </si>
  <si>
    <t>740460599475760_1905076383014170</t>
  </si>
  <si>
    <t>⏳วันนี้ 1 ทุ่มตรง⏳
รับชมการแข่งขันรอบ Regular Season วันที่ 19
โดยประกอบไปด้วยทีมจากกลุ่ม A B และ C
ร่วมค้นหา 12 ทีมที่ดีที่สุดที่จะผ่านเข้าสู่รอบ Grand Final
▶️ รับชมการแข่งขันได้ที่
https://youtu.be/_pi_BCpTsF4</t>
  </si>
  <si>
    <t>https://www.facebook.com/740460599475760/posts/1905076383014170/</t>
  </si>
  <si>
    <t>740460599475760_1905076663014142</t>
  </si>
  <si>
    <t>https://www.facebook.com/740460599475760/posts/1905076663014142/</t>
  </si>
  <si>
    <t>740460599475760_1932024120319396</t>
  </si>
  <si>
    <t>[การ์ตูน📖] REALITY UNVEILED ตอนที่ 2 คำเชิญปริศนา
ด้วยความสามารถในการเล่นเกมของวูฟราห์
ที่แสนจะโดดเด่นและเก่งกาจ
จึงเป็นเหตุที่ทำให้เขาได้รับคำเชิญปริศนา
คำเชิญนี้จะมาจากใคร และวูฟร่าห์จะตอบรับคำเชิญนี้หรือไม่...</t>
  </si>
  <si>
    <t>https://www.facebook.com/740460599475760/posts/1932024120319396/</t>
  </si>
  <si>
    <t>740460599475760_1936327786555696</t>
  </si>
  <si>
    <t>แฟชั่นพื้นเมืองสุดเท่ของ "ออโท" 💥
ที่บ่งบอกความเป็นชนพื้นเมืองทางแถบตะวันตก
ชุดสุดเท่ให้อารมณ์พริ้วไหว 
พร้อมใส่ไปอวดกันแล้วเหล่าผู้รอดชีวิตในสมรภูมิ 🔥
⏳ ระยะเวลากิจกรรม
ตั้งแต่วันที่ 11 พศจิกายน 2564 เป็นต้นไป</t>
  </si>
  <si>
    <t>https://www.facebook.com/740460599475760/posts/1936327786555696/</t>
  </si>
  <si>
    <t>740460599475760_1946262388895569</t>
  </si>
  <si>
    <t>2 ชุดแฟชั่นสุดร้ายกาจ 💥
ตัวร้ายหนุ่มสาวเจ้าแห่งอสรพิษ 🐍
กับกล่องแฟชั่น BOOYAH
สะสมโทเคมให้ครบแลกรับไปเลย ❗
⏳ ระยะเวลากิจกรรม
ตั้งแต่วันที่ 23 พศจิกายน 2564 เวลา 00.01 น.
ถึงวันที่ 25 พศจิกายน 2564 เวลา 23.59 น.</t>
  </si>
  <si>
    <t>https://www.facebook.com/740460599475760/posts/1946262388895569/</t>
  </si>
  <si>
    <t>740460599475760_1946790715509403</t>
  </si>
  <si>
    <t>มาอีกครับกับคู่หูขนฟูสุดน่ารัก 🐰
เจ้าหน้าที่ ฮ็อป ครั้งนี้ไม่ได้มาตัวเปล่า
แต่มาพร้อมแฟชั่นออกรบแบบเต็มขั้น ✨
ไปจ้องน้องมาออกรบพร้อมคุณได้แล้วที่ร้านค้า
⏳ ระยะเวลากิจกรรม
ตั้งแต่วันที่ 23 พศจิกายน 2564 เป็นต้นไป</t>
  </si>
  <si>
    <t>https://www.facebook.com/740460599475760/posts/1946790715509403/</t>
  </si>
  <si>
    <t>740460599475760_1968548526666955</t>
  </si>
  <si>
    <t>รวมไอเทมเด็ด รับวันคริสต์มาสกันแบบจุก ๆ ✨
หนาวนี้ไม่รู้กอดใครก็เข้ามาฝากใจกับ Free Fire
ยิงยาว 3 วันเต็มกับไอเทมเข้าธีม ❄
รับช่วงท้ายของปี ของมันต้องมีแล้วป่ะ ❗
ใครชอบไอเทมชิ้นไหนบ้างแกล้ง ๆ พิมพ์มาบอกแอดหน่อย 💕</t>
  </si>
  <si>
    <t>https://www.facebook.com/740460599475760/posts/1968548526666955/</t>
  </si>
  <si>
    <t>172882636630076_1009575606294104</t>
  </si>
  <si>
    <t>🔎เจาะลึกอัปเดต 15.1🔎 ของใหม่ล่าสุดเข้าเกม PUBG: BATTLEGROUNDS แล้ว มีอะไรส่งท้ายปีให้เพื่อนๆ สาวกพับจีบ้าง? ไปดู!!
ดูรายละเอียดแพทช์ 15.1 แบบเต็มๆ ได้ที่: https://bit.ly/31kDP0H
#พับจี #เกมพับจี #PUBG #Season15</t>
  </si>
  <si>
    <t>https://www.facebook.com/172882636630076/posts/1009575606294104/</t>
  </si>
  <si>
    <t>740460599475760_1948389112016230</t>
  </si>
  <si>
    <t>เตรียมพบกับการคัมแบคของศิลปิน T.R.A.P. ✨
เมื่อวานเราได้แอบให้ฟังเพลงของพวกเค้าทั้ง 4 💥
ใน STORY ของพวกเราไปแล้ว 
ไหนใครฟังแล้วรู้สึกอย่างไรกันบ้าง ❓
ส่วนใครที่ยังไม่ฟัง รอการกลับมาแบบจัดหนักจัดเต็มของเค้าได้เลย 💕</t>
  </si>
  <si>
    <t>https://www.facebook.com/740460599475760/posts/1948389112016230/</t>
  </si>
  <si>
    <t>172882636630076_1021798985071766</t>
  </si>
  <si>
    <t>🎬 PGC Moments #5 รวมช็อทเฟี้ยวปั่นลั่นทุ่ง จากการแข่งขันพับจีชิงแชมป์โลก 2021
🏆💓 ส่งท้ายความประทับใจ PGC2021 แล้วเจอกันใหม่ในศึก PUBG ESPORTS 2022 ปีหน้ามาลุยกันมันส์ตลอดปี!
#PUBG #ESPORTS #PGC2021 #PUBGESPORTS</t>
  </si>
  <si>
    <t>https://www.facebook.com/172882636630076/posts/1021798985071766/</t>
  </si>
  <si>
    <t>740460599475760_1911247305730411</t>
  </si>
  <si>
    <t>สกินปืนใหม่ THE FALCONER 🦅
ลายปืนสุดเฉียบคมสไตล์ของผู้ล่า
เลือดเย็นราวกับกลงเล็บเหยียว  
ที่พร้อมจะกระชากเหยื่อให้สิ้น 😈 
แล้วพบกับกล่องอาวุธได้ในร้านค้า 💸 
⏳ ระยะเวลากิจกรรม
ตั้งแต่วันที่ 11 ตุลาคม 2564 เป็นต้นไป</t>
  </si>
  <si>
    <t>https://www.facebook.com/740460599475760/posts/1911247305730411/</t>
  </si>
  <si>
    <t>740460599475760_1921843774670764</t>
  </si>
  <si>
    <t>วันสุดท้าย ❗ ของการร่วมมือระหว่างหนังฟอร์มยักษ์
Free Fire X Venom: Let There Be Carnage 🖤
คว้าโอกาสสุดท้ายนี้ไว้ให้ดี 🔥
ก่อนที่เงามืดในครั้งนี้กำลังจะจางหายไป
#FFxเวน่อม2
#FreeFirexVenom
#Venom: Let There Be Carnage</t>
  </si>
  <si>
    <t>https://www.facebook.com/740460599475760/posts/1921843774670764/</t>
  </si>
  <si>
    <t>740460599475760_1936200256568449</t>
  </si>
  <si>
    <t>โปรเด็ด Free Fire 11.11 ✨
จัดหนัก จัดเต็มกับของเด็ดไม่ซ้ำ 💥
ตั้งแต่ผู้รอดชีวิตใหม่ ยันแฟชั่นที่ทุดคนถามหา
อีกทั้งยังมีสกินปืนสุดเท่ โปรดีแบบนี้ พลาดไม่ได้แล้ว 🔥
ใครชอบแฟชั่นไหนหรือสกินปืนพิมพ์มาบอกแอดกันหน้อยจ้าา 💕</t>
  </si>
  <si>
    <t>https://www.facebook.com/740460599475760/posts/1936200256568449/</t>
  </si>
  <si>
    <t>740460599475760_1947622975426177</t>
  </si>
  <si>
    <t>[การ์ตูน📖] REALITY UNVEILED ตอนที่ 4 การต่อสู้ไม่คาดฝัน
"บุช" บุคคลลึกลับที่มาชิงความที่ 1 ไปจากวูฟร่าห์ 💥
ความโกรธแค้นในครั้งนี้ แมตซ์ต่อไปหลังจากนี้จะเป็นอย่างไร ❓
วูฟร่าห์จะหาคำตอบได้หรือไม่ ว่าใครกันคือ "บุช"....</t>
  </si>
  <si>
    <t>https://www.facebook.com/740460599475760/posts/1947622975426177/</t>
  </si>
  <si>
    <t>740460599475760_1909602242561584</t>
  </si>
  <si>
    <t>ปืนไม่แดง ไม่มีแรงยิง 😈
สกินปืนไฟสุดเร่าร้อน เปลวเพลิงที่ลุกโชติช่วง 🔥
เพิ่มความเดือด เปลี่ยนสมรภูมิให้ลุกเป็นไฟ 💥
⏳ ระยะเวลากิจกรรม
ตั้งแต่วันที่ 7 ตุลาคม 2564 เวลา 00.01 น.
ถึงวันที่ 4 พฤศจิกายน 2564 เวลา 23.59 น.</t>
  </si>
  <si>
    <t>https://www.facebook.com/740460599475760/posts/1909602242561584/</t>
  </si>
  <si>
    <t>740460599475760_1921818054673336</t>
  </si>
  <si>
    <t>[VDO] แก๊งลูกมาเฟีย
พบกับลูกสาวสุดหวง และพี่ชายสุดเก๋า
ที่มาพร้อมดีกรีความฮอตและเท่เกิน 100 องศา🔥
แฟชั่นเด็ดสุดเท่และสวยที่ได้รับการโหวตสูงสุด ✨ จาก
Costume Design Contest 2020 🏆
พบกับแฟชั่นสุดว๊าวได้ในเกม เร็ว ๆ นี้</t>
  </si>
  <si>
    <t>https://www.facebook.com/740460599475760/posts/1921818054673336/</t>
  </si>
  <si>
    <t>740460599475760_1928356114019530</t>
  </si>
  <si>
    <t>[FULL CG ANIMATION] แอนิเมชันคู่หูสุดซิ่ง
ใครกัน! มาทำให้น้องดร.บีนนี่ ของเราโกรธ 💢
แบบนี้ต้องเอาคืนในสนามแข่งกันหน่อยแล้ว 
โหมดสุดปั่น กับก๊วนคู่หูสุดป่วน พร้อมมันส์กันจ้า 💥
เปิดให้เล่น 30 ตุลาคม 2564 นี้แล้วน้าาา 😘</t>
  </si>
  <si>
    <t>https://www.facebook.com/740460599475760/posts/1928356114019530/</t>
  </si>
  <si>
    <t>740460599475760_1269931843454044</t>
  </si>
  <si>
    <t>🔴 รับชม Live ได้แล้วตอนนี้
กับโหมดใหม่ล่าสุด คู่หูสุดซิ่ง 🔥
โหมดใหม่สุดมันส์ จัดเต็มความคิวท์ 💕
มาพร้อมหล่าครีเอเตอร์ที่ทุกคนชื่นชอบ
✨ INDARFZ FF
✨ GutuX2
✨ ICMac Channel
✨ Jojoe CH
เอาใจช่วยพร้อมรับไอเทมโค๊ดฟรี! 💥</t>
  </si>
  <si>
    <t>https://www.facebook.com/freefireth/videos/1269931843454044/</t>
  </si>
  <si>
    <t>740460599475760_1947017738820034</t>
  </si>
  <si>
    <t>รวมไอเทมโดนใจ ส่งท้าย BOOYAH DAY ❗
4 วันรวด ที่จัดไอเทมสุดเทพไว้ 💥
ตั้งแต่สกิน หมัดบูย่าห์ที่หลายคนรอคอย
และแฟชั่น EVO สุดเท่ จันทราสองหน้า
ของดี ๆ แบบนี้ไม่มี ไม่ได้แล้วน้าาา ✨
ใครอยากได้ไอเทมไหน ล็อควันไว้ให้พร้อม 💕</t>
  </si>
  <si>
    <t>https://www.facebook.com/740460599475760/posts/1947017738820034/</t>
  </si>
  <si>
    <t>740460599475760_1925619187626556</t>
  </si>
  <si>
    <t>[VDO] THFACT ขุนพลคนขลัง นารีต้องมนตรา
กล่องต้องคำสาปที่ปลดผนึก 2 นักรบในตำนาน 💥 
จากมนต์ดำอันชัวร้ายที่กักขังพวกเขาเอาไว้ 
ความมืดที่แฝงอยู่ในชุดแฟชั่นและดาบต้องคำสาป 
พร้อมมาปลดปล่อยทั้งสองให้เป็นอิสระกันแล้วหรือยัง ❓</t>
  </si>
  <si>
    <t>https://www.facebook.com/740460599475760/posts/1925619187626556/</t>
  </si>
  <si>
    <t>740460599475760_1928427537345721</t>
  </si>
  <si>
    <t>อัลบั้มคอสเพลย์สุดเท่ฉลองวันหลอน ๆ ❗
จากชุดแฟชั่นขุนพลคนขลังและนารีต้องมนตรา 
2 นักรบในตำนานที่ถูกปลดคำสาป 💥
ให้หลุดพ้นจากการหลับไหล และกลับเข้าสู้ในสมรภูมิ 🔥
ใครที่ยังไม่มีแฟชั่นนี้ต้องรีบไปตามเก็บให้ครบกันแล้วน้าา 😘</t>
  </si>
  <si>
    <t>https://www.facebook.com/740460599475760/posts/1928427537345721/</t>
  </si>
  <si>
    <t>740460599475760_1949234531931688</t>
  </si>
  <si>
    <t>TOP-UP สายฟ้าฟาดกับปืนสุดเท่ ⚡
"ELECTRONIC AN94"
เติมปั๊บรับพิมพ์เขียวไปเลยย ❗
รอช้าอะไรอยู่ ของมันต้องมีแล้วมั้ยล่า ✨
⏳ ระยะเวลากิจกรรม
ตั้งแต่วันที่ 28 พศจิกายน 2564 เวลา 00.01 น.
ถึงวันที่ 1 ธันวาคม 2564 เวลา 23.59 น.</t>
  </si>
  <si>
    <t>https://www.facebook.com/740460599475760/posts/1949234531931688/</t>
  </si>
  <si>
    <t>740460599475760_1910471942474614</t>
  </si>
  <si>
    <t>เตรียมตัวให้พร้อมกับกิจกรรมใหม่ 🔥
ในความร่วมมือจากภาพยนตร์ฟอร์มยักษ์ระดับโลก 💥
Free Fire x Venom: Let There Be Carnage
พบกับภารกิจสุดท้าท้าย
ตลอดเดือน ตุลาคม นี้
#FreeFirexVenom
#Venom: Let There Be Carnage
#FFxเวน่อม2</t>
  </si>
  <si>
    <t>https://www.facebook.com/740460599475760/posts/1910471942474614/</t>
  </si>
  <si>
    <t>740460599475760_1911244862397322</t>
  </si>
  <si>
    <t>ตามคำเรียกร้อง คาตานะลายคราม มาแล้ว
สายแมทซ์แฟชั่นเท่ ๆ ต้องจัด ✨
คาตานะเพลิงสีครามพร้อมมาฟาดฟัน 🔥
แบบเดือดทะลุจุดศูนย์ ❗
⏳ ระยะเวลากิจกรรม
ตั้งแต่วันที่ 10 ตุลาคม 2564 เวลา 00.01 น.
ถึงวันที่ 16 ตุลาคม 2564 เวลา 23.59 น.</t>
  </si>
  <si>
    <t>https://www.facebook.com/740460599475760/posts/1911244862397322/</t>
  </si>
  <si>
    <t>740460599475760_1917063811815427</t>
  </si>
  <si>
    <t>เน้นคลุกวงใน เข้าใส่นัว ยิงไม่ยั้ง 💥
กับสกินปืนสีทองสุดอร่าม 💛
ใครเข้าใกล้เป็นต้องร่วง 
สวยเด็ดขนาดนี้ ต้องจัดแล้วน้า 💸
⏳ ระยะเวลากิจกรรม
ตั้งแต่วันที่ 16 ตุลาคม 2564 เวลา 04.00 น.
ถึงวันที่ 22 ตุลาคม 2564 เวลา 23.59 น.</t>
  </si>
  <si>
    <t>https://www.facebook.com/740460599475760/posts/1917063811815427/</t>
  </si>
  <si>
    <t>740460599475760_1920915854763556</t>
  </si>
  <si>
    <t>[VDO] สายเลือดตระกูลมังกร
การเผชิญหน้าระหว่างความยุติธรรมและความอยุติธรรม ☯
เจ้าพ่อมังกร ผู้เป็นหัวหน้าแก็งค์ที่ยิ่งใหญ่ที่สุด 🐉
กลับถูกไล่ล่าโดยนักสืบสาวสายเลือดเดียวกัน 
แฟชั่นขั่วตรงข้ามของความดีและความชั่วจึงก่อเกิด 🔥</t>
  </si>
  <si>
    <t>https://www.facebook.com/740460599475760/posts/1920915854763556/</t>
  </si>
  <si>
    <t>740460599475760_1921831148005360</t>
  </si>
  <si>
    <t>อัลบั้มคอสเพลย์จากชุดแฟชั่นลูกเจ้าพ่อมาเฟีย 💕
ลูกสาวสุดหวง และพี่ชายสุดเก๋าที่ดีกรีความฮอตเกิน 100 🔥
แฟชั่นเด็ดสุดเท่และสวยที่ได้รับการโหวตสูงสุด ✨ จาก
Costume Design Contest 2020 🏆
พบกับแฟชั่นสุดว๊าวได้ในเกม เร็ว ๆ นี้</t>
  </si>
  <si>
    <t>https://www.facebook.com/740460599475760/posts/1921831148005360/</t>
  </si>
  <si>
    <t>740460599475760_1926627490859059</t>
  </si>
  <si>
    <t>กิจกรรมฟี เส้นทางนักสู้ ROAD TO BOOYAH! DAY
เส้นทางเดือดของเหล่าผู้เล่น Free Fire
ทำภารกิจแต่ละช่วงให้ครบ เราแจกไอเทมไปเลย 💥
รอช้าอะไรอยู่ล่ะ เข้ามาเล่นกันได้แล้วว 🔥
5 ภารกิจ กับ 5 ช่วงเวลา ดูวันเอาไว้ให้ดีและลุดโลดดด 💕</t>
  </si>
  <si>
    <t>https://www.facebook.com/740460599475760/posts/1926627490859059/</t>
  </si>
  <si>
    <t>740460599475760_1933473546841120</t>
  </si>
  <si>
    <t>ภารกิจบูย่าห์ กับวัน BOOYAH DAY ❗
เพียงทำภารกิจรายวันให้สำเร็จ
และสะสมโทเคนในกิจกรรม 
แลกรับสกินปืนไปแบบจุก ๆ แน่น ๆ 💥
⏳ ระยะเวลากิจกรรม
ตั้งแต่วันที่ 8 พศจิกายน 2564 เวลา 04.00 น.
ถึงวันที่ 15 พศจิกายน 2564 เวลา 03.59 น.</t>
  </si>
  <si>
    <t>https://www.facebook.com/740460599475760/posts/1933473546841120/</t>
  </si>
  <si>
    <t>740460599475760_1911625359025939</t>
  </si>
  <si>
    <t>⏳วันนี้ 1 ทุ่มตรง⏳
รับชมการแข่งขันFree Fire Pro League Season 5 Presented by dtac
รอบ PLAY-INS
มีเพียง 6 ทีมเท่านั้นที่จะผ่านเข้าสู่รอบ Grand Final รับชมพร้อมกัน 19.00 น.
▶️ รับชมการแข่งขันได้ที่
https://youtu.be/lK-DP3VE21U</t>
  </si>
  <si>
    <t>https://www.facebook.com/740460599475760/posts/1911625359025939/</t>
  </si>
  <si>
    <t>740460599475760_1936326133222528</t>
  </si>
  <si>
    <t>อดใจรอกันหน่อย อีกแค่ 2 ชั่วโมงเท่านั้น
กับ LIVE สุดพิเศษระหว่าง ✨
"MEW X แก๊งค์กระต่ายคลั่ง"
นอกจากความสนุกภายในไลฟ์ยังมีแจกไอเทมเพียบ
แบบนี้ต้องห้ามพลาดแล้ว 💥
📱 จับมือถือเตรียมดูไลฟ์ไว้ให้พร้อม แล้วมาเจอกันเวลา 13.00 น.</t>
  </si>
  <si>
    <t>https://www.facebook.com/740460599475760/posts/1936326133222528/</t>
  </si>
  <si>
    <t>740460599475760_1921843044670837</t>
  </si>
  <si>
    <t>กลับมาอีกครั้ง ❗ กับแฟชั่นแรปเปอร์รุ่นใหม่
ชุดไม่แดง ไม่มีแรงยิง 💥
โดนใจสายสตรีท ไม่โดนไม่ได้แล้ว 💸
ห้ามพลาดเด็ดขาดน้า 🔥
⏳ ระยะเวลากิจกรรม
ตั้งแต่วันที่ 24 ตุลาคม 2564 เวลา 09.00 น.
ถึงวันที่ 30 ตุลาคม 2564 เวลา 23.59 น.</t>
  </si>
  <si>
    <t>https://www.facebook.com/740460599475760/posts/1921843044670837/</t>
  </si>
  <si>
    <t>740460599475760_1932852616903213</t>
  </si>
  <si>
    <t>หน่ะนี่มัน ❗ แก๊ง 4 สีนี่นา
คนชั่วทั้งหลายต้องชิดซ้าย 💥
เหล่าวายร้ายที่พบต้องหลีกขวา
เพราะเค้ามาเพื่อผดุงความยุติธรรม 🔥
⏳ ระยะเวลากิจกรรม
ตั้งแต่วันที่ 6 พศจิกายน 2564 เวลา 00.01 น.
ถึงวันที่ 13 พศจิกายน 2564 เวลา 23.59 น.</t>
  </si>
  <si>
    <t>https://www.facebook.com/740460599475760/posts/1932852616903213/</t>
  </si>
  <si>
    <t>740460599475760_1947019415486533</t>
  </si>
  <si>
    <t>อัปเดตแพทซ์ใหม่ บาลานซ์กว่าเดิม 🔥
เตรียมปรับตัวกันไว้ให้ดี ฝึกฝนกันใหม่ ✨
การเปลี่ยนครั้งนี้จะทำให้รูปแบบของ Free Fire
ไม่เหมือนเดิม สกิลโครโน่ที่ว่าโกง เราก็ปรับให้ 💥
ไหนใครมีความเห็นอย่างไรกับการปรับในครั้ง บอกแอดมาหน่อย 💕</t>
  </si>
  <si>
    <t>https://www.facebook.com/740460599475760/posts/1947019415486533/</t>
  </si>
  <si>
    <t>740460599475760_1949233491931792</t>
  </si>
  <si>
    <t>อัปเดตใหม่ทั้งที มีอะไรมาใหม่บ้าง ❓
หมดปัญหาเรื่องการสื่อสาร เพราะแพทซ์นี้
มีระบบปิงบอกเพื่อนแล้ว จะศัตรูหรือปืน บอกได้หมด ✨
นอกจากนี้ยังมีสิ่งอื่น ๆ อีกเพียบ ไปดูกันเลย 💥
คอมเมนต์มาบอกกันหน่อยว่าอัปเดตครั้งนี้เป็นยังไงบ้าง 💕</t>
  </si>
  <si>
    <t>https://www.facebook.com/740460599475760/posts/1949233491931792/</t>
  </si>
  <si>
    <t>740460599475760_1943902472464894</t>
  </si>
  <si>
    <t>เพลงสุดพิเศษในโปรเจกต์ Free Fire 4 Feat
ในเพลง "ตกลงเธอ...เลือกใคร" 😥
ของ 3 ศิลปิน แจ็ค แฟนฉัน x กลัฟ คณาวุฒิ X ลุค อิชิคาว่า
ไม่ว่าเธอจะเลือกใคร ฉันก็พร้อมจะยินดี ✨
🔴 รับชม MUSIC VIDEO ได้ที่นี่ : https://youtu.be/uCTpfk9vbw8</t>
  </si>
  <si>
    <t>https://www.facebook.com/740460599475760/posts/1943902472464894/</t>
  </si>
  <si>
    <t>740460599475760_1963787453809729</t>
  </si>
  <si>
    <t>กลับมาแล้วกับแฟชั่นสไตล์นักล่า 🐯
เตรียมตัวพับกบ ❗️ เย๊ย พบกับบบบ
Cardboard Animal ที่ทุกคนรอคอย ✨
ไปสอยกันได้เลยที่ร้านค้า EVO
⏳ ระยะเวลากิจกรรม
ตั้งแต่วันที่ 17 ธันวาคม 2564 เวลา 00.01 น.
ถึงวันที่ 23 ธันวาคม 2564 เวลา 23.59 น.</t>
  </si>
  <si>
    <t>https://www.facebook.com/740460599475760/posts/1963787453809729/</t>
  </si>
  <si>
    <t>740460599475760_1921183174736824</t>
  </si>
  <si>
    <t>ผสานสตรีทแวร์เข้ากับความกร้าวแกร่งของเวน่อม
Free Fire X Venom: Let There Be Carnage 🖤
แฟชั่นที่แฝงพลังอีกด้านของซิมบิโอตเอาไว้ 💥
พร้อมที่จะด่ำดิ่งสู่ความมืดกันแล้วหรือยัง ❓
#FFxเวน่อม2
#FreeFirexVenom
#Venom: Let There Be Carnage</t>
  </si>
  <si>
    <t>https://www.facebook.com/740460599475760/posts/1921183174736824/</t>
  </si>
  <si>
    <t>740460599475760_1935564853298656</t>
  </si>
  <si>
    <t>เตรียมพบกับ MUSIC VIDEO ✨
เพลงที่ 4 จากโปรเจกต์ Free Fire 4FEST 💥
"ก่อนรักกลายเป็นเกลียด"
จากศิลปิน Violette Wautier x Mew Suppasit 💕
เพลงที่ปลดปล่อยความรู้สึกซึ้งปนเศร้า เคล้าน้ำตา 😢
เมื่อความรักไม่ใช่เพียงแค่ "รักกัน" เท่านั้น</t>
  </si>
  <si>
    <t>https://www.facebook.com/740460599475760/posts/1935564853298656/</t>
  </si>
  <si>
    <t>740460599475760_1967776100077531</t>
  </si>
  <si>
    <t>ปลาคาร์ฟในความเชื่อของชาวญี่ปุ่น 🎌
คือ การบ่งบอกถึงความแข็งแกร่ง
แฟชันที่ได้รับแรงบันดาลใจ ✨
จากความเชื่อนี้ ก่อเป็นชุดสุดโหด 💥
⏳ ระยะเวลากิจกรรม
ตั้งแต่วันที่ 22 ธันวาคม 2564 เวลา 00.01 น.
ถึงวันที่ 31 ธันวาคม 2564 เวลา 23.59 น.</t>
  </si>
  <si>
    <t>https://www.facebook.com/740460599475760/posts/1967776100077531/</t>
  </si>
  <si>
    <t>740460599475760_1921837141338094</t>
  </si>
  <si>
    <t>อย่ามาแหยมกับลูกเจ้าพ่อมาเฟีย ❗
"เดี๋ยวจะโดนดีไม่ใช่น้อย"
แฟชั่นสุดเก๋าที่เข้ามายึดครองเป็นเจ้าถิ่น 🔥
ที่ใครเห็นเป็นต้องเกรงกลัว 💥
⏳ ระยะเวลากิจกรรม
ตั้งแต่วันที่ 23 ตุลาคม 2564 เวลา 00.01 น.
ถึงวันที่ 29 ตุลาคม 2564 เวลา 23.59 น.</t>
  </si>
  <si>
    <t>https://www.facebook.com/740460599475760/posts/1921837141338094/</t>
  </si>
  <si>
    <t>740460599475760_1949044658617342</t>
  </si>
  <si>
    <t>เห็นขอกันมาเยอะกับหมัด BOOYAH
วันนี้มาแล้วน้า อยากได้ต้องโดน
สะสมโทเคนให้ครบ แลกรับไปเลย
กำหมัดและชูขึ้นฟ้า คว้า BOOYAH มาให้จงได้
⏳ ระยะเวลากิจกรรม
ตั้งแต่วันที่ 27 พศจิกายน 2564 เวลา 00.01 น.
ถึงวันที่ 4 ธันวาคม 2564 เวลา 23.59 น.</t>
  </si>
  <si>
    <t>https://www.facebook.com/740460599475760/posts/1949044658617342/</t>
  </si>
  <si>
    <t>740460599475760_1914643625390779</t>
  </si>
  <si>
    <t>น้อง ๆ คนไหนปิดเทอมกันแล้วบ้าง 🖐🏻
เตรียมตัวให้พร้อมกับไอเทมต้อนรับปิดเทอม 💥
ทั้งไอเทมและแฟชั่นสุดเดือด 🔥
ให้อวดเพื่อน ๆ ในสมรภูมิ
⏳ ระยะเวลากิจกรรม
ตั้งแต่วันที่ 17 ตุลาคม 2564 เวลา 01.00 น.
ถึงวันที่ 17 ตุลาคม 2564 เวลา 23.59 น.</t>
  </si>
  <si>
    <t>https://www.facebook.com/740460599475760/posts/1914643625390779/</t>
  </si>
  <si>
    <t>740460599475760_1937055576482917</t>
  </si>
  <si>
    <t>[VDO] BOOYAH DAY CG แอนิเมชัน
ท่ามกลางงานวัน BOOYAH DAY ที่แสนสงบ 💕
ลีออนและน้องสาวแสนรัก ไปเที่ยวงานอย่างสนุกสนาน 
แต่แล้วความโกลาหลก็เกิดขึ้นและได้ถือกำเนินผู้รอดชีวิตใหม่ 🔥
ร่วมสู้อย่างมีสไตล์กับ "ลีออน" ใน BOOYAH DAY กันเถอะ 💥</t>
  </si>
  <si>
    <t>https://www.facebook.com/740460599475760/posts/1937055576482917/</t>
  </si>
  <si>
    <t>740460599475760_4347917948653797</t>
  </si>
  <si>
    <t>BOOYAH x Free Fire Asia Tournament Day 2
เตรียมร่วมเชียร์ตัวแทนประเทศไทยลุยศึกแห่งศักดิ์ศรี
ทีม WAT ARUN วัดอรุณ
🔹ราชาหล่อเท่
🔸17Arm
🔹Bosser Gamer
🔸SeeYou
ทีม WAT PHO วัดโพธิ์
🔹JASMINNIIZ
🔸R.I.P Freestyle
🔹FMP TV
🔸OJOE Gaming</t>
  </si>
  <si>
    <t>https://www.facebook.com/freefireth/videos/4347917948653797/</t>
  </si>
  <si>
    <t>740460599475760_1947673822087759</t>
  </si>
  <si>
    <t>เอ๊าาา ❗ เร่เข้ามาวันนี้ Free Fire ขอเสนอ
เคียวสุดเฟี้ยวเกี่ยว BOOYAH 💥
นอกจากนี้ยังมาพร้อมรถสปอร์ตสุดคูล
ไอเทมโดนใจขนาดพลาดได้ไง ✨
⏳ ระยะเวลากิจกรรม
ตั้งแต่วันที่ 25 พศจิกายน 2564 เวลา 00.01 น.
ถึงวันที่ 3 ธันวาคม 2564 เวลา 23.59 น.</t>
  </si>
  <si>
    <t>https://www.facebook.com/740460599475760/posts/1947673822087759/</t>
  </si>
  <si>
    <t>740460599475760_1944013139120494</t>
  </si>
  <si>
    <t>[VDO] ในเกม &amp; ชีวิตจริง
BOOYAH หนึ่งคำที่สามารถสื่อความหมายได้หลายอย่าง 
ชัยชนะหรอ ดีใจหรอ หรือการแสดงความยินดี ✨
แต่ละคนใช้ความหมายไม่เหมือนกัน 💥
แล้วคำว่า "BOOYAH" ของคุณล่ะมีความหมายว่าอย่างไร ❓
คอมเมนท์บอกแอดหน่อยสิ แอดอยากรู้ 💕</t>
  </si>
  <si>
    <t>https://www.facebook.com/740460599475760/posts/1944013139120494/</t>
  </si>
  <si>
    <t>740460599475760_1908796339308841</t>
  </si>
  <si>
    <t>อาวุธ LEGENDARY ใหม่ ที่สายซุ่มยิงต้องห้ามพลาด 💥
กับปืน AWM WAVEBREAKER KAZE 💙
ลายปืนพริ้วไหวดุจสายสายน้ำ 
แต่ดุดันราวกับคลื่นสึนามิ 🌊
⏳ ระยะเวลากิจกรรม
ตั้งแต่วันที่ 6 ตุลาคม 2564 เวลา 00.01 น.
ถึงวันที่ 12 ตุลาคม 2564 เวลา 23.59 น.</t>
  </si>
  <si>
    <t>https://www.facebook.com/740460599475760/posts/1908796339308841/</t>
  </si>
  <si>
    <t>740460599475760_1948391182016023</t>
  </si>
  <si>
    <t>แจกของกันไม่หยุด ฉุดกันไม่อยู่ ✨
เพียงลงทะเบียนล็อกอินล่วงหน้า 💥
ก็รับไอเทมแบบจุก ๆ กันไปเลย
แล้วเข้ามาเกมมาล็อกอินกันเยอะ ๆ น้าาา 😘
⏳ ระยะเวลากิจกรรม
ตั้งแต่วันที่ 30 พศจิกายน 2564 เวลา 04.00 น.
ถึงวันที่ 3 ธันวาคม 2564 เวลา 03.59 น.</t>
  </si>
  <si>
    <t>https://www.facebook.com/740460599475760/posts/1948391182016023/</t>
  </si>
  <si>
    <t>740460599475760_1968551743333300</t>
  </si>
  <si>
    <t>หนาวววว ใจจะขาดเพราะขาดเธอคนดี 
แต่ขาดเธอไปแค่ไหน ไอเทมต้องไม่ขาด 💥
ของดีประจำซีซันนี้กับ เลื่อนหิมะ 
พร้อมมาส่งมอบความสุขให้แล้ววว ✨
⏳ ระยะเวลากิจกรรม
ตั้งแต่วันที่ 24 ธันวาคม 2564 เวลา 00.01 น.
ถึงวันที่ 30 ธันวาคม 2564 เวลา 23.59 น.</t>
  </si>
  <si>
    <t>https://www.facebook.com/740460599475760/posts/1968551743333300/</t>
  </si>
  <si>
    <t>740460599475760_1937028466485628</t>
  </si>
  <si>
    <t>ใครมีปืน UMP EVO แล้วแต่ยังอัปเกรดไม่สุดบ้าง ❓
TOP-UP นี้สิ ❗ ตอบโจทย์
เติม 99💎 รับเลยกล่องหินอัปเกรด
เอาไปแต่งบวกปืนกันให้กระจาย 💥
⏳ ระยะเวลากิจกรรม
ตั้งแต่วันที่ 13 พศจิกายน 2564 เวลา 00.01 น.
ถึงวันที่ 15 พศจิกายน 2564 เวลา 23.59 น.</t>
  </si>
  <si>
    <t>https://www.facebook.com/740460599475760/posts/1937028466485628/</t>
  </si>
  <si>
    <t>740460599475760_1921844304670711</t>
  </si>
  <si>
    <t>ต้อนรับวันฮาโลวีน 🎃 เทศกาลสุดหลอน
กับภารกิจรายวัน เพียงทำให้ครบ
ล่าโทเคนมาแลกแฟชั่นวันปล่อยผี 👻
ส่วมชุดและออกไป ทริกออร์ทรีต กันเถอะ ❓
⏳ ระยะเวลากิจกรรม
ตั้งแต่วันที่ 25 ตุลาคม 2564 เวลา 04.00 น.
ถึงวันที่ 1 พฤศจิกายน 2564 เวลา 03.59 น.</t>
  </si>
  <si>
    <t>https://www.facebook.com/740460599475760/posts/1921844304670711/</t>
  </si>
  <si>
    <t>740460599475760_1932005006987974</t>
  </si>
  <si>
    <t>TOP-UP ปั๊บรับคู่หูใหม่ปุ๊บ ✨
กับต้าวกระต่ายเจ้าหน้าที่ฮ็อปมาร่วมรบ
มาพร้อมชุดแฟชันแน่นไปด้วยยุทโธปกรณ์
ช่วยเหล่าผู้รอดชีวิตให้ BOOYAH ❗
⏳ ระยะเวลากิจกรรม
ตั้งแต่วันที่ 4 พศจิกายน 2564 เวลา 00.01 น.
ถึงวันที่ 8 พศจิกายน 2564 เวลา 23.59 น.</t>
  </si>
  <si>
    <t>https://www.facebook.com/740460599475760/posts/1932005006987974/</t>
  </si>
  <si>
    <t>740460599475760_901966987347375</t>
  </si>
  <si>
    <t>[LIVE🔴] Free Fire Show Off : ซ้อมกับโปร PHXF และ CGGG
พบกับแขกรับเชิญซ้อมกับโปร PHXF และ CGGG ที่จะมาร่วมลงห้องซ้อมกับคุณ พร้อมรับไอเทมฟรี!
-----------------------------------------------------
#FFEsports #FreeFireShowOff #FreeFire #FFTH</t>
  </si>
  <si>
    <t>https://www.facebook.com/freefireth/videos/901966987347375/</t>
  </si>
  <si>
    <t>740460599475760_1963789357142872</t>
  </si>
  <si>
    <t>หนาวนี้มี Ice wall ไว้ต้านลมหรือยัง 🔥
กิจกรรม Top-up ต้อนรับหน้าหนาว
เติมแล้วรับสกินสุดว้าว WINTERFEST ❄️
สวยสุดจัดขนาดนี้ไม่มีได้หรอ ❓
⏳ ระยะเวลากิจกรรม
ตั้งแต่วันที่ 19 ธันวาคม 2564 เวลา 00.01 น.
ถึงวันที่ 20 ธันวาคม 2564 เวลา 23.59 น.</t>
  </si>
  <si>
    <t>https://www.facebook.com/740460599475760/posts/1963789357142872/</t>
  </si>
  <si>
    <t>740460599475760_1968512446670563</t>
  </si>
  <si>
    <t>ตารางการถ่ายทอดสด Free Fire Survivals Master Winter ❄️
รอบ GROUP STAGE สายบนรอบที่ 2 
🔴 เริ่มเวลา 19.00 น. เป็นต้นไป
📌 อันดับ 1 และ 2 ของแต่ละ GROUP เข้าสู่โปรลีกซีซั่น6 🏆
📺 รับชมการแข่งขันได้ที่
🔔 YT &amp; FB : Garena Free Fire Thailand</t>
  </si>
  <si>
    <t>https://www.facebook.com/740460599475760/posts/1968512446670563/</t>
  </si>
  <si>
    <t>172882636630076_1007589999825998</t>
  </si>
  <si>
    <t>เตรียมตัวต้อนรับเพื่อนใหม่...ที่กำลังมายึดครองพื้นที่ Dino Land ใน Vikendi พร้อมเทศกาลแห่งความสุข เริ่ม 1 ธันวาคมนี้
KAKAO FRIENDS x BATTLEGROUNDS
#พับจี #เกมพับจี #PUBG #Season15 #KakaoFriends #KakaoFriendxPUBG #KakaoFriendxBattlegrounds</t>
  </si>
  <si>
    <t>https://www.facebook.com/172882636630076/posts/1007589999825998/</t>
  </si>
  <si>
    <t>740460599475760_1926629087525566</t>
  </si>
  <si>
    <t>ใกล้เข้ามาแล้วนะกับโหมดใหม่ คู่หูสุดซิ่ง
จากที่เห็น ๆ กันพอเดากันได้ไหมเอ่ย ❓
ว่าโหมดใหม่นี้ จะเอาเจ้าเหล่าคู่หูสุดน่ารัก
มาเล่นกันแบบไหน ยังไงกัน 💥
ไหนลองแกล้ง ๆ คอมเมนต์มาบอกแอดกันหน่อยสิ๊ 💕
พร้อมให้เล่น 30 ตุลาคม 2564 นี้แล้วน้าาา 😘</t>
  </si>
  <si>
    <t>https://www.facebook.com/740460599475760/posts/1926629087525566/</t>
  </si>
  <si>
    <t>740460599475760_1946261052229036</t>
  </si>
  <si>
    <t>เพียงแค่เติม 299 💎 เท่านั้น
รับไอซ์วอลล์ BOOYAH DAY สุดเท่
โดนยิงกระหน่ำเท่าไหร่ก็ไม่มีหวั่น 💥
ตั้งไอซ์วอลล์และคว้า BOOYAH มาให้ได้ ✨
⏳ ระยะเวลากิจกรรม
ตั้งแต่วันที่ 23 พศจิกายน 2564 เวลา 00.01 น.
ถึงวันที่ 25 พศจิกายน 2564 เวลา 23.59 น.</t>
  </si>
  <si>
    <t>https://www.facebook.com/740460599475760/posts/1946261052229036/</t>
  </si>
  <si>
    <t>740460599475760_1917073385147803</t>
  </si>
  <si>
    <t>อีกหนึ่งความประทับของเกม Free Fire
ได้รับเสนอชื่อเข้าชิงเกมมือถือสาขาอีสปอร์ต 💥
มายกระดับเกมสู่ระดับโลกไปพร้อมกัน ✨
มาแสดงพลังเหล่าผู้เล่น Free Fire ให้ได้ประจักษ์ 🔥
🖐🏻 โหวตเลยที่ : https://esportsawards.com/mobile-game/#mobilegamevote</t>
  </si>
  <si>
    <t>https://www.facebook.com/740460599475760/posts/1917073385147803/</t>
  </si>
  <si>
    <t>740460599475760_1943172792537862</t>
  </si>
  <si>
    <t>เพราะการต่อสู้ของแต่ละคนไม่เหมือนกัน ✨
สู้อย่างมีสไตล์ในแบบของตัวเอง
สู่สมราภูมิบนเกาะสวรรค์และกำจัดศัตรูให้ครบ 💥
รับไอเทมแบบจุก ๆ ฟรี ❗
⏳ ระยะเวลากิจกรรม
ตั้งแต่วันที่ 19 พศจิกายน 2564 เวลา 04.00 น.
ถึงวันที่ 29 พศจิกายน 2564 เวลา 03.59 น.</t>
  </si>
  <si>
    <t>https://www.facebook.com/740460599475760/posts/1943172792537862/</t>
  </si>
  <si>
    <t>740460599475760_1940855049436303</t>
  </si>
  <si>
    <t>ของฟรีแล้วหนึ่ง ✨ เข้าเกมมาล็อกอิน
ครบ 5 วันเหมาไอเทมไปเลย
ดูวันที่ และตั้งแจ้งเตือนไว้ให้ดี
บอกต่อเพื่อน ๆ ให้เข้ามาเล่น Free Fire ด้วยน้า
⏳ ระยะเวลากิจกรรม
ตั้งแต่วันที่ 16 พศจิกายน 2564 เวลา 04.00 น.
ถึงวันที่ 24 พศจิกายน 2564 เวลา 03.59 น.</t>
  </si>
  <si>
    <t>https://www.facebook.com/740460599475760/posts/1940855049436303/</t>
  </si>
  <si>
    <t>740460599475760_1967777143410760</t>
  </si>
  <si>
    <t>สายฟรี ฟังทางนี้ เด็ดจนห้ามพลาด 💥
กับกิจกรรมการมาถึงของ NEW AGE
พบกับไอเทมมากมาย ในธีมฤดูหนาว ❄
จัดหนักจัดเต็มขนาดนี้ เข้ามาเล่นกันด้วยน้า 💕
⏳ ระยะเวลากิจกรรม
ตั้งแต่วันที่ 23 ธันวาคม 2564 เวลา 04.00 น.
ถึงวันที่ 10 มกราคา 2565 เวลา 03.59 น.</t>
  </si>
  <si>
    <t>https://www.facebook.com/740460599475760/posts/1967777143410760/</t>
  </si>
  <si>
    <t>740460599475760_1925741547614320</t>
  </si>
  <si>
    <t>TOP-UP หน้ากากยักษ์สีเขียว 💚
ยักษาที่เรียกได้ว่าเป็นตำนานผู้ปกปักษ์
เข้ามาบุกทะลวงให้สิ้นในสมรภูมิเดือด 🔥
ภายใต้หน้ากากที่ซ่อนความโหดเอาไว้ 💥
⏳ ระยะเวลากิจกรรม
ตั้งแต่วันที่ 27 ตุลาคม 2564 เวลา 01.00 น.
ถึงวันที่ 31 ตุลาคม 2564 เวลา 23.59 น.</t>
  </si>
  <si>
    <t>https://www.facebook.com/740460599475760/posts/1925741547614320/</t>
  </si>
  <si>
    <t>740460599475760_1946861385502336</t>
  </si>
  <si>
    <t>[VDO] Highlight FFAC รอบ Play-ins มีทีมใดกันบ้างมารับชมพร้อมกัน
---------------------------------
อาทิตย์ 28 พ.ย. 2564 เวลา 17.00 น.
พร้อมของรางวัลจากยอดรับชมพร้อมกัน แจกยกเชิร์ฟ!!
รอรับชมการแข่งขันพร้อมกัน
🔴 Youtube : Garena Free Fire Thailand</t>
  </si>
  <si>
    <t>https://www.facebook.com/740460599475760/posts/1946861385502336/</t>
  </si>
  <si>
    <t>740460599475760_1927511477437327</t>
  </si>
  <si>
    <t>ป้องกันไว้ก่อนกับบัญชีของ Facebook 💥
ช่วงนี้มีเรื่องของ Facebook ที่แจ้งในเรื่องของความปลอดภัย 🔒
แอดมินจึงมาแชร์วิธีเพิ่อป้องกันไม่ให้บัญชีที่มีอยู่นั้นหายไป
เพียงทำตามขั้นตอนง่าย ๆ เหล่านี้ได้เลย ❗
อย่าลืมทำกันนะทั้ง iOS และ Andriod เลยน้า 💕</t>
  </si>
  <si>
    <t>https://www.facebook.com/740460599475760/posts/1927511477437327/</t>
  </si>
  <si>
    <t>740460599475760_1937027923152349</t>
  </si>
  <si>
    <t>สกินปืนฉลอง BOOYAH DAY 🎇
ยิ่งอัปเกรดยิ่งเท่ ยิ่งอัปเกรดอีกก็ยิ่งโหด
กับปืนที่มีเอฟเฟคเปลี่ยนไปในทุกเลเวล 💥
ใครสายปืน EVO เอฟเฟคเทพ ต้องจัด ❗
⏳ ระยะเวลากิจกรรม
ตั้งแต่วันที่ 13 พศจิกายน 2564 เวลา 00.01 น.
ถึงวันที่ 10 ธันวาคม 2564 เวลา 23.59 น.</t>
  </si>
  <si>
    <t>https://www.facebook.com/740460599475760/posts/1937027923152349/</t>
  </si>
  <si>
    <t>740460599475760_1937030689818739</t>
  </si>
  <si>
    <t>[การ์ตูน📖] REALITY UNVEILED ตอนที่ 3 หมาป่าจักรกล
แมทช์แรกหลังจากที่วูฟราห์ได้ตอบรับคำเชิญ 💥
เกมแห่งการเอาชีวิตรอดก็ได้เริ่มต้นขึ้น
คว้าอาวุธและห้ำหั่นอย่างดุเดือด ไม่ว่าใครก็อยากเป็นแชมป์ 🔥
วูฟราห์จะสามารถเอาชนะในการแข่งครั้งแรกนี้ได้หรือไม่ ❓</t>
  </si>
  <si>
    <t>https://www.facebook.com/740460599475760/posts/1937030689818739/</t>
  </si>
  <si>
    <t>740460599475760_1941486246039850</t>
  </si>
  <si>
    <t>4 DJ ที่กลับมารวมตัวกันอีกครั้ง
ในการแสดงครั้งยิ่งใหญ่ของพวกเขา 🔥
พร้อมคสามมันส์สุดขีด สนุกสุดเหวี่ยง ✨
เข้าไปดู LIVE สุดพิเศษนี้ได้ผ่านช่องทางเดียวเท่านั้น ❗
🔴YouTube : FREE FIRE OFFICIAL
แล้วไปเจอพวกเขากันวันที่ 20 พฤศจิกายน 2564 เวลาตี 3 💥</t>
  </si>
  <si>
    <t>https://www.facebook.com/740460599475760/posts/1941486246039850/</t>
  </si>
  <si>
    <t>740460599475760_1963788033809671</t>
  </si>
  <si>
    <t>คริสมาสต์นี้มีของดีที่ Free Fire 🔥
ภารกิจมันส์ ข้าม ปี เริ่มขึ้นแล้ว ❄️
ตะลุยภารกิจและไปรับไอเทมได้เลย
รับรางวัลที่หน้ากิจกรรม Christmas นะ 💥
⏳ ระยะเวลากิจกรรม
ตั้งแต่วันที่ 17 ธันวาคม 2564 เวลา 04.00 น.
ถึงวันที่ 26 ธันวาคม  2564 เวลา 03.59 น.</t>
  </si>
  <si>
    <t>https://www.facebook.com/740460599475760/posts/1963788033809671/</t>
  </si>
  <si>
    <t>740460599475760_1946247932230348</t>
  </si>
  <si>
    <t>หยิบปืนยิงเธอดัง ปิ้ว ปิ้ว ปิ้ว 🔫
โดนใจดวง จิ๋ว จิ๋ว จิ๋ว  💕
ครั้งแรกของการร่วมงานกันระหว่าง
SPRITE x GUYGEEGEE และ Free Fire 💥
เตรียมตัวรับชม Music Video เพลงใหม่ “ปิ้ว ปิ้ว”
ได้ในวันที่ 26 พฤศจิกายน เวลา 18.00 น.
#FreeFireTH
#FreeFireSPxGGG</t>
  </si>
  <si>
    <t>https://www.facebook.com/740460599475760/posts/1946247932230348/</t>
  </si>
  <si>
    <t>740460599475760_1917067105148431</t>
  </si>
  <si>
    <t>เพื่อที่จะเป็นหนึ่งในยุทธภพ 💥
เหล่านักสู้จากทั่วสารทิศต่างต้องแย่งชิง 
นักสู้ผู้มาพร้อมกับวรยุทธ์แห่งสายน้ำ 🌊
จึงก้าวเข้าสู่สมรภูมิเดือดแห่งนี้ 🔥
⏳ ระยะเวลากิจกรรม
ตั้งแต่วันที่ 17 ตุลาคม 2564 เวลา 01.00 น.
ถึงวันที่ 23 ตุลาคม 2564 เวลา 23.59 น.</t>
  </si>
  <si>
    <t>https://www.facebook.com/740460599475760/posts/1917067105148431/</t>
  </si>
  <si>
    <t>740460599475760_1937032936485181</t>
  </si>
  <si>
    <t>[VDO] แฟชั่น EVO กลับมาแล้ว
จากผลโหวตจำนวนมากของผู้เล่น ตอนนี้ ✨
"SPIRITED OVERSEERS"
ชุดของเหล่าจิ้งจอก พร้อมป่วนเมือง กลับมาอีกครั้งแล้วจ้า 🦊
⏳ ระยะเวลากิจกรรม
ตั้งแต่วันที่ 12 พศจิกายน 2564 เวลา 00.01 น.
ถึงวันที่ 19 พศจิกายน 2564 เวลา 23.59 น.</t>
  </si>
  <si>
    <t>https://www.facebook.com/740460599475760/posts/1937032936485181/</t>
  </si>
  <si>
    <t>740460599475760_1943173239204484</t>
  </si>
  <si>
    <t>BOOYAH! ชู้ต กิจกรรมสายสตรีท 🏀
มาสะสมโทเคนและร่วมเล่นบาสกับลีออน
ชู๊ตลงห่วงเอาคะแนนไปแลกของรางวัลได้เลย 💕
กับไอเทมสุดพิเศษ ตามคะแนนที่มีอยู่ 💥
⏳ ระยะเวลากิจกรรม
ตั้งแต่วันที่ 18 พศจิกายน 2564 เวลา 04.00 น.
ถึงวันที่ 29 พศจิกายน 2564 เวลา 03.59 น</t>
  </si>
  <si>
    <t>https://www.facebook.com/740460599475760/posts/1943173239204484/</t>
  </si>
  <si>
    <t>740460599475760_1947016335486841</t>
  </si>
  <si>
    <t>ลมหนาวพัดมา พร้อมกับดีลพิเศษแบบปัง ๆ 💥
แฟชั่นและกล่องสกินปืนสวย ๆ เพียบ  🔥
แถมลดสูงสุดแบบจัดให้หนัก ๆ ถึง 87%
มีเฉพาะใน Google Play เท่านั้น ✨
⏳ ระยะเวลากิจกรรม
ตั้งแต่วันที่ 24 พศจิกายน 2564 เวลา 00.01 น.
ถึงวันที่ 30 พศจิกายน 2564 เวลา 23.59 น.</t>
  </si>
  <si>
    <t>https://www.facebook.com/740460599475760/posts/1947016335486841/</t>
  </si>
  <si>
    <t>740460599475760_1949239088597899</t>
  </si>
  <si>
    <t>ข่าวดีสำหรับคนที่เล่น Free Fire ทุกวัน ✨
เพียงเข้ามาล็อกอิน 5 วันเท่านั้น ❗
ก็เอาไปเลยกับไอซ์วอลล์กะโหลกเขียว
อย่าลืมเข้ามาเล่นกันบ่อย ๆ ด้วยล่ะ 💕
⏳ ระยะเวลากิจกรรม
ตั้งแต่วันที่ 28 พศจิกายน 2564 เวลา 04.00 น.
ถึงวันที่13 ธันวาคม 2564 เวลา 03.59 น.</t>
  </si>
  <si>
    <t>https://www.facebook.com/740460599475760/posts/1949239088597899/</t>
  </si>
  <si>
    <t>740460599475760_1917065585148583</t>
  </si>
  <si>
    <t>หนึ่งความสำเร็จครั้งยิ่งใหญ่ 💥
กับยอดชมทะลุ 3 ล้านวิว ❗
ของวิดีโอสุดพิเศษที่ร่วมมือกับหนังฟอร์มยักษ์
Free Fire X Venom: Let There Be Carnage 🖤
เข้าไปรับ หมวก Carnage ได้แล้วในเกม Free Fire 🔥
#FFxเวน่อม2
#FreeFirexVenom
#Venom: Let There Be Carnage</t>
  </si>
  <si>
    <t>https://www.facebook.com/740460599475760/posts/1917065585148583/</t>
  </si>
  <si>
    <t>740460599475760_1928423800679428</t>
  </si>
  <si>
    <t>ก่อนที่จะจากลาเดือนตุลาคมนี้ 💥
พบกับ TOP-UP สุดคุ้มส่งท้าย
เพียงแค่เติม 1 💎 ก็รับไปเลย
ไอเทมบัตรสร้างห้อง 1 ใบ 
เอาไว้สร้างเล่นกับเพื่อน ๆ ได้เล้ย 💕
⏳ ระยะเวลากิจกรรม
ตั้งแต่วันที่ 30 ตุลาคม 2564 เวลา 00.01 น.
ถึงวันที่ 31 ตุลาคม 2564 เวลา 23.59 น.</t>
  </si>
  <si>
    <t>https://www.facebook.com/740460599475760/posts/1928423800679428/</t>
  </si>
  <si>
    <t>740460599475760_1940854602769681</t>
  </si>
  <si>
    <t>TOP-UP Booyah! กระเป๋าปีกแห่งชัยชนะ 🏆
เพียงเติม 99 💎 ปั๊บรับทันที
แค่ใส่ก็รู้สึกได้ว่าตาถัดไปจะต้องชนะ 
คว้ากระเป๋าและพาทีมเอา BOOYAH มาให้ได้ 💥
⏳ ระยะเวลากิจกรรม
ตั้งแต่วันที่ 16 พศจิกายน 2564 เวลา 00.01 น.
ถึงวันที่ 19 พศจิกายน 2564 เวลา 23.59 น.</t>
  </si>
  <si>
    <t>https://www.facebook.com/740460599475760/posts/1940854602769681/</t>
  </si>
  <si>
    <t>740460599475760_1963789900476151</t>
  </si>
  <si>
    <t>ร้านค้าแห่งความมืด ลดสูงสุดถึง 85%
พบกันแฟชั่น Midnught Mafia สุดเท่ 💥
ใส่ปุ๊บเท่ปั๊บแบบไม่มีอะไรมากั้น ✨
ชุดก็ดี ส่วนลดก็โดน แบบนี้ต้องจัดแล้วนะ 🥰
⏳ ระยะเวลากิจกรรม
ตั้งแต่วันที่ 18 ธันวาคม 2564 เวลา 00.01 น.
ถึงวันที่ 24 ธันวาคม 2564 เวลา 23.59 น.</t>
  </si>
  <si>
    <t>https://www.facebook.com/740460599475760/posts/1963789900476151/</t>
  </si>
  <si>
    <t>740460599475760_1916236491898159</t>
  </si>
  <si>
    <t>สายลมพัดอ่อน ๆ กับแสงแดดที่แสนอบอุ่น ⛅
สาวงามที่เตรียมพร้อมจะเข้าพิธีแต่งงาน 😘
กับชายหนุ่มที่หมายปอง 
ชุดแฟชั่นหวาน ๆ จากความรักของทั้งสองจึงก่อเกิด 💕
⏳ ระยะเวลากิจกรรม
ตั้งแต่วันที่ 15 ตุลาคม 2564 เวลา 01.00 น.
ถึงวันที่ 24 ตุลาคม 2564 เวลา 23.59 น.</t>
  </si>
  <si>
    <t>https://www.facebook.com/740460599475760/posts/1916236491898159/</t>
  </si>
  <si>
    <t>740460599475760_1937027513152390</t>
  </si>
  <si>
    <t>กิจกรรมแจกของฟรี BOOYAH DAY
เพียงแค่เข้าเกม Free Fire มาล็อกอิน 💥
ก็รับไปเลย "กล่องดวงใจ" สุดอลังการ
ชวนเพื่อน พี่ น้อง มาล็อกอินกันเยอะ ๆ น้าาา 💕
⏳ ระยะเวลากิจกรรม
ตั้งแต่วันที่ 13 พศจิกายน 2564 เวลา 04.00 น.
ถึงวันที่ 15 พศจิกายน 2564 เวลา 03.59 น.</t>
  </si>
  <si>
    <t>https://www.facebook.com/740460599475760/posts/1937027513152390/</t>
  </si>
  <si>
    <t>740460599475760_1937029113152230</t>
  </si>
  <si>
    <t>เสาร์-อาทิตย์นี้ใครว่าง ๆ ไม่ออกไปไหน 💥
ให้ Free Fire มาอยู่เป็นเพื่อนน้าา
โดดและกำจัดศัตรู ชิงความเป็นที่ 1 🏆
BOOYAH ❗ 5 ตา "กระทะ" ลอยมาเข้าในคลัง
⏳ ระยะเวลากิจกรรม
ตั้งแต่วันที่ 13 พศจิกายน 2564 เวลา 04.00 น.
ถึงวันที่ 15 พศจิกายน 2564 เวลา 03.59 น.</t>
  </si>
  <si>
    <t>https://www.facebook.com/740460599475760/posts/1937029113152230/</t>
  </si>
  <si>
    <t>740460599475760_1928424837345991</t>
  </si>
  <si>
    <t>เอ๊าาา ไหนใครที่เรียกร้องดาบคาตานะ ⚔
จัดมาให้แล้วกับช่วงเทศกาลฮาโลวีนนี้ 🎃
ด้วยดาบต้องคำสาปที่ปิดผนึกความมืดมิดเอาไว้
พร้อมฟาดฟันความชั่วให้มลายหายไป 💥
⏳ ระยะเวลากิจกรรม
ตั้งแต่วันที่ 30 ตุลาคม 2564 เวลา 00.01 น.
ถึงวันที่ 5 พฤศจิกายน 2564 เวลา 23.59 น.</t>
  </si>
  <si>
    <t>https://www.facebook.com/740460599475760/posts/1928424837345991/</t>
  </si>
  <si>
    <t>740460599475760_1930818393773302</t>
  </si>
  <si>
    <t>หนทางของนักสู้นั้นช่างลำบากนัก 🔥
เหล่าผู้รอดชีวิตใน Free Fire ทั้งหลาย 
ทำภารกิจรายวันสะสมโทเคนแลกรับรางวัลพิเศษ
นักสู้ที่แท้จริง ภารกิจแค่นี้ สบาย ❗
⏳ ระยะเวลากิจกรรม
ตั้งแต่วันที่ 6 พฤศจิกายน 2564 เวลา 04.00 น.
ถึงวันที่ 8 พฤศจิกายน  2564 เวลา 03.59 น.</t>
  </si>
  <si>
    <t>https://www.facebook.com/740460599475760/posts/1930818393773302/</t>
  </si>
  <si>
    <t>740460599475760_1966941793494295</t>
  </si>
  <si>
    <t>ถึงจะเป็นคนตลก แต่ก็ตลกไม่ตลอดน้า 😂
พบกับโปรโมชั่นที่เหมาะกับคนเท่ ๆ อย่างเรา ✨
กับหมวกวายร้ายตัวตัวตลกและสกินคู่หู
บอกเลยว่าไม่มี ไม่ได้แล้วรึป่าวววว 🔥
⏳ ระยะเวลากิจกรรม
ตั้งแต่วันที่ 19 ธันวาคม 2564 เวลา 00.01 น.
ถึงวันที่ 25 ธันวาคม 2564 เวลา 23.59 น.</t>
  </si>
  <si>
    <t>https://www.facebook.com/740460599475760/posts/1966941793494295/</t>
  </si>
  <si>
    <t>740460599475760_1968551040000037</t>
  </si>
  <si>
    <t>คว้าใจเค้าไม่ได้ ลองใช้เคียวเกี่ยวใจดู 💕
ในคืนก่อนวันคริสต์มาสนี้ ขอมอบโปรดี
กับ เคียวบลัดดี้ ขยี้ใจในช่วยฤดูหนาว ❄
ถือไปไหนก็โดดเด่นเหนือใครในสมรภูมิ 💥
⏳ ระยะเวลากิจกรรม
ตั้งแต่วันที่ 24 ธันวาคม 2564 เวลา 00.01 น.
ถึงวันที่ 27 ธันวาคม 2564 เวลา 23.59 น.</t>
  </si>
  <si>
    <t>https://www.facebook.com/740460599475760/posts/1968551040000037/</t>
  </si>
  <si>
    <t>172882636630076_1008790769705921</t>
  </si>
  <si>
    <t>อัปเดต 15.1 เปิดแล้ว กดอัปเดตได้เลย! แต่จะมีอะไรใหม่บ้าง? และเรื่องอะไรบ้างที่เพื่อนๆ เกมพับจีต้องรู้? ไปดูระหว่างรออัปเดตตัวเกมก่อนเข้าโดดร่มวันนี้กันได้เลย!!
ดูรายละเอียดแพทช์ 15.1 แบบเต็มๆ ได้ที่: https://bit.ly/31kDP0H
#พับจี #เกมพับจี #PUBG #Season15</t>
  </si>
  <si>
    <t>https://www.facebook.com/172882636630076/posts/1008790769705921/</t>
  </si>
  <si>
    <t>740460599475760_1928425317345943</t>
  </si>
  <si>
    <t>ต้อนรับวันปล่อยผี ด้วยกิจกรรมโทเคนแลกไอเทม ✨
กับของสุดพิเศษที่มีมาให้เฉพาะช่วง 
วันฮาโลวีนสุดเฮี้ยน 🎃 ในปีนี้
ล่าแฟชั่นและไป ทริค ออ ทรีท ในสมรภูมิกันจ้า 🔥
⏳ ระยะเวลากิจกรรม
ตั้งแต่วันที่ 30 ตุลาคม 2564 เวลา 04.00 น.
ถึงวันที่ 1 พฤศจิกายน 2564 เวลา 03.59 น</t>
  </si>
  <si>
    <t>https://www.facebook.com/740460599475760/posts/1928425317345943/</t>
  </si>
  <si>
    <t>740460599475760_1926628300858978</t>
  </si>
  <si>
    <t>กลับมาแล้ว กับชุดสุดป่วนเจ้าก๊วนกระต่าย
กับแฟชั่นกระต่ายหมายฟันสุดโหด 💥
ที่เข้ามาเพื่อกำจัดทุก ๆ ตี้ในสมรภูมิ 🔥
ครั้งที่แล้วใครพลาดไป ครั้งนี้ต้องห้ามพลาด 
⏳ ระยะเวลากิจกรรม
ตั้งแต่วันที่ 28 ตุลาคม 2564 เวลา 01.00 น.
ถึงวันที่ 3 พฤศจิกายน 2564 เวลา 23.59 น.</t>
  </si>
  <si>
    <t>https://www.facebook.com/740460599475760/posts/1926628300858978/</t>
  </si>
  <si>
    <t>740460599475760_1932009396987535</t>
  </si>
  <si>
    <t>ก๊วนคู่หูสุดซี้ ออกป่วนเมือง ✨
เมื่อทั้งสองรู้สึกว่าทุกสิ่งน่าเบื่อไปหมด
เค้าจึงหาสิ่งที่มาทำให้เค้าสนุกขึ้น
แฟชั่นที่เพิ่มสีสันให้กับเมืองที่แสนเงียบสงบ 💥
⏳ ระยะเวลากิจกรรม
ตั้งแต่วันที่ 4 พศจิกายน 2564 เวลา 00.01 น.
ถึงวันที่ 10 พศจิกายน 2564 เวลา 23.59 น.</t>
  </si>
  <si>
    <t>https://www.facebook.com/740460599475760/posts/1932009396987535/</t>
  </si>
  <si>
    <t>740460599475760_1910576212464187</t>
  </si>
  <si>
    <t>⏳วันนี้ 1 ทุ่มตรง⏳
รับชมการแข่งขัน Free Fire Pro League Season 5 Presented by dtac
รอบ Regular Season วันที่ 20
โดยประกอบไปด้วยทีมจากกลุ่ม A C และ E 
มีเพียง 6 ทีมเท่านั้นที่จะผ่านเข้าสู่รอบ Grand Final ได้
▶️ รับชมการแข่งขันได้ที่
https://youtu.be/_53ZZ4Qe9K0</t>
  </si>
  <si>
    <t>https://www.facebook.com/740460599475760/posts/1910576212464187/</t>
  </si>
  <si>
    <t>740460599475760_1921827931339015</t>
  </si>
  <si>
    <t>รับไอเทมสุดเดือดในภารกิจเงามืดคืบคลาน 🔥
Free Fire X Venom: Let There Be Carnage 🖤
ทั้งชุดแฟชั่น We Are Venom Streetwear 
และกล่องดวงใจ Venom vs Carnage  
รีบทำภารกิจให้สำเร็จก่อนวันที่ 24 ตุลาคมนี้ 💥
#FFxเวน่อม2
#FreeFirexVenom
#Venom: Let There Be Carnage</t>
  </si>
  <si>
    <t>https://www.facebook.com/740460599475760/posts/1921827931339015/</t>
  </si>
  <si>
    <t>740460599475760_1911250759063399</t>
  </si>
  <si>
    <t>ล็อควันไว้ให้พร้อม แล้วมาเจอกันในภารกิจสุดพิเศษ ✨ จาก
Free Fire x Venom: Let There Be Carnage
ผนึกกำลังเข้าร่วมภารกิจครั้งสำคัญกับ CHAOS ATTACK 💥
พร้อมรับรางวัลมากมายภายในเกม 💕
แล้วพบกัน 16 ตุลาคม 2564
#FFxเวน่อม2
#FreeFirexVenom
#Venom: Let There Be Carnage</t>
  </si>
  <si>
    <t>https://www.facebook.com/740460599475760/posts/1911250759063399/</t>
  </si>
  <si>
    <t>740460599475760_1927470357441439</t>
  </si>
  <si>
    <t>แฟชั่นนารีต้องมนตรา
เหล่าวิญญาณ 👻 ที่หลับไหลวนเวียนอยู่ในชุด 
นำโทเคนที่ได้ 🎃 มาแลกเปลี่ยน
ปลดปล่อยชุดนี้มาจากคำสาปอันมืดมิด
สู่คำคืนแห่งความหลอนแบบสุดขีด 💥
⏳ ระยะเวลากิจกรรม
ตั้งแต่วันที่ 29 ตุลาคม 2564 เวลา 01.00 น.
ถึงวันที่ 7 พฤศจิกายน 2564 เวลา 23.59 น.</t>
  </si>
  <si>
    <t>https://www.facebook.com/740460599475760/posts/1927470357441439/</t>
  </si>
  <si>
    <t>740460599475760_1928431267345348</t>
  </si>
  <si>
    <t>ถึงคิวของชุดแฟชั่นขุนพลคนขลัง ❗
อยู่มาวันหนึ่ง คำสาปที่กักขลังเขาไว้ก็ถูกปลดออก 💥
จากความยาวนานนี้ ทำให้เค้าสะสมพลังเอาไว้
และเตรียมมาปลดปล่อยพลังในสมรภูมิ 🔥
⏳ ระยะเวลากิจกรรม
ตั้งแต่วันที่ 31 ตุลาคม 2564 เวลา 00.01 น.
ถึงวันที่ 6 พฤศจิกายน 2564 เวลา 23.59 น.</t>
  </si>
  <si>
    <t>https://www.facebook.com/740460599475760/posts/1928431267345348/</t>
  </si>
  <si>
    <t>740460599475760_1932017340320074</t>
  </si>
  <si>
    <t>หัวหน้าที่ไม่เคยแม้แต่จะเปิดเผยใบหน้า
เรื่องราวของเค้ายังคงเป็นปริศนา ❓
ผู้ที่อยู่เบื้องหลังอาชกรรมแถบตะวันตก
แฟชั่นทรงอิทธิพลที่ทำให้คุณรู้สึกเป็นที่หนึ่ง 🏆
⏳ ระยะเวลากิจกรรม
ตั้งแต่วันที่ 4 พศจิกายน 2564 เวลา 00.01 น.
ถึงวันที่ 24 พศจิกายน 2564 เวลา 23.59 น.</t>
  </si>
  <si>
    <t>https://www.facebook.com/740460599475760/posts/1932017340320074/</t>
  </si>
  <si>
    <t>740460599475760_1913642725490869</t>
  </si>
  <si>
    <t>รับชมวิดีโอสุดพิเศษ 💥
ในความร่วมมือครั้งใหม่ กับภาพยนตร์ฟอร์มยักษ์ระดับโลก 🌎
Free fire x Venom: Let There Be Carnage 🖤
ความระทึกที่จะทำให้คุณต้องสั่นผวา กำลังจะมาถึง 🌡
ชอบซีนไหน คอมเมนต์บอกหน่อยจ้า 💕
#FFxเวน่อม2
#FreeFirexVenom
#Venom: Let There Be Carnage</t>
  </si>
  <si>
    <t>https://www.facebook.com/740460599475760/posts/1913642725490869/</t>
  </si>
  <si>
    <t>740460599475760_1963790573809417</t>
  </si>
  <si>
    <t>เปิดร้านค้าโมโคกับแฟชันฮันเตอร์ดรากอน 🔥
และสกินปืน ที่จะมาเขย่าขวัญ
เหล่ามังกรให้หายสาปสูญไปให้หมด ✨
เหล่าผู้รอดชีวิตทั้งหลาย มาเป็นนักล่ามังกรไปด้วยกันเถอะ ❗️
⏳ ระยะเวลากิจกรรม
ตั้งแต่วันที่ 19 ธันวาคม 2564 เวลา 00.01 น.
ถึงวันที่ 25 ธันวาคม 2564 เวลา 23.59 น.</t>
  </si>
  <si>
    <t>https://www.facebook.com/740460599475760/posts/1963790573809417/</t>
  </si>
  <si>
    <t>740460599475760_1921839284671213</t>
  </si>
  <si>
    <t>ใครพรีออเดอร์ไม่ทัน ไม่ต้องเสียใจ 😂
เราเอากลับมาขายให้แล้วในร้านค้า
กับลายเพ้นท์หน้าสุดเท่ 🔥
พร้อมท่องไปในห้วงอาหรับราตรี 🛕
ขายเฉพาะไอเทม 💥 ไม่รวมของใน EP น้า
⏳ ระยะเวลากิจกรรม
ตั้งแต่วันที่ 23 ตุลาคม 2564 เวลา 00.01 น.
ถึงวันที่ 31 ตุลาคม 2564 เวลา 23.59 น.</t>
  </si>
  <si>
    <t>https://www.facebook.com/740460599475760/posts/1921839284671213/</t>
  </si>
  <si>
    <t>740460599475760_1932849380236870</t>
  </si>
  <si>
    <t>จักรวรรดิแอซเท็กผู้บูชาเทพเจ้าแห่งดวงอาทิตย์ ☀
โดยความเชื่อในเรื่องของชัยชนะแห่งสงคราม ⚔
จากเรื่องราวที่เกิดขึ้นในอดีตกาล
สู่สกินปืนสุริยันแห่งชัยนะอันยิ่งใหญ่ 💥
⏳ ระยะเวลากิจกรรม
ตั้งแต่วันที่ 5 พศจิกายน 2564 เวลา 00.01 น.
ถึงวันที่ 3 ธันวาคม 2564 เวลา 23.59 น.</t>
  </si>
  <si>
    <t>https://www.facebook.com/740460599475760/posts/1932849380236870/</t>
  </si>
  <si>
    <t>740460599475760_1933474060174402</t>
  </si>
  <si>
    <t>เหล่าคู่หูหิวแล้วน้าา มาเติมพลังให้เค้าหน่อยเร็วว 💥
ทำภารกิจเพื่อรับคุกกี้แสนอร่อย 🍪
เอาให้ให้น้อง ๆ มีแรงมาช่วย 
เหล่าผู้รอดชีวิตในสมรภูมิและ BOOYAH ❗ ไปด้วยกัน 
⏳ ระยะเวลากิจกรรม
ตั้งแต่วันที่ 8 พศจิกายน 2564 เวลา 04.00 น.
ถึงวันที่ 14 พศจิกายน 2564 เวลา 03.5</t>
  </si>
  <si>
    <t>https://www.facebook.com/740460599475760/posts/1933474060174402/</t>
  </si>
  <si>
    <t>172882636630076_995475351037463</t>
  </si>
  <si>
    <t>11.11 ไอเทมเซ็ตใหม่รับวันคนโสด ที่เชื่อว่าเพื่อนๆ เกมพับจีถึงจะยังโสดอยู่หรือเป็นได้แค่พี่น้อง แต่สกินชุดต้องสดใหม่ไว้ก่อนแน่นอน!! ชุดเฟี้ยวๆ ทั้ง 3 แบบวางจำหน่ายแล้ววันนี้ตอนนี้ในร้านค้าเกม PUBG PC เท่านั้น! เข้าเกมจัดกันได้เลย!!
#พับจี #เกมพับจี #PUBG #Season14</t>
  </si>
  <si>
    <t>https://www.facebook.com/172882636630076/posts/995475351037463/</t>
  </si>
  <si>
    <t>740460599475760_1947713838750424</t>
  </si>
  <si>
    <t>[VDO]คนดังชวนดูแข่ง FFAC GRAND FINALS ส่งเสียงเชียร์ให้ดังและรับชมการแข่งไปพร้อมเหล่าอินฟูลเลนเซอร์ 
นำทีมโดย TONKLA , Jasminniiiz และ ราชาหล่อเท่ห์ 
ร่วมเชียร์ทีมตัวแทนประเทศไทย
วันอาทิตย์ที่ 28 พ.ย. 2564 เวลา 17.00น. 
ช่องทาง 🔴 Youtube : Garena Free Fire Thailand</t>
  </si>
  <si>
    <t>https://www.facebook.com/740460599475760/posts/1947713838750424/</t>
  </si>
  <si>
    <t>740460599475760_1968546566667151</t>
  </si>
  <si>
    <t>ปืนที่ว่าโหดยังโฉดไม่เท่าปืนระดับตำนาน ✨
กับสปินปืน "อินทนิลมัจฉาเจ้าวารี" 🌊
สาดกระสุนให้กระหน่ำ กำจัดศัตรูให้เกลี้ยง
ยิงเร็ว ยิงแรง ใส่ไม่ยั้งพร้อมคว้า BOOYAH 🔥
⏳ ระยะเวลากิจกรรม
ตั้งแต่วันที่ 23 ธันวาคม 2564 เวลา 00.01 น.
ถึงวันที่ 29 ธันวาคม 2564 เวลา 23.59 น.</t>
  </si>
  <si>
    <t>https://www.facebook.com/740460599475760/posts/1968546566667151/</t>
  </si>
  <si>
    <t>740460599475760_1921842081337600</t>
  </si>
  <si>
    <t>สิ้นสุดการรอคอยกับ MUSIC VIDEO ตัวเต็ม 💥
ในโปรเจกต์เพลงสุดพิเศษจาก เทศกาลแห่งความสุข 🎵
เพลงฮิตสุดไพเราะของแต่ละภาค ตั้งแต่เหนือจรดใต้
อีกทั้งยังมีเพลงสุดพิเศษที่ต้องขออุบไว้ก่อน 🔥
รายละเอียดคลิก: https://ff.garena.com/news/article/th/493/
แล้วพบกันเร็ว ๆ นี้จ้า 💕</t>
  </si>
  <si>
    <t>https://www.facebook.com/740460599475760/posts/1921842081337600/</t>
  </si>
  <si>
    <t>172882636630076_989524938299171</t>
  </si>
  <si>
    <t>ขอให้เป็นวันฮัลโลวีนที่พิเศษสำหรับเพื่อนๆ ชาวพับจีทุกคน 🎃Happy Halloween🎃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</t>
  </si>
  <si>
    <t>https://www.facebook.com/172882636630076/posts/989524938299171/</t>
  </si>
  <si>
    <t>172882636630076_1005613603356971</t>
  </si>
  <si>
    <t>สกินไอเทมใหม่รับ BLACK FRIDAY สุดแนวที่จัดมาให้ถึง 3 แบบ 3 ชุด อย่าง Ohm สุดเฟี้ยว, นินจา Shadowstar, และ Crimson Hex สุดเซ็กซี่ วางจำหน่ายแล้ววันนี้ เพื่อนๆ พับจีสายแฟชั่นนิสต้า ต้องไม่พลาด! เข้าเกมมุ่งไปที่ร้านค้าได้เลย!!
#พับจี #เกมพับจี #PUBG #Season14 #BlackFriday</t>
  </si>
  <si>
    <t>https://www.facebook.com/172882636630076/posts/1005613603356971/</t>
  </si>
  <si>
    <t>740460599475760_1910465929141882</t>
  </si>
  <si>
    <t>ณ ประเทศญี่ปุ่นในยุคสมัยเซ็นโกคุ 
นินจาสาวที่รับภารกิจอย่างเดี๋ยวดายยามค่ำคืน 🌙
เข้าลอบโจมตีและบุกทะลวงศัตรู 🐱‍👤
ด้วยความเงียบสงัด
พบกับแฟชั่นใหม่จากแดนอาทิตย์อุทัย 🌞
⏳ ระยะเวลากิจกรรม
ตั้งแต่วันที่ 8 ตุลาคม 2564 เวลา 00.01 น.
ถึงวันที่ 15 ตุลาคม 2564 เวลา 23.59 น.</t>
  </si>
  <si>
    <t>https://www.facebook.com/740460599475760/posts/1910465929141882/</t>
  </si>
  <si>
    <t>740460599475760_1936337043221437</t>
  </si>
  <si>
    <t>กิจกรรม BOOYAH! GO ✨
เข้ามาเล่นเกม Free Fire โหมด BR และ 4V4
หลังจบแมทช์ปั๊บรับโทเคนลูกเต๋า 🎲
เอาไปร่วมเล่นในกิจกรรม 
เฉพาะวันที่ 20 พฤศจิกายน 2564 ได้โทเคนคูณ 2 🔥
⏳ ระยะเวลากิจกรรม
ตั้งแต่วันที่ 12 พศจิกายน 2564 เวลา 04.00 น.
ถึงวันที่ 30 พศจิกายน 2564 เวลา 03.59 น.</t>
  </si>
  <si>
    <t>https://www.facebook.com/740460599475760/posts/1936337043221437/</t>
  </si>
  <si>
    <t>740460599475760_1968547556667052</t>
  </si>
  <si>
    <t>ใครไม่บิ๊ก แต่รถบิ๊กฟุตนะ แผ่มมม ❗
หลายคนอาจพลาดไปก่อนหน้านี้
ไม่เป็นไร เราเอากลับมาขายให้ใหม่ ✨
สกินรถเก๋ ๆ ขับได้เท่ ๆ ลุยสมรภูมิ
ขายเฉพาะไอเทม ไม่รวมของใน EP น้าา 💕
⏳ ระยะเวลากิจกรรม
ตั้งแต่วันที่ 23 ธันวาคม 2564 เวลา 00.01 น.
ถึงวันที่ 31 ธันวาคม 2564 เวลา 23.59 น.</t>
  </si>
  <si>
    <t>https://www.facebook.com/740460599475760/posts/1968547556667052/</t>
  </si>
  <si>
    <t>740460599475760_1909427849245690</t>
  </si>
  <si>
    <t>[FFMAX] จะเป็นอย่างไร ❓ ถ้าเอาเอฟเฟคปืนภายในเกม มาใส่ไว้ในเพลง TO THE MAX
BANG BANG BANG 💥
มารับฟังและโยกหัวตามไปพร้อม ๆ กันได้แล้ววันนี้ 🎧
สัมผัสประสบการณ์ของ Free Fire MAX ได้ที่
📲 iOS - https://bit.ly/FreeFireMAXiOS
📲 Android - https://bit.ly/FreeFireMaxGoogleplay</t>
  </si>
  <si>
    <t>https://www.facebook.com/740460599475760/posts/1909427849245690/</t>
  </si>
  <si>
    <t>740460599475760_1964072870447854</t>
  </si>
  <si>
    <t>วันนี้มี LIVE 🔴 รับชมการถ่ายทอดสด 
Free Fire Survivals Master Winter ❄️
รอบ KNOCKOUT : รอบที่ 3 : เวลา 19:00 น. เป็นต้นไป
คลิ๊กเพื่อรับชม : https://youtu.be/OGAHnOHoG-o
📺 รับชมการแข่งขันได้ที่
🔴 Youtube : Garena Free Fire Thailand
🔵 Facebook : Garena Free Fire Thailand</t>
  </si>
  <si>
    <t>https://www.facebook.com/740460599475760/posts/1964072870447854/</t>
  </si>
  <si>
    <t>740460599475760_1914641738724301</t>
  </si>
  <si>
    <t>ขนเพื่อนมาชมวิดีโอสุดพิเศษ 🔥
Free Fire x Venom: Let There Be Carnage 🖤
กับการคืบคลานสุดน่ากลัวที่จะทำให้คุณต้องขวัญผวา 💥
ยิ่งยอดการชมเยอะ ยิ่งปลดล็อครางวัลใหญ่สุดเศษ 🏆
อย่าลืม ❗ เข้ามาล็อกอินวันที่ 16 ตุลาคม 2564
#FFxเวน่อม2
#FreeFirexVenom
#Venom: Let There Be Carnage</t>
  </si>
  <si>
    <t>https://www.facebook.com/740460599475760/posts/1914641738724301/</t>
  </si>
  <si>
    <t>740460599475760_1943970605791414</t>
  </si>
  <si>
    <t>วันนี้แล้วนะที่เรามีนัดกับ "หัวขาวในตำนาน"
เรียกร้องมามากขนาดนี้ จะอยู่่เฉยได้ไง ก็จัดให้เลย ❗
เท่ในทุกมุมมอง ใครเห็นเป็นต้องอิจฉา ✨
กลับมาครั้งนี้ต้องห้ามพลาดแล้วน้าา 💕
⏳ ระยะเวลากิจกรรม
ตั้งแต่วันที่ 21 พศจิกายน 2564 เวลา 00.01 น.
ถึงวันที่ 27 พศจิกายน 2564 เวลา 23.59 น.</t>
  </si>
  <si>
    <t>https://www.facebook.com/740460599475760/posts/1943970605791414/</t>
  </si>
  <si>
    <t>740460599475760_1910441942477614</t>
  </si>
  <si>
    <t>สมรภูมรบแห่งความมืดที่ถาโถมเข้ามา 💥
Free fire x Venom: Let There Be Carnage 🖤
กับพลังแห่งซิมบิโอตที่กำลังกลืนกินที่สรรพสิ่ง
รับชมภาพยนต์สุดเอ็กซ์คลูซีฟได้ในโรงภาพยนต์ 🎞
อย่าลืมเข้ามาล็อกอินกันในวันที่ 16 ตุลาคม 2564
#FFxเวน่อม2
#FreeFirexVenom
#Venom: Let There Be Carnage</t>
  </si>
  <si>
    <t>https://www.facebook.com/740460599475760/posts/1910441942477614/</t>
  </si>
  <si>
    <t>740460599475760_1926468667541608</t>
  </si>
  <si>
    <t>[การ์ตูน📖] REALITY UNVEILED ตอนที่ 1 ฝันร้าย
วูฟร่าห์สตรีมเมอร์หนุ่มที่เล่นเกมสุดเทพ
กลับต้องเจอกับความฝัน
ในอดีตที่ตามมาหลอกหลอนตัวเค้า
เรื่องราวความฝันในวัยเด็กของเค้านั้นคืออะไร
ปฐมบทของเรื่องราวทั้งหมดกำลังก่อตัวขึ้นแล้ว
#RealityUnveiled #FreeFireUniverse #FreeFireComics</t>
  </si>
  <si>
    <t>https://www.facebook.com/740460599475760/posts/1926468667541608/</t>
  </si>
  <si>
    <t>740460599475760_1963277000527441</t>
  </si>
  <si>
    <t>วันนี้มี LIVE 🔴 รับชมการถ่ายทอดสด 
Free Fire Survivals Master Winter ❄️
รอบ KNOCKOUT : รอบที่ 2 DAY2 : เวลา 19:00 น. เป็นต้นไป
คลิ๊กเพื่อรับชม : https://youtu.be/-Ww4lk5LP8Y
📺 รับชมการแข่งขันได้ที่
🔴 Youtube : Garena Free Fire Thailand
🔵 Facebook : Garena Free Fire Thailand</t>
  </si>
  <si>
    <t>https://www.facebook.com/740460599475760/posts/1963277000527441/</t>
  </si>
  <si>
    <t>172882636630076_977708739480791</t>
  </si>
  <si>
    <t>แฟนๆ พับจีคนไหนเคยเห็นการผจญภัยและทันทีมนักล่ามังกรทั้ง 4 ใน Erangel บ้าง?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</si>
  <si>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https://www.facebook.com/172882636630076/posts/977708739480791/</t>
  </si>
  <si>
    <t>740460599475760_1908703655984776</t>
  </si>
  <si>
    <t>ต้อนรับการเปิดโรงภาพยนต์อีกครั้งกับ 🎞
Venom: Let There Be Carnage
พร้อมกันแล้วหรือยัง? ที่จะเผชิญหน้าซิมบิโอตเวน่อม 💥
ที่จะเข้ามากระชากคุณ ดำดิ่งสู่ความืด 🖤
อย่าลืมเข้ามาล็อกอินกันในวันที่ 16 ตุลาคม 2564
ในเกม Free Fire
#FFxเวน่อม2
#FreeFirexVenom
#Venom: Let There Be Carnage</t>
  </si>
  <si>
    <t>https://www.facebook.com/740460599475760/posts/1908703655984776/</t>
  </si>
  <si>
    <t>740460599475760_1917063088482166</t>
  </si>
  <si>
    <t>ล็อกอินวันนี้ 💕
รับเลยทันที กระเป๋า Venom
ไอเทมสุดแรร์จากความร่วมมือระดับโลก 🌎 จาก
Free Fire x Venom: Let There Be Carnage
⏳ ระยะเวลากิจกรรม
ตั้งแต่วันที่ 16 ตุลาคม 2564 เวลา 04.00 น.
ถึงวันที่ 16 ตุลาคม 2564 เวลา 23.59 น.
#FreeFirexVenom
#Venom: Let There Be Carnage
#FFxเวน่อม2</t>
  </si>
  <si>
    <t>https://www.facebook.com/740460599475760/posts/1917063088482166/</t>
  </si>
  <si>
    <t>740460599475760_1926689657519509</t>
  </si>
  <si>
    <t>[TEASER ภาพยนตร์สั้น] 3 เฮี้ยน เพี้ยนทุกซีน: ผีแม่ชี
เรื่องราวของสาวเหนือที่เข้ามาทำงานในกรุงเทพ 
เธอได้เช่าห้องพักห้องหนึ่ง ❗ แต่หอพักนี้มีความลับบางอย่างซ่อนอยู่...
รับชมภาพยนตร์สั้นสุดสยอง 3 เฮี้ยน เพี้ยนทุกซีน 👻
⏳ ในวันที่ 31 ตุลาคม 2564
#FFปาร์ตี้สยองฉลองฮาโลวีน #FreeFireTH</t>
  </si>
  <si>
    <t>https://www.facebook.com/740460599475760/posts/1926689657519509/</t>
  </si>
  <si>
    <t>740460599475760_1949238361931305</t>
  </si>
  <si>
    <t>นี่สิ ❗ พลังของเหล่าเกมเมอร์
Free Fire ขอขอบคุณ ผู้รอดชีวิตทุกคน 
ที่เป็นส่วนหนึ่งในการมาร่วมโหวดให้เราเป็น 💕
เกมอีสปอร์ตในมือถือยอดเยี่ยมแห่งปี 🏆
ชัยชนะในครั้งนี้เป็นรางวัลร่วมกันของพวกเรา Booyah 💥
🔴 อ่านบทความสุดประทับใจได้ที่นี่ : 
https://ff.garena.com/news/article/th/537/</t>
  </si>
  <si>
    <t>https://www.facebook.com/740460599475760/posts/1949238361931305/</t>
  </si>
  <si>
    <t>740460599475760_1936318723223269</t>
  </si>
  <si>
    <t>พรุ่งนี้แล้วนะ กับ LIVE สุดพิเศษ ✨
ระหว่าง MEW X แก๊งกระต่างคลั่ง
อยากรู้ ว่าในการไลฟ์ครั้งนี้จะมีอะไร 💥
ตั้งเวลาเตรียมไว้ บอกเลย "ห้ามพลาด" ❗
ในวันที่ 11 พฤศจิกายน 2564 เวลา 13.00 น.
ที่ช่องทาง Facebook และ YouTube : Free Fire TH
ใครเป็นแฟนคลับต้องห้ามพลาดความน่ารักครั้งนี้น้า 💕</t>
  </si>
  <si>
    <t>https://www.facebook.com/740460599475760/posts/1936318723223269/</t>
  </si>
  <si>
    <t>740460599475760_1914733125381829</t>
  </si>
  <si>
    <t>[VDO] คู่มือล่ารางวัล Free Fire x Venom: Let There Be Carnage
เตรียมตัวให้พร้อมแล้วหรือยัง ❓
กับการร่วมมือครั้งยิ่งใหญ่กับหนังฟอร์มยักษ์
Free Fire x Venom: Let There Be Carnage 🖤
พบกับชุดแฟชั่นสุดเท่และไอเทมมากมายในครั้งนี้ 🔥
#FFxเวน่อม2
#FreeFirexVenom
#Venom: Let There Be Carnage</t>
  </si>
  <si>
    <t>https://www.facebook.com/740460599475760/posts/1914733125381829/</t>
  </si>
  <si>
    <t>740460599475760_1921852924669849</t>
  </si>
  <si>
    <t>มีของดีมาบอกเหล่าผู้เล่น Free Fire ทั้งหลาย
เอาตัวรอดให้ได้ จากเกมเอาชีวิต 💥
ในโหมดใหม่ A E I O U หยุด
ทำภารกิจให้ครบ ❗ รับไปเลยชุดนักโทษ
ซ้อมมือไว้ให้ดี อยู่ให้นิ่ง และเป็นผู้รอด 🏆
⏳ ระยะเวลากิจกรรม
ตั้งแต่วันที่ 22 ตุลาคม 2564 เวลา 04.00 น.
ถึงวันที่ 26 ตุลาคม 2564 เวลา 03.59 น.</t>
  </si>
  <si>
    <t>https://www.facebook.com/740460599475760/posts/1921852924669849/</t>
  </si>
  <si>
    <t>740460599475760_1966951500159991</t>
  </si>
  <si>
    <t>อ่ะเริศ ❗ ส่งความสุขกับดีลส่งท้ายปี
ที่มอบส่วนลดสูงสุดถึง 85%
จัดมาให้ทั้งสกินอาวุธและท่าทางคู่หู 💕
โปรดีขนาดนี้ ไม่โดนไม่ได้แล้ว 💥
โปรโมชั่นนี้มีเฉพาะใน GOOGLE PLAY เท่านั้นน้าาา 🔥
⏳ ระยะเวลากิจกรรม
ตั้งแต่วันที่ 19 ธันวาคม 2564 เวลา 00.01 น.
ถึงวันที่ 25 ธันวาคม 2564 เวลา 23.59 น.</t>
  </si>
  <si>
    <t>https://www.facebook.com/740460599475760/posts/1966951500159991/</t>
  </si>
  <si>
    <t>740460599475760_1938554809666327</t>
  </si>
  <si>
    <t>2 แฟชั่น 2 สไตล์ ที่มาจากโลกคู่ขนาน ✨
ฝั่งหนึ่งให้อารมณ์สตรีทแบบจัดเต็ม 
อีกฝั่งมาพร้อมความหรูหราแบบตะวันออกกลาง
พร้อมสกินอาวุธสุดเท่ ที่พร้อมเข้าจู่โจม 💥
จำหน่ายแล้วในร้านค้าโมโค 💕
⏳ ระยะเวลากิจกรรม
ตั้งแต่วันที่ 14 พศจิกายน 2564 เวลา 00.01 น.
ถึงวันที่ 20 พศจิกายน 2564 เวลา 23.59 น.</t>
  </si>
  <si>
    <t>https://www.facebook.com/740460599475760/posts/1938554809666327/</t>
  </si>
  <si>
    <t>740460599475760_1910351379153337</t>
  </si>
  <si>
    <t>[ANIMATION] มาทำความรู้จักกับ Free Fire MAX
ไปพร้อม ๆ กันกับ เคลลี่และฮายาโตะ ✨
ทั้งเรื่องกราฟฟิคสุดเทพ และอื่น ๆ อีกมากมาย 💥
ที่คุณต้องเข้ามาสัมผัสด้วยตัวเอง 💕
สัมผัสประสบการณ์ของ Free Fire MAX ได้ที่
📲 iOS - https://bit.ly/FreeFireMAXiOS
📲 Android - https://bit.ly/FreeFireMaxGoogleplay</t>
  </si>
  <si>
    <t>https://www.facebook.com/740460599475760/posts/1910351379153337/</t>
  </si>
  <si>
    <t>740460599475760_1917261255129016</t>
  </si>
  <si>
    <t>[VDO] นักสู้คลื่นพลังใต้สมุทร
แฟชันสุดพริ้วไหวแต่แข็งแกรงดั่งหินผา 🌊
เพื่อที่จะให้ได้เป็นหนึ่งในสมรภูมิ 💥
เค้าจึงต้องก้าวเข้าสู่สังเวียนเดือดนี้ 🔥
เพื่อประกาศความแข่งแกร่งให้เป็นที่ประจักษ์
⏳ ระยะเวลากิจกรรม
ตั้งแต่วันที่ 17 ตุลาคม 2564 เวลา 01.00 น.
ถึงวันที่ 23 ตุลาคม 2564 เวลา 23.59 น.</t>
  </si>
  <si>
    <t>https://www.facebook.com/740460599475760/posts/1917261255129016/</t>
  </si>
  <si>
    <t>740460599475760_1925742604280881</t>
  </si>
  <si>
    <t>จิ๊กซอว์ที่หายไป 🧩 คุณต้องช่วยเป็นคนมาเติมเต็ม
กับคู่หูแสนน่ารัก มาเล่นในโหมดใหม่ 💕
อย่าลืมมารับชมความสนุกกับครีเอเตอร์ที่ชื่นชอบ
พร้อมเป็นส่วนหนึ่งในการตัดสินใจ 💥
ช่วยคอมเมนต์สัตว์เลี้ยงที่อยากให้เล่นใต้รูปเหล่าครีเอเตอร์กันโลด ❗
⏳ ตั้งแต่ 30 ตุลาคม ถึง 1 พฤศจิกายน 2564 เวลา 14.00 น. เป็นต้นไป</t>
  </si>
  <si>
    <t>https://www.facebook.com/740460599475760/posts/1925742604280881/</t>
  </si>
  <si>
    <t>740460599475760_1913812335473908</t>
  </si>
  <si>
    <t>เมื่อเงาแห่งความชั่วร้ายก่อเกิด 🔥
Free Fire x Venom: Let There Be Carnage 🖤
จึงออกภารกิจสุดดำมืด “CHAOS ATTACK” 💥
พร้อมให้ออกล่ารางวัลสุดเอ็กซ์คลูซีฟ
ทั้งมอเตอร์ไซต์เวน่อมและอื่น ๆ อีกเพียบ 
จับมือถือพร้อมล็อกอินได้ในวันที่ 16 ตุลาคม 2564 
#FFxเวน่อม2
#FreeFirexVenom
#Venom: Let There Be Carnage</t>
  </si>
  <si>
    <t>https://www.facebook.com/740460599475760/posts/1913812335473908/</t>
  </si>
  <si>
    <t>740460599475760_1911524132369395</t>
  </si>
  <si>
    <t>💥พรุ่งนี้แล้วกับการแข่งขันรอบ PLAY-INS💥
มีเพียง 6 ทีมเท่านั้นที่จะผ่านเข้าสู่รอบ Grand Final
วันอาทิตย์ที่ 10 ตุลาคม 2564 19:00 น. เป็นต้นไป
▶️ ติดตามรับชมการแข่งขัน รอบ PLAY-INS
🎬 Free Fire Pro League Season 5 Presented by dtac
🔴 Youtube : Garena Free Fire Thailand
🔵 Facebook : Garena Free Fire</t>
  </si>
  <si>
    <t>https://www.facebook.com/740460599475760/posts/1911524132369395/</t>
  </si>
  <si>
    <t>172882636630076_1010234416228223</t>
  </si>
  <si>
    <t>🎀Jingle Bells!🎁 ใหม่แกะกล่อง สกินปืนอัปเกรดได้ตัวล่าสุด มารับเทศกาลคริสต์มาส YULE SLEIGH MINI14 ที่แฟนๆ พับจีทุกคนห้ามพลาด! สามารถอัปเกรดตกแต่งปืนให้วิบวับได้ถึง 10 เลเวล 🎄 ครอบครองเป็นเจ้าของได้แล้วในกล่องคอนทราแบนด์ (Contraband Crate) ถึงเวลไหนแล้วมาอวดกันหน่อยนะ 🎅
#พับจี #เกมพับจี #PUBG #Season15</t>
  </si>
  <si>
    <t>https://www.facebook.com/172882636630076/posts/1010234416228223/</t>
  </si>
  <si>
    <t>740460599475760_1935555239966284</t>
  </si>
  <si>
    <t>เอ้าาา อย่าลืมเข้ามารับชม LIVE สุดพิเศษ ✨
MEW และ แก๊งกระต่ายคลั่งกันได้ 
แจกของกันจุก ๆ พิเศษเฉพาะใน LIVE 🔥
ทั้งไอเทม แฟชั่นสุดปัง สกินปืนถาวร และอื่น ๆ อีกเพียบ ❗
ในวันที่ 11 พฤศจิกายน 2564 เวลา 13.00 น.
ที่ช่องทาง Facebook และ YouTube : Free Fire TH
ใครเป็นแฟนคลับต้องห้ามพลาดความน่ารักครั้งนี้น้า 💕</t>
  </si>
  <si>
    <t>https://www.facebook.com/740460599475760/posts/1935555239966284/</t>
  </si>
  <si>
    <t>740460599475760_1924094991112309</t>
  </si>
  <si>
    <t>ไฮไลท์การแข่งขันรอบ GRAND FINAL 
เตรียมพบกับการแข่งขัน Free Fire Asia Championships 2021 เร็วๆนี้
#FFPLSS5 #GRANDFINAL #FFAC2021
••••••••••••••••••••••••••••••••
🔥 Garena Free Fire 🔥
สุดยอดเกมแอคชั่น เอาตัวรอดบนมือถือ!
เล่นง่าย จบไว ใครๆก็ BOOYAH! ได้
พิมพ์ Free Fire แล้วโหลดฟรีได้เลย ทุกสโตร์ วันนี้!!</t>
  </si>
  <si>
    <t>https://www.facebook.com/740460599475760/posts/1924094991112309/</t>
  </si>
  <si>
    <t>740460599475760_1925738904281251</t>
  </si>
  <si>
    <t>ฮาโลวีนนี้ มาร่วมปาร์ตี้สุดหลอนแบบโหดมันส์ฮา 🎃
ในภาพยนตร์สั้นสุดสยอง "3 เฮี้ยน เพี้ยนทุกซีน" 
ที่จะทำให้คุณหลอนแบบลั่น ๆ สั่นสะท้านไปถึงทรวง 💞
พร้อมชวนเดอะแก๊งค์สุดซี้ มาร่วมสนุกไปพร้อมกัน 
รับชมภาพยนตร์สั้นสุดสยอง 3 เฮี้ยน เพี้ยนทุกซีน 👻
⏳ ในวันที่ 31 ตุลาคม 2564
#FFปาร์ตี้สยองฉลองฮาโลวีน #FreeFireTH</t>
  </si>
  <si>
    <t>https://www.facebook.com/740460599475760/posts/1925738904281251/</t>
  </si>
  <si>
    <t>172882636630076_1020042835247381</t>
  </si>
  <si>
    <t>🏆🌎 ข่าวด่วน PUBG E-SPORTS ❗❗ ผังการแข่งขันปี 2022 พร้อมการกลับมาของทัวร์นาเมต์ที่หลายคนรอคอย 𝐏𝐍𝐂 (PUBG Nations Cup) หรือที่หลายคนให้คำนิยามว่า "พับจีทีมชาติ" !! 
อ่านรายละเอียดเพิ่มได้เติมได้ที่ ➡➡ https://asia.battlegrounds.pubg.com/th/2021/12/19/pubg-esports-2022/
#PUBG #ESPORTS #PNC2022 #PUBGESPORTS</t>
  </si>
  <si>
    <t>https://www.facebook.com/172882636630076/posts/1020042835247381/</t>
  </si>
  <si>
    <t>172882636630076_1016474115604253</t>
  </si>
  <si>
    <t>🎬 ระดับโลกของจิ๊ง!! สไนเปอร์บนรถที่กำลังวิ่งอยู่! จาก Team Liquid
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กินไก่ได้เข้าชิงชนะเลิศ 16 ธ.ค.นี้ ห้ามพลาด!
#PUBG #ESPORTS #PGC2021 #พับจีชิงแชมป์โลก</t>
  </si>
  <si>
    <t>https://www.facebook.com/172882636630076/posts/1016474115604253/</t>
  </si>
  <si>
    <t>172882636630076_995567364361595</t>
  </si>
  <si>
    <t>พรุ่งนี้ PUBG: NEW STATE จะเปิดแล้ว 
ไปรับน้องกันหน่อยดีไหม! 😁
🪂PUBG: NEW STATE
โดดร่มเข้าสู่สมรภูมิรบใหม่สุดล้ำ ภาคต่อของจักรวาลพับจี จากผู้สร้างพับจี ภาพสวยสมจริงพร้อมแผนทีสุดคุ้นเคย Erangel 2051 เตรียมดาวน์โหลดเล่นฟรีได้เลย 11 พ.ย. นี้ เวลา 11.00น.! 🔥
#pubgnewstate #newstate #pubg #launchtrailer #comingsoon</t>
  </si>
  <si>
    <t>https://www.facebook.com/172882636630076/posts/995567364361595/</t>
  </si>
  <si>
    <t>172882636630076_1016987565552908</t>
  </si>
  <si>
    <t>⚠โปรดทราบ⚠
ในวันที่ 15 ธันวาคม 2021 ตั้งแต่เวลา 7:30 น. เป็นต้นไป จะมีการปิดบำรุงรักษาเซิร์ฟเวอร์ซึ่งจะใช้เวลาดำเนินการประมาณ 4 ชั่วโมง
ในระหว่างที่เราดำเนินการบำรุงรักษาอยู่ ผู้เล่นจะไม่สามารถล็อคอินเข้าสู่ตัวเกมได้ เมื่อเซิร์ฟเวอร์เปิดให้บริการแล้วเราจะทำการประกาศให้ทุกท่านได้ทราบอีกครั้ง
#พับจี #เกมพับจี #PUBG</t>
  </si>
  <si>
    <t>https://www.facebook.com/172882636630076/posts/1016987565552908/</t>
  </si>
  <si>
    <t>172882636630076_987509225167409</t>
  </si>
  <si>
    <t>🪂✈ เมื่อคืนที่ผ่านมา ทีม 💙AAA และ 💙BRU ได้เดินทางบินลัดฟ้าสู่ประเทศเกาหลีใต้🇰🇷
และช่วงเช้าทั้งสองทีมก็ได้ถึงเกาหลีเป็นที่เรียบร้อย พร้อมเริ่มมาตรการกักตัว 14 วันต่อไป
🇹🇭👏 อย่าลืมมาให้กำลังใจและส่งแรงเชียร์ทีมไทย ในเวทีชิงแชมป์โลก PGC2021 เริ่ม 19 พ.ย.นี้เป็นต้นไป!
#PUBG #ESPORTS #PGC2021 #พับจีชิงแชมป์โลก
#AAA #BRU</t>
  </si>
  <si>
    <t>https://www.facebook.com/172882636630076/posts/987509225167409/</t>
  </si>
  <si>
    <t>172882636630076_982020615716270</t>
  </si>
  <si>
    <t>ในวันที่ 20 ตุลาคม 2021 ตั้งแต่เวลา 7:30 น. เป็นต้นไป
จะมีการปิดบำรุงรักษาเซิร์ฟเวอร์ซึ่งจะใช้เวลาดำเนินการประมาณ 4 ชั่วโมง
ในระหว่างการบำรุงรักษา
ในระหว่างที่เราดำเนินการบำรุงรักษาอยู่ ผู้เล่นจะไม่สามารถล็อคอินเข้าสู่ตัวเกมได้
เมื่อเซิร์ฟเวอร์เปิดให้บริการแล้วเราจะทำการประกาศให้ทุกท่านได้ทราบอีกครั้ง
#พับจี #เกมพับจี #PUBG</t>
  </si>
  <si>
    <t>https://www.facebook.com/172882636630076/posts/982020615716270/</t>
  </si>
  <si>
    <t>740460599475760_1913161612205647</t>
  </si>
  <si>
    <t>ขอแสดงความยินดีกับ 12 ทีม ที่ผ่านเข้าสู่รอบ
🏆Grand Final🏆
มีเพียงทีมเดียวเท่านั้นที่จะได้เข้ามาชิงเงินรางวัลกว่า 5,000,000 บาท
วันเสาร์ที่ 23 ตุลาคม 2564 13:00 น. เป็นต้นไป
🎬 Free Fire Pro League Season 5 Presented by dtac
🔴 Youtube : Garena Free Fire Thailand
🔵 Facebook : Garena Free Fire
🟡 TIKTOK : freefirethofficial</t>
  </si>
  <si>
    <t>https://www.facebook.com/740460599475760/posts/1913161612205647/</t>
  </si>
  <si>
    <t>172882636630076_999276717323993</t>
  </si>
  <si>
    <t>ในวันที่ 17 พฤศจิกายน 2021 ตั้งแต่เวลา 7:30 น. เป็นต้นไป
จะมีการปิดบำรุงรักษาเซิร์ฟเวอร์ซึ่งจะใช้เวลาดำเนินการประมาณ 4 ชั่วโมง
ในระหว่างการบำรุงรักษา
ในระหว่างที่เราดำเนินการบำรุงรักษาอยู่ ผู้เล่นจะไม่สามารถล็อคอินเข้าสู่ตัวเกมได้
เมื่อเซิร์ฟเวอร์เปิดให้บริการแล้วเราจะทำการประกาศให้ทุกท่านได้ทราบอีกครั้ง
#พับจี #เกมพับจี #PUBG</t>
  </si>
  <si>
    <t>https://www.facebook.com/172882636630076/posts/999276717323993/</t>
  </si>
  <si>
    <t>740460599475760_1911245445730597</t>
  </si>
  <si>
    <t>เข้าร่วมในภารกิจสุดท้าทาย 🔥
กำจัดเหล่าอสูรกายทั้ง 4 ให้สำเร็จ 💥
เพื่อรับไอเทมสุดว๊าว การันตีความแรร์ ✨
ในความร่วมมือระดับโลก 🌎 จาก
Free Fire x Venom: Let There Be Carnage
⏳ ระยะเวลากิจกรรม
ตั้งแต่วันที่ 10 ตุลาคม 2564 เวลา 04.00 น.
ถึงวันที่ 24 ตุลาคม 2564 เวลา 23.59 น.
#FreeFirexVenom
#Venom: Let There Be Carnage
#FFxเวน่อม2</t>
  </si>
  <si>
    <t>https://www.facebook.com/740460599475760/posts/1911245445730597/</t>
  </si>
  <si>
    <t>740460599475760_1951271898394618</t>
  </si>
  <si>
    <t>[VDO] Behind the Scene FFAC เบื้องหลังการถ่ายทำวิดีโอพิเศษ
ทีม Evos Phoenix Force 
ควันหลงหลัง FreeFire Asia Championship 
จะเป็นอย่างไรกันบ้าง มารับชมกัน
------------------------------------------------
ติดตามข้อมูลข่าวสารได้ทาง
🔴 Youtube : Garena Free Fire Thailand
🔵 Facebook : Garena Free Fire Thailand
🟡 TIKTOK : freefirethofficial</t>
  </si>
  <si>
    <t>https://www.facebook.com/740460599475760/posts/1951271898394618/</t>
  </si>
  <si>
    <t>172882636630076_1018676585384006</t>
  </si>
  <si>
    <t>คริสต์มาสก็ดี แต่ Kiss หมี หน่อยได้ไหม! คริสต์มาสใกล้มาถึงแล้ว!! ไอเทมสกินเซ็ตใหม่ล่าสุดที่จะช่วยให้เพื่อนๆ แต่งตัวไปร่วมปาร์ตี้ฉลองเทศกาลแห่งความสุข ออกล่าไก่ WWCD กับเพื่อนๆ ได้แบบไม่ต้องเลี้ยงไว้ที่บ้าน วางจำหน่ายในร้านค้าตั้งแต่วันนี้ ถึง 6 กุมภาพันธ์ 2022 เท่านั้นและซื้อแบบเซ็ตถูกกว่า!! สายแฟเกมพับจีต้องไม่พลาด!
#พับจี #เกมพับจี #PUBG</t>
  </si>
  <si>
    <t>https://www.facebook.com/172882636630076/posts/1018676585384006/</t>
  </si>
  <si>
    <t>740460599475760_1928120204043121</t>
  </si>
  <si>
    <t>[TEASER ภาพยนตร์สั้น] 3 เฮี้ยน เพี้ยนทุกซีน: ผีปอบ
หนุ่มลูกอีกสานปิดเทอมจากเมืองนอกต้องกลับบ้านนา
แต่แล้วกลับเกิดเหตุการ์ณแปลกๆ เมื่อไก่ในเล้าของพ่อหายไป 🐔
เหลือไว้แต่เพียงคราบเลือด 🩸 และเหตุการณ์วุ่น ๆ ที่กำลังจะเกิดขึ้น...
รับชมภาพยนตร์สั้นสุดสยอง 3 เฮี้ยน เพี้ยนทุกซีน 👻
⏳ ในวันที่ 31 ตุลาคม 2564
#FFปาร์ตี้สยองฉลองฮาโลวีน #FreeFireTH</t>
  </si>
  <si>
    <t>https://www.facebook.com/740460599475760/posts/1928120204043121/</t>
  </si>
  <si>
    <t>172882636630076_1017542245497440</t>
  </si>
  <si>
    <t>เริ่มขึ้นแล้ว! กับการจับมือระหว่าง Jeremy Lin และ PUBG ที่จะนำสกินของหนึ่งในนักบาส🏀เชื้อสายเอเชียที่สามารถคว้าแชมป์ NBA ได้มาสู่เกม PUBG: BATTLEGROUNDS!
โดยสกิน Jeremy Lin จะวางขายที่ร้านค้าในเกมตั้งแต่วันนี้จนถึงวันที่ 15 มีนาคม 2022  เท่านั้น เหล่าแฟนๆ อย่าพลาดโอกาสดีแบบนี้ที่จะได้สกินของขวัญใจตัวเองมาครอบครองหล่ะ!
#พับจี #เกมพับจี #PUBG</t>
  </si>
  <si>
    <t>https://www.facebook.com/172882636630076/posts/1017542245497440/</t>
  </si>
  <si>
    <t>740460599475760_1917064441815364</t>
  </si>
  <si>
    <t>ภารกิจสุดพิเศษจาก
Free Fire x Venom: Let There Be Carnage
วันเดียวเท่านั้นกับการรับชมวีดีโอสุดพิเศษภายในเกม 💕
เข้าร่วมให้สำเร็จ 💥แล้วรับไอเทมสุดแรร์ ✨ ไปเลยจ้า
ห้ามพลาดเด็ดขาดเลยน้า 🥰
⏳ ระยะเวลากิจกรรม
ตั้งแต่วันที่ 16 ตุลาคม 2564 เวลา 04.00 น.
ถึงวันที่ 16 ตุลาคม 2564 เวลา 23.59 น.
#FreeFirexVenom
#Venom: Let There Be Carnage
#FFxเวน่อม2</t>
  </si>
  <si>
    <t>https://www.facebook.com/740460599475760/posts/1917064441815364/</t>
  </si>
  <si>
    <t>172882636630076_979679202617078</t>
  </si>
  <si>
    <t>👻เลเวลอะไรกัน? แล้วกับสกินปืนแบบอัปเกรดใหม่ล่าสุดรับเทศกาลฮัลโลวีนอย่าง Trick-or-Treat M416!! มาอวดกันหน่อยเป็นไง👻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#M416 #Halloween #ฮัลโลวีน</t>
  </si>
  <si>
    <t>https://www.facebook.com/172882636630076/posts/979679202617078/</t>
  </si>
  <si>
    <t>172882636630076_1013333265918338</t>
  </si>
  <si>
    <t>เมื่อความน่ารักมาพบกับความมันส์จึงเกิดเป็น การ Collab สุดปังส่งท้ายปี KAKAO FRIENDS x PUBG: BATTLEGROUNDS กราบเรียนเชิญแฟนๆ พับจีโดดร่มมาเดือดที่ KAKAO FRIENDS LAND แผนที่ VIKENDI ได้แล้ววันนี้ พร้อมไอเทมสกินสุดเอ๊กซ์คลูซีฟต่างๆ มากมายที่เกมพับจีพีซีเท่านั้น
#พับจี #เกมพับจี #PUBG #Season15 #KAKAOFRIENDS #KAKAOFRIENDSxPUBG #KAKAOFRIENDSxBATTLEGROUNDS</t>
  </si>
  <si>
    <t>https://www.facebook.com/172882636630076/posts/1013333265918338/</t>
  </si>
  <si>
    <t>740460599475760_1905065849681890</t>
  </si>
  <si>
    <t>⏳วันนี้ 1 ทุ่มตรง⏳
รับชมการแข่งขันรอบ Regular Season วันที่ 17
โดยประกอบไปด้วยทีมจากกลุ่ม B D และ E
ร่วมค้นหา 12 ทีมที่ดีที่สุดที่จะผ่านเข้าสู่รอบ Grand Final
▶️ ติดตามรับชมการแข่งขัน รอบ Regular Season
🎬 Free Fire Pro League Season 5 Presented by dtac
🔴 Youtube : Garena Free Fire Thailand
🔵 Facebook : Garena Free Fire
🟡 TIKTOK : freefirethofficial</t>
  </si>
  <si>
    <t>https://www.facebook.com/740460599475760/posts/1905065849681890/</t>
  </si>
  <si>
    <t>740460599475760_1905068203014988</t>
  </si>
  <si>
    <t>⏳วันนี้ 1 ทุ่มตรง⏳
รับชมการแข่งขันรอบ Regular Season วันที่ 18
โดยประกอบไปด้วยทีมจากกลุ่ม A C และ D
ร่วมค้นหา 12 ทีมที่ดีที่สุดที่จะผ่านเข้าสู่รอบ Grand Final
▶️ ติดตามรับชมการแข่งขัน รอบ Regular Season
🎬 Free Fire Pro League Season 5 Presented by dtac
🔴 Youtube : Garena Free Fire Thailand
🔵 Facebook : Garena Free Fire
🟡 TIKTOK : freefirethofficial</t>
  </si>
  <si>
    <t>https://www.facebook.com/740460599475760/posts/1905068203014988/</t>
  </si>
  <si>
    <t>740460599475760_1910557712466037</t>
  </si>
  <si>
    <t>⏳วันนี้ 1 ทุ่มตรง⏳
รับชมการแข่งขันรอบ Regular Season วันที่ 20
โดยประกอบไปด้วยทีมจากกลุ่ม A C และ E
ร่วมค้นหา 12 ทีมที่ดีที่สุดที่จะผ่านเข้าสู่รอบ Grand Final
▶️ ติดตามรับชมการแข่งขัน รอบ Regular Season
🎬 Free Fire Pro League Season 5 Presented by dtac
🔴 Youtube : Garena Free Fire Thailand
🔵 Facebook : Garena Free Fire
🟡 TIKTOK : freefirethofficial</t>
  </si>
  <si>
    <t>https://www.facebook.com/740460599475760/posts/1910557712466037/</t>
  </si>
  <si>
    <t>740460599475760_1943028985885576</t>
  </si>
  <si>
    <t>[VDO] Trash Talk Group A Play-ins ขิง ก่อน ยิง 
กับคำพูดของเหล่านักแข่งทีมตัวแทนจากแต่ละภูมิภาค
จะมีใครกันบ้างรับชมกันเลย
----------------------
รอรับชมการแข่งขันพร้อมกัน
📌รอบ PLAY-INS : วันที่ 20 - 21 พ.ย. 2564 
📌รอบ FINAL : วันที่ 28 พ.ย. 2564
🔴 Youtube : Garena Free Fire Thailand
🔵 Facebook : Free Fire Esports TH
🟡 TIKTOK : freefirethofficial</t>
  </si>
  <si>
    <t>https://www.facebook.com/740460599475760/posts/1943028985885576/</t>
  </si>
  <si>
    <t>740460599475760_447029496861849</t>
  </si>
  <si>
    <t>ถ่ายทอดสดการแข่งขัน
Free Fire Survivals Master Winter รอบคัดเลือก
ทัวร์นาเม้นเส้นทางสู่ Free Fire Pro League Season 6
8 ทีมเท่านั้น ที่จะผ่านสู่การเป็นนักกีฬามืออาชีพของเกม Free Fire
••••••••••••••••••••••••••••••••
🔥 Garena Free Fire 🔥
📲 iOS - https://goo.gl/sSvbSt
📲 Android - https://goo.gl/b8HPUW
••••••••••••••••••••••••••••••••
#FFSM #FFesports</t>
  </si>
  <si>
    <t>https://www.facebook.com/freefireth/videos/447029496861849/</t>
  </si>
  <si>
    <t>172882636630076_991272001457798</t>
  </si>
  <si>
    <t>🔎เจาะลึกเกมพับจีอัปเดต 14.2🔎 มีอะไรใหม่ที่น่ารู้และต้องดู? แอดมัดรวมรายละเอียดมาให้เพื่อนๆ เกม PUBG: BATTLEGROUNDS ทุกคนไว้ที่นี่แล้ว ไปดูกันเลย!! 🐔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</si>
  <si>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https://www.facebook.com/172882636630076/posts/991272001457798/</t>
  </si>
  <si>
    <t>740460599475760_282532207073795</t>
  </si>
  <si>
    <t>🔴 รับชม Live ได้แล้วตอนนี้
กับโหมดใหม่ล่าสุด คู่หูสุดซิ่ง 🔥
โหมดใหม่สุดมันส์ จัดเต็มความคิวท์ 💕
มาพร้อมหล่าครีเอเตอร์ที่ทุกคนชื่นชอบ
✨ K2J
✨ 9NY FF
✨ ZPLOY SY
✨ SELECTZx
เอาใจช่วยพร้อมรับไอเทมโค๊ดฟรี! 💥
และอย่าลืม ❗️ รอชมเหล่าครีเอเตอร์คนอื่น ๆ
ที่จะมาให้ความสนุกในโหมดใหม่ คู่หูสุดซิ่ง 💓
👉 1 ต.ค.
พบกับ EVOS SANDEE, GutuX2, INDARFZ FF และ Jojoe CH</t>
  </si>
  <si>
    <t>https://www.facebook.com/freefireth/videos/282532207073795/</t>
  </si>
  <si>
    <t>172882636630076_981491159102549</t>
  </si>
  <si>
    <t>🎯เรนเจอร์โคตรเท่!! สายซุ่มยิงโจมตีระยะไกลต้องไม่พลาดอาชีพใน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</si>
  <si>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https://www.facebook.com/172882636630076/posts/981491159102549/</t>
  </si>
  <si>
    <t>172882636630076_988271731757825</t>
  </si>
  <si>
    <t>"เจ้าเชื่อเรื่องบั้งไฟบ่" MORTAR ปืนใหม่ เฮ็ดในสิ่งที่เชื่อ เชื่อในสิ่งที่เฮ็ด 3 พ.ย.นี้
ดูรายละเอียดแพทช์ 14.2 แบบเต็มๆ ได้ที่: https://bit.ly/3Ei5wFN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</si>
  <si>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https://www.facebook.com/172882636630076/posts/988271731757825/</t>
  </si>
  <si>
    <t>172882636630076_977798096138522</t>
  </si>
  <si>
    <t>👻เพื่อนๆ เกม PUBG พีซีได้สัมผัสบรรยากาศและสภาพอากาศของฮัลโลวีนใน School, Hospital และเกาะเกิดของแผนที่ Erangel หรือยัง? หลอนดีไหม👻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#Halloween #ฮัลโลวีน</t>
  </si>
  <si>
    <t>https://www.facebook.com/172882636630076/posts/977798096138522/</t>
  </si>
  <si>
    <t>172882636630076_1016596568925341</t>
  </si>
  <si>
    <t>🎥 𝐏𝐆𝐂𝟐𝟎𝟐𝟏 𝐒𝐂𝐎𝐏𝐄 บุกกองพาชมเบื้องหลังการแข่งขันชิงแชมป์โลก ณ เกาหลี
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กินไก่ได้เข้าชิงชนะเลิศ 16 ธ.ค.นี้ ห้ามพลาด!
#PUBG #ESPORTS #PGC2021 #พับจีชิงแชมป์โลก
#เชียร์ไทยไปชิงแชมป์โลก #BRU #AAA</t>
  </si>
  <si>
    <t>https://www.facebook.com/172882636630076/posts/1016596568925341/</t>
  </si>
  <si>
    <t>172882636630076_973689799882685</t>
  </si>
  <si>
    <t>🏆🌏 𝐏𝐔𝐁𝐆 𝐆𝐥𝐨𝐛𝐚𝐥 𝐂𝐡𝐚𝐦𝐩𝐢𝐨𝐧𝐬𝐡𝐢𝐩 𝟐𝟎𝟐𝟏 ครบแล้ว 32 ทีมที่ดีที่สุดในโลก!!
เริ่มศึกชิงแชมป์โลก 19 พฤษจิกายนนี้เป็นต้นไป อย่าลืมมาเชียร์ 2 ทีมไทย 🇹🇭 Buriram United Esports และ Attack All Around  กันด้วยล่ะ บอกเลยว่ามันส์หยดทุกสัปดาห์แน่นอน!
ดูรายละเอียดการแข่งขันได้ที่ ▶▶ https://bit.ly/PGC2021TH
#PUBG #esports #PGC2021 #พับจีชิงแชมป์โลก</t>
  </si>
  <si>
    <t>https://www.facebook.com/172882636630076/posts/973689799882685/</t>
  </si>
  <si>
    <t>740460599475760_1938461969675611</t>
  </si>
  <si>
    <t>วิดีโอสุดพิเศษต้อนรับ FFAC EVOS PHOENIX FORCE แชมป์ WORLD SERIES 2021 กับเส้นทางสู่การแข่งขันในภูมิภาคเอเชีย
รอรับชมการแข่งขัน FFAC พร้อมกัน
📌รอบ PLAY-INS : วันที่ 20 - 21 พ.ย. 2564  
📌รอบ FINAL : วันที่ 28 พ.ย. 2564
🔴 Youtube : Garena Free Fire Thailand
🔵 Facebook : Free Fire Esports TH
🟡 TIKTOK : freefirethofficial
#FreeFire #FFAC2021 #IGNITEYOURFIRE</t>
  </si>
  <si>
    <t>https://www.facebook.com/740460599475760/posts/1938461969675611/</t>
  </si>
  <si>
    <t>172882636630076_977696136148718</t>
  </si>
  <si>
    <t>สายไต่แรงค์ขึ้นอันดับ เล่นแผนที่ที่ถูกเปลี่ยนเข้ามาใหม่อย่าง Paramo และ Taego ใน Ranked Mode แล้วหรือยัง? เป็นยังไงกันบ้าง? บอกเล่าเก้าสิบสิบเอ็ดสิบสองกันหน่อย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</si>
  <si>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https://www.facebook.com/172882636630076/posts/977696136148718/</t>
  </si>
  <si>
    <t>172882636630076_980958539155811</t>
  </si>
  <si>
    <t>นักเวทย์ไฟที่สามารถปลดปล่อยพลังเวทย์เพลิงทำลายล้างศัตรูให้เป็นจุลที่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</si>
  <si>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https://www.facebook.com/172882636630076/posts/980958539155811/</t>
  </si>
  <si>
    <t>172882636630076_1023840101534321</t>
  </si>
  <si>
    <t>พวกเราทีมงาน PUBG : Battlegrounds ขอให้ทุกท่านมีความสุขในช่วงเทศกาลส่งท้ายปี! สำหรับใครที่จะเดินทางไปพักผ่อนตามสถานที่ต่างๆ เราก็ขออวยพรให้เดินทางถึงที่หมายโดยสวัสดิภาพ และสำหรับใครที่ไม่ได้เดินทางและอยู่เล่นเกม PUBG เราก็ขอให้ทุกๆ คนได้รับชัยชนะและคว้าไก่มากินกันได้จนกองเต็มโต๊ะ!
#PUBG #BATTLEGROUNDS #BATTLEROYALE #FREETOPLAY #พับจี #เกมพับจี #BattlegroundsforAll</t>
  </si>
  <si>
    <t>https://www.facebook.com/172882636630076/posts/1023840101534321/</t>
  </si>
  <si>
    <t>740460599475760_1918050318383443</t>
  </si>
  <si>
    <t>[ 🔥 ไฮไลท์เด็ดเช็คด่วน 🔥 ]
Highlight โปรลีก - 12ทีมเข้าสู่รอบ GRAND FINAL
ไฮไลท์ตัวแทนทั้ง12ทีมจากรอบ Regular Season
ร่วมเชียร์และเป็นกำลังใจให้ทั้ง12ทีมรอบ GRAND FINAL 
ทีมใดจะคว้าแชมป์ Free Fire Pro League Season 5 Presented by dtac 
ติดตามรับชมการแข่งขัน รอบ Grand Final
📅 วันเสาร์ที่ 23 ตุลาคม 2564 เวลา 13:00 น. เป็นต้นไป
🔴 Youtube : Garena Free Fire Thailand</t>
  </si>
  <si>
    <t>https://www.facebook.com/740460599475760/posts/1918050318383443/</t>
  </si>
  <si>
    <t>740460599475760_1917028241818984</t>
  </si>
  <si>
    <t>[ 🔥 ไฮไลท์เด็ดเช็คด่วน 🔥 ]
Highlight โปรลีก - รอบ PLAY-INS
ขอแสดงความยินดีกับ6ทีมจากรอบ Play-ins
ที่ผ่านเข้าสู่รอบ Grand Final 🏆
NEOLUTION ESPORT
SYZYGY
ATTACK ALL AROUND
DELTA X
FREE FIRE BLUEWAVE CHONBURI
SYZ PC ESPORTS
•••••••••••••••••••••••••••
ติดตามรับชมการแข่งขัน รอบ Grand Final
วันเสาร์ที่ 23 ตุลาคม 2564 เวลา 13:00 น. เป็นต้นไป
🔴 Youtube : Garena Free Fire Thailand</t>
  </si>
  <si>
    <t>https://www.facebook.com/740460599475760/posts/1917028241818984/</t>
  </si>
  <si>
    <t>172882636630076_1004261323492199</t>
  </si>
  <si>
    <t>อัปเดต 15.1 เปิดให้ทดสอบที่เซิร์ฟเวอร์ทดสอบแล้ว!
มาพบกับการปรับโฉมซึ่งเป็นจุดโดดยอดนิยมของแผนที่ Sanhok, การปรับสมดุลอาวุธรอบใหม่, และพาหนะใหม่ "จักรยานภูเขา"🚲 ที่สามารถพกติดตัวไว้ใช้ในยามฉุกเฉินได้! มาลองสัมผัสเนื้อหาใหม่เหล่านี้ก่อนถูกอัปเดตเข้าสู่เซิร์ฟเวอร์จริงได้ตั้งแต่วันนี้เป็นต้นไป!
ดูรายละเอียดแพทช์ 15.1 แบบเต็มๆ ได้ที่:
https://bit.ly/3cL90EW
#พับจี #เกมพับจี #PUBG #Season15</t>
  </si>
  <si>
    <t>https://www.facebook.com/172882636630076/posts/1004261323492199/</t>
  </si>
  <si>
    <t>172882636630076_982061412378857</t>
  </si>
  <si>
    <t>⚔ นักบู๊ตัวสุดโหด ที่เหล่าศัตรูต่อกรและเอาชีวิตรอดจากเขี้ยวคมขวานได้ยากที่สุด พบกับ Executioner ใน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</si>
  <si>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https://www.facebook.com/172882636630076/posts/982061412378857/</t>
  </si>
  <si>
    <t>740460599475760_1933548783500263</t>
  </si>
  <si>
    <t>🏆ตารางแข่ง FREE FIRE ASIA CHAMPIONSHIP🏆
ในรอบ Play-ins🔥
อันดับ 1-2  และอันดับ 3 ที่ดีที่สุดจากทั้ง 2 กลุ่มจะผ่านเข้าสู่รอบ FINALS 
รอรับชมและให้กำลังใจพร้อมกัน
📌รอบ PLAY-INS : วันที่ 20 - 21 พ.ย. 2564  เวลา 17.00 น. 
📌รอบ FINAL : วันที่ 28 พ.ย. 2564
🔴 Youtube : Garena Free Fire Thailand
🔵 Facebook : Free Fire Esports TH
🟡 TIKTOK : freefirethofficial
#FreeFire #FFAC2021 #IGNITEYOURFIRE</t>
  </si>
  <si>
    <t>https://www.facebook.com/740460599475760/posts/1933548783500263/</t>
  </si>
  <si>
    <t>172882636630076_1004171890167809</t>
  </si>
  <si>
    <t>🎊เริ่มขึ้นแล้วกับกิจกรรมแบล็คฟรายเดย์สุดเซอร์ไพรส์!🎊
ตั้งแต่วันนี้ไปจนถึงวันที่ 29 พฤศจิกายน 2021 เราได้เตรียมสินค้าราคาพิเศษที่จะถูกวางจำหน่ายที่ร้านค้าในเกมในราคาเพียง 1 BP!  โดยสินค้าพิเศษเหล่านี้จะเปลี่ยนไปในทุกๆ วัน ดังนั้นอย่าลืมเข้าเกมมาใช้สิทธิ์ทุกวันหล่ะ เพราะถ้าพลาดไปหล่ะก็รับรองว่าจะต้องเสียใจแน่ๆ !
อ่านรายละเอียดเพิ่มเติมได้ที่ https://bit.ly/3xlGVOe
#พับจี #เกมพับจี #PUBG #Season14</t>
  </si>
  <si>
    <t>https://www.facebook.com/172882636630076/posts/1004171890167809/</t>
  </si>
  <si>
    <t>740460599475760_1908404846014657</t>
  </si>
  <si>
    <t>Highlight โปรลีก - Top5 Sniper Plays
'' รวมช็อตเด็ด Top5 Sniper Plays ''
📺 ช่องทางการติดตาม
EA.KAPOM69 : ทีปกร สารภาพ
EVOS.MOSHI : Moshiyuriz
JL.PETCHEIEI : Ei Ei
KOG.NAYPHAN : Nayphan MG
BWC.PETER : Thanaphat Kladsuawn
•••••••••••••••••••••••••••
ติดตามรับชมการแข่งขัน รอบ Regular Season
ทุกวันศุกร์ เสาร์และอาทิตย์ เวลา 19.00 น. 
🔴 Youtube : Garena Free Fire Thailand
🔵 Facebook : Garena Free Fire</t>
  </si>
  <si>
    <t>https://www.facebook.com/740460599475760/posts/1908404846014657/</t>
  </si>
  <si>
    <t>740460599475760_1946818968839911</t>
  </si>
  <si>
    <t>จะสายเมะ (๑⚈_⚈๑) สายมีม ( ° ʖ °) หรือสายคิ้ว (っ˘ω˘ς ) สายไหนก็ได้หมด ❗️
#มีการันตีด้วยนะ
Ice Wall ใหม่น่ารักค่ดๆ 💕 เริ่มต้นเพียง 20 บ. ฉูดฉาดขนาดนี้ หาได้ที่ดีแทคเท่านั้น ✨
แถมเล่น Free Fire รัวๆ ไม่เสียเน็ต 💥
อย่าช้า ถึง 15 ธ.ค.นี้เท่านั้น กดซื้อเลย http://www.dtac.co.th/s/pb
หรือซื้อผ่าน ดีแทค แอป http://dtac.co.th/s/FFFB
#เทพแน่แค่ใช้ดีแทค #จัดเต็มเสมอเกมเมอร์ต้องมันส์ #ดีแทคฟรีไฟร์ #dtacxFreeFire</t>
  </si>
  <si>
    <t>https://www.facebook.com/740460599475760/posts/1946818968839911/</t>
  </si>
  <si>
    <t>740460599475760_1947013265487148</t>
  </si>
  <si>
    <t>https://www.facebook.com/740460599475760/posts/1947013265487148/</t>
  </si>
  <si>
    <t>172882636630076_973096053275393</t>
  </si>
  <si>
    <t>สกินปืนแบบอัปเกรดได้ใหม่ล่าสุด รับเทศกาลฮัลโลวีน 👻Trick-or-Treat M416 ที่อัปเกรดตกแต่งจัดเต็มได้ต๊าชถึง 10 ระดับ แฟนๆ พับจีและทาสแมวทุกคนห้ามพลาด! 6 ตุลาคมนี้เป็นต้นไป ในกล่องคอนทราแบนด์ (Contraband Crate)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</si>
  <si>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https://www.facebook.com/172882636630076/posts/973096053275393/</t>
  </si>
  <si>
    <t>172882636630076_982779412307057</t>
  </si>
  <si>
    <t>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</si>
  <si>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https://www.facebook.com/172882636630076/posts/982779412307057/</t>
  </si>
  <si>
    <t>740460599475760_1928451200676688</t>
  </si>
  <si>
    <t>[VDO] เปิดคลังแสง ELITE PASS SEASON 42
INFERNO RAGE ตระกลูมังกรทมิฬ 🐉
เผาผลาญทุกสิ่งให้พินาศสิ้น 
เพื่อขึ้นมาปกครองผืนแผนดินนี้อีกครั้ง 💥
ELITE PASS แห่งความแข็งแกร่งและดุดัน 🔥
⏳ ระยะเวลากิจกรรม Pre-order
ตั้งแต่วันที่ 29 ตุลาคม 2564 เวลา 00.01 น.
ถึงวันที่ 31 ตุลาคม 2564 เวลา 23.59 น.
🚨 ของรางวัลอื่น ๆ
จะได้รับวันที่ 1 พฤศจิกายน 2564 เวลา 00.01 น.
เตรียมออกผจญภัยทำภารกิจสุดอันตรายไปพร้อมกัน
วันที่ 1 พฤศจิกายน 2564</t>
  </si>
  <si>
    <t>https://www.facebook.com/740460599475760/posts/1928451200676688/</t>
  </si>
  <si>
    <t>172882636630076_972880253296973</t>
  </si>
  <si>
    <t>⚠โปรดทราบ⚠
ในวันที่ 6 ตุลาคม 2021 ตั้งแต่เวลา 7:30 น. เป็นต้นไป
จะมีการปิดบำรุงรักษาเซิร์ฟเวอร์ และทำการอัปเดตตัวเกมเป็นอัปเดต 14.1
โดยคาดว่าจะใช้เวลาในดำเนินการประมาณ 8 ชั่วโมง
ในระหว่างที่เราดำเนินการปรับปรุงอยู่ ผู้เล่นจะไม่สามารถล็อคอินเข้าสู่ตัวเกมได้
และเมื่อเราได้ดำเนินการเสร็จสิ้นและเซิร์ฟเวอร์พร้อมเปิดให้บริการแล้วจะทำการประกาศให้ทุกท่านได้ทราบอีกครั้ง
ทีมงาน PLAYERUNKNOWN'S BATTLEGROUNDS
#พับจี #เกมพับจี #PUBG</t>
  </si>
  <si>
    <t>https://www.facebook.com/172882636630076/posts/972880253296973/</t>
  </si>
  <si>
    <t>172882636630076_980953712489627</t>
  </si>
  <si>
    <t>เปิดตัว พส แห่งความมืดของเกมพับจีในโหมดศึกฮัลโลวีน อาชีพนักบวชที่จะช่วยฮีลรักษาเพื่อนร่วมทีม, ดีบัฟทำลายสภาพเหล่าศัตรูให้อ่อนแอที่ Halloween Battle Royale เร็วๆ นี้ที่ PUBG: BATTLEGROUNDS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</si>
  <si>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https://www.facebook.com/172882636630076/posts/980953712489627/</t>
  </si>
  <si>
    <t>172882636630076_1008135323104799</t>
  </si>
  <si>
    <t>⚠โปรดทราบ⚠
ในวันที่ 1 ธันวาคม 2021 ตั้งแต่เวลา 7:30 น. จะมีการปิดบำรุงรักษาเซิร์ฟเวอร์
และทำการอัปเดตตัวเกมเป็นอัปเดต 15.1 ซึ่งเราคาดว่าจะใช้เวลาในดำเนินการประมาณ 8 ชั่วโมง
ในระหว่างที่เราดำเนินการปรับปรุงเซิร์ฟเวอร์ ผู้เล่นจะไม่สามารถล็อคอินเข้าสู่ตัวเกมได้
และเมื่อเราได้ดำเนินการเสร็จสิ้น และเซิร์ฟเวอร์พร้อมเปิดให้บริการแล้ว
เราจะทำการประกาศให้ทุกท่านได้ทราบอีกครั้ง
ทีมงาน PLAYERUNKNOWN'S BATTLEGROUNDS
#พับจี #เกมพับจี #PUBG</t>
  </si>
  <si>
    <t>https://www.facebook.com/172882636630076/posts/1008135323104799/</t>
  </si>
  <si>
    <t>172882636630076_1020646178520380</t>
  </si>
  <si>
    <t>🏆 2 วันสุดท้าย Nitro Gaming Night : PUBG  💥แข่งคัดเลือกยาวไปถึงชิงแชมป์ครบจบในวันเดียว! สมัครด่วน! กดได้ที่ลิงก์ด้านล่างนี้เลย
🔗https://p9.gg/Nitro_PUBGA
🔗https://p9.gg/Nitro_PUBGB
🔗https://p9.gg/Nitro_PUBGC
🔗https://p9.gg/Nitro_PUBGD  
#สอบถามรายละเอียดเพิ่มเติมได้ที่
Facebook: Acer Gaming Thailand 
https://www.facebook.com/AcerGamingTH
.
#NitroGamingNight #Acer #Predator #INTEL #PLANET9gg #MasterYourPlay #WelcomeLanding
.</t>
  </si>
  <si>
    <t>https://www.facebook.com/172882636630076/posts/1020646178520380/</t>
  </si>
  <si>
    <t>172882636630076_990554618196203</t>
  </si>
  <si>
    <t>⚠โปรดทราบ⚠
ในวันที่ 3 พฤศจิกายน 2021 ตั้งแต่เวลา 7:30 น. จะมีการปิดบำรุงรักษาเซิร์ฟเวอร์
และทำการอัปเดตตัวเกมเป็นอัปเดต 14.2 ซึ่งเราคาดว่าจะใช้เวลาในดำเนินการประมาณ 8 ชั่วโมง
ในระหว่างที่เราดำเนินการปรับปรุงเซิร์ฟเวอร์ ผู้เล่นจะไม่สามารถล็อคอินเข้าสู่ตัวเกมได้
และเมื่อเราได้ดำเนินการเสร็จสิ้น และเซิร์ฟเวอร์พร้อมเปิดให้บริการแล้ว 
เราจะทำการประกาศให้ทุกท่านได้ทราบอีกครั้ง
ทีมงาน PLAYERUNKNOWN'S BATTLEGROUNDS
#พับจี #เกมพับจี #PUBG</t>
  </si>
  <si>
    <t>https://www.facebook.com/172882636630076/posts/990554618196203/</t>
  </si>
  <si>
    <t>740460599475760_1910533969135078</t>
  </si>
  <si>
    <t>[รายการ] Pro League Talk
รายการที่จะทำให้คุณ รู้ลึก‼ รู้จริง‼ ทันเหตุการณ์‼
FREE FIRE PRO LEAGUE SEASON 5 Presented by dtac
รอบ PLAY-INS มันเป็นยังไง?
ดำเนินรายการโดย นักวิเคราะห์ และ MC ขาประจำ 
LOOKPEEMEK และ YUKIDEKYOU
•••••••••••••••••••••••••••
ติดตามรับชมการแข่งขัน รอบ Regular Season
ทุกวันศุกร์ เสาร์และอาทิตย์ เวลา 19.00 น. 
🔴 Youtube : Garena Free Fire Thailand
🔵 Facebook : Garena Free Fire
🟡 TIKTOK  : freefirethofficial</t>
  </si>
  <si>
    <t>https://www.facebook.com/740460599475760/posts/1910533969135078/</t>
  </si>
  <si>
    <t>740460599475760_1914640848724390</t>
  </si>
  <si>
    <t>ถึงเวลาแฟน ๆ เวน่อมต้องว๊าว 💕
เข้าร่วมกิจกรรมใหม่ ทำภารกิจรายวัน 💥
สะสมโทเคนให้ครบ เพื่อแลกรับไอเทมสุดแรร์ ✨
จากความร่วมมือระดับโลก 🌎 ของ
Free Fire x Venom: Let There Be Carnage
เล่น 3 เกม รับ โทเคน
คิล 5 คิล รับ โทเคน
เล่นครบ 60 นาที รับ โทเคน
เล่นกับเพื่อน 1 เกม รับ โทเคน
⏳ ระยะเวลากิจกรรม
ตั้งแต่วันที่ 13 ตุลาคม 2564 เวลา 04.00 น.
ถึงวันที่ 24 ตุลาคม 2564 เวลา 23.59 น.
#FreeFirexVenom
#Venom: Let There Be Carnage
#FFxเวน่อม2</t>
  </si>
  <si>
    <t>https://www.facebook.com/740460599475760/posts/1914640848724390/</t>
  </si>
  <si>
    <t>740460599475760_1943020629219745</t>
  </si>
  <si>
    <t>[VDO] PHXF.THE CRUZ บทพิสูจน์ตน | Garena Free Fire
EVOS PHOENIX FORCE THE CRUZ กับบทพิสูจน์ตน 
กว่าจะมาเป็นผู้เล่นมากฝีมือและแชมป์โลก ต้องฝ่าฟันอุสรรคมากมาย
และอะไรคือสิ่งที่ทำให้เขามีวันนี้ได้
------------------------------
รอรับชมการแข่งขันพร้อมกัน
📌รอบ PLAY-INS : วันที่ 20 - 21 พ.ย. 2564 
📌รอบ FINAL : วันที่ 28 พ.ย. 2564
🔴 Youtube : Garena Free Fire Thailand
🔵 Facebook : Free Fire Esports TH
🟡 TIKTOK : freefirethofficial</t>
  </si>
  <si>
    <t>https://www.facebook.com/740460599475760/posts/1943020629219745/</t>
  </si>
  <si>
    <t>740460599475760_1933545816833893</t>
  </si>
  <si>
    <t>🏆FREE FIRE ASIA CHAMPIONSHIP รอบ PLAY-INS 🎯
ทั้ง 24 ทีม แบ่งออกเป็น  Group A และ Group B
🔥ในรอบ Play-ins
อันดับ 1-2  และอันดับ 3 ที่ดีที่สุดจากทั้ง 2 กลุ่มจะผ่านเข้าสู่รอบ FINALS 🏆
รอรับชมและให้กำลังใจพร้อมกัน
📌รอบ PLAY-INS : วันที่ 20 - 21 พ.ย. 2564  เวลา 17.00 น. 
📌รอบ FINAL : วันที่ 28 พ.ย. 2564
🔴 Youtube : Garena Free Fire Thailand
🔵 Facebook : Free Fire Esports TH
🟡 TIKTOK : freefirethofficial
#FreeFire #FFAC2021 #IGNITEYOURFIRE</t>
  </si>
  <si>
    <t>https://www.facebook.com/740460599475760/posts/1933545816833893/</t>
  </si>
  <si>
    <t>172882636630076_970669680184697</t>
  </si>
  <si>
    <t>สวัสดีทุกคน!
หลังจากที่ในปี 2021 นี้ได้มีการนำเสนอการทดลองต่างๆ หลากหลายชนิดใน PUBG LABS ให้ผู้เล่นได้พบกับการเล่นรูปแบบใหม่ๆ ที่แตกต่างไปจากการเล่นแบบเดิม เราอยากรู้ว่าในการทดลองที่ผ่านมาของปี 2021 นั้น เพื่อนๆ ชื่อชอบการทดลองแบบใดมากที่สุด? เพื่อใช้เป็นข้อมูลในการพัฒนาการทดลองครั้งต่อๆ ไปให้ดียิ่งขึ้น!
เลือกการทดลองที่ชื่นชอบที่สุดในแบบสอบถามของเราที่ https://bit.ly/3urfCAq
โดยเราจะเปิดรับความคิดเห็นถึงวันที่ 5 ตุลาคมนี้!
#พับจี #เกมพับจี #PUBG</t>
  </si>
  <si>
    <t>https://www.facebook.com/172882636630076/posts/970669680184697/</t>
  </si>
  <si>
    <t>740460599475760_1963760730479068</t>
  </si>
  <si>
    <t>ไอซ์วอลใหม่ น่ารักแบบคิมิโนโตะ（˶′◡‵˶）
กลับมาใหม่ในราคา 11 บาท!
น่ารักทั้งลาย น่ารักทั้งราคา เริ่มต้นเพียง 11 บ. รับทันทีกล่อง dtac มีสิทธิ์รับไอซ์วอล Pinky Kitten
แถมเล่น Free Fire ฟรี ไม่เสียเน็ต
ลูกค้าดีแทคซื้อเลยกด *156*011# แล้วโทรออก
อย่าช้า ถึง 31 ม.ค. 65 เท่านั้น 👉ดูโปรได้ที่ https://www.dtac.co.th/s/dtacFreeFire
หรือซื้อผ่าน ดีแทค แอป http://dtac.co.th/s/FFFB
#เทพแน่แค่ใช้ดีแทค #จัดเต็มเสมอเกมเมอร์ต้องมันส์ #ดีแทคฟรีไฟร์ #dtacxFreeFire</t>
  </si>
  <si>
    <t>https://www.facebook.com/740460599475760/posts/1963760730479068/</t>
  </si>
  <si>
    <t>172882636630076_977895402795458</t>
  </si>
  <si>
    <t>โลกคู่ขนานด้านมืดของทีมนักล่ามังกรใน Fantasy Battle Royale ที่เกิดขึ้นในเมษายนปี 2020 จนถึงตุลาคมปีนี้ 2021 แฟนๆ เกมพับจีทุกคนเตรียมสนุกมันส์รับเทศกาลฮัลโลวีนด้วยโหมดใหม่แหวกแนวอย่าง Halloween Battle Royale เร็วๆ นี้ แน่นอน!👻👻👻👻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</si>
  <si>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https://www.facebook.com/172882636630076/posts/977895402795458/</t>
  </si>
  <si>
    <t>172882636630076_941368270062200</t>
  </si>
  <si>
    <t>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เพิ่มเติมได้ที่ ▶▶ https://bit.ly/PCS5PickemTH
#PUBG #ESPORTS #PCS5
▬▬▬▬▬▬▬▬▬▬▬▬▬▬▬
🗓#วันที่แข่งขันโซนASIA (ทุกวันเสาร์ และ อาทิตย์) เวลา 18.00 น.
▪️ สัปดาห์ที่ 1 : 18 ก.ย. - 19 ก.ย.
▪️ สัปดาห์ที่ 2 : 25 ก.ย. - 26 ก.ย.
▪️ สัปดาห์ที่ 3 : 2 ต.ค. - 3 ต.ค.
▬▬▬▬▬▬▬▬▬▬▬▬▬▬▬
#PUBG #ESPORTS #PCS5  #PICKEMCHALLENGE</t>
  </si>
  <si>
    <t>https://www.facebook.com/pubg.battlegrounds.th/videos/941368270062200/</t>
  </si>
  <si>
    <t>740460599475760_1949240285264446</t>
  </si>
  <si>
    <t>Pre-order : Elite Pass EP.43
PALACE OF POKER 🃏
เหล่ากองทัพจากจักรวรรดิเมืองแห่งไพ่ 
วายร้ายที่จะเข้ามาปกครองทุก ๆ สิ่ง 💥
✨ พรีออเดอร์สิทธิ์ขั้นสูงตอนนี้
รับไปเลย แพ็ค หัวใจอัญมณี
และไอเทม 50 ขั้นทันที ไม่ต้องทำภารกิจ
⏳ ระยะเวลากิจกรรม Pre-order
ตั้งแต่วันที่ 1 ธันวาคม 2564 เวลา 00.01 น.
ถึงวันที่ 30 ธันวาคม 2564 เวลา 23.59 น.
🚨 ของรางวัลอื่น ๆ
จะได้รับวันที่ 1 ธันวาคม 2564 2564 เวลา 00.01 น.
เตรียมออกผจญภัยทำภารกิจสุดอันตรายไปพร้อมกัน
วันที่ 1 ธันวาคม 2564 2564</t>
  </si>
  <si>
    <t>https://www.facebook.com/740460599475760/posts/1949240285264446/</t>
  </si>
  <si>
    <t>740460599475760_1914765935378548</t>
  </si>
  <si>
    <t>🔥ต้อนรับ #FFPL5 รอบ Grand Final เล่น!! ครบ!! จบ!! แจก!!
เพียงแค่ล็อกอินทุกวัน ตอบคำถามให้ถูก และทำภารกิจให้ครบ
รับไอเทม ฟรี!! ไปเลย เตรียมตัวกันให้พร้อม
18-26 ต.ค. นี้ เป็นต้นไป
🎬 Free Fire Pro League Season 5 รอบ Grand Final
⏳วันเสาร์ที่ 23 ตุลาคม 2564 13:00 น. เป็นต้นไป
🔥มีเพียงทีมเดียวเท่านั้นที่จะได้เข้ามาชิงเงินรางวัลกว่า 5,000,000 บาท
🎬 ติดตามข้อมูลเพิ่มเติม
🔴 Youtube : Garena Free Fire Thailand
🔵 Facebook : Garena Free Fire
🟡 TIKTOK : freefirethofficial</t>
  </si>
  <si>
    <t>https://www.facebook.com/740460599475760/posts/1914765935378548/</t>
  </si>
  <si>
    <t>172882636630076_973674283217570</t>
  </si>
  <si>
    <t>แบกมาให้ดู 🔎เจาะลึกอัปเดต 14.1🔎 เปิดแล้วมีอะไรใหม่บ้าง? ระบบใหม่, ปรับปรุงแผนที่ใหม่, Ranked Mode ฤดูกาลใหม่, สกินปืนใหม่, บรรยากาศใหม่ๆ รับเทศกาลฮัลโลวีน👻 และของใหม่อื่นๆ ที่น่ารู้ แอดมัดรวมและแบกมาให้เพื่อนๆ เกม PUBG: BATTLEGROUNDS ทุกคนไว้ที่นี่แล้ว ไปดูกันเลย!!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</si>
  <si>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https://www.facebook.com/172882636630076/posts/973674283217570/</t>
  </si>
  <si>
    <t>172882636630076_1012606602657671</t>
  </si>
  <si>
    <t>นี่มัน! จักรยานน่ะหรือมิตร? เปิดตัวพาหนะใหม่ใน PUBG Universe ที่ไม่ใช่ metaverse เป็นพาหนะตัวแรกของเกมพับจีที่ไม่ใช้เชื้อเพลิง ที่มีข้อดีคือพับเก็บพกพาติดตัวไปกางใช้เมื่อไหร่ก็ได้ เดินทางได้ค่อนข้างเงียบเพราะไม่มีเครื่องยนต์ รวมถึงตัวจักรยานและยางจะไม่สามารถถูกทำลายได้!! แต่จะเดินทางได้เพียงแค่ลำพัง รวมถึงการทำความเร็วต้องอาศัยเกจบูสต์และการรัวปุ่ม"เดินหน้า"ให้พัง ฮ่า เพื่อนๆ คนไหนลองจักรยานในเกม PUBG แล้วเป็นยังไงกันบ้าง มาปั่นให้ฟังกันหน่อย 🚲
#พับจี #เกมพับจี #PUBG #Season15</t>
  </si>
  <si>
    <t>https://www.facebook.com/172882636630076/posts/1012606602657671/</t>
  </si>
  <si>
    <t>740460599475760_1917117195143422</t>
  </si>
  <si>
    <t>ใช่...คุณนั่นแหละ ที่มีจิตวิญญาณของซามูไร 🔥
และคู่ควรกับคาตานะในตำนานเล่มนี้ ✨
ได้เวลาครอบครอง ICE FEATHER KATANA ฟ้าฝ่าเวหา ⚡️
แค่ซื้อโปรเสริมดีแทคฟรีไฟร์ เริ่มต้นเพียง 11 บาท
มีสิทธิ์รับโทเคนเพื่อแลกรับสกินคาตานะ ICE FEATHER KATANA ❄️ ถาวร
แบบการันตี ถูกใจผู้เล่นแน่นอน 💕
⏳ ระยะเวลากิจกรรม: 16 กันยายน 2564 ถึง 30 พฤศจิกายน 2564
**คาตานะถือแสดงหน้าล็อบบี้ได้***
เล่น Free Fire แบบจัดเต็ม ต้องมี ICE FEATHER KATANA
#คาตานะที่ข้าคู่ควร
#จัดเต็มเสมอเกมเมอร์ต้องมันส์ #dtacFreeFire</t>
  </si>
  <si>
    <t>https://www.facebook.com/740460599475760/posts/1917117195143422/</t>
  </si>
  <si>
    <t>172882636630076_991250004793331</t>
  </si>
  <si>
    <t>🎉เซิฟเปิดพร้อมลุยแล้วอัปเดตใหม่ล่าสุด 14.2 ปืนครก MORTAR, ปืนยิงลูกระเบิด M79, สิ่งมีชีวิตน้องไก่, ระบบว่ายน้ำระหว่างน็อค, เมนูอีสปอร์ตรับ PGC และอื่นๆ รอเพื่อนๆ พับจีอีกเพียบ กดอัปเดตเข้าเกมไปโดดไปลุยกันได้เลย!! 🪂🪂🪂🪂
ดูรายละเอียดแพทช์ 14.2 แบบเต็มๆ ได้ที่: https://bit.ly/3Ei5wFN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</si>
  <si>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https://www.facebook.com/172882636630076/posts/991250004793331/</t>
  </si>
  <si>
    <t>172882636630076_996102694308062</t>
  </si>
  <si>
    <t>จ่าย 1 ได้รับถึง 2 เท่า!! กับกิจกรรมโปรโมชั่นสุดพิเศษ BLACK FRIDAY เมื่อเติม G-Coin เกมพับจีวันนี้ 11.11 ถึง 8 ธันวาคมนี้เท่านั้น รับ G-Coin เพิ่มอีกเท่าตัว เพื่อนๆ พับจีคนไหนเล็งไอเทมอะไรไว้ หรือจะตุนไว้ให้ไอเทมใหม่ๆ ถึงเวลาต้องเปย์แล้ว! พลาดไม่ได้!!
⭐หมายเหตุ: ใช้สิทธิ์ได้เพียง 1 ครั้งต่อ 1 บัญชี / แพ็คเท่านั้น⭐
📅ระยะเวลาโปรโมชั่น
PC - 11 พฤศจิกายน 2021 11.00 น. – 8 ธันวาคม 2021 07.00 น.
คอนโซล - 11 พฤศจิกายน 2021 11.00 น. – 8 ธันวาคม 2021 07.00 น. 
#พับจี #เกมพับจี #PUBG #Season14</t>
  </si>
  <si>
    <t>https://www.facebook.com/172882636630076/posts/996102694308062/</t>
  </si>
  <si>
    <t>740460599475760_1914615942060214</t>
  </si>
  <si>
    <t>รับชมตัวอย่างเต็มพร้อมกัน 14 ต.ค. นี้ 19:00 น. เป็นต้นไป
Free Fire Pro League SS5 Grand Final
มีเพียงทีมเดียวเท่านั้นที่จะได้เข้ามาชิงเงินรางวัลกว่า 5,000,000 บาท
🎬 Free Fire Pro League Season 5 Presented by dtac
🔴 Youtube : Garena Free Fire Thailand
🔵 Facebook : Garena Free Fire
🟡 TIKTOK : freefirethofficial
••••••••••••••••••••••••••••••••
🔥 Garena Free Fire 🔥
สุดยอดเกมแอคชั่น เอาตัวรอดบนมือถือ!
เล่นง่าย จบไว ใครๆก็ BOOYAH! ได้
พิมพ์ Free Fire แล้วโหลดฟรีได้เลย ทุกสโตร์ วันนี้!!</t>
  </si>
  <si>
    <t>https://www.facebook.com/740460599475760/posts/1914615942060214/</t>
  </si>
  <si>
    <t>172882636630076_974893623095636</t>
  </si>
  <si>
    <t>💞💁‍♀️ รวมทีมสุดคิ้วท์น้องมุก&amp;เฌอแตม + มือโปรพับจี แข่งเกม!! ในรายการ PUBG Battle Girls EP.5 !
ช่องทางติดตาม สาวๆใน PUBG Battle Girls
Mook : https://www.instagram.com/mooktiikaikanomjeenah/
Jetaime : https://www.instagram.com/jetaime_triya/
ห้ามพลาด เชียร์ตัวแทนทีมไทย🇹🇭🇹🇭ลุยชิงแชมป์โลก PUBG Global Championship 2021 🇹🇭Buriram United Esports และ 🇹🇭Attack All Around ลุยศึกใหญ่ได้ พฤศจิกายน นี้ !!!
#PUBG #ESPORTS #PUBGBattleGirls
#PCS5 #PGC2021
#เชียร์ไทยไปชิงแชมป์โลก #RoadToPGC2021</t>
  </si>
  <si>
    <t>https://www.facebook.com/172882636630076/posts/974893623095636/</t>
  </si>
  <si>
    <t>172882636630076_986959085222423</t>
  </si>
  <si>
    <t>สองปืนใหม่ MORTAR และ M79 รวมถึงระบบใหม่ล่าสุดที่จะช่วยให้คนน็อคในน้ำรอดชีวิตไม่เป็นกล่องได้!! ลองของใหม่ได้ก่อนใครที่เทสเซิร์ฟเวอร์แล้วตอนนี้! กับแพทช์อัปเดต 14.2 พร้อมการปรับปรุงใหม่อื่นๆ จะมีอะไรที่น่าสนใจอีกบ้าง? ไปดูกันเลย! 🪂
ดูรายละเอียดแพทช์ 14.2 แบบเต็มๆ ได้ที่: https://bit.ly/3Ei5wFN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</si>
  <si>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https://www.facebook.com/172882636630076/posts/986959085222423/</t>
  </si>
  <si>
    <t>172882636630076_1023704381547893</t>
  </si>
  <si>
    <t>Logitech G Tournament Winter Season จบไปอย่างสุดมันส์ตั้งแต่เกมแรกจนเกมสุดท้าย  🏆ขอแสดงความยินดีกับ ให้กับ
.
🥇Champion  ทีม THEERATHON FIVE  รับเงินรางวัล 40,000 บาท 
🥈1st Runner-up : ทีม The Infinity Esport รับเงินรางวัล 20,000 บาท 
🥉2nd Runner-up : ทีม Amory Gaming รับเงินรางวัล 10,000 บาท 
.
🎆ปีหน้าฟ้าใหม่ทัวร์นาเมนท์ดีๆ จาก Logitech G จะกลับมาใหม่อีกครั้ง แล้วพบกันใหม่ ขอบกราบสวัสดีปีใหม่ทุกท่านล่วงหน้า
---------------------------
#PUBG 
#LogitechG 
#PlayToWin
#LogitechGtournamentwinter</t>
  </si>
  <si>
    <t>https://www.facebook.com/172882636630076/posts/1023704381547893/</t>
  </si>
  <si>
    <t>172882636630076_1020555818529416</t>
  </si>
  <si>
    <t>มายลโฉมของรางวัลพิเศษสำหรับผู้เล่นในปัจจุบันเพื่อเป็นการขอบคุณสำหรับการสนับสนุนเรา โดยของรางวัลเหล่านี้จะถูกมอบให้กับผู้เล่นที่ทำการซื้อเกม PUBG ก่อนที่จะมีการเปลี่ยนรูปแบบการให้บริการเป็นการเปิดให้เล่นฟรีในวันที่ 12 มกราคม 2022!
นอกจากสกินแบบพิเศษแล้ว ผู้เล่นในปัจจุบันยังจะได้รับการอัพเกรดสถานะเป็น BATTLEGROUDS Plus ที่มีสิทธิพิเศษมากกว่าผู้เล่นฟรีเช่นการเข้าเล่นโหมดจัดอันดับ หรือรับโบนัส XP สำหรับความชำนาญการรอดชีวิต และยังจะได้รับโบนัสพิเศษจำนวน 1,300 G-coins ไปอีกด้วย!
#พับจี #เกมพับจี #PUBG</t>
  </si>
  <si>
    <t>https://www.facebook.com/172882636630076/posts/1020555818529416/</t>
  </si>
  <si>
    <t>172882636630076_992549451330053</t>
  </si>
  <si>
    <t>ระบบใหม่ล่าสุดในอัปเดต 14.2 ที่จะช่วยให้เพื่อนๆ เกมพับจีสายลงเรือลุยน้ำปาดเจ็ทสกี หากโดนสอยร่วงกลางน้ำยังน็อคไม่เป็นกล่องในทันทีเหมือนก่อนหน้า และยังดำว่ายเอาชีวิตรอดในน้ำได้ หรือเรียกว่า DBNO Swimming นั่นเอง ใครลองสัมผัสแล้วเป็นไง มาเล่าสู่กันฟังหน่อย 🏊 หากใครยังไม่ได้ลอง เข้าเล่นได้แล้ววันนี้ทั่วโลก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</si>
  <si>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https://www.facebook.com/172882636630076/posts/992549451330053/</t>
  </si>
  <si>
    <t>172882636630076_974253753159623</t>
  </si>
  <si>
    <t>🎥 ไฮไลท์แข่งพับจี ช็อตเด็ด PCS5 จากทั่วโลก #16 | PUBG Esports Moments
🔥🔥  ไฮไลท์ศึก 𝐏𝐂𝐒𝟓 ส่งท้าย แล้วเจอกันศึกชิงแชมป์โลก 19 พ.ย.นี้ มาเชียร์ 2 ทีมไทยกัน!
🇹🇭 #2ทีมที่ได้เป็นตัวแทนประเทศไทย ลุย PGC2021 🇹🇭
▪Buriram United Esports
▪Attack All Around
#PUBG #ESPORTS #PCS5 #PGC2021
#เชียร์ไทยไปชิงแชมป์โลก #RoadToPGC2021
🔔 กดติดตามความเคลื่อนไหวเกม PUBG ได้ที่:
🎥 Youtube.com/channel/UCkIfBfDe9YeSp6ZZVyhjC5Q
🎥 Facebook.com/PUBG.TH.Official
🎥 Twitch.tv/pubgthailandofficial
🎥 Tiktok.com/@pubgthailandofficial</t>
  </si>
  <si>
    <t>https://www.facebook.com/172882636630076/posts/974253753159623/</t>
  </si>
  <si>
    <t>740460599475760_1941531746035300</t>
  </si>
  <si>
    <t>THE CRUZ แห่งทีม EVOS PHOENIX FORCE กับบทพิสูจน์ตน 
เตรียมพบกับวิดีโอที่จะมาบอกเล่าถึงเรื่องราวของเขา
ที่กว่าจะมาเป็นผู้เล่นประสบความสำเร็จได้ ต้องผ่านอะไรมาบ้าง
วันที่ 19 พฤศจิกายน 2564 
รอรับชมบนทุกช่องทาง
📍 Garena Free Fire Thailand
📍 Free Fire Esports TH
......................................................
รอรับชมการแข่งขันพร้อมกัน
📌รอบ PLAY-INS : วันที่ 20 - 21 พ.ย. 2564 
📌รอบ FINAL : วันที่ 28 พ.ย. 2564
🔴 Youtube : Garena Free Fire Thailand
🔵 Facebook : Free Fire Esports TH
🟡 TIKTOK : freefirethofficial</t>
  </si>
  <si>
    <t>https://www.facebook.com/740460599475760/posts/1941531746035300/</t>
  </si>
  <si>
    <t>172882636630076_1013318095919855</t>
  </si>
  <si>
    <t>น่ารักไม่ไหว! สกินใหม่ล่าสุดที่ KAKAO FRIENDS จับมือกับเกม PUBG: BATTLEGROUNDS ร่วมสร้างชุดคอสตูมสุดคิ้วท์ให้แฟนๆ พับจีทุกคนโดดร่มลงไปปาร์ตี้ส่งท้ายปี 2021 กับเหล่าแก็งค์คาเคา เฟรนส์ไม่ว่าจะเป็น เซ็ตไรอัน RYAN, เซ็ตเอพีช APEACH, เซ็ตทูป TUBE, และเซ็ตนีโอ NEO
พิเศษ! วางจำหน่ายแบบจำกัดเวลาเพียง 1 เดือนเท่านั้น! เริ่มวันนี้ ถึง 6 มกราคม 2565 ห้ามพลาด!! ซื้อแบบแพ็คถูกกว่า! ประหยัดกว่า!! คุ้มกว่า!!! ชอบเซ็ตไหนจัดเซ็ตไหนบอกกันด้วยน้า
#พับจี #เกมพับจี #PUBG #Season15 #KAKAOFRIENDS #KAKAOFRIENDSxPUBG #KAKAOFRIENDSxBATTLEGROUNDS</t>
  </si>
  <si>
    <t>https://www.facebook.com/172882636630076/posts/1013318095919855/</t>
  </si>
  <si>
    <t>172882636630076_1017506038834394</t>
  </si>
  <si>
    <t>❄️PUBG LABS กลับมาอีกครั้งเพื่อมาเพิ่มสีสันให้กับฤดูหนาวปีนี้!❄️
ในการทดลองครั้งใหม่นี้เราขอนำการทดลองสุดแหวกแนวมาให้ผู้เล่นทุกคนได้สัมผัสกับ 🏁Winter Race🏁 ที่จะให้ผู้เข้าร่วมการทดลองมาประลองความเร็วในการแข่งรถบนสนามแข่งรูปแบบใหม่ที่แผนที่ Vikendi พร้อมกับลูกเล่นใหม่ต่างๆ เช่นการเสริมเขี้ยวเล็บให้กับพาหนะที่ใช้ในการแข่ง! 
รู้แล้วแล้วก็อย่ารอช้า เพราะการทดลองนี้จะเปิดให้เข้าร่วมถึงวันที่ 27 ธันวาคม 2021 เวลา 14:00 น. เท่านั้น!
ขอให้ทุกท่านโชคดีในสนามรบประลองความเร็วครั้งนี้!
#พับจี #เกมพับจี #PUBG #PUBGLABS #WINTERRACE</t>
  </si>
  <si>
    <t>https://www.facebook.com/172882636630076/posts/1017506038834394/</t>
  </si>
  <si>
    <t>172882636630076_987063738545291</t>
  </si>
  <si>
    <t>สกินใหม่สุดต๊าชโดนใจวัยรุ่นสายสตรีทแน่นอน!! กับการร่วมมือ Collaboration ระหว่างเกม PUBG และแบรนด์เสื้อผ้าฮิปฮอปจากประเทศสหรัฐอเมริกาอย่าง FRESH HOODS ที่วางจำหน่ายให้เพื่อนๆ พับจีทุกคนมิกซ์แอนด์แมตช์แต่งตัวโดดร่มได้ให้ครบแล้ววันนี้! และอย่าลืมเก็บ 2 ตัวฟรีจากกิจกรรม FRESH HOODS x PUBG ในเกมกันด้วยล่ะ!!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#FRESHHOODS #PUBGxFRESHHOODS</t>
  </si>
  <si>
    <t>https://www.facebook.com/172882636630076/posts/987063738545291/</t>
  </si>
  <si>
    <t>172882636630076_1003122253606106</t>
  </si>
  <si>
    <t>🎆Your Shop ร้านค้าของคุณ กำลังจะรีเซ็ตแล้ว!🎆 ถ้าใครยังไม่เคยเข้าเมนูนี้เลยต้องเข้าก่อนรีรอบใหม่!! และถ้าดองไว้จะซื้อภายหลังยิ่งต้องรีบหวด!! ในร้านค้าไอเทมราคาสุดพิเศษที่มีไว้สำหรับคุณโดยเฉพาะ! หากเปิดได้ไอเทมที่ถูกจิต ราคาที่โดนใจก็ต้องไม่พลาด เพราะไอเทมรอบใหม่จะรีในวันที่ 24 พฤศจิกายนนี้ และขายถึงวันที่ 15 ธันวาคมนี้เท่านั้น หากพบไอเทมที่ถูกใจ ก็อย่ารอช้าหล่ะ หวดได้เลย.
เข้าร้านค้าของคุณ Your Shop ได้โดยการกดเครื่องหมายที่อยู่ถัดไปจากหัวข้อร้านค้าที่หน้าล็อบบี้ในเกม PUBG ได้ตั้งแต่วันนี้เป็นต้นไป!
#พับจี #เกมพับจี #PUBG #Season14</t>
  </si>
  <si>
    <t>https://www.facebook.com/172882636630076/posts/1003122253606106/</t>
  </si>
  <si>
    <t>740460599475760_1919656528222822</t>
  </si>
  <si>
    <t>🔥กิจกรรม เล่น!! ครบ!! จบ!! แจก!! เปิดให้เล่นแล้ว🔥
เพียงแค่ล็อกอิน ตอบคำถามให้ถูก และทำภารกิจให้ครบ
รับไอเทม ฟรี!! ไปเลย เตรียมตัวกันให้พร้อม
18-26 ต.ค. นี้ เป็นต้นไป
วิธีการเล่น : https://www.facebook.com/FreeFireEsportsTH/photos/406060191023811
🎬 Free Fire Pro League Season 5 รอบ Grand Final
⏳วันเสาร์ที่ 23 ตุลาคม 2564 13:00 น. เป็นต้นไป
🔥มีเพียงทีมเดียวเท่านั้นที่จะได้เข้ามาชิงเงินรางวัลกว่า 5,000,000 บาท
🎬 ติดตามข้อมูลเพิ่มเติม
🔴 Youtube : Garena Free Fire Thailand
🔵 Facebook : Garena Free Fire
🟡 TIKTOK : freefirethofficial</t>
  </si>
  <si>
    <t>https://www.facebook.com/740460599475760/posts/1919656528222822/</t>
  </si>
  <si>
    <t>172882636630076_990130271571971</t>
  </si>
  <si>
    <t>🏆 𝐏𝐔𝐁𝐆 𝐆𝐥𝐨𝐛𝐚𝐥 𝐂𝐡𝐚𝐦𝐩𝐢𝐨𝐧𝐬𝐡𝐢𝐩 𝟐𝟎𝟐𝟏 การแข่งขันพับจีชิงแชมป์โลกสุดยิ่งใหญ่ส่งท้ายปี 2021 🌏 พบ 32 ทีมที่ดีที่สุดจากทั่วทุกมุมโลก โดดร่มไฝ้วสมรภูมเดือดเต็มอิ่ม 1 เดือน สดจากเกาหลี🇰🇷 เริ่ม 19 พ.ย. - 19 ธ.ค.นี้  อัปเดตรายละเอียดของทีมที่เข้าร่วมแข่งขัน 𝐏𝐆𝐂 𝟐𝟎𝟐𝟏  https://bit.ly/PGCThTeam
🏆🇹🇭 ห้ามพลาด เชียร์ตัวแทนทีมไทย🇹🇭🇹🇭ลุยชิงแชมป์โลก 🇹🇭Buriram United Esports และ 🇹🇭Attack All Around ลุยศึกใหญ่ ผู้เล่นทุกคนต้องการแรงใจแรงเชียร์จากคุณ !!!
#PUBG #ESPORTS #PGC2021 #พับจีชิงแชมป์โลก
#เชียร์ไทยไปชิงแชมป์โลก</t>
  </si>
  <si>
    <t>https://www.facebook.com/172882636630076/posts/990130271571971/</t>
  </si>
  <si>
    <t>172882636630076_401104991611623</t>
  </si>
  <si>
    <t>"🔴Live สด! PCS5 ASIA สัปดาห์ที่ 3 วันที่ 1 l 🏆ทีมทีมไหนจะได้ไปเจอไทยที่ชิงแชมป์โลก!
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เพิ่มเติมได้ที่ ▶▶ https://bit.ly/PCS5PickemTH
#PUBG #ESPORTS #PCS5
▬▬▬▬▬▬▬▬▬▬▬▬▬▬▬
🗓#วันที่แข่งขันโซนASIA (ทุกวันเสาร์ และ อาทิตย์) เวลา 18.00 น.
▪️ สัปดาห์ที่ 1 : 18 ก.ย. - 19 ก.ย.
▪️ สัปดาห์ที่ 2 : 25 ก.ย. - 26 ก.ย.
▪️ สัปดาห์ที่ 3 : 2 ต.ค. - 3 ต.ค.
▬▬▬▬▬▬▬▬▬▬▬▬▬▬▬
#PUBG #ESPORTS #PCS5  #PICKEMCHALLENGE</t>
  </si>
  <si>
    <t>https://www.facebook.com/pubg.battlegrounds.th/videos/401104991611623/</t>
  </si>
  <si>
    <t>172882636630076_1020158005235864</t>
  </si>
  <si>
    <t>🏆 สรุปอันดับและเงินรางวัลทั้ง 32 ทีม ในเวทีชิงแชมป์โลก 𝐏𝐔𝐁𝐆 𝐆𝐥𝐨𝐛𝐚𝐥 𝐂𝐡𝐚𝐦𝐩𝐢𝐨𝐧𝐬𝐡𝐢𝐩 𝟐𝟎𝟐𝟏 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</si>
  <si>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https://www.facebook.com/172882636630076/posts/1020158005235864/</t>
  </si>
  <si>
    <t>172882636630076_973652123219786</t>
  </si>
  <si>
    <t>🎉เปิดให้"แบก"แล้ว กับอัปเดตใหม่ล่าสุด 14.1 ระบบใหม่ล่าสุด "เดอะแบก" แบกได้ทั้งเพื่อนและศัตรู, การปรับปรุง Pochinki ใน Erangel, พร้อมของใหม่และปรับปรุงแผนที่ Taego และพลาดไม่ได้กับสกินปืนอัปเกรดได้ Trick-or-Treat M416 รับเทศกาลฮัลโลวีน กดอัปเดตเข้าเกมพับจีไปแบกกกกกเพื่อนพาไปกินไก่ตอนนี้เลย!!
ดูรายละเอียดแพทช์ 14.1 แบบเต็มๆ ได้ที่: https://bit.ly/3odEYRi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</t>
  </si>
  <si>
    <t>https://www.facebook.com/172882636630076/posts/973652123219786/</t>
  </si>
  <si>
    <t>172882636630076_972919619959703</t>
  </si>
  <si>
    <t>‼🎁 ประกาศรายชื่อผู้โชคดีจากการตอบคำถามผ่านช่องแชทในไลฟ์ถ่ายทอดสด PCS5 APAC
สัปดาห์ที่ 3
#วิธีการรายงานตัว
- ผู้โชคดีต้องพิมพ์ "รายงานตัวผู้ได้รับรางวัล" ที่คอมเม็นต์ไต้โพสนี้
- Inbox หาทีมงานเพื่อยืนยันตัวและยืนยันที่อยู่ในการรับของรางวัล
- ผู้โชคดีจะต้องรายงานตัวก่อนวันที่ 10 ตุลาคม พ.ศ.2564 มิเช่นนั้นจะถือว่าสละสิทธิ์
🇹🇭 ตัวแทนทีมไทย🇹🇭🇹🇭ลุยชิงแชมป์โลก PUBG Global Championship 2021 มาตามเชียร์ 2 ตัวแทน 🇹🇭Buriram United Esports และ 🇹🇭Attack All Around ลุยศึกใหญ่ได้  19 พฤศจิกายน นี้ !!!
#PUBG #ESPORTS #PCS5
#เชียร์ไทยไปชิงแชมป์โลก #RoadToPGC202</t>
  </si>
  <si>
    <t>https://www.facebook.com/172882636630076/posts/972919619959703/</t>
  </si>
  <si>
    <t>172882636630076_974967039754961</t>
  </si>
  <si>
    <t>👻Trick-or-Treat M416!!👻 สกินปืนอัปเกรดได้แบบใหม่ล่าสุด ของปืนกลไรเฟิลยอดนิยมของชาวพับจี ที่สามารถเปิดกล่อง"คอนทราแบนด์" (Contraband Crate) ในเมนู "ที่ซ่อน" หรือ "Hideout" ได้ เพื่อลุ้นปืนต้นแบบและอัปเกรดแต่งเติมจัดเต็มได้สูงสุดถึง 10 เลเวล เพื่อนๆ PUBG ทุกคนชอบเลเวลส่วนไหน หรืออัปเกรดถึงเลเวลใดกันแล้ว มาอวดขิงรับฮัลโลวีนกันได้เลย!!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#M416 #Halloween #ฮัลโลวีน</t>
  </si>
  <si>
    <t>https://www.facebook.com/172882636630076/posts/974967039754961/</t>
  </si>
  <si>
    <t>172882636630076_982766825641649</t>
  </si>
  <si>
    <t>👻สกินไอเทมเซ็ตใหม่ล่าสุด รับโหมดฮัลโลวีนสุดต๊าช Halloween Battle Royale ที่จะทำให้เพื่อนๆ เกมพับจีสวมใส่ชุดเหล่านักรบ HBR อย่าง นักรบ Executioner,  นักล่า Ranger, นักเวทย์ Pyromancer, นักบวช Cleric รวมถึงสกินไอเทมอาวุธ Crossbow, M249 และ S686 ลงสู่สนามรบได้ทุกแผนที่ แฟนๆ พับจีเป็นเจ้าของได้แล้ววันนี้ 👻 ซื้อแบบแพ็คถูกกว่า ประหยัดกว่า แน่นอน!! 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</si>
  <si>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https://www.facebook.com/172882636630076/posts/982766825641649/</t>
  </si>
  <si>
    <t>172882636630076_992517154666616</t>
  </si>
  <si>
    <t>🏆🇹🇭 รายละเอียดการแข่งพับจีชิงแชมป์โลก 𝐏𝐔𝐁𝐆 𝐆𝐥𝐨𝐛𝐚𝐥 𝐂𝐡𝐚𝐦𝐩𝐢𝐨𝐧𝐬𝐡𝐢𝐩 𝟐𝟎𝟐𝟏  เงินรางวัลรวมกว่า 60 ล้านบาท ‼ อ่านได้ที่นี่เลยสาวก ➡➡  https://bit.ly/PGCFormatTH 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</si>
  <si>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https://www.facebook.com/172882636630076/posts/992517154666616/</t>
  </si>
  <si>
    <t>172882636630076_1020635191854812</t>
  </si>
  <si>
    <t>🎥ไฮไลท์จัดเต็มการแข่งขัน รอบ 𝗚𝗿𝗮𝗻𝗱 𝗙𝗶𝗻𝗮𝗹 ทั้ง 3 วัน ในเวทีชิงแชมป์โลก 𝐏𝐔𝐁𝐆 𝐆𝐥𝐨𝐛𝐚𝐥 𝐂𝐡𝐚𝐦𝐩𝐢𝐨𝐧𝐬𝐡𝐢𝐩 𝟐𝟎𝟐𝟏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  
🎥🟦 Facebook Esports Alliance  
🎥🟥 Youtube.com/c/EsportsAlliance/</t>
  </si>
  <si>
    <t>https://www.facebook.com/172882636630076/posts/1020635191854812/</t>
  </si>
  <si>
    <t>172882636630076_994303424487989</t>
  </si>
  <si>
    <t>🎉 ขอแสดงความยินดีกับทีมจากประเทศออสเตรเลีย 
🏆 FURY Thailand  🏆 แชมป์รายการ AOC MASTERS TOURNAMENT 2021 🪂🔥 
💎 และรองแชมป์อย่าง MiTH  จากประเทศไทย บอกเลยว่าเดือดลุ้นกันจนถึงหยดสุดท้ายกันเลย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#AGONbyAOC #AOCGaming  #AGON
#PUBG #ESPORTS #PUBGTournament #AOCMastersTournament</t>
  </si>
  <si>
    <t>https://www.facebook.com/172882636630076/posts/994303424487989/</t>
  </si>
  <si>
    <t>740460599475760_1923251744529967</t>
  </si>
  <si>
    <t>[#FFPLSS5] เตรียมตัวให้พร้อม!
ของรางวัลยอดคนดูครบตามกำหนดรอคุณอยู่!!
https://youtu.be/BvFQHgJWs04
รับชมพร้อมกันครบรับไอเทมฟรีไปเลย
🔒ขั้นที่ 1 คนดูพร้อมกันครบ 100,000 คน รับไปเลย ตั๋วไดมอนด์รอยัล 3 ใบ (มูลค่า 180 เพชร เป็นเงิน 67 บาท )
🔒ขั้นที่ 2 คนดูพร้อมกันครบ 200,000 คน รับไปเลย ชุดคอสตูม Skull rocker female (มูลค่า 1500 เพชร เป็นเงิน 556 บาท)
🔒ขั้นที่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#FFPLSS5 #GRANDFINAL</t>
  </si>
  <si>
    <t>https://www.facebook.com/740460599475760/posts/1923251744529967/</t>
  </si>
  <si>
    <t>740460599475760_1921992781322530</t>
  </si>
  <si>
    <t>วันนี้ 13:00 น. Free Fire Pro League SS5 Grand Final
ศึกตัดสินเพื่อหาสุดยอดทีม Free Fire ของประเทศไทย
https://youtu.be/BvFQHgJWs04
รับชมพร้อมกันครบรับไอเทมฟรีไปเลย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</t>
  </si>
  <si>
    <t>https://www.facebook.com/740460599475760/posts/1921992781322530/</t>
  </si>
  <si>
    <t>172882636630076_974324759819189</t>
  </si>
  <si>
    <t>👻กุ๊ก กุ๊ก กู๋👻 ฮัลโลวีนปีนี้ เกม PUBG นอกจากจะอัปเดต 14.1 ตกแต่งโรงเรียน, โรงพยาบาล, เกาะเกิดใน Erangel และบรรยากาศของเทศกาล Halloween ไว้เรียบร้อยแล้ว เกมพับจียังมีกิจกรรมแจกไอเทมโค้ดฟรีผ่านสตรีมเมอร์พับจีไทยชื่อดังต่างๆ ทุกสัปดาห์ รวม 4 สัปดาห์ไอเทมไม่ซ้ำอีกด้วย เริ่มตั้งแต่วันที่ 6 ตุลาคม ถึง 2 พฤศจิกายนนี้เท่านั้น ติดตามสตรีมเมอร์ที่เพื่อนๆ ชื่นชอบไว้ให้ดี ห้ามพลาด!!👻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#Halloween #ฮัลโลวีน</t>
  </si>
  <si>
    <t>https://www.facebook.com/172882636630076/posts/974324759819189/</t>
  </si>
  <si>
    <t>740460599475760_1954317724756702</t>
  </si>
  <si>
    <t>ไหนๆ ขอเสียงสายเกมเมอร์หน่อย! พบกันสินค้าคอลเล็คชันสุดพิเศษ "Café Amazon x Free Fire Tumbler" ✨
ขวดสเตนเลสเก็บความเย็น ขนาดบรรจุ 16 ออนซ์ ลาย Limited Edition ที่มีการการนำตัวละครในเกมส์สุดฮิตของ Free Fire 🔥 มาแปลงร่างให้อยู่ในรูปของลายบนขวดสเตนเลส 💕
โดยได้แรงบันดาลใจการออกแบบลายมาจาก 2 ตัวละครดังอย่าง Awakening Kelly และ Hayato 
พิเศษสุด ❗️ สำหรับลูกค้าคาเฟ่ อเมซอน รับฟรี ❗️ 
ไอเท็มโค้ดภายในกล่องสินค้าทุกใบ มีสิทธิ์รับ ชุดแฟชั่น หรือ ไอเท็มกระเป๋าสะพาย มูลค่าสูงสุด 300 บาท 
ขวดสเตนเลสเก็บความเย็น "Café Amazon x Free Fire Tumbler" 
จำหน่ายในราคาใบละ 379 บาท 
⏳ตั้งแต่ วันที่ 7 ธันวาคม 2564 เป็นต้นไป ที่ร้านคาเฟ่ อเมซอน</t>
  </si>
  <si>
    <t>https://www.facebook.com/740460599475760/posts/1954317724756702/</t>
  </si>
  <si>
    <t>172882636630076_974981129753552</t>
  </si>
  <si>
    <t>4 โมงเย็นวันนี้ไปเฝ้าจอชมบนยูทูปพร้อมกัน!! https://youtu.be/6w4gvFSdr7U 
กับไฮไลท์รวมความโหด ฮา สวย น่ารัก ของ 4 สาว BLACKPINK อย่าง JISOO, JENNIE, ROSÉ, และ LISA ในการแข่งขันเกม PUBG แบบ 32 Vs 32 ระหว่างทีมจีซู Vs ทีมเจนนี่ ที่เหล่าสตรีมเมอร์พับจีและลูกทีมจากเกาหลีและจีนคอยปั่นป่วนหรือต้องคอยปกป้องกันแน่! เพื่อให้ควีนมีชีวิตรอดได้จนจบเกม ใครจะเป็นผู้ชนะไปจากรายการ BLACKPINK SQUAD-UP ไปชมกันเลย!!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#BLACKPINK #PUBGxBLACKPINK</t>
  </si>
  <si>
    <t>https://www.facebook.com/172882636630076/posts/974981129753552/</t>
  </si>
  <si>
    <t>172882636630076_1014537342464597</t>
  </si>
  <si>
    <t>เกมพับจีเข้าเล่นฟรี โดดร่มได้ทุกคน 12 มกราคม 2022 เป็นต้นไป ลงทะเบียนล่วงหน้ารับของรางวัลจากกิจกรรมเล่นฟรี, ชวนเพื่อน, และเช็คสไตล์การเล่นของตัวเองได้ที่ https://bit.ly/PUBG_F2P_PreRegister
จดหมายจากทีมพัฒนา: เรื่องการรับมือการจัดการโปรแกรมโกงเมื่อเกมเปิดฟรี ดูรายละเอียดที่ https://bit.ly/3IvAQnv
แนวทางการให้บริการ, รางวัลและสิทธิประโยชน์สำหรับผู้เล่นเก่าที่ซื้อตัวเกมไปแล้ว และผู้เล่นใหม่ที่จะเป็นสายฟรี Public หรือจะอัปเป็นแบบ Plus เพื่อเข้าเล่นได้ทุกโหมด อ่านที่ https://bit.ly/33bfnzT
#PUBG #BATTLEGROUNDS #BATTLEROYALE #FREETOPLAY #พับจี #เกมพับจี #FreeToPlay #PUBGF2P #BattlegroundsforAll #Battlegroundsforfree #FreeforAll</t>
  </si>
  <si>
    <t>https://www.facebook.com/172882636630076/posts/1014537342464597/</t>
  </si>
  <si>
    <t>740460599475760_1922714304583711</t>
  </si>
  <si>
    <t>รับชมพร้อมกันตอนนี้เลย!!! ศึกตัดสินเพื่อหาสุดยอดทีม Free Fire ของประเทศไทย 
Free Fire Pro League SS5 Grand Final
https://youtu.be/BvFQHgJWs04
รับชมพร้อมกันครบรับไอเทมฟรีไปเลย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#FFPLSS5 #GRANDFINAL</t>
  </si>
  <si>
    <t>https://www.facebook.com/740460599475760/posts/1922714304583711/</t>
  </si>
  <si>
    <t>172882636630076_1008791016372563</t>
  </si>
  <si>
    <t>🏆 ดูแข่งชิงแชมป์โลกแล้วอยากลองโชว์สกิลบ้าง ก็มาดิค๊าบ! 
🤜“Logitech G Tournament PUBG Winter Season”🤛 เปิดรับสมัครพร้อมไฟว์เดือด!
🎇พร้อมเดือดหัวอุ่นช่วงเดือนธันวาคมของปีนี้ พร้อมเงินรางวัลรวมกว่า 70,000 บาท และของรางวัลอื่นๆ อีกมากมาย ง้างนิ้วรอลงสมัครได้เลย
.
✊️หาตี้ให้ครบจบที่คว้าชัย มือเก่าหรือมือใหม่ เจอกันได้ทุกจุดโดดร่ม ห้ามพลาดห้ามเผลอ กฎกติกา วันแข่งขัน วันลงทะเบียนแข่ง ข้อมูลอื่นๆ ติดตามข่าวสารที่นี่ได้เร็วๆ นี้
.
อ่านรายละเอียดเพิ่มเติมและสมัครได้ที่ : https://logitech-th.com/logitechg-tournament-winter-season-pubg/
-------------------------------------------
#PUBG #ESPORTS #LogitechG 
#PlayToWin #LogitechGtournamentwinter</t>
  </si>
  <si>
    <t>https://www.facebook.com/172882636630076/posts/1008791016372563/</t>
  </si>
  <si>
    <t>172882636630076_976362902948708</t>
  </si>
  <si>
    <t>💞💁‍♀️ สายฮาก็มาดิค๊าบ เมื่อน้องโม&amp;เอิร์น จับมือมือโปรพับจี แข่งเกม!! ใน PUBG Battle Girls EP.6 !
ช่องทางติดตาม สาวๆใน PUBG Battle Girls
Mo : https://www.instagram.com/virachaaaa/
Earn : https://www.instagram.com/eaarrns/
ห้ามพลาด เชียร์ตัวแทนทีมไทย🇹🇭🇹🇭ลุยชิงแชมป์โลก PUBG Global Championship 2021 🇹🇭Buriram United Esports และ 🇹🇭Attack All Around ลุยศึกใหญ่ได้ พฤศจิกายน นี้ !!!
#PUBG #ESPORTS #PUBGBattleGirls
#PCS5 #PGC2021
#เชียร์ไทยไปชิงแชมป์โลก #RoadToPGC2021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</si>
  <si>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https://www.facebook.com/172882636630076/posts/976362902948708/</t>
  </si>
  <si>
    <t>740460599475760_1913537378834737</t>
  </si>
  <si>
    <t>ใช่...คุณนั่นแหละ ที่มีจิตวิญญาณของซามูไร 🔥
และคู่ควรกับคาตานะในตำนานเล่มนี้ ✨
ได้เวลาครอบครอง ICE FEATHER KATANA ฟ้าฝ่าเวหา ⚡️
แค่ซื้อโปรเสริมดีแทคฟรีไฟร์ เริ่มต้นเพียง 11 บาท
มีสิทธิ์รับโทเคนเพื่อแลกรับสกินคาตานะ ICE FEATHER KATANA ❄️ ถาวร
แบบการันตี ถูกใจผู้เล่นแน่นอน 💕
⏳ ระยะเวลากิจกรรม: 16 กันยายน 2564 ถึง 30 พฤศจิกายน 2564
**คาตานะถือแสดงหน้าล็อบบี้ได้***
ยังไม่หมด ❗️
แลกรับ Token แบบพิเศษๆ แค่เติมเพิ่ม ก็ยิ่งเทพไปอีกขั้น ❗️
👍 ครบ 799 บาท รับเพิ่ม 9 Token,
👍 ครบ 1499 บาท รับเพิ่ม 16 Token ไปเลย
ด่วน วันนี้ถึง 15 ต.ค. 64 เท่านั้น 💥
เล่น Free Fire แบบจัดเต็ม ต้องมี ICE FEATHER KATANA
#คาตานะที่ข้าคู่ควร
#จัดเต็มเสมอเกมเมอร์ต้องมันส์ #dtacFreeFire</t>
  </si>
  <si>
    <t>https://www.facebook.com/740460599475760/posts/1913537378834737/</t>
  </si>
  <si>
    <t>172882636630076_1005758736675791</t>
  </si>
  <si>
    <t>VLOG PGC EP.1 (BRU) บรรยากาศของทีม BRU ในศึก  PUBG GLOBAL CHAMPIONSHIP 2021 
.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</si>
  <si>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https://www.facebook.com/172882636630076/posts/1005758736675791/</t>
  </si>
  <si>
    <t>172882636630076_1005813916670273</t>
  </si>
  <si>
    <t>VLOG PGC EP.1 (AAA) บรรยากาศของทีม AAA ในศึก  PUBG GLOBAL CHAMPIONSHIP 2021 
.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</si>
  <si>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https://www.facebook.com/172882636630076/posts/1005813916670273/</t>
  </si>
  <si>
    <t>172882636630076_1009374452980886</t>
  </si>
  <si>
    <t>VLOG PGC EP.2 (AAA) เกาะติดตัวแทนทีมไทย AAA ในศึก PUBG GLOBAL CHAMPIONSHIP 2021 !!
.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
🎥🟥 Youtube.com/c/EsportsAlliance/</t>
  </si>
  <si>
    <t>https://www.facebook.com/172882636630076/posts/1009374452980886/</t>
  </si>
  <si>
    <t>172882636630076_1010225402895791</t>
  </si>
  <si>
    <t>VLOG PGC EP.2 (BRU) เกาะติดตัวแทนทีมไทย BRU ในศึก PUBG GLOBAL CHAMPIONSHIP 2021 !!
.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</si>
  <si>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https://www.facebook.com/172882636630076/posts/1010225402895791/</t>
  </si>
  <si>
    <t>172882636630076_1010219899563008</t>
  </si>
  <si>
    <t>สัมภาษณ์ 2 ตัวแทนทีมไทยในการแข่งขัน PUBG GLOBAL CHAMPIONSHIP 2021 หลังจากผ่านไปแล้ว 1 สัปดาห์  (AAA , BRU)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.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
🎥🟥 Youtube.com/c/EsportsAlliance/</t>
  </si>
  <si>
    <t>https://www.facebook.com/172882636630076/posts/1010219899563008/</t>
  </si>
  <si>
    <t>172882636630076_1018687355382929</t>
  </si>
  <si>
    <t>👨‍🏫 PGC2021 PLAYBOOK ย้อนดูแผนการเล่นของ GEN.G ในเกมคว้าไก่ พร้อมวิเคราะห์แต่ละช็อท ก่อนลุย 𝗚𝗿𝗮𝗻𝗱 𝗙𝗶𝗻𝗮𝗹
🗓ตารางการแข่งขันรอบ 𝗚𝗿𝗮𝗻𝗱 𝗙𝗶𝗻𝗮𝗹
⭕️17/ 18 / 19 ธันวาคม (แข่งวันละ 5 / 5/ 5 แมทช์) รอบ Grand Final 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</t>
  </si>
  <si>
    <t>https://www.facebook.com/172882636630076/posts/1018687355382929/</t>
  </si>
  <si>
    <t>740460599475760_1922684047920070</t>
  </si>
  <si>
    <t>รูปแบบการแข่งขันในรอบ Grand Final 🏆
มีเพียงทีมเดียวเท่านั้นที่จะเป็นสุดยอดทีมใน
FREE FIRE PRO LEAGUE SEASON 5
รับชมได้ที่ https://youtu.be/BvFQHgJWs04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ติดตามรับชมการแข่งขัน รอบ Grand Final
วันเสาร์ที่ 23  เวลา 13.00 น. เป็นต้นไป
🔴 Youtube : Garena Free Fire Thailand
🔵 Facebook : Garena Free Fire
🟡 TIKTOK  : freefirethofficial
#FFPLSS5 #GRANDFINAL</t>
  </si>
  <si>
    <t>https://www.facebook.com/740460599475760/posts/1922684047920070/</t>
  </si>
  <si>
    <t>172882636630076_1020152101903121</t>
  </si>
  <si>
    <t>🏆 แซงได้วันสุดท้าย NewHappy ตัวแทนจากประเทศจีน🇨🇳 คว้าแชมป์โลก🏆  𝐏𝐔𝐁𝐆 𝐆𝐥𝐨𝐛𝐚𝐥 𝐂𝐡𝐚𝐦𝐩𝐢𝐨𝐧𝐬𝐡𝐢𝐩 𝟐𝟎𝟐𝟏 พร้อมเงินรางวัล $1,378,364 หรือประมาณ 45,927,088 บาทไทย  💵ไปครองได้สำเร็จ 
.
พวกเขาสามารถเก็บคะแนน  รอบ 𝗚𝗿𝗮𝗻𝗱 𝗙𝗶𝗻𝗮𝗹 ไปถึง 159 แต้ม 98 Kills 4 WWCD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</si>
  <si>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https://www.facebook.com/172882636630076/posts/1020152101903121/</t>
  </si>
  <si>
    <t>172882636630076_1017030578881940</t>
  </si>
  <si>
    <t>VLOG PGC EP.3 (BRU) เกาะติดตัวแทนทีมไทย BRU ในศึก PUBG GLOBAL CHAMPIONSHIP 2021 !!
-------------------------------------------------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</si>
  <si>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https://www.facebook.com/172882636630076/posts/1017030578881940/</t>
  </si>
  <si>
    <t>172882636630076_1014949152423416</t>
  </si>
  <si>
    <t>VLOG PGC EP.3 (AAA) เกาะติดตัวแทนทีมไทย AAA ในศึก PUBG GLOBAL CHAMPIONSHIP 2021 !!
-------------------------------------------------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</si>
  <si>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https://www.facebook.com/172882636630076/posts/1014949152423416/</t>
  </si>
  <si>
    <t>172882636630076_976953709556294</t>
  </si>
  <si>
    <t>🎉 ขอแสดงความยินดีกับทีม eArena ที่สามารถคว้าแชมป์ 🥇 และ ทีม MiTH 💎 ที่สามารถฝ่าสมรภูมิรบคว้าตำแหน่งตัวแทนประเทศไทยเข้าไปแข่งขันรอบ Regional Finals ในรายการ🏆 AOC MASTERS TOURNAMENT 2021 🏆
🪂 ระเบิดศึกแห่งศักดิ์ศรี ร่วมส่งแรงเชียร์ให้กับทั้ง 2 ทีมตัวแทนประเทศไทย ได้ในวันที่ 2 - 7 พฤศจิกายน 2564 นี้ !! 🔥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#AGONbyAOC 
#AOCGaming  #AGON
#PUBG #ESPORTS
#PUBGTournament #AOCMastersTournament</t>
  </si>
  <si>
    <t>https://www.facebook.com/172882636630076/posts/976953709556294/</t>
  </si>
  <si>
    <t>172882636630076_1020170918567906</t>
  </si>
  <si>
    <t>อันดับและเงินรางวัลทีมไทย  🇹🇭Buriram United Esports จบอันดับที่ 22 💵พร้อมเงินรางวัล $29,865 และ 🇹🇭Attack All Around จบอันดับที่ 25 💵พร้อมเงินรางวัล $22,973  ในเวทีชิงแชมป์โลก 🏆𝐏𝐔𝐁𝐆 𝐆𝐥𝐨𝐛𝐚𝐥 𝐂𝐡𝐚𝐦𝐩𝐢𝐨𝐧𝐬𝐡𝐢𝐩 𝟐𝟎𝟐𝟏🏆 ร่วมเชียร์และติดตามทีมไทยกันได้ใหม่ตลอดทั้งปี 2022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  
🎥🟦 Facebook Esports Alliance  
🎥🟥 Youtube.com/c/EsportsAlliance/</t>
  </si>
  <si>
    <t>https://www.facebook.com/172882636630076/posts/1020170918567906/</t>
  </si>
  <si>
    <t>740460599475760_1948421818679626</t>
  </si>
  <si>
    <t>วันนี้ 17.00 น.
มาให้กำลังใจทีมตัวแทนประเทศไทยในการแข่งขัน
FREE FIRE ASIA CHAMPIONSHIP รอบ GRAND FINALS
🔴 Youtube : https://youtu.be/lgqnHrzlUpQ
พร้อมกิจกรรมยอดผู้ชมครบรับไอเทมฟรี ยกเชิร์ฟ!!
👉ยอดคนดูพร้อมกันครบ 50,000 คน 
✔รับตั๋วไดมอนด์รอยัล 2 ใบ และตั๋วแลกเปลี่ยนปืน 2 ใบ
👉ยอดคนดูพร้อมกันครบ 100,000 คน เลือกรับไอเทมได้ 1 อย่าง จาก 4 อย่าง ได้แก่
✔ตัวละคร คาเพลลา หรือ อัลวาโร่ ฟรี 1 ตัว ถาวร
✔สกินร่มชูชีพ  นักล่าแห่งท้องนภา
✔สกินรถจิ๊ป Speedster Bunny
👉ยอดคนดูพร้อมกันครบ 150,000 คน เลือกรับไอเทม 1 อย่างจาก 3  อย่าง ได้แก่
✔สกินปืน AK 47 Pumpkin
✔สกินไอซ์วอล Hysteric Gloowall
✔ชิ้นส่วนแห่งความทรงจำตัวละคร x 3000 ขิ้น
หมายเหตุ: ผู้เล่นจะสามารถรับไอเทมทางกิจกรรมภายในเกม
ตั้งแต่วันที่ 29 พ.ย. 2021 เวลา 11.00น. - วันที่ 30 พ.ย. 2021 เวลา 23.59น.</t>
  </si>
  <si>
    <t>https://www.facebook.com/740460599475760/posts/1948421818679626/</t>
  </si>
  <si>
    <t>740460599475760_1919541568234318</t>
  </si>
  <si>
    <t>[Free Fire Pro League] แนะนำทีม Free Fire Pro League SS5 Grand Final
มีเพียงทีมเดียวเท่านั้นที่จะได้เงินรางวัลกว่า 5,000,000 บาท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</si>
  <si>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https://www.facebook.com/740460599475760/posts/1919541568234318/</t>
  </si>
  <si>
    <t>740460599475760_1919542078234267</t>
  </si>
  <si>
    <t>https://www.facebook.com/740460599475760/posts/1919542078234267/</t>
  </si>
  <si>
    <t>172882636630076_973095346608797</t>
  </si>
  <si>
    <t>ส่งท้ายความมันส์ Highlight สัปดาห์ที่ 3 ในการแข่งขัน 𝐏𝐔𝐁𝐆 𝐂𝐨𝐧𝐭𝐢𝐧𝐞𝐧𝐭𝐚𝐥 𝐒𝐞𝐫𝐢𝐞𝐬 𝟓 𝗔𝗣𝗔𝗖 
เตรียมตัวไปลุยกันต่อกับ ศึกใหญ่ชิงแชมป์โลก PUBG Global Championship 2021 ตามเชียร์ 2 ตัวแทน 🇹🇭Buriram United Esports และ 🇹🇭Attack All Around ได้ พฤศจิกายน นี้ !!!
.
🔴 #ดูย้อนหลังได้ที่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.
#PUBG #ESPORTS #PCS5 #PUBGBattleGirls
#เชียร์ไทยไปชิงแชมป์โลก #RoadToPGC202
#DaytradeGaming #ShaperEsport #AttackAllAround #MiTH #MSChonburi</t>
  </si>
  <si>
    <t>https://www.facebook.com/172882636630076/posts/973095346608797/</t>
  </si>
  <si>
    <t>172882636630076_971543223430676</t>
  </si>
  <si>
    <t>🍗 วันแรกของการแข่งขันสัปดาห์สุดท้าย Petrichor Road 🇨🇳 กลับมาทวงบัลลังก์คว้าไป 1 ไก่กับอีก 40 คิลในวันนี้ แล้วมาพบศึกตัดสินชะตาวันพรุ่งนี้ 
พากย์ไทยจัดเต็มความมันส์! ทุกวันเสาร์ - อาทิตย์ เวลา 17.00 น. เป็นต้นไป
🗓18 - 19, 25 - 26, กันยายน และ 2 - 3 ตุลาคม 2564 
🔴 #ช่องทางรับชมถ่ายทอดสด
- PUBG Official -
🎥🟥 http://bit.ly/2P5IbzQ
🎥🟦  PLAYERUNKNOWN'S BATTLEGROUNDS
🎥🟪 Twitch.tv/pubgthailandofficial
🎥🟩 Tiktok.com/@pubgthailandofficial
- ช่องทางอื่นๆ -
🎥🟪 Twitch.tv/fpsthailand
🎥🟪 Twitch.tv/esports_alliance
🎥🟦  PUBG Thailand Pro League
🎥🟦  Esports Alliance
🎥🟥 Youtube.com/c/EsportsAlliance/
#PUBG #ESPORTS #PCS5 #PCS5ASIA  #PICKEMCHALLENGE
#เชียร์ไทยไปชิงแชมป์โลก #RoadToPGC202  #PUBGBattleGirls
#DaytradeGaming #ShaperEsport #AttackAllAround #MiTH #MSChonburi</t>
  </si>
  <si>
    <t>https://www.facebook.com/172882636630076/posts/971543223430676/</t>
  </si>
  <si>
    <t>172882636630076_970945460157119</t>
  </si>
  <si>
    <t>ตัวแทนทีมไทย🇹🇭🇹🇭ลุยชิงแชมป์โลก PUBG Global Championship 2021 มาตามเชียร์ 2 ตัวแทน 🇹🇭Buriram United Esports และ 🇹🇭Attack All Around ลุยศึกใหญ่ได้ พฤศจิกายน นี้ !!!
.
🔴 #ดูย้อนหลังได้ที่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#PUBG #ESPORTS #PCS5 #PUBGBattleGirls
#เชียร์ไทยไปชิงแชมป์โลก #RoadToPGC202
#DaytradeGaming #ShaperEsport #AttackAllAround #MiTH #MSChonburi</t>
  </si>
  <si>
    <t>https://www.facebook.com/172882636630076/posts/970945460157119/</t>
  </si>
  <si>
    <t>740460599475760_1913685608819914</t>
  </si>
  <si>
    <t>23 ตุลานี้ แจกไอเทมยกเซิร์ฟ!!💥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
ผู้เล่นจะสามารถรับของรางวัลได้ทางกล่องจดหมายในวันอาทิตย์ที่ 
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</si>
  <si>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https://www.facebook.com/740460599475760/posts/1913685608819914/</t>
  </si>
  <si>
    <t>172882636630076_1003683373549994</t>
  </si>
  <si>
    <t>🪂💥 ไฮไลท์ 5 ช็อทเด็ด ศึกชิงแชมป์โลก PGC2021 รอบ Rank Decision วันนี้มาต่อกันในรอบ Weekly Survival กินไก่ได้เข้ารอบ!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</t>
  </si>
  <si>
    <t>https://www.facebook.com/172882636630076/posts/1003683373549994/</t>
  </si>
  <si>
    <t>172882636630076_971000823484916</t>
  </si>
  <si>
    <t>🔥🔥 6 ทีม slot โซน APAC ได้ตั๋วไปลุยต่อ PUBG Global Championship 2021 มาตามเชียร์ 2 ตัวแทน 🇹🇭Buriram United Esports และ 🇹🇭Attack All Around ลุยศึกใหญ่ได้ พฤศจิกายน นี้ ไปพร้อมกัน  !!!
.
🔴 #รับชมย้อนหลังได้ที่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#PUBG #ESPORTS #PCS5 #PUBGBattleGirls
#เชียร์ไทยไปชิงแชมป์โลก #RoadToPGC202
#DaytradeGaming #ShaperEsport #AttackAllAround #MiTH #MSChonburi</t>
  </si>
  <si>
    <t>https://www.facebook.com/172882636630076/posts/971000823484916/</t>
  </si>
  <si>
    <t>740460599475760_1921988727989602</t>
  </si>
  <si>
    <t>[Countdown⏳]พรุ่งนี้แล้ว Free Fire Pro League SS5 Grand Final
ศึกตัดสินเพื่อหาสุดยอดทีม Free Fire ของประเทศไทย
https://youtu.be/BvFQHgJWs04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#FFPLSS5 #GRANDFINAL</t>
  </si>
  <si>
    <t>https://www.facebook.com/740460599475760/posts/1921988727989602/</t>
  </si>
  <si>
    <t>172882636630076_970942463490752</t>
  </si>
  <si>
    <t>ยินดีกับ BN United ตัวแทนจากประเทศเวียดนาม 🇻🇳 คว้าแชมป์ 𝐏𝐔𝐁𝐆 𝐂𝐨𝐧𝐭𝐢𝐧𝐞𝐧𝐭𝐚𝐥 𝐒𝐞𝐫𝐢𝐞𝐬 𝟓 𝗔𝗣𝗔𝗖  รับเงินรางวัลไปถึง  41,000 USD พร้อมตั๋วไปลุยต่อ PGC 2021 ได้สำเร็จ !!!
.
🔴 #ดูย้อนหลังได้ที่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#PUBG #ESPORTS #PCS5 #PUBGBattleGirls
#เชียร์ไทยไปชิงแชมป์โลก #RoadToPGC202
#DaytradeGaming #ShaperEsport #AttackAllAround #MiTH #MSChonburi</t>
  </si>
  <si>
    <t>https://www.facebook.com/172882636630076/posts/970942463490752/</t>
  </si>
  <si>
    <t>740460599475760_1920949781426830</t>
  </si>
  <si>
    <t>[Countdown⏳]อีก ️3️⃣ วันเท่านั้น
Free Fire Pro League SS5 Grand Final
ศึกตัดสินเพื่อหาสุดยอดทีม Free Fire ของประเทศไทย
https://youtu.be/BvFQHgJWs04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#FFPLSS5 #GRANDFINAL</t>
  </si>
  <si>
    <t>https://www.facebook.com/740460599475760/posts/1920949781426830/</t>
  </si>
  <si>
    <t>172882636630076_1023655268219471</t>
  </si>
  <si>
    <t>สวัสดีผู้รอดชีวิตทุกคน
ในขณะที่เรากำลังจะก้าวเข้าสู่ปี 2022 เราอยากขอเวลาซักครู่เพื่อขอขอบคุณทุกท่านสำหรับปีที่ยอดเยี่ยมปีนี้
โดยในปี 2021 มีการเปลี่ยนแปลงหลายสิ่งเกิดขึ้นใน PUBG : Battlegrounds 
ทั้งการเปิดแผนที่สนามรบใหม่ที่ออกแบบในธีมเกาหลีขนาด 8X8 กม.
การทดลองใน LABS หลายรูปแบบที่รวมถึงการกลับมาของ Fantasy Royale และ Zombie Mode ที่ถูกเพิ่มเข้ามาใหม่
การจัดการแข่งขันอีกมากมายหลายรายการทั่วโลก ที่มีเงินรางวัลจำนวนมากสำหรับผู้เข้าร่วมแข่งขัน
รวมถึงอาวุธ พาหนะ และไอเทมต่างๆ ที่เข้ามาช่วยเพิ่มทางเลือกให้กับการโดดร่มแต่ละครั้ง
และมีสิ่งต่างๆ อีกมากมายที่เกิดขึ้นในปี 2021
พวกเราขอขอบคุณสำหรับความสนับสนุนทั้งหมดที่เราได้รับมาตลอดปี 2021
และเราจะรอพบกับพวกคุณทุกคนในสนามรบในปี 2022!
ขอให้ทุกท่านโชคดี!
ทีมงาน PUBG: BATTLEGROUNDS
#PUBG #BATTLEGROUNDS #BATTLEROYALE #FREETOPLAY #พับจี #เกมพับจี #BattlegroundsforAll</t>
  </si>
  <si>
    <t>https://www.facebook.com/172882636630076/posts/1023655268219471/</t>
  </si>
  <si>
    <t>740460599475760_1935583059963502</t>
  </si>
  <si>
    <t>สวัสดีผู้รอดชีวิตทุกท่าน
เพื่อความเป็นธรรมในการเล่นเกมของผู้เล่นทุกคน การกระทำเหล่านี้อาจทำให้ท่านถูกแบนได้:
1.ใช้โปรแกรมปรับแต่งหรือโปรแกรมที่ไม่ได้รับอนุญาตกับตัวเกม
2.ใช้เครื่องมือที่ไม่ได้รับอนุญาตที่มีผลกับตัวเกม Free Fire
3.ใช้โปรแกรมที่ไม่ถูกรับรองเพื่อเพิ่มประสิทธิภาพของเกมเพลย์
4.ปรับแต่งไฟล์โมเดลเพื่อสร้างความได้เปรียบในการเล่น
5.ใช้ประโยชน์จากข้อผิดพลาดหรือบัคเพื่อสร้างความได้เปรียบในการเล่น
6.โดนรีพอร์ทจากผู้เล่นอื่นหลายคนและถูกตรวจจับได้ว่ามีกิจกรรมการเล่นที่ไม่ปกติ
7.เจาะระบบป้องกันการแฮกของ Free Fire ผ่านการโอนถ่ายข้อมูลแบบผิดกฏหมาย
เราหวังว่านี่จะช่วยเน้นย้ำผู้รอดชีวิตทุกท่านให้ไม่เข้าไปยุ่งเกี่ยวกับเหล่าแฮกเกอร์
ภารกิจต่อสู้กับเหล่าแฮกเกอร์ของเรายังคงดำเนินต่อไป เพื่อประสบการณ์การเล่นที่ดีสำหรับทุกคน เราจะขอย้ำอีกครั้งให้ทุกท่านหลีกเลี่ยงการใช้แฮกใดๆก็ตาม
Free Fire Anti-Hack Operations Team</t>
  </si>
  <si>
    <t>https://www.facebook.com/740460599475760/posts/1935583059963502/</t>
  </si>
  <si>
    <t>172882636630076_982696852315313</t>
  </si>
  <si>
    <t>เซิฟเปิด! โหมดใหม่ก็เปิด!! หากเพื่อนๆ ชาวพับจีคนไหนเคยสัมผัสโหมดใหม่ฮาแหวกแนวสุดต๊าชอย่าง Fantasy Battle Royale ในปีก่อนแล้วละก็ ปีนี้ต้องไม่พลาดกับโหมดใหม่รับฮัลโลวีน Halloween Battle Royale ที่ Erangel ถูกความมืดและคำสาปมังกรครอบงำ เพื่อนๆ สามารถเลือกเล่นได้ 4 อาชีพอย่าง นักรบ Executioner, นักล่า Ranger, นักเวทย์ Pyromancer, และนักบวช Cleric พร้อมยังอัปเกรดอาวุธและไอเทมเพื่อแข็งแกร่งขึ้นจนอยู่รอดชีวิตเป็นกลุ่มสุดท้ายในศึก HBR ครั้งนี้!! รับรองรอบนี้โหมดนี้จึ้งมากแน่นอน!!👻
📌รายละเอียดโหมดใหม่ HBR https://bit.ly/3pjtImX
📆เข้าเล่นได้ที่โหมด LABS ตั้งแต่วันนี้ถึง 1 พฤศจิกายน 2564 เท่านั้น
🔔 กดติดตามช่องทางเพิ่มเติมได้ที่:
🎥 YouTube http://bit.ly/2P5IbzQ
🎥 PLAYERUNKNOWN'S BATTLEGROUNDS
🎥 Twitch.tv/pubgthailandofficial
🎥 Tiktok.com/@pubgthailandofficial
#พับจี #เกมพับจี #PUBG #Season14 #HBR #Halloween #ฮัลโลวีน</t>
  </si>
  <si>
    <t>https://www.facebook.com/172882636630076/posts/982696852315313/</t>
  </si>
  <si>
    <t>172882636630076_996049987646666</t>
  </si>
  <si>
    <t>ข้อเสนอสุดพิเศษรับเทศกาล BLACK FRIDAY สำหรับเพื่อนๆ สายเปย์เกม PUBG เมื่อเติม G-Coin รับเพิ่มอีก 2 เท่า เริ่มวันนี้ 11.11 ถึง 8 ธันวาคมนี้เท่านั้น สายเปย์ห้ามพลาด!!
⭐หมายเหตุ: ใช้สิทธิ์ได้เพียง 1 ครั้งต่อ 1 บัญชี / แพ็คเท่านั้น⭐
PC
🪙ซื้อ 500 G-Coin + โบนัส 520 G-Coin = รวม 1,020 G-Coin
🪙ซื้อ 2,500 G-Coin + โบนัส 2,900 G-Coin = รวม 5,400 G-Coin
🪙ซื้อ 5,000 G-Coin + โบนัส 6,000 G-Coin = รวม 11,000 G-Coin 
Console
🪙G-Coin สองเท่า I (ซื้อ 500 G-Coin + โบนัส 500 G-Coin = รวม 1,000 G-Coin)
🪙G-Coin สองเท่า II (ซื้อ 2,000 G-Coin + โบนัส 2,600 G-Coin = รวม 4,600 G-Coin)
🪙G-Coin สองเท่า III (ซื้อ 5,000 G-Coin + โบนัส 7,000 G-Coin = รวม 12,000 G-Coin)
📅ระยะเวลาโปรโมชั่น
PC - 11 พฤศจิกายน 2021 11.00 น. – 8 ธันวาคม 2021 07.00 น.
คอนโซล - 11 พฤศจิกายน 2021 11.00 น. – 8 ธันวาคม 2021 07.00 น. 
#พับจี #เกมพับจี #PUBG #Season14</t>
  </si>
  <si>
    <t>https://www.facebook.com/172882636630076/posts/996049987646666/</t>
  </si>
  <si>
    <t>740460599475760_1933766253478516</t>
  </si>
  <si>
    <t>[เตรียมทีมให้พร้อม] ถ้าอยากซ้อมกับทีมตัวแทนประเทศไทย
ทีมรับเชิญในสัปดาห์นี้มาพบกับ SYZYGY และ  KING OF GAMERS CLUB
2 ทีมตัวแทนประเทศไทย จากกลุ่ม A รอบ PLAY-INS ในการแข่งขัน FFAC
รวมทีมของคุณให้พร้อม แล้วมาโดดร่มลงสนามซ้อมตามล่ารางวัล
มูลค่ารวมกว่า 20,000 เพรช 
รับชมพร้อมกันได้ที่
🔴 Youtube : Garena Free Fire Thailand
🔵 Facebook : Free Fire Esports TH
เวลา 13.00 น. เป็นต้นไป
※ รายละเอียดกิจกรรม
🏆 โหมดทั่วไป BR แบบทีม 4 (แข่งขันทั้งหมด 4 รอบ)
- ทีมไหนที่สามารถ Booyah! ได้ รับไปเลย 2,000 เพชร 💎 (500 ต่อคน)
- ทีมลำดับที่ 2 รับไปเลย 1,200 เพชร  💎 (300 ต่อคน)
- ทีมลำดับที่ 3 รับไปเลย 1,000 เพชร  💎 (250 ต่อคน)
- ทีมลำดับที่ 4 รับไปเลย 800 เพชร  💎 (200 ต่อคน)
- ทีมลำดับที่ 5-8 รับไปเลย บัตรไดมอนด์รอยัล คนละ 2 ใบ
- ทีมลำดับที่ 9-12 รับไปเลย บัตรไดมอนด์รอยัล คนละ 1 ใบ
#FreeFireShowOff #FFesports #FFAC2021
#IGNITEYOURFIRE</t>
  </si>
  <si>
    <t>https://www.facebook.com/740460599475760/posts/1933766253478516/</t>
  </si>
  <si>
    <t>740460599475760_1922737251248083</t>
  </si>
  <si>
    <t>สนามแข่งพร้อม!! นักกีฬาพร้อม!! คุณล่ะพร้อมหรือยัง!!!
Free Fire Pro League Season 5 รอบ Grand Final
ศึกตัดสินเพื่อหาสุดยอดทีม Free Fire ของประเทศไทย
รับชมได้ที่
https://youtu.be/BvFQHgJWs04
รับชมพร้อมกันครบรับไอเทมฟรีไปเลย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#FFPLSS5 #GRANDFINAL</t>
  </si>
  <si>
    <t>https://www.facebook.com/740460599475760/posts/1922737251248083/</t>
  </si>
  <si>
    <t>172882636630076_1005700296681635</t>
  </si>
  <si>
    <t>📣ย้ำเตือนกันอีกครั้งกับ โปรโมชั่นสุดพิเศษรับเทศกาล BLACK FRIDAY เมื่อเติม G-Coin รับเพิ่มอีก 2 เท่า ใครยังไม่เติมห้ามพลาด! สิ้นสุด 8 ธันวาคมนี้เท่านั้น!! ⭐หมายเหตุ: ใช้สิทธิ์ได้เพียง 1 ครั้งต่อ 1 บัญชี/แพ็คเท่านั้น⭐
.
PC
🪙ซื้อ 500 G-Coin + โบนัส 520 G-Coin = รวม 1,020 G-Coin
🪙ซื้อ 2,500 G-Coin + โบนัส 2,900 G-Coin = รวม 5,400 G-Coin
🪙ซื้อ 5,000 G-Coin + โบนัส 6,000 G-Coin = รวม 11,000 G-Coin 
Console
🪙G-Coin สองเท่า I (ซื้อ 500 G-Coin + โบนัส 500 G-Coin = รวม 1,000 G-Coin)
🪙G-Coin สองเท่า II (ซื้อ 2,000 G-Coin + โบนัส 2,600 G-Coin = รวม 4,600 G-Coin)
🪙G-Coin สองเท่า III (ซื้อ 5,000 G-Coin + โบนัส 7,000 G-Coin = รวม 12,000 G-Coin)
.
📅ระยะเวลาโปรโมชั่น
PC - 11 พฤศจิกายน 2021 11.00 น. – 8 ธันวาคม 2021 07.00 น.
คอนโซล - 11 พฤศจิกายน 2021 11.00 น. – 8 ธันวาคม 2021 07.00 น. 
.
#พับจี #เกมพับจี #PUBG #Season14 #BLACKFRIDAY</t>
  </si>
  <si>
    <t>https://www.facebook.com/172882636630076/posts/1005700296681635/</t>
  </si>
  <si>
    <t>740460599475760_1946073798914428</t>
  </si>
  <si>
    <t>ส่งกำลังใจ 3 ทีมตัวแทนประเทศไทยในรอบGRAND FINALS 🏆
อาทิตย์ 28 พ.ย. 2564 เวลา 17.00 น.
พร้อมของรางวัลจากยอดรับชมพร้อมกัน แจกยกเชิร์ฟ!!
ชมถ่ายทอดสดที่ลิ้งค์นี้ : https://www.youtube.com/watch?v=lgqnHrzlUpQ
✔️ยอดคนดูพร้อมกันครบ 50,000 คน 
👉รับตั๋วไดมอนด์รอยัล 2 ใบ และตั๋วแลกเปลี่ยนปืน 2 ใบ
✔️ยอดคนดูพร้อมกันครบ 100,000 คน เลือกรับไอเทมได้ 1 อย่าง จาก 4 อย่าง ได้แก่
👉ตัวละคร คาเพลลา หรือ อัลวาโร่ ฟรี 1 ตัว ถาวร
👉สกินร่มชูชีพ  นักล่าแห่งท้องนภา
👉สกินรถจิ๊ป Speedster Bunny
✔️ยอดคนดูพร้อมกันครบ 150,000 คน เลือกรับไอเทม 1 อย่างจาก 3  อย่าง ได้แก่
👉สกินปืน AK 47 Pumpkin
👉สกินไอซ์วอล Hysteric Gloowall
👉ชิ้นส่วนแห่งความทรงจำตัวละคร x 3000 ขิ้น
หมายเหตุ: ผู้เล่นจะสามารถรับไอเทมทางกิจกรรมภายในเกม
ตั้งแต่วันที่ 29 พ.ย. 2564 เวลา 11.00น. - วันที่ 30 พ.ย. 2564 เวลา 23.59น.
รอรับชมการแข่งขันพร้อมกัน
📌รอบ FINAL : วันที่ 28 พ.ย. 2564
🔴 Youtube : Garena Free Fire Thailand</t>
  </si>
  <si>
    <t>https://www.facebook.com/740460599475760/posts/1946073798914428/</t>
  </si>
  <si>
    <t>172882636630076_943157496307517</t>
  </si>
  <si>
    <t>ถ่ายทอดสดสัมภาษณ์ ตัวแทนทีมไทย🇹🇭 2 ทีม  ปราสาทสายฟ้า Buriram United Esports และ Attack All Around 
.
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สัมภาษณ์วันจันทร์ที่ 15 พฤศจิกายน เวลา 16.00 น.เป็นต้นไป !!!
------------------------------------------------------------
🔔 กดติดตามความเคลื่อนไหวเกม PUBG ได้ที่:
🎥 Youtube.com/c/PUBGTHAILANDOFFICIAL
🎥 Facebook.com/PUBG.TH.Official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</si>
  <si>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https://www.facebook.com/pubg.battlegrounds.th/videos/943157496307517/</t>
  </si>
  <si>
    <t>172882636630076_975672303017768</t>
  </si>
  <si>
    <t>🔔 ผลคะแนน GROUP FINAL DAY 2 🔔
พรุ่งนี้วันชี้ชะตา !! ใครจะได้เป็น 2 ทีมตัวแทนประเทศไทย 🇹🇭
ไปแข่งขันต่อในรอบ Regional Finals 🪐
📍 ติดตามชมการแข่งขัน เวลา 18.30 น. 🪂  โดดแรกเริ่ม 19:00 น. เป็นต้นไป
📺 รับชมการถ่ายทอดสด วันที่ 7 - 9 ตุลาคม เวลา 18.30 น. เป็นต้นไป
🔴 Facebook : https://www.facebook.com/AOCgamezoneTH
🔴 Facebook : https://www.facebook.com/MineskiTH
🔴 Facebook : https://www.facebook.com/PUBG.TH.Official/
🔴 YouTube : http://bit.ly/2P5IbzQ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
#AGONbyAOC 
#AOCGaming  
#AGON
#PUBGTournament 
#AOCMastersTournament</t>
  </si>
  <si>
    <t>https://www.facebook.com/172882636630076/posts/975672303017768/</t>
  </si>
  <si>
    <t>172882636630076_998503534067978</t>
  </si>
  <si>
    <t>📌ประกาศเลื่อน Live🔴 ถ่ายทอดสดสัมภาษณ์ ตัวแทนทีมไทย🇹🇭 2 ทีม  ปราสาทสายฟ้า Buriram United Esports และ Attack All Around ก่อนลุยการแข่งพับจีชิงแชมป์โลก 𝐏𝐔𝐁𝐆 𝐆𝐥𝐨𝐛𝐚𝐥 𝐂𝐡𝐚𝐦𝐩𝐢𝐨𝐧𝐬𝐡𝐢𝐩 รอติดตามอัพเดทได้ใหม่ที่หน้าแฟนเพจ !!!
.
🔔 กดติดตามช่องทางถ่ายทอดสดเตรียมไว้เลยที่:
🎥 YouTube http://bit.ly/2P5IbzQ
🎥 Facebook.com/PUBG.TH.Official
- ช่องทางอื่นๆ -
🎥🟪 Twitch.tv/fpsthailand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</si>
  <si>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https://www.facebook.com/172882636630076/posts/998503534067978/</t>
  </si>
  <si>
    <t>172882636630076_1017489112169420</t>
  </si>
  <si>
    <t>🏆เปิดรับสมัครลุยทัวร์สุดท้ายของปี แข่ง 25 ธันวาคมนี้ ในรายการ Nitro Gaming Night : PUBG 
.
เปิดรับสมัครตั้งแต่วันนี้ - 22 ธ.ค. เวลา 23:45 น. 
⏳ เปิดรับ256 ทีม แบ่งออกเป็น 4 Tournament  (ทัวร์ฯ ละ 64 ทีม) คัดจนเหลือ 16 ทีม เพื่อไปแข่ง Grand Final Tournament ชิงเงินรางวัลรวมกว่า 21,000 บาท  
.
1 ทีมสามารถเลือกสมัครได้เพียง 1 tournament เท่านั้น
.
สมัครแข่งขันได้ที่ลิงก์ด้านล่างนี้ 
🔗https://p9.gg/Nitro_PUBGA
🔗https://p9.gg/Nitro_PUBGB
🔗https://p9.gg/Nitro_PUBGC
🔗https://p9.gg/Nitro_PUBGD 
.
#ขั้นตอนการสมัคร
📌ลิงก์สมัครสมาชิก &gt;&gt;&gt; https://www.planet9.gg/TH/th 
📌วิธีสมัครสมาชิก &gt;&gt;&gt; https://bit.ly/3ls15lk
📌ลิงก์เข้าร่วมคลับ Nitro Gaming Night &gt;&gt;&gt;  https://p9.gg/NitroGaming_Club
📌วิธีสร้างทีม &gt;&gt;&gt; https://bit.ly/3AsO2Eb  
.
#สอบถามรายละเอียดเพิ่มเติมได้ที่
Facebook: Acer Gaming Thailand 
.
#PUBG #ESPORTS #NitroGamingNight #Acer #Predator #INTEL #PLANET9gg #MasterYourPlay #WelcomeLanding</t>
  </si>
  <si>
    <t>https://www.facebook.com/172882636630076/posts/1017489112169420/</t>
  </si>
  <si>
    <t>740460599475760_1946179912237150</t>
  </si>
  <si>
    <t>🔥🔥ลดสุดโหด ไม่เติมได้ไง🔥🔥
 💎💎 โปรโมชั่น จ่าย 37.- รับเลย 200 เพชร💎 💎 💎 
เมือเติม แพ็ก 37.- 2 ครั้ง รับส่วนลด 1.-/36.- ตามลำดับ
.
📍คลิกเพื่อซื้อคูปอง: https://weblink.shopeepay.co.th/u/ffpay37get200dmnov23fb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https://weblink.shopeepay.co.th/u/ffpay37get200dmnov23fd
วิธีรับโปรโมชัน "โปรจ่าย 37 บาท รับเลย 200 เพชร"
1.เก็บคูปองในส่วนของโปรโมชันพิเศษ " โปรจ่าย 37 บาท รับเลย 200 เพชร  "
2.หลังจากนั้นเข้าเกม Free Fire เพื่อเติมแพ็ก 37.- จำนวน 2 ครั้ง
3.ลูกค้าจะได้รับส่วนลดครั้งละ  1.- / 36.-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23 พ.ย. 64 (00:00 น.) - 28 พ.ย. 64 (23:59 น.)
⏳คูปองหมดอายุภายใน 24 ชั่วโมงหลังจากกดรับคูปองใบแรก
📱จำกัดเฉพาะผู้ใช้แอนดรอยด์เท่านั้น</t>
  </si>
  <si>
    <t>https://www.facebook.com/740460599475760/posts/1946179912237150/</t>
  </si>
  <si>
    <t>172882636630076_975060066412325</t>
  </si>
  <si>
    <t>🔴LIVE NOW🔴 AOC MASTERS TOURNAMENT 2021 l 🇹🇭
🏆เฟ้นหาสุดยอด 2 ทีมตัวแทนจากประเทศไทยไปแข่งขันต่อใน Regional Finals!
🪂 BO12 | วันละ 4 แมทช์ ⚡️ ERANGEL, MIRAMAR, ERANGEL, MIRAMAR
💸 เงินรางวัลมูลค่ารวมกว่า 43,000 USD 
🎬 ถ่ายทอดสดรอบคัดเลือกตัวแทนประเทศไทย วันที่ 7 - 9 ตุลาคม 2564 เวลา 18.30 น. เป็นต้นไป
📺 ช่องทางการรับชมถ่ายทอดสด ( ภาษาไทย )
🔴 Facebook : https://www.facebook.com/AOCgamezoneTH
🔴 Facebook : https://www.facebook.com/MineskiTH
🔴 Facebook : https://www.facebook.com/PUBG.TH.Official/
🔴 YouTube : http://bit.ly/2P5IbzQ
🇹🇭 # 16 ทีมสุดท้าย
∎Made in Thailand
∎Attack All Around
∎DAYTRADE GAMING
∎Buriram United Esports
∎Horror Horse Jr.
∎DIDIERSPORT
∎XERXIA
∎Concentrate.Esport
∎Business Boy
∎Horror Horse
∎eArena
∎Thunder Bolt
∎xi e-sport
∎INTEND ESPORT
∎S.Somphong Esport
∎ORBIT ESPORTS
#AOCMasters2021 #AGONbyAOC 
#AOCGaming  #AGON #PUBG
#PUBGTournament #AOCMastersTournament</t>
  </si>
  <si>
    <t>https://www.facebook.com/172882636630076/posts/975060066412325/</t>
  </si>
  <si>
    <t>172882636630076_974385706479761</t>
  </si>
  <si>
    <t>🔴LIVE NOW🔴 AOC MASTERS TOURNAMENT 2021 l 🇹🇭
🏆เฟ้นหาสุดยอด 2 ทีมตัวแทนจากประเทศไทยไปแข่งขันต่อใน Regional Finals!
🪂 BO12 | วันละ 4 แมทช์ ⚡️ ERANGEL, MIRAMAR, ERANGEL, MIRAMAR
💸 เงินรางวัลมูลค่ารวมกว่า 43,000 USD 
🎬 ถ่ายทอดสดรอบคัดเลือกตัวแทนประเทศไทย วันที่ 7 - 9 ตุลาคม 2564 เวลา 18.30 น. เป็นต้นไป
📺 ช่องทางการรับชมถ่ายทอดสด ( ภาษาไทย )
🔴 Facebook : https://www.facebook.com/AOCgamezoneTH
🔴 Facebook : https://www.facebook.com/MineskiTH
🔴 Facebook : https://www.facebook.com/PUBG.TH.Official/
🔴 YouTube : http://bit.ly/2P5IbzQ
🇹🇭 # 16 ทีมสุดท้าย
∎Made in Thailand
∎Attack All Around
∎DAYTRADE GAMING
∎Buriram United Esports
∎Horror Horse Jr.
∎DIDIERSPORT
∎XERXIA
∎Concentrate.Esport
∎Business Boy
∎Horror Horse
∎eArena
∎Thunder Bolt
∎xi e-sport
∎INTEND ESPORT
∎S.Somphong Esport
∎ORBIT ESPORTS
#AOCMasters2021 #AGONbyAOC 
#AOCGaming  #AGON #PUBG
#PUBGTournament #AOCMastersTournament</t>
  </si>
  <si>
    <t>https://www.facebook.com/172882636630076/posts/974385706479761/</t>
  </si>
  <si>
    <t>172882636630076_998530390731959</t>
  </si>
  <si>
    <t>เจอกัน 4 โมงเย็น Live🔴 ถ่ายทอดสดสัมภาษณ์ ตัวแทนทีมไทย🇹🇭 2 ทีม  ปราสาทสายฟ้า Buriram United Esports และ Attack All Around 
.
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 !!!
.
🔔 กดติดตามช่องทางถ่ายทอดสดเตรียมไว้เลยที่:
🎥 YouTube http://bit.ly/2P5IbzQ
🎥 Facebook.com/PUBG.TH.Official
- ช่องทางอื่นๆ -
🎥🟪 Twitch.tv/fpsthailand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</si>
  <si>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https://www.facebook.com/172882636630076/posts/998530390731959/</t>
  </si>
  <si>
    <t>740460599475760_1905162739672201</t>
  </si>
  <si>
    <t>⏳วันสุดท้าย จัดหนักจัดเต็ม⏳
 💎  💎 โปรโมชั่น จ่าย 60.- รับเลย 300 เพชร💎 💎  💎
.
📍คลิกเพื่อรับคูปอง: https://weblink.shopeepay.co.th/u/ffpay60get300dmoct03fb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https://weblink.shopeepay.co.th/u/ffpay60get300dmoct03fd
.
วิธีรับโปรโมชัน "โปรจ่าย 60 บาท รับเลย 300 เพชร"
1.เก็บคูปองในส่วนของโปรโมชันพิเศษ " โปรจ่าย 60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15.- และ 35.- ตามลำดับ 
4. จำกัดสิทธิ์ 3,000 สิทธิ์แรก/วัน (นับสิทธิ์จากการใช้คูปอง)
.
หมายเหตุ 
📅ระยะเวลาการกดเก็บและกดรับคูปอง 04 ต.ค. 64 (00:00 น.) - 04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</si>
  <si>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https://www.facebook.com/740460599475760/posts/1905162739672201/</t>
  </si>
  <si>
    <t>740460599475760_1914639852057823</t>
  </si>
  <si>
    <t>⏳แฟชั่นเซ็ตใหม่ ใครจะอดใจไหว⏳
 💎  💎 โปรโมชั่น จ่าย 70.- รับเลย 300 เพชร💎 💎 💎 
.
📍คลิกเพื่อรับคูปอง: https://weblink.shopeepay.co.th/u/ffpay70get300dmoct13fb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https://weblink.shopeepay.co.th/u/ffpay70get300dmoct13fd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13 ต.ค. 64 (00:00 น.) - 17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</si>
  <si>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https://www.facebook.com/740460599475760/posts/1914639852057823/</t>
  </si>
  <si>
    <t>740460599475760_1917094281812380</t>
  </si>
  <si>
    <t>⏳โปรสุดคุ้ม วันสุดท้าย⏳
 💎  💎 โปรโมชั่น จ่าย 70.- รับเลย 300 เพชร💎 💎 💎 
.
📍คลิกเพื่อรับคูปอง: https://weblink.shopeepay.co.th/u/ffpay70get300dmoct17fb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https://weblink.shopeepay.co.th/u/ffpay70get300dmoct17fd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17 ต.ค. 64 (00:00 น.) - 17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</si>
  <si>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https://www.facebook.com/740460599475760/posts/1917094281812380/</t>
  </si>
  <si>
    <t>740460599475760_1925663274288814</t>
  </si>
  <si>
    <t>⏳โปรสุดโหด จะพลาดไม่ได้⏳
 💎  💎 โปรโมชั่น จ่าย 60.- รับเลย 300 เพชร💎 💎 💎 
.
📍คลิกเพื่อรับคูปอง:https://weblink.shopeepay.co.th/u/ffpay60get300dmoct29fb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https://weblink.shopeepay.co.th/u/ffpay60get300dmoct29fd
วิธีรับโปรโมชัน "โปรจ่าย 60 บาท รับเลย 300 เพชร"
1.เก็บคูปองในส่วนของโปรโมชันพิเศษ " โปรจ่าย 60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15.- และ 35.- ตามลำดับ 
4. จำกัดสิทธิ์ 1,500 สิทธิ์แรก/วัน (นับสิทธิ์จากการใช้คูปอง)
.
หมายเหตุ 
📅ระยะเวลาการกดเก็บและกดรับคูปอง 26 ต.ค. 64 (00:00 น.) - 31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</si>
  <si>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https://www.facebook.com/740460599475760/posts/1925663274288814/</t>
  </si>
  <si>
    <t>740460599475760_1920381241483684</t>
  </si>
  <si>
    <t>⏳คุ้มจัดๆแบบนี้ต้องจัดแล้วว⏳
 💎  💎 โปรโมชั่น จ่าย 70.- รับเลย 300 เพชร💎 💎 💎 
.
📍คลิกเพื่อรับคูปอง: https://weblink.shopeepay.co.th/u/ffpay70get300dmoct20fb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https://weblink.shopeepay.co.th/u/ffpay70get300dmoct20fd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20 ต.ค. 64 (00:00 น.) - 24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</si>
  <si>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https://www.facebook.com/740460599475760/posts/1920381241483684/</t>
  </si>
  <si>
    <t>740460599475760_1962250917296716</t>
  </si>
  <si>
    <t>💎  💎 โปรเด็ดๆ ซื้อส่วนลดได้ทุกวัน 100 เพชร💎💎 
จ่ายเพียง 18.- จากปกติ 37.- 
เมื่อใช้ส่วนลด 20.- และซื้อแพ็กขั้นต่ำ 37.- 
.
📍คลิกเพื่อซื้อคูปอง:https://weblink.shopeepay.co.th/u/ffpay25get100dmdec20fb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https://weblink.shopeepay.co.th/u/ffpay25get100dmdec20fd
วิธีรับโปรโมชัน "ส่วนลด 18.- ซื้อแพ็กขั้นต่ำ 37.- "
1. ซื้อคูปองในส่วนของโปรโมชันพิเศษ "ส่วนลด 18.- ซื้อแพ็กขั้นต่ำ 37.- "
2. หลังจากนั้นเข้าเกม Free Fire เพื่อเติมแพ็ก 37.-
3. ลูกค้าจะได้รับส่วนลด 20.- 
4. จำกัดสิทธิ์ 1,000 สิทธิ์แรก/วัน (นับสิทธิ์จากการใช้คูปอง)
.
หมายเหตุ 
📅ระยะเวลาการกดเก็บและกดรับคูปอง 20 ธ.ค. 64 (00:00 น.) - 26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</si>
  <si>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https://www.facebook.com/740460599475760/posts/1962250917296716/</t>
  </si>
  <si>
    <t>740460599475760_1942317042623437</t>
  </si>
  <si>
    <t>เปิดศึกเดือด #Venom: Let There Be Carnage  กับกิจกรรม “แคปมาเล่า ซีนนี้ที่อยากดู”  ชวนแคปซีนที่ใช่ พร้อมบอกเล่าเหตุผลว่าทำไมถึงอยากดูหนังเรื่องนี้
👉 ชมตัวอย่างภาพยนตร์ คลิก https://bit.ly/3poDuo1
กติกาการร่วมสนุก:
1. แชร์ตัวอย่างภาพยนตร์ Venom: Let There Be Carnage จากลิ้งก์นี้ https://bit.ly/3poDuo1 (Facebook Fanpage ‘Sony Pictures Thailand’) ไปที่หน้าเฟซบุ๊กของคุณ พร้อมเปิดเป็นสาธารณะ
2. แคปภาพซีนประทับใจ จากตัวอย่างภาพยนตร์ Venom: Let There Be Carnage พร้อมบอกเหตุผลว่าทำไมถึงอยากดูหนังเรื่องนี้ในคอมเมนต์กิจกรรม 
ภาพซีนประทับใจและเหตุผลที่โดนใจทีมงาน รวมถึงทำถูกต้องตามกติกาครบถ้วน  มีสิทธิ์รับรางวัล "หน้ากากผ้า Venom สุดเอ็กซ์คลูชีฟ"  จำนวน 10 รางวัล รางวัลละ 250 บาท รวมทั้งหมดเป็นมูลค่า 2,500 บาท
📍  ร่วมสนุกได้ตั้งแต่วันที่ 18 พ.ย. 64 เวลา 16:00 น. ถึง 22 พ.ย. 64 เวลา 23:59 น.  📍  ประกาศผลภายในวันที่ 23 พ.ย. 64 ที่ https://www.facebook.com/freefireth 
อ่านกติกาและเงื่อนไขเพิ่มเติมได้ในคอมเมนต์ 👇</t>
  </si>
  <si>
    <t>https://www.facebook.com/740460599475760/posts/1942317042623437/</t>
  </si>
  <si>
    <t>172882636630076_975724409679224</t>
  </si>
  <si>
    <t>🔴LIVE NOW🔴 AOC MASTERS TOURNAMENT 2021 l 🇹🇭
🏆วันนี้ตัดสิน!! ใครจะได้เป็น 2 ทีมตัวแทนจากประเทศไทยไปแข่งขันต่อใน Regional Finals!
🪂 BO12 | วันละ 4 แมทช์ ⚡️ ERANGEL, MIRAMAR, ERANGEL, MIRAMAR
💸 เงินรางวัลมูลค่ารวมกว่า 43,000 USD 
🎬 ถ่ายทอดสดรอบคัดเลือกตัวแทนประเทศไทย วันที่ 7 - 9 ตุลาคม 2564 เวลา 18.30 น. เป็นต้นไป
📺 ช่องทางการรับชมถ่ายทอดสด ( ภาษาไทย )
🔴 Facebook : https://www.facebook.com/AOCgamezoneTH
🔴 Facebook : https://www.facebook.com/MineskiTH
🔴 Facebook : https://www.facebook.com/PUBG.TH.Official/
🔴 YouTube : http://bit.ly/2P5IbzQ
🇹🇭 # 16 ทีมสุดท้าย
∎Made in Thailand
∎Attack All Around
∎DAYTRADE GAMING
∎Buriram United Esports
∎Horror Horse Jr.
∎DIDIERSPORT
∎XERXIA
∎Concentrate.Esport
∎Business Boy
∎Horror Horse
∎eArena
∎Thunder Bolt
∎xi e-sport
∎INTEND ESPORT
∎S.Somphong Esport
∎ORBIT ESPORTS
#AOCMasters2021 #AGONbyAOC 
#AOCGaming  #AGON #PUBG
#PUBGTournament #AOCMastersTournament</t>
  </si>
  <si>
    <t>https://www.facebook.com/172882636630076/posts/975724409679224/</t>
  </si>
  <si>
    <t>740460599475760_1925661867622288</t>
  </si>
  <si>
    <t>⏳เงินคืนกระจุย ส่งท้ายสิ้นเดือน⏳
 💎  💎 โปรโมชั่น จ่าย 60.- รับเลย 300 เพชร💎 💎 💎 
.
📍คลิกเพื่อรับคูปอง: https://weblink.shopeepay.co.th/u/ffpay60get300dmoct31fb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https://weblink.shopeepay.co.th/u/ffpay60get300dmoct31fd
วิธีรับโปรโมชัน "โปรจ่าย 60 บาท รับเลย 300 เพชร"
1.เก็บคูปองในส่วนของโปรโมชันพิเศษ " โปรจ่าย 60 บาท รับเลย 300 เพชร  "
2.หลังจากนั้นเข้าเกม Free Fire เพื่อเติมแพ็ก 37.- จำนวน 3 ครั้ง
3.ลูกค้าจะได้รับเงินคืนครั้งละ  1.- / 15.- และ 35.- ตามลำดับ 
4. จำกัดสิทธิ์ 1,500 สิทธิ์แรก/วัน (นับสิทธิ์จากการใช้คูปอง)
.
หมายเหตุ 
📅ระยะเวลาการกดเก็บและกดรับคูปอง 26 ต.ค. 64 (00:00 น.) - 31 ต.ค.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</si>
  <si>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https://www.facebook.com/740460599475760/posts/1925661867622288/</t>
  </si>
  <si>
    <t>740460599475760_1916023201919488</t>
  </si>
  <si>
    <t>Free Fire Pro League SS5 Grand Final
มีเพียงทีมเดียวเท่านั้นที่จะได้เข้ามาชิงเงินรางวัลกว่า 5,000,000 บาท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
••••••••••••••••••••••••••••••••
🔥 Garena Free Fire 🔥
สุดยอดเกมแอคชั่น เอาตัวรอดบนมือถือ!
เล่นง่าย จบไว ใครๆก็ BOOYAH! ได้
พิมพ์ Free Fire แล้วโหลดฟรีได้เลย ทุกสโตร์ วันนี้!!</t>
  </si>
  <si>
    <t>https://www.facebook.com/740460599475760/posts/1916023201919488/</t>
  </si>
  <si>
    <t>740460599475760_1966884233500051</t>
  </si>
  <si>
    <t>💎💎 ลดจัดหนัก จนยิ้มอรุ่มเจ๊าะ💎💎 
จ่าย 40.- รับเลย 200 เพชร 
เมื่อเติมแพ็ค 37.- 2 ครั้ง รับส่วนลด 1.- และ 33.- ตามลำดับ
.
📍คลิกเพื่อซื้อคูปอง: https://weblink.shopeepay.co.th/u/ffpay40get200dmdec22fb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https://weblink.shopeepay.co.th/u/ffpay40get200dmdec22fd
วิธีรับโปรโมชัน "จ่าย 40.- รับเลย 200 เพชร"
1. ซื้อคูปองในส่วนของโปรโมชันพิเศษ "จ่าย 40.- รับเลย 200 เพชร"
2. หลังจากนั้นเข้าเกม Free Fire เพื่อเติมแพ็ก 37.- 2 ครั้ง 
3. ลูกค้าจะได้รับส่วนลด 1.- และ 33.- ตามลำดับ
4. จำกัดสิทธิ์ 2,000 สิทธิ์แรก/วัน (นับสิทธิ์จากการใช้คูปอง)
.
หมายเหตุ 
📅ระยะเวลาการกดเก็บและกดรับคูปอง 22 ธ.ค. 64 (00:00 น.) -  26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</si>
  <si>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https://www.facebook.com/740460599475760/posts/1966884233500051/</t>
  </si>
  <si>
    <t>740460599475760_1958524954335979</t>
  </si>
  <si>
    <t>💎  💎 ลดจริงไม่จกจา คุ้มมากเว่อร์💎  💎 
จ่าย 40.- รับเลย 200 เพชร 
เมื่อเติมแพ็ค 37.- 2 ครั้ง รับส่วนลด 1.- และ 33.- ตามลำดับ
.
📍คลิกเพื่อซื้อคูปอง: https://weblink.shopeepay.co.th/u/ffpay19get100dmdec17fb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https://weblink.shopeepay.co.th/u/ffpay19get100dmdec17fd
วิธีรับโปรโมชัน "จ่าย 40.- รับเลย 200 เพชร"
1. ซื้อคูปองในส่วนของโปรโมชันพิเศษ "จ่าย 40.- รับเลย 200 เพชร"
2. หลังจากนั้นเข้าเกม Free Fire เพื่อเติมแพ็ก 37.- 2 ครั้ง 
3. ลูกค้าจะได้รับส่วนลด 1.- และ 33.- ตามลำดับ
4. จำกัดสิทธิ์ 2,000 สิทธิ์แรก/วัน (นับสิทธิ์จากการใช้คูปอง)
.
หมายเหตุ 
📅ระยะเวลาการกดเก็บและกดรับคูปอง 15 ธ.ค. 64 (00:00 น.) -  19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</si>
  <si>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https://www.facebook.com/740460599475760/posts/1958524954335979/</t>
  </si>
  <si>
    <t>740460599475760_1958525884335886</t>
  </si>
  <si>
    <t>💎  💎 ลดจัดหนักแบบนี้ ไม่คุ้มตรงไหน💎  💎 
จ่าย 40.- รับเลย 200 เพชร 
เมื่อเติมแพ็ค 37.- 2 ครั้ง รับส่วนลด 1.- และ 33.- ตามลำดับ
.
📍คลิกเพื่อซื้อคูปอง: https://weblink.shopeepay.co.th/u/ffpay19get100dmdec18fb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https://weblink.shopeepay.co.th/u/ffpay19get100dmdec18fd
วิธีรับโปรโมชัน "จ่าย 40.- รับเลย 200 เพชร"
1. ซื้อคูปองในส่วนของโปรโมชันพิเศษ "จ่าย 40.- รับเลย 200 เพชร"
2. หลังจากนั้นเข้าเกม Free Fire เพื่อเติมแพ็ก 37.- 2 ครั้ง 
3. ลูกค้าจะได้รับส่วนลด 1.- และ 33.- ตามลำดับ
4. จำกัดสิทธิ์ 2,000 สิทธิ์แรก/วัน (นับสิทธิ์จากการใช้คูปอง)
.
หมายเหตุ 
📅ระยะเวลาการกดเก็บและกดรับคูปอง 15 ธ.ค. 64 (00:00 น.) -  19 ธ.ค.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</si>
  <si>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https://www.facebook.com/740460599475760/posts/1958525884335886/</t>
  </si>
  <si>
    <t>740460599475760_1966950776826730</t>
  </si>
  <si>
    <t>รู้กันรึยัง ปีใหม่ที่เซ็นทรัลเวิลด์ ✨
Free Fire ไปจัดกิจกรรมสุดอลังการ
ในชื่อ "มันส์ ข้าม ปี" ณ ลานกิจกรรม
มาพร้อมมุมถ่ายรูปโดนและของรางวัลเพียบ 🔥
_____________________________
ของรางวัลสุดพิเศษ ✨
❄️ iPhone 13 [128GB] 10 รางวัล รวมมูลค่า [รวมมูลค่า 299,000]
❄️ AirPod 3 10 รางวัล [รวมมูลค่า 67,900]
❄️ เสื้อสุด Exclusive จากศิลปิน Chang Of Art 250 รางวัล 
[ตัวละ 3,000 บาท รวมมูลค่า 750,000 บาท]
❄️ เสื้อยืดและเสื้อแจ็คเก็ตสุดเท่ลิขสิทธิ์แท้จาก Free Fire
❄️ หมวก กระเป๋า และสายรัดข้อมือ Grand Master
❄️ ตุ๊กตาเหล่าคู่หูสุดน่ารักจาก Free Fire
ไอเทมโค้ดแจกภายในงานเพียบ✨
⭐️ สกินปืน AK47-Winterlands
⭐️ แฟชั่นสุดน่ารัก Polar Bear
⭐️ สกินแอร์บอร์ด Death From Above
⭐️ สกินร่มชูชีพ Smiley 
⭐️ สกินกระเป๋า Dancing Panda 
⭐️ สกินกล่องดวงใจ Kneel and Apologize 
⭐️ คู่หูมิ้วน้อย
ของรางวัลทั้งหมดมูลค่ารวมกว่า 5 ล้านบาท 💥
📍 แล้วมาเจอกันได้ที่หน้าลานเซ็นทรัลเวิลด์ 
⌛️ ตั้งแต่วันที่ 24 ธ.ค. 2564- 2 ม.ค. 2565
#FreeFireมันส์ข้ามปี #FFTHNewAge</t>
  </si>
  <si>
    <t>https://www.facebook.com/740460599475760/posts/1966950776826730/</t>
  </si>
  <si>
    <t>172882636630076_991329311452067</t>
  </si>
  <si>
    <t>🔥 ตารางคะแนน AOC MASTERS TOURNAMENT 2021💣🪂 วันแรก บอกเลยแค่อุ่นเครื่อง วันนี้ 18.30 น. มาตามดูวันที่ 2 ทีมไทยจะเร่งฟอร์มขึ้นมาได้หรือไม่ มาเชียร์กัน 🔥 
📺 ถ่ายทอดสดวันที่ 2 - 7 พฤศจิกายน 2564 | 18.30 น. เป็นต้นไป
🔴 Facebook : AOC Monitor, AOC Game Zone TH, PLAYERUNKNOWN'S BATTLEGROUNDS,
Mineski Thailand 🇹🇭
🔴 YouTube : http://bit.ly/2P5IbzQ 🇹🇭
🔴 Twitch : MineskiTV_TH (EN)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
#AGONbyAOC
#AOCGaming
#AGON
#PUBG
#ESPORTS
#PUBGTournament
#AOCMastersTournament</t>
  </si>
  <si>
    <t>https://www.facebook.com/172882636630076/posts/991329311452067/</t>
  </si>
  <si>
    <t>172882636630076_993086827942982</t>
  </si>
  <si>
    <t>🔥 เหลือ 2 วันสุดท้าย !!! ตารางคะแนน AOC MASTERS TOURNAMENT 2021💣🪂 
เสาร์ - อาทิตย์นี้ 18.30 น. มาเชียร์ทีมไทย #MITH #EARENA ให้ปาดหน้าคว้าแชมป์กันกันให้ 🔥
📺 ถ่ายทอดสดวันที่ 2 - 7 พฤศจิกายน 2564 | 18.30 น. เป็นต้นไป
🔴 Facebook : AOC Monitor, AOC Game Zone TH, PLAYERUNKNOWN'S BATTLEGROUNDS, Mineski Thailand 🇹🇭
🔴 YouTube : http://bit.ly/2P5IbzQ 🇹🇭
🔴 Twitch : MineskiTV_TH (EN)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
#AGONbyAOC
#AOCGaming
#AGON
#PUBG
#ESPORTS
#PUBGTournament
#AOCMastersTournament</t>
  </si>
  <si>
    <t>https://www.facebook.com/172882636630076/posts/993086827942982/</t>
  </si>
  <si>
    <t>172882636630076_999185517333113</t>
  </si>
  <si>
    <t>🗞 เจาะลึกรูปแบบการแข่ง PGC2021 มีกี่รอบ ใช้กฏอะไร ไป Grand Final กี่ทีม มาดูกันเลย!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</si>
  <si>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https://www.facebook.com/172882636630076/posts/999185517333113/</t>
  </si>
  <si>
    <t>172882636630076_997945124123819</t>
  </si>
  <si>
    <t>🇹🇭เตรียมพบกับ Live🔴 ถ่ายทอดสดสัมภาษณ์ ตัวแทนทีมไทย🇹🇭 2 ทีม  ปราสาทสายฟ้า Buriram United Esports และ Attack All Around 
.
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สัมภาษณ์วันจันทร์ที่ 15 พฤศจิกายน เวลา 15.00 น.เป็นต้นไป !!!
.
🔔 กดติดตามช่องทางถ่ายทอดสดเตรียมไว้เลยที่:
🎥 YouTube http://bit.ly/2P5IbzQ
🎥 Facebook.com/PUBG.TH.Official
- ช่องทางอื่นๆ -
🎥🟪 Twitch.tv/fpsthailand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</si>
  <si>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https://www.facebook.com/172882636630076/posts/997945124123819/</t>
  </si>
  <si>
    <t>172882636630076_625073651855177</t>
  </si>
  <si>
    <t>🔴LIVE NOW🔴 [TH]  AOC MASTERS TOURNAMENT 2021 l REGIONAL FINALS
🪂 BO24 | วันละ 4 แมทช์ ⚡️ ERANGEL, MIRAMAR, ERANGEL, MIRAMAR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WATCH LIVE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</si>
  <si>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https://www.facebook.com/pubg.battlegrounds.th/videos/625073651855177/</t>
  </si>
  <si>
    <t>740460599475760_1947520292103112</t>
  </si>
  <si>
    <t>💎  💎 เติมกระจุยรับสิ้นเดือน  รับ100 เพชร💎  💎 
จ่ายเพียง  19.- จากปกติ 37.- 
เมื่อใช้ส่วนลด 19.- และซื้อแพ็กขั้นต่ำ 37.- 
.
📍คลิกเพื่อซื้อคูปอง: https://weblink.shopeepay.co.th/u/ffodvpay19get100dmnov25fb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https://weblink.shopeepay.co.th/u/ffodvpay19get100dmnov25fd
วิธีรับโปรโมชัน "ส่วนลด 19.- ซื้อแพ็กขั้นต่ำ 37.- "
1. ซื้อคูปองในส่วนของโปรโมชันพิเศษ "ส่วนลด 19.- ซื้อแพ็กขั้นต่ำ 37.- "
2. หลังจากนั้นเข้าเกม Free Fire เพื่อเติมแพ็ก 37.-
3. ลูกค้าจะได้รับส่วนลดครั้งละ  19.- 
4. จำกัดสิทธิ์ 2,000 สิทธิ์แรก/วัน (นับสิทธิ์จากการใช้คูปอง)
.
หมายเหตุ 
📅ระยะเวลาการกดเก็บและกดรับคูปอง 25 พ.ย. 64 (00:00 น.) - 25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</si>
  <si>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https://www.facebook.com/740460599475760/posts/1947520292103112/</t>
  </si>
  <si>
    <t>740460599475760_1940979659423842</t>
  </si>
  <si>
    <t>🔥🔥ลดเดือด เติมกระจุย 🔥🔥
 💎💎 โปรโมชั่น จ่าย 70.- รับเลย 300 เพชร💎 💎 💎 
เมือเติม แพ็ก 37.- 3 ครั้ง รับส่วนลด 1.-/10.-/30.- ตามลำดับ
.
📍คลิกเพื่อซื้อคูปอง: https://weblink.shopeepay.co.th/u/ffpay70get300dmnov17fb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https://weblink.shopeepay.co.th/u/ffpay70get300dmnov17fd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3.ลูกค้าจะได้รับส่วนลดครั้งละ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17 พ.ย. 64 (00:00 น.) - 21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</si>
  <si>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https://www.facebook.com/740460599475760/posts/1940979659423842/</t>
  </si>
  <si>
    <t>740460599475760_1947591738762634</t>
  </si>
  <si>
    <t>💎  💎 ลดโหดจัดๆ สายเติมเกมต้องไม่พลาด💎💎 
จ่ายเพียง 37.- รับเลย 200 เพชร 
ซื้อแพ็กขั้นต่ำ 37.-  2 ครั้ง รับส่วนลด 1.- และ 36.- ตามลำดับ
.
📍คลิกเพื่อซื้อคูปอง: https://weblink.shopeepay.co.th/u/ffpay37get200dmnov27fb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https://weblink.shopeepay.co.th/u/ffpay37get200dmnov27fd
วิธีรับโปรโมชัน "จ่าย 37.- รับเลย 200 เพชร"
1. ซื้อคูปองในส่วนของโปรโมชันพิเศษ "จ่าย 37.- รับเลย 200 เพชร"
2. หลังจากนั้นเข้าเกม Free Fire เพื่อเติมแพ็ก 37.- 2 ครั้ง
3. ลูกค้าจะได้รับส่วนลด 1.- และ 36.-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23 พ.ย. 64 (00:00 น.) - 28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</si>
  <si>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https://www.facebook.com/740460599475760/posts/1947591738762634/</t>
  </si>
  <si>
    <t>740460599475760_1941444886043986</t>
  </si>
  <si>
    <t>🔥🔥ไอเทมสุดเฟี้ยว แบบนี้ต้องจัด 🔥🔥
 💎💎 โปรโมชั่น จ่าย 70.- รับเลย 300 เพชร💎 💎 💎 
เมือเติม แพ็ก 37.- 3 ครั้ง รับส่วนลด 1.-/10.-/30.- ตามลำดับ
.
📍คลิกเพื่อซื้อคูปอง: https://weblink.shopeepay.co.th/u/ffpay70get300dmnov21fb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https://weblink.shopeepay.co.th/u/ffpay70get300dmnov21fd
วิธีรับโปรโมชัน "โปรจ่าย 70 บาท รับเลย 300 เพชร"
1.เก็บคูปองในส่วนของโปรโมชันพิเศษ " โปรจ่าย 70 บาท รับเลย 300 เพชร  "
2.หลังจากนั้นเข้าเกม Free Fire เพื่อเติมแพ็ก 37.- จำนวน 3 ครั้ง
3.ลูกค้าจะได้รับส่วนลดครั้งละ  1.- / 10.- และ 30.- ตามลำดับ 
4. จำกัดสิทธิ์ 2,000 สิทธิ์แรก/วัน (นับสิทธิ์จากการใช้คูปอง)
.
หมายเหตุ 
📅ระยะเวลาการกดเก็บและกดรับคูปอง 17 พ.ย. 64 (00:00 น.) - 21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1 สิทธิ์/คน/เครื่อง/วัน ตลอดระยะเวลาโปรโมชัน</t>
  </si>
  <si>
    <t>https://www.facebook.com/740460599475760/posts/1941444886043986/</t>
  </si>
  <si>
    <t>740460599475760_1957749637746844</t>
  </si>
  <si>
    <t>ส่งท้ายปีเก่าต้อนรับปีใหม่สุดยิ่งใหญ่ 💥
ในงาน "Free Fire มันส์ข้ามปี" ณ ลาน Central World
กิจกรรมส่งมอบความสุข สนุกไปพร้อม ๆ กัน 😆
มาร่วมถ่ายรูปกับต้นคริสมาสต์แอร์ดรอปยักษ์ 🎁
และร่วมมันส์ไปกับการแจกของรางวัลแบบจุก ๆ 
ของรางวัลสุดพิเศษ ✨
❄️ iPhone 13 [128GB] 10 รางวัล รวมมูลค่า [รวมมูลค่า 299,000บาท]
❄️ AirPod 3 10 รางวัล [รวมมูลค่า 67,900บาท]
❄️ เสื้อสุด Exclusive จากศิลปิน Chang Of Art 250 รางวัล 
[ตัวละ 3,000 บาท รวมมูลค่า 750,000 บาท]
❄️ เสื้อยืดและเสื้อแจ็คเก็ตสุดเท่ลิขสิทธิ์แท้จาก Free Fire
❄️ หมวก กระเป๋า และสายรัดข้อมือ Grand Master
❄️ ตุ๊กตาเหล่าคู่หูสุดน่ารักจาก Free Fire
ไอเทมโค้ดแจกภายในงานเพียบ✨
⭐️ สกินปืน AK47-Winterlands
⭐️ แฟชั่นสุดน่ารัก Polar Bear
⭐️ สกินแอร์บอร์ด Death From Above
⭐️ สกินร่มชูชีพ Smiley 
⭐️ สกินกระเป๋า Dancing Panda 
⭐️ สกินกล่องดวงใจ Kneel and Apologize 
⭐️ คู่หูมิ้วน้อย
ของรางวัลทั้งหมดมูลค่ารวมกว่า 5 ล้านบาท 💥
📍 แล้วมาเจอกันได้ที่หน้าลานเซ็นทรัลเวิลด์ 
⌛️ ตั้งแต่วันที่ 24 ธ.ค. 2564- 2 ม.ค. 2565
#FreeFireมันส์ข้ามปี #FFTHNewAge</t>
  </si>
  <si>
    <t>https://www.facebook.com/740460599475760/posts/1957749637746844/</t>
  </si>
  <si>
    <t>740460599475760_1968550000000141</t>
  </si>
  <si>
    <t>เสื้อยืดสุดพิเศษจากศิลปิน CHANG OF ART
Limited สุด ๆ เพราะมีเพียงแค่ 230 ตัว เท่านั้น ❗
ใครอยากได้อยากโดน ต้องห้ามพลาด
กับกิจจกรรม "มันส์ ข้าม ปี" ณ ลานเซ็นทรัลเวิลด์ ✨
นอกจากนี้ยังมีรางวัลอื่น ๆ อีกเพียบ แล้วมาเจอกันน้า 💕
_____________________________
ของรางวัลสุดพิเศษ ✨
❄️ iPhone 13 [128GB] 10 รางวัล รวมมูลค่า [รวมมูลค่า 299,000 บาท]
❄️ AirPod 3 10 รางวัล [รวมมูลค่า 67,900 บาท]
❄️ เสื้อสุด Exclusive จากศิลปิน Chang Of Art 250 รางวัล 
[ตัวละ 3,000 บาท รวมมูลค่า 750,000 บาท]
❄️ เสื้อยืดและเสื้อแจ็คเก็ตสุดเท่ลิขสิทธิ์แท้จาก Free Fire
❄️ หมวก กระเป๋า และสายรัดข้อมือ Grand Master
❄️ ตุ๊กตาเหล่าคู่หูสุดน่ารักจาก Free Fire
ไอเทมโค้ดแจกภายในงานเพียบ✨
⭐️ สกินปืน AK47-Winterlands
⭐️ แฟชั่นสุดน่ารัก Polar Bear
⭐️ สกินแอร์บอร์ด Death From Above
⭐️ สกินร่มชูชีพ Smiley 
⭐️ สกินกระเป๋า Dancing Panda 
⭐️ สกินกล่องดวงใจ Kneel and Apologize 
⭐️ คู่หูมิ้วน้อย
ของรางวัลทั้งหมดมูลค่ารวมกว่า 5 ล้านบาท 💥
📍 แล้วมาเจอกันได้ที่หน้าลานเซ็นทรัลเวิลด์ 
⌛️ ตั้งแต่วันที่ 24 ธ.ค. 2564- 2 ม.ค. 2565</t>
  </si>
  <si>
    <t>https://www.facebook.com/740460599475760/posts/1968550000000141/</t>
  </si>
  <si>
    <t>172882636630076_874280446610068</t>
  </si>
  <si>
    <t>🔴LIVE NOW🔴 [TH]  AOC MASTERS TOURNAMENT 2021 l REGIONAL FINALS DAY 3
🪂 BO24 | วันละ 4 แมทช์ ⚡️ ERANGEL, MIRAMAR, ERANGEL, MIRAMAR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</si>
  <si>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https://www.facebook.com/pubg.battlegrounds.th/videos/874280446610068/</t>
  </si>
  <si>
    <t>172882636630076_287173213277608</t>
  </si>
  <si>
    <t>🔴LIVE NOW🔴 [TH]  AOC MASTERS TOURNAMENT 2021 l REGIONAL FINALS DAY 5
🪂 BO24 | วันละ 4 แมทช์ ⚡️ ERANGEL, MIRAMAR, ERANGEL, MIRAMAR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</si>
  <si>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https://www.facebook.com/pubg.battlegrounds.th/videos/287173213277608/</t>
  </si>
  <si>
    <t>172882636630076_403992904533768</t>
  </si>
  <si>
    <t>🔴LIVE NOW🔴 [TH]  AOC MASTERS TOURNAMENT 2021 l REGIONAL FINALS DAY 2
🪂 BO24 | วันละ 4 แมทช์  ⚡️ MIRAMAR, ERANGEL, MIRAMAR, ERANGEL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</si>
  <si>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https://www.facebook.com/pubg.battlegrounds.th/videos/403992904533768/</t>
  </si>
  <si>
    <t>172882636630076_699373684355247</t>
  </si>
  <si>
    <t>🔴LIVE NOW🔴 [TH]  AOC MASTERS TOURNAMENT 2021 l REGIONAL FINALS DAY 4
🪂 BO24 | วันละ 4 แมทช์  ⚡️ MIRAMAR, ERANGEL, MIRAMAR, ERANGEL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</si>
  <si>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https://www.facebook.com/pubg.battlegrounds.th/videos/699373684355247/</t>
  </si>
  <si>
    <t>172882636630076_424186866092505</t>
  </si>
  <si>
    <t>https://www.facebook.com/pubg.battlegrounds.th/videos/424186866092505/</t>
  </si>
  <si>
    <t>172882636630076_266636538744720</t>
  </si>
  <si>
    <t>🔴LIVE NOW🔴 [TH]  AOC MASTERS TOURNAMENT 2021 l REGIONAL FINALS DAY 6
🪂 BO24 | วันละ 4 แมทช์  ⚡️ MIRAMAR, ERANGEL, MIRAMAR, ERANGEL
💸 เงินรางวัลมูลค่ารวมกว่า $43,000 USD
🏆 16 ทีม จาก 7 ประเทศ พร้อมระเบิดศึกเดือดครั้งยิ่งใหญ่ 🪂🔥
🎬 ถ่ายทอดสดวันที่  2 - 7 พฤศจิกายน 2564 🧨 18.30 น. เป็นต้นไป
📺 รับชมการถ่ายทอดสดได้ที่ : 
🔴 Facebook : https://www.facebook.com/AOCgamezoneTH 🇹🇭
🔴 Facebook : https://www.facebook.com/AOCTH 🇹🇭
🔴 Facebook : https://www.facebook.com/MineskiTH 🇹🇭
🔴 Facebook : https://www.facebook.com/PUBG.TH.Official 🇹🇭
🔴 YouTube : http://bit.ly/2P5IbzQ 🇹🇭
🏆 รายชื่อ 16 ทีม 🏆
∎Made in Thailand 🇹🇭
∎eArena 🇹🇭
∎Colony PH 🇵🇭
∎DK ESPORT 🇵🇭
∎NRX Esports 🇵🇭
∎Bao Nam United 🇻🇳
∎The Expendables 🇻🇳
∎Division X Gaming 🇻🇳
∎EXTRAORDINAIRE 🇮🇩
∎FROM THE FUTURE 🇮🇩
∎PMA 🇲🇾
∎Bhadboyz Alliance 🇲🇾
∎ShuaiGeDui 🇹🇼
∎King Slayer 🇹🇼
∎FURY 🇦🇺 
∎BLISS 🇦🇺 
#AOCMasters2021 #AGONbyAOC 
#AOCGaming  #AGON #PUBG
#PUBGTournament #AOCMastersTournament</t>
  </si>
  <si>
    <t>https://www.facebook.com/pubg.battlegrounds.th/videos/266636538744720/</t>
  </si>
  <si>
    <t>172882636630076_240826381288570</t>
  </si>
  <si>
    <t>https://www.facebook.com/pubg.battlegrounds.th/videos/240826381288570/</t>
  </si>
  <si>
    <t>740460599475760_1931154987072976</t>
  </si>
  <si>
    <t>💎  💎 ลดกระจุยกับคูปองพิเศษรับ 300 เพชร💎  💎 
 โปรโมชั่น จ่ายเพียง  51 .- จากปกติ 111.- 
เมื่อใช้ส่วนลด 21.- ซื้อแพ็กขั้นต่ำ 37.- จำนวน 3 ครั้ง
.
📍คลิกเพื่อซื้อคูปอง: https://weblink.shopeepay.co.th/u/ffpay51get300dmnov03fb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https://weblink.shopeepay.co.th/u/ffpay51get300dmnov03fd
วิธีรับโปรโมชัน "ส่วนลด 21.- ซื้อแพ็กขั้นต่ำ 37.- "
1.ซื้อคูปองในส่วนของโปรโมชันพิเศษ "ส่วนลด 21.- ซื้อแพ็กขั้นต่ำ 37.- "
2.หลังจากนั้นเข้าเกม Free Fire เพื่อเติมแพ็ก 37.- จำนวน 3 ครั้ง
3.ลูกค้าจะได้รับส่วนลดครั้งละ  21.- 
4. จำกัดสิทธิ์ 2,000 สิทธิ์แรก/วัน (นับสิทธิ์จากการใช้คูปอง)
.
หมายเหตุ 
📅ระยะเวลาการกดเก็บและกดรับคูปอง 03 พ.ย. 64 (00:00 น.) - 07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3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</si>
  <si>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https://www.facebook.com/740460599475760/posts/1931154987072976/</t>
  </si>
  <si>
    <t>740460599475760_1932661716922303</t>
  </si>
  <si>
    <t>💎  💎 ลดกระจุยกับคูปองพิเศษรับ 300 เพชร💎  💎 
 โปรโมชั่น จ่ายเพียง  51 .- จากปกติ 111.- 
เมื่อใช้ส่วนลด 21.- ซื้อแพ็กขั้นต่ำ 37.- จำนวน 3 ครั้ง
.
📍คลิกเพื่อซื้อคูปอง: https://weblink.shopeepay.co.th/u/ffpay51get300dmnov06fb
(เปิดได้เฉพาะบนโทรศัพท์แอนดรอยด์ ที่มีแอปฯ ShopeePay แล้วเท่านั้น หากยังไม่มีแอปฯจะพาไปหน้าดาวน์โหลดก่อน)
.
📍ยังไม่มี ShopeePay ดาวน์โหลดก่อนเลย: https://weblink.shopeepay.co.th/u/ffpay51get300dmnov06fd
วิธีรับโปรโมชัน "ส่วนลด 21.- ซื้อแพ็กขั้นต่ำ 37.- "
1.ซื้อคูปองในส่วนของโปรโมชันพิเศษ "ส่วนลด 21.- ซื้อแพ็กขั้นต่ำ 37.- "
2.หลังจากนั้นเข้าเกม Free Fire เพื่อเติมแพ็ก 37.- จำนวน 3 ครั้ง
3.ลูกค้าจะได้รับส่วนลดครั้งละ  21.- 
4. จำกัดสิทธิ์ 2,000 สิทธิ์แรก/วัน (นับสิทธิ์จากการใช้คูปอง)
.
หมายเหตุ 
📅ระยะเวลาการกดเก็บและกดรับคูปอง 03 พ.ย. 64 (00:00 น.) - 07 พ.ย. 64 (23:59 น.)
⏳คูปองหมดอายุภายใน 24 ชั่วโมงหลังจากกดรับคูปองใบแรก
📱จำกัดเฉพาะผู้ใช้แอนดรอยด์เท่านั้น
🗒จำกัดสิทธิ์ 3 สิทธิ์/คน/เครื่อง/วัน ตลอดระยะเวลาโปรโมชัน
**คูปองมีจำนวนจำกัด รีบซื้อก่อนหมด**</t>
  </si>
  <si>
    <t>https://www.facebook.com/740460599475760/posts/1932661716922303/</t>
  </si>
  <si>
    <t>172882636630076_990526674865664</t>
  </si>
  <si>
    <t>🔥 วันนี้ 18.30 น. เริ่มเดือด !! 16 ทีมสุดท้ายเตรียมปะทะกันในศึก 🔥
AOC MASTERS TOURNAMENT 2021💣🪂
เตรียมตัวให้พร้อม แล้วมาส่งเสียงเชียร์ให้กับ 2 ทีมตัวแทนจากประเทศไทย
ทีม eArena และ MiTH !! 🇹🇭🇹🇭🇹🇭 🏆
📺 ถ่ายทอดสดวันที่ 2 - 7 พฤศจิกายน 2564 | 18.30 น. เป็นต้นไป
🔴 Facebook : AOC Monitor, AOC Game Zone TH, PLAYERUNKNOWN'S BATTLEGROUNDS,
Mineski Thailand 🇹🇭
🔴 YouTube : http://bit.ly/2P5IbzQ 🇹🇭
🔴 Twitch : MineskiTV_TH (EN)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
#AGONbyAOC
#AOCGaming
#AGON
#PUBG
#ESPORTS
#PUBGTournament
#AOCMastersTournament</t>
  </si>
  <si>
    <t>https://www.facebook.com/172882636630076/posts/990526674865664/</t>
  </si>
  <si>
    <t>172882636630076_1014469522471379</t>
  </si>
  <si>
    <t>เกือบ 5 ปี จาก Early Access ถึงปัจจุบัน, 8 แผนที่, กว่า 14,000,000,000 ชั่วโมงที่ผู้เล่นร่วมกันสร้าง, จากการตอบรับของแฟนๆ อย่างอบอุ่น, การขยายการเปิดตัวลงสู่หลายๆ แพลตฟอร์ม, และความสำเร็จมากมายที่เกิดขึ้น ตอนนี้ได้เวลาที่เกม PUBG: BATTLEGROUNDS ของพวกเราเกมแบทเทิลรอยัลแบบฉบับที่แท้จริง จะก้าวกระโดดร่มลงสู่โอกาสที่จะขยายฐานผู้เล่นให้กว้างขึ้น และให้ผู้เล่นทุกๆ คนได้สัมผัสประสบการณ์ของการเป็นผู้รอดชีวิตที่แท้จริง FREE TO LAND, FREE TO LOOT, FREE TO SURVIVE เกมพับจีเปิดให้เข้าเล่นฟรี 12 มกราคม 2022 เป็นต้นไป ลงทะเบียนล่วงหน้าที่ https://bit.ly/PUBG_F2P_PreRegister
จดหมายจากทีมพัฒนา: เรื่องการรับมือการจัดการโปรแกรมโกงเมื่อเกมเปิดฟรี ดูรายละเอียดที่ https://bit.ly/3IvAQnv
แนวทางการให้บริการ, รางวัลและสิทธิประโยชน์สำหรับผู้เล่นเก่าที่ซื้อตัวเกมไปแล้ว และผู้เล่นใหม่ที่จะเป็นสายฟรี Public หรือจะอัปเป็นแบบ Plus เพื่อเข้าเล่นได้ทุกโหมด อ่านที่ https://bit.ly/33bfnzT
#PUBG #BATTLEGROUNDS #BATTLEROYALE #FREETOPLAY #พับจี #เกมพับจี #FreeToPlay #PUBGF2P #BattlegroundsforAll #Battlegroundsforfree #FreeforAll</t>
  </si>
  <si>
    <t>https://www.facebook.com/172882636630076/posts/1014469522471379/</t>
  </si>
  <si>
    <t>172882636630076_587002365858520</t>
  </si>
  <si>
    <t>🔴Live สด! 𝐏𝐆𝐂𝟐𝟎𝟐𝟏 รอบ Bottom 16  สัปดาห์ที่ 1  l 🇹🇭 🏆พับจีชิงแชมป์โลก !
🏆🌏 𝐏𝐔𝐁𝐆 𝐆𝐥𝐨𝐛𝐚𝐥 𝐂𝐡𝐚𝐦𝐩𝐢𝐨𝐧𝐬𝐡𝐢𝐩 𝟐𝟎𝟐𝟏 มาชมศึกเดือดระหว่าง 32 ทีมที่ดีที่สุดในโลก ใครจะเป็น No.1 เริ่ม 19 พ.ย. - 19 ธ.ค นี้! 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🇹🇭 2 ทีมที่ได้เป็นตัวแทนประเทศไทย ลุย PGC2021 🇹🇭
▪Buriram United Esports
▪Attack All Around</t>
  </si>
  <si>
    <t>https://www.facebook.com/pubg.battlegrounds.th/videos/587002365858520/</t>
  </si>
  <si>
    <t>172882636630076_998456574072674</t>
  </si>
  <si>
    <t>🔥 บอกเลยว่าร้ายกาจ! ไอเทมเซ็ท 𝐏𝐆𝐂𝟐𝟎𝟐𝟏 ลายทองสุดปัง ต้องจัดแล้ว!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➡https://asia.battlegrounds.pubg.com/th/2021/11/12/pgc-2021-pickem-challenge/?fbclid=IwAR3XIp12k-qsF8bNOWPmOWxjG3Np8zIl070EVDYfCgKOB7_A6btYE_cjUDs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⛔⛔⛔⛔⛔⛔⛔⛔⛔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</si>
  <si>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https://www.facebook.com/172882636630076/posts/998456574072674/</t>
  </si>
  <si>
    <t>172882636630076_986268008624864</t>
  </si>
  <si>
    <t>📢📢 รายชื่อ 16 ทีม ที่จะมาปะทะกันรอบ Regional Finals รายการ AOC MASTERS TOURNAMENT 2021🪂 เจอกัน 2-7 พ.ย.นี้
🔥 เตรียมตัวให้พร้อม แล้วมาส่งเสียงเชียร์ให้กับ 2 ทีมตัวแทนจากประเทศไทย
ทีม eArena และ MiTH !! 🇹🇭🇹🇭🇹🇭 🏆
🇹🇭 TH : eArena , MiTH
🇻🇳 VN : BAONAM UNITED , Division X Gaming , The Expendables
🇲🇾 MY : PMA , Bhadboyz Alliance
🇹🇼 TW : KSR , SDG
🇵🇭 PH : Colony , DK Esports , NRX
🇮🇩 ID : From The Future, Extraordinaire
🇦🇺 AU : Bliss, Fury
16 ทีม จาก 7 ประเทศ พร้อมระเบิดศึกเดือดครั้งยิ่งใหญ่ 🪂🔥
🧨การแข่งขันเริ่มวันที่ 2 - 7 พฤศจิกายน 2564 🇹🇭 🇻🇳 🇲🇾 🇹🇼 🇵🇭 🇮🇩 🇦🇺
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-------------------------------------------------------
#AOCMasters2021 #AGONbyAOC #AOCGaming #AGON
#PUBG #ESPORTS
#PUBGTournament #AOCMastersTournament</t>
  </si>
  <si>
    <t>https://www.facebook.com/172882636630076/posts/986268008624864/</t>
  </si>
  <si>
    <t>172882636630076_999121967339468</t>
  </si>
  <si>
    <t>💞ยามว่างของ Attack All Around ก่อนลุยศุกร์นี้! อย่าลืมมาตามเชียร์ 2 ทีมไทยกันด้วยนะสาวก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https://asia.battlegrounds.pubg.com/th/2021/11/12/pgc-2021-pickem-challenge/?fbclid=IwAR1HURBd-nHMW9n524vxNrlUsTtw2NK27vO5ofijZoXhIFro55wcoB5ZIms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</si>
  <si>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https://www.facebook.com/172882636630076/posts/999121967339468/</t>
  </si>
  <si>
    <t>172882636630076_996665127585152</t>
  </si>
  <si>
    <t>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เงินรางวัลรวมกว่า 60 ล้านบาท ‼ อ่านได้ที่นี่เลยสาวก ➡➡  https://bit.ly/PGCFormatTH 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</si>
  <si>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https://www.facebook.com/172882636630076/posts/996665127585152/</t>
  </si>
  <si>
    <t>740460599475760_1911249899063485</t>
  </si>
  <si>
    <t>ถึงเวลาปั๊มเลเวลกันแล้ว 🔥
ปั้นรหัสของคุณให้ไปถึงเวล 99
รับแฟชั่นสุดเฟี้ยวและสกินรถยนต์สุดเท่ 💥
กิจกรรมดี ๆ ที่ไม่ควรพลาด ✨ 
⏳ ระยะเวลากิจกรรม
ตั้งแต่วันที่ 11 ตุลาคม 2564 เวลา 04.00 น.
ถึงวันที่ 24 ตุลาคม 2564 เวลา 03.59 น.
--------------------------------
Free Fire Proleague SS5 Grand Final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</si>
  <si>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https://www.facebook.com/740460599475760/posts/1911249899063485/</t>
  </si>
  <si>
    <t>740460599475760_1917068655148276</t>
  </si>
  <si>
    <t>ถึงเวลาปล่อยของกันแล้ว 💥
เพียงมาร่วมเล่นเกมและทำภารกิจให้ครบ ✨
รับของรางวัลแบบจัดหนัก จัดเต็ม
แล้วเข้ามาเล่นกันเยอะ ๆ น้าา 💕
⏳ ระยะเวลากิจกรรม
ตั้งแต่วันที่ 18 ตุลาคม 2564 เวลา 04.00 น.
ถึงวันที่ 27 ตุลาคม 2564 เวลา 03.59 น.
------------------------------------
Free Fire Proleague SS5 Grand Final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</si>
  <si>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https://www.facebook.com/740460599475760/posts/1917068655148276/</t>
  </si>
  <si>
    <t>740460599475760_1911247819063693</t>
  </si>
  <si>
    <t>กิจกรรมชวนเพื่อนซี้ มาร่วมตี้ 💥
ร่วมรบและรับของไปพร้อมกัน 
เล่นให้ครบตามเกมที่กำหนด 
รับไปเลย ไอเทมมากมาย ✨
แล้วไปชวนเพื่อนมาร่วมเดือดกันเยอะ ๆ น้า 😘
⏳ ระยะเวลากิจกรรม
ตั้งแต่วันที่ 11 ตุลาคม 2564 เวลา 04.00 น.
ถึงวันที่ 18 ตุลาคม 2564 เวลา 03.59 น.
--------------------------------
Free Fire Proleague SS5 Grand Final
มีเพียงทีมเดียวเท่านั้นที่จะได้เข้ามาชิงเงินรางวัลกว่า 5,000,000 บาท
รับชมถ่ายทอดสด ยอดคนดูครบเตรียมรับไอเทมยกเซิร์ฟ 💥
🔥 วันเสาร์ที่ 23 ตุลาคม 2564 13:00 น. เป็นต้นไป
✨ขั้นที่ 1 คนดูพร้อมกันครบ 100,000 คน รับไปเลย ตั๋วไดมอนด์รอยัล 3 ใบ (มูลค่า 180 เพชร เป็นเงิน 67 บาท )
✨ขั้นที่ 2 คนดูพร้อมกันครบ 200,000 คน รับไปเลย ชุดคอสตูม Skull rocker female (มูลค่า 1500 เพชร เป็นเงิน 556 บาท)
✨ขั้นที่ 3 คนดูพร้อมกันครบ 300,000 คน สกินปืน AUG-Cosmic Teleportia (มูลค่า 1500 เพชร เป็นเงิน 556 บาท)
หมายเหตุ: ผู้เล่นจะสามารถรับของรางวัลได้ทางกล่องจดหมายในวันอาทิตย์ที่ 🔥 24 ตุลาคม 2564 เวลา 8.00 น. - 23.59 น. 🔥
🎬 Free Fire Pro League Season 5 Presented by dtac
🔴 Youtube : Garena Free Fire Thailand
🔵 Facebook : Garena Free Fire
🟡 TIKTOK : freefirethofficial</t>
  </si>
  <si>
    <t>https://www.facebook.com/740460599475760/posts/1911247819063693/</t>
  </si>
  <si>
    <t>172882636630076_999260497325615</t>
  </si>
  <si>
    <t>💞 เพราะกองทัพต้องเดินด้วยท้อง! ใครคิดถึง Buriram United Esports  กันบ้างขอเสียงหน่อย 🇹🇭 แล้วศุกร์นี้อย่าลืมมาตามเชียร์ 2 ทีมไทยกันด้วยนะสาวก 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https://asia.battlegrounds.pubg.com/en/2021/11/12/pgc-2021-pickem-challenge/?fbclid=IwAR0ttZuKKbjHeCz5q7Pum9YfjLoiRd9hANPHpGPhYzpj2yid1oam6d7QVbo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</si>
  <si>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https://www.facebook.com/172882636630076/posts/999260497325615/</t>
  </si>
  <si>
    <t>172882636630076_973550876563244</t>
  </si>
  <si>
    <t>🔻ยังเปิดรับสมัครอยู่นะจ๊ะ 🔺 ❤️ LEO PUBG Tournament❤️ เดือนตุลาคม ที่จะเอา 8 ทีมหน้าใหม่มาปะทะกับ 8 ทีมวางรอบลีก จะใช้กฎการแข่งขัน Most Chicken Rule (MC rule) พร้อมกับเงินรางวัลรวมถึง 110,000 บาท
.
เงินรางวัลแบ่งออกเป็น 2 Phase
- เฟสละ 38,000 บาท
- ทีมที่กินไก่ได้จะได้โบนัสเพิ่มทีมละ 1,250 บาท
- ทีมที่มีเงินรางวัลสะสมมากสุดจะเป็นแชมป์ประจำเดือนตุลาคม
.
📋รอบ Open Qualifier
-ใช้กฎ Most chicken rule
🟥ลิ้งรับสมัคร 512 ทีม : https://1th.me/xOuyc
🟥ประกาศรายชื่อทีมที่ผ่านการคัดเลือก วันที่ 9 ต.ค. 2564 !!
ตารางวันการแข่งขัน
▶ วันที่ 12 ตุลาคม แข่งรอบ 512 ทีม เวลา 17.30 กลุ่ม 1-8 / เวลา 18.45 กลุ่ม 9-16 / เวลา 20.00 กลุ่ม 17-24 / เวลา 21.15 กลุ่ม 25-32 โดด 2 รอบ (TOP 2 แต่ละกลุ่ม เข้ารอบ)
▶ วันที่ 14 ตุลาคม แข่งรอบ 64 ทีม  เวลา 17.30 กลุ่ม 1-4 โดด 4 รอบ (TOP 4 แต่ละกลุ่ม เข้ารอบ)
▶ วันที่ 15 ตุลาคม แข่งรอบ 16 ทีม  เวลา 17.30 กลุ่ม 1 โดด 4 รอบ (TOP 8 เข้ารอบ League)
.
📌กลุ่มคอมมูของชาว FPSThailand 🚀 เพื่อพูดคุย แลกเปลี่ยนความคิดเห็นกัน เข้ามาจอยกันได้แล้วที่กลุ่มนี้ : https://bit.ly/3qLmhng
▬▬▬▬▬▬▬▬▬▬▬▬▬▬▬
Sponsored by
#LEOรวมกันมันส์กว่า #iHAVECPU #Twire #FPSThailand #PUBG #ESPORTS</t>
  </si>
  <si>
    <t>https://www.facebook.com/172882636630076/posts/973550876563244/</t>
  </si>
  <si>
    <t>172882636630076_997901074128224</t>
  </si>
  <si>
    <t>🦺🔎 จัดมาให้อีก 2 ภาพ อัพเดทการสร้างสนามแข่ง 𝐏𝐔𝐁𝐆 𝐆𝐥𝐨𝐛𝐚𝐥 𝐂𝐡𝐚𝐦𝐩𝐢𝐨𝐧𝐬𝐡𝐢𝐩 𝟐𝟎𝟐𝟏 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#BRU #AAA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⛔⛔⛔⛔⛔⛔⛔⛔⛔
🔔 กดติดตามช่องทางถ่ายทอดสดเตรียมไว้เลยที่: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</si>
  <si>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https://www.facebook.com/172882636630076/posts/997901074128224/</t>
  </si>
  <si>
    <t>172882636630076_999096604008671</t>
  </si>
  <si>
    <t>🏆🌏 พรุ่งนี้เริ่มศึกเดือด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</si>
  <si>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https://www.facebook.com/172882636630076/posts/999096604008671/</t>
  </si>
  <si>
    <t>172882636630076_1000466597205005</t>
  </si>
  <si>
    <t>📜 อัพเดทข่าวสาร PUBG ESPORTS NEWS แบบคิ้วท์ๆ ในรายการข่าว PGC2021 รอบโลก EP.13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</si>
  <si>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https://www.facebook.com/172882636630076/posts/1000466597205005/</t>
  </si>
  <si>
    <t>172882636630076_999091954009136</t>
  </si>
  <si>
    <t>🏆🌏 อีก 2 วัน ! ศุกร์นี้เริ่มศึกเดือด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</si>
  <si>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https://www.facebook.com/172882636630076/posts/999091954009136/</t>
  </si>
  <si>
    <t>172882636630076_994927227758942</t>
  </si>
  <si>
    <t>🪂😋 หิวก็หิวนะ แต่ทำไมไม่กล้ากินก็ไม่รู้ สงสัยกลัวหัก!!! แล้วเจอกัน 19 พ.ย.นี้  𝐏𝐔𝐁𝐆 𝐆𝐥𝐨𝐛𝐚𝐥 𝐂𝐡𝐚𝐦𝐩𝐢𝐨𝐧𝐬𝐡𝐢𝐩 𝟐𝟎𝟐𝟏 ศึกพีบจีชิงแชมป์โลกวันแรก!
🏆🇹🇭 สายการแข่งรอบ Rank Desision 𝐏𝐔𝐁𝐆 𝐆𝐥𝐨𝐛𝐚𝐥 𝐂𝐡𝐚𝐦𝐩𝐢𝐨𝐧𝐬𝐡𝐢𝐩 𝟐𝟎𝟐𝟏  
ดูคลิปจับฉลากได้ที่ ➡➡  https://asia.battlegrounds.pubg.com/.../pgc-2021-rank...
⏰ วันที่แข่งขันรอบ Rank Decision:
⭕ วันที่ 19 พ.ย.: 11:00 Group A vs Group B | 17:00 Group C vs Group D
⭕ วันที่ 20 พ.ย: 11:00 Group B vs Group D | 17:00 Group A vs Group C
⭕ วันที่ 21 พ.ย: 11:00 Group A vs Group D | 17:00 Group B vs Group C
🔵 ในรอบ Rank Decision ทุกทีมจะได้ลงแข่งทั้งหมด 18 แมทช์ โดยใช้กฏการคิดคะแนนแบบ SUPER ทีมใดที่คะแนนดีที่สุด 16 อันดับแรก จะได้เข้าไปเล่นในรอบ Weekly Survival ทันทีตั้งแต่แมทช์แรก ทีมที่มีอันดับรองลงมาจะถูกนำเข้าสู่ Weekly Survival ในลำดับถัดไปเมื่อจบแต่ละแมทช์แทนที่ทีมที่ได้กินไก่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เงินรางวัลรวมกว่า 60 ล้านบาท!!!
#PUBG #ESPORTS #PGC2021 #พับจีชิงแชมป์โลก
#เชียร์ไทยไปชิงแชมป์โลก #BRU #AAA #PUBGEsports
#PUBGGlobalChampionship2021</t>
  </si>
  <si>
    <t>https://www.facebook.com/172882636630076/posts/994927227758942/</t>
  </si>
  <si>
    <t>172882636630076_999696490615349</t>
  </si>
  <si>
    <t>🏆🌏 PGC2021 มาชมศึกเดือดระหว่าง 32 ทีมที่ดีที่สุดในโลก ใครจะเป็น No.1 เริ่ม 19 พ.ย.นี้! ชิงแชมป์โลก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</si>
  <si>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https://www.facebook.com/172882636630076/posts/999696490615349/</t>
  </si>
  <si>
    <t>172882636630076_999871137264551</t>
  </si>
  <si>
    <t>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🏆🌏 PGC2021 มาชมศึกเดือดระหว่าง 32 ทีมที่ดีที่สุดในโลก ใครจะเป็น No.1 เริ่ม 19 พ.ย.นี้! ชิงแชมป์โลก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</si>
  <si>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https://www.facebook.com/172882636630076/posts/999871137264551/</t>
  </si>
  <si>
    <t>172882636630076_999088734009458</t>
  </si>
  <si>
    <t>🏆🌏 ศุกร์นี้เริ่มศึกเดือด เวทีชิงแชมป์โลก 𝐏𝐔𝐁𝐆 𝐆𝐥𝐨𝐛𝐚𝐥 𝐂𝐡𝐚𝐦𝐩𝐢𝐨𝐧𝐬𝐡𝐢𝐩 𝟐𝟎𝟐𝟏 จะลุกเป็นไฟ
🔥 🇹🇭 ห้ามพลาด เชียร์ตัวแทนทีมไทย🇹🇭🇹🇭ลุยชิงแชมป์โลก 🇹🇭Buriram United Esports และ 🇹🇭Attack All Around ลุยศึกใหญ่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https://asia.battlegrounds.pubg.com/th/2021/11/12/pgc-2021-pickem-challenge/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</si>
  <si>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https://www.facebook.com/172882636630076/posts/999088734009458/</t>
  </si>
  <si>
    <t>172882636630076_999281797323485</t>
  </si>
  <si>
    <t>🏆 ก่อนเริ่มศึกเดือดวันศุกร์นี้  มาดูเงินรางวัลที่จะทำให้การแข่งขัน ในเวทีชิงแชมป์โลกจะลุกเป็นไฟ  กับ 𝐏𝐔𝐁𝐆 𝐆𝐥𝐨𝐛𝐚𝐥 𝐂𝐡𝐚𝐦𝐩𝐢𝐨𝐧𝐬𝐡𝐢𝐩 𝟐𝟎𝟐𝟏 ที่ชิงเงินรางวัลรวมกว่า 60 ล้านบาท💵  !!!
🔥 🇹🇭 ห้ามพลาด เชียร์ตัวแทนทีมไทย🇹🇭🇹🇭ลุยชิงแชมป์โลก 🇹🇭Buriram United Esports และ 🇹🇭Attack All Around เริ่ม 19 พฤศจิกายน นี้ !!!
.
กดติดตามความเคลื่อนไหวเกม PUBG ได้ที่:
🎥 YouTube http://bit.ly/2P5IbzQ
🎥 PUBG: BATTLEGROUNDS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
.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➡https://asia.battlegrounds.pubg.com/.../pgc-2021.../...
.
#PUBG #ESPORTS #PGC2021 #พับจีชิงแชมป์โลก
#เชียร์ไทยไปชิงแชมป์โลก #BRU #AAA</t>
  </si>
  <si>
    <t>https://www.facebook.com/172882636630076/posts/999281797323485/</t>
  </si>
  <si>
    <t>172882636630076_997263320858666</t>
  </si>
  <si>
    <t>🦺🔎 ตามไปดูอัพเดทการสร้างสนามแข่ง 𝐏𝐔𝐁𝐆 𝐆𝐥𝐨𝐛𝐚𝐥 𝐂𝐡𝐚𝐦𝐩𝐢𝐨𝐧𝐬𝐡𝐢𝐩 𝟐𝟎𝟐𝟏 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🏆🇹🇭 รายละเอียดการแข่งพับจีชิงแชมป์โลก 𝐏𝐆𝐂𝟐𝟎𝟐𝟏  เงินรางวัลรวมกว่า 60 ล้านบาท ‼ อ่านได้ที่นี่เลยสาวก ➡➡  https://bit.ly/PGCFormatTH 
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➡https://asia.battlegrounds.pubg.com/th/2021/11/12/pgc-2021-pickem-challenge/?fbclid=IwAR3XIp12k-qsF8bNOWPmOWxjG3Np8zIl070EVDYfCgKOB7_A6btYE_cjUDs
⛔⛔⛔⛔⛔⛔⛔⛔⛔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</si>
  <si>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https://www.facebook.com/172882636630076/posts/997263320858666/</t>
  </si>
  <si>
    <t>172882636630076_1001808150404183</t>
  </si>
  <si>
    <t>🇹🇭🇹🇭นับ 1 ไก่แรกของไทยในเวทีชิงแชมป์โลกมาแล้ว 🇹🇭Buriram United Esports กินไก่เกมที่ 8 𝐏𝐔𝐁𝐆 𝐆𝐥𝐨𝐛𝐚𝐥 𝐂𝐡𝐚𝐦𝐩𝐢𝐨𝐧𝐬𝐡𝐢𝐩 𝟐𝟎𝟐𝟏  🔥 รอบ 𝗥𝗮𝗻𝗸 𝗗𝗲𝗰𝗶𝘀𝗶𝗼𝗻 วันที่ 2 [ A vs C ]
.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Youtube.com/c/EsportsAlliance/"</t>
  </si>
  <si>
    <t>https://www.facebook.com/172882636630076/posts/1001808150404183/</t>
  </si>
  <si>
    <t>172882636630076_974353596482972</t>
  </si>
  <si>
    <t>🏆 AOC MASTERS TOURNAMENT 2021 🔥 วันนี้มาเดือดไปพร้อมๆกัน🔥ทั้งทีมที่ผ่านการคัดเลือกเข้ามา และทีมที่ได้รับเชิญ จะมาเริ่มโดดลงสมรภูมิรบที่กำลังจะลุกเป็นไฟ เตรียมตัวให้พร้อม แล้วเจอกัน เย็นนี้ 18.30 น.!! 
💎Made in Thailand
💎Attack All Around
💎DAYTRADE GAMING
💎Buriram United Esports
💎Horror Horse Jr.
💎DIDIERSPORT
💎XERXIA
💎Concentrate.Esport
💎Business Boy
💎Horror Horse
💎eArena
💎Thunder Bolt
💎xi e-sport
💎INTEND ESPORT
💎S.Somphong Esport
💎ORBIT ESPORTS
📺 รับชมการถ่ายทอดสด วันที่ 7 - 9 ตุลาคม เวลา 18.30 น. เป็นต้นไป
🔴 Facebook : https://www.facebook.com/AOCgamezoneTH
🔴  Facebook : https://www.facebook.com/MineskiTH
🔴 Facebook : https://www.facebook.com/PUBG.TH.Official/
🔴 YouTube : http://bit.ly/2P5IbzQ
 💎 AOC MASTERS TOURNAMENT 2021 💎
Get your Squad ready, Battlefield is on fire 🔥
-------------------------------------------------------
📍 ติดตามรายละเอียดการแข่งขัน / ข่าวสารได้ที่
🚦Facebook : AOC Game Zone TH
🚦Facebook : Mineski Thailand
🚦Instagram : AocMonitorThailand
🎮https://discord.gg/grnv8m3xKk
-------------------------------------------------------
#AOCMasters2021  #PUBG
#AGONbyAOC 
#AOCGaming 
#AGON
#PUBGTournament 
#AOCMastersTournament
#ESPORTS</t>
  </si>
  <si>
    <t>https://www.facebook.com/172882636630076/posts/974353596482972/</t>
  </si>
  <si>
    <t>172882636630076_1018778448707153</t>
  </si>
  <si>
    <t>🏆 ใครจะเป็นแชมป์โลกในเวทีส่งท้ายปี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</si>
  <si>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https://www.facebook.com/172882636630076/posts/1018778448707153/</t>
  </si>
  <si>
    <t>172882636630076_994557011129297</t>
  </si>
  <si>
    <t>🏆🇹🇭 สายการแข่งรอบ Rank Desision 𝐏𝐔𝐁𝐆 𝐆𝐥𝐨𝐛𝐚𝐥 𝐂𝐡𝐚𝐦𝐩𝐢𝐨𝐧𝐬𝐡𝐢𝐩 𝟐𝟎𝟐𝟏  
ดูคลิปจับฉลากได้ที่ ➡➡  https://asia.battlegrounds.pubg.com/th/2021/11/08/pgc-2021-rank-decision-group-selection-results
⏰ วันที่แข่งขันรอบ Rank Decision:
⭕ วันที่ 19 พ.ย.: 11:00 Group A vs Group B | 17:00 Group C vs Group D
⭕ วันที่ 20 พ.ย: 11:00 Group B vs Group D | 17:00 Group A vs Group C
⭕ วันที่ 21 พ.ย: 11:00 Group A vs Group D | 17:00 Group B vs Group C
🔵 ในรอบ Rank Decision ทุกทีมจะได้ลงแข่งทั้งหมด 18 แมทช์ โดยใช้กฏการคิดคะแนนแบบ SUPER ทีมใดที่คะแนนดีที่สุด 16 อันดับแรก จะได้เข้าไปเล่นในรอบ Weekly Survival ทันทีตั้งแต่แมทช์แรก ทีมที่มีอันดับรองลงมาจะถูกนำเข้าสู่ Weekly Survival ในลำดับถัดไปเมื่อจบแต่ละแมทช์แทนที่ทีมที่ได้กินไก่
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เงินรางวัลรวมกว่า 60 ล้านบาท ‼ !!!
#PUBG #ESPORTS #PGC2021 #พับจีชิงแชมป์โลก
#เชียร์ไทยไปชิงแชมป์โลก #BRU #AAA #PUBGEsports
#PUBGGlobalChampionship2021
🔔 กดติดตามความเคลื่อนไหวเกม PUBG ได้ที่:
🎥 YouTube http://bit.ly/2P5IbzQ
🎥 Facebook.com/PUBG.TH.Official
🎥 Twitch.tv/pubgthailandofficial
🎥 Tiktok.com/@pubgthailandofficial</t>
  </si>
  <si>
    <t>https://www.facebook.com/172882636630076/posts/994557011129297/</t>
  </si>
  <si>
    <t>172882636630076_1019350951983236</t>
  </si>
  <si>
    <t>🏆  วันที่ 2 รอบ 𝗚𝗿𝗮𝗻𝗱 𝗙𝗶𝗻𝗮𝗹 ลุ้นไปด้วยกันต่อใครจะได้แชมป์ไปครอง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</si>
  <si>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https://www.facebook.com/172882636630076/posts/1019350951983236/</t>
  </si>
  <si>
    <t>740460599475760_1921114361410372</t>
  </si>
  <si>
    <t>[กิจกรรมแจกไอเทม] กิจกรรม Speed Rush กลับมาแล้วใครเร็วรับสกินปืนฟรีไปเลย
วันที่ 23 ตุลาคม 2564 นี้ เวลา 13.00 น. เป็นต้นไป
เพื่อเอาใจแฟนๆ ที่รับชมถ่ายทอดสดการแข่งขัน
เตรียมพบกับกิจกรรม ⏳SPEED RUSH⏳
🎁 มูลค่าของรางวัลกิจกรรม
◾️ ลำดับที่ 1        ในแต่ละรอบ สกินปืน Gangster Rap M1887 ถาวร 
◾️ ลำดับที่ 2 - 5   ในแต่ละรอบ กล่องสุ่มสกินปืน Gangster Rap M1887 10 กล่อง
◾️ ลำดับที่ 6 - 10 ในแต่ละรอบ กล่องสุ่มสกินปืน Gangster Rap M1887 5 กล่อง
◾️ ลำดับที่ 11 - 20 ในแต่ละรอบ ตั่ว Diamond Royal 3 ชิ้น
◾️ ลำดับที่ 21 - 48 ในแต่ละรอบ  ตั่ว สุ่มโกลl 3 ชิ้น
📖 รายละเอียดกิจกรรม
1. ระหว่างพักเบรกการแข่งขันจะมีการเปิดให้ผู้ชมเข้าห้อง Custom Room ที่ทีมงานสร้างภายในเกม Free Fire ทั้งหมด 5 รอบ (รอบละ 1 ห้อง)
2. ทีมงานจะแจ้งหมายเลขห้องและรหัสผ่านทางการถ่ายทอดสด
3. ผู้เล่นที่เข้าห้องที่ทีมงานสร้างทันในแต่ละรอบจะได้รับไอเทม "ตามลำดับการเข้าห้อง" ที่ทีมงานกำหนดไว้
📖 ข้อกำหนดและเงื่อนไข
- บริษัทฯ ขอสงวนสิทธิ์ไม่อนุญาตให้ผู้ที่ได้รับรางวัล นำของรางวัลมาแลกเปลี่ยนเป็นเงินสดหรือสิ่งของอื่นใด
และห้ามมิให้ผู้ได้รับรางวัลนำของรางวัลดังกล่าวไปจำหน่าย แลกเปลี่ยน หรือกระทำการอื่นใดในเชิงพาณิชย์ ทุกกรณี
-บริษัทฯ ขอสงวนสิทธิ์ในการแก้ไข เปลี่ยนแปลงข้อกำหนดและเงื่อนไข รวมทั้งหลักเกณฑ์ของกิจกรรมนี้โดยมิต้องแจ้งให้ทราบล่วงหน้า</t>
  </si>
  <si>
    <t>https://www.facebook.com/740460599475760/posts/1921114361410372/</t>
  </si>
  <si>
    <t>172882636630076_1018340555417609</t>
  </si>
  <si>
    <t>🔥🔥 4 ทีมสุดท้าย ที่ผ่านเข้าสู่รอบ 𝗚𝗿𝗮𝗻𝗱 𝗙𝗶𝗻𝗮𝗹  FURY  ทีมจากโซน APAC ของเรา เป็น 1 ทีม ที่ติดเข้าไป ลุ้นกันต่อ 3 วันสุดท้าย ใครจะได้เป็น แชมป์โลก  ใน 𝐏𝐔𝐁𝐆 𝐆𝐥𝐨𝐛𝐚𝐥 𝐂𝐡𝐚𝐦𝐩𝐢𝐨𝐧𝐬𝐡𝐢𝐩 𝟐𝟎𝟐𝟏 💵เงินรางวัลรวมกว่า 60 ล้านบาท ‼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</si>
  <si>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https://www.facebook.com/172882636630076/posts/1018340555417609/</t>
  </si>
  <si>
    <t>172882636630076_1002338103684521</t>
  </si>
  <si>
    <t>🇹🇭🇹🇭 จัดไปอีก 1 ไก่  🇹🇭Buriram United Esports คว้าไก่ที่ 2 🍗 ได้บนเวทีชิงแชมป์โลก 𝐏𝐔𝐁𝐆 𝐆𝐥𝐨𝐛𝐚𝐥 𝐂𝐡𝐚𝐦𝐩𝐢𝐨𝐧𝐬𝐡𝐢𝐩 𝟐𝟎𝟐𝟏  🔥 รอบ 𝗥𝗮𝗻𝗸 𝗗𝗲𝗰𝗶𝘀𝗶𝗼𝗻 วันที่ 3 [ A vs D ] ลุยกันต่อเกมสุดท้ายของกลุ่มนี้ !!
.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</si>
  <si>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https://www.facebook.com/172882636630076/posts/1002338103684521/</t>
  </si>
  <si>
    <t>172882636630076_1019943645257300</t>
  </si>
  <si>
    <t>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</si>
  <si>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https://www.facebook.com/172882636630076/posts/1019943645257300/</t>
  </si>
  <si>
    <t>172882636630076_999859547265710</t>
  </si>
  <si>
    <t>🔥คำคมส่งตรงจากเกาหลี "คิดอะไรไม่ค่อยออก อยากจะบอกว่าจะเต็มที่ที่สุด " จาก Conaxy ทีม ปราสาทสายฟ้า Buriram United Esports🇹🇭 ก่อนลุยศึกเดือดศุกร์นี้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Facebook.com/PUBG.TH.Official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</si>
  <si>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https://www.facebook.com/172882636630076/posts/999859547265710/</t>
  </si>
  <si>
    <t>172882636630076_1000440563874275</t>
  </si>
  <si>
    <t>🔥 เผยคำพูดก่อนแข่งส่งตรงจากเกาหลี  " Pecado Pochinki ใครก็ได้ที่ไม่ใช่ Soniqs กับ 17gaming " จากทีม 🇹🇭Attack All Around ก่อนลุยศึกเดือดศุกร์นี้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</si>
  <si>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https://www.facebook.com/172882636630076/posts/1000440563874275/</t>
  </si>
  <si>
    <t>172882636630076_1007592689825729</t>
  </si>
  <si>
    <t>5 ผู้เล่นที่ทำผลงานดีที่สุดรอบ 𝗪𝗲𝗲𝗸𝗹𝘆 𝗙𝗶𝗻𝗮𝗹 สัปดาห์ที่ 1 
Dr4FTk1NG จากทีม KPI Gaming ทำผลงานดีที่สุดมาเป็นอับดับ 1 Kills ไปถึง 24 Kills ในเวทีชิงแชมป์โลก 𝐏𝐔𝐁𝐆 𝐆𝐥𝐨𝐛𝐚𝐥 𝐂𝐡𝐚𝐦𝐩𝐢𝐨𝐧𝐬𝐡𝐢𝐩 𝟐𝟎𝟐𝟏
 .
มาเชียร์ตัวแทนทีมไทยลุยชิงแชมป์โลก 🇹🇭Buriram United Esports และ 🇹🇭Attack All Around  💵เงินรางวัลรวมกว่า 60 ล้านบาท ‼ 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</si>
  <si>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https://www.facebook.com/172882636630076/posts/1007592689825729/</t>
  </si>
  <si>
    <t>172882636630076_1018820962036235</t>
  </si>
  <si>
    <t>🔥 ฝากต่อด้วยนะเพื่อน  FURY ทีม 1 เดียว จากโซน APAC มาลุ้นไปด้วยกัน 3 วันสุดท้าย รอบ 𝗚𝗿𝗮𝗻𝗱 𝗙𝗶𝗻𝗮𝗹 ในเวทีส่งท้ายปี 𝐏𝐔𝐁𝐆 𝐆𝐥𝐨𝐛𝐚𝐥 𝐂𝐡𝐚𝐦𝐩𝐢𝐨𝐧𝐬𝐡𝐢𝐩 𝟐𝟎𝟐𝟏 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 
🎥🟦 Facebook Esports Alliance 
🎥🟥 Youtube.com/c/EsportsAlliance/</t>
  </si>
  <si>
    <t>https://www.facebook.com/172882636630076/posts/1018820962036235/</t>
  </si>
  <si>
    <t>172882636630076_1000447847206880</t>
  </si>
  <si>
    <t>❤️🪂 เริ่มแล้วพรุ่งนี้ 10.00 น. ผู้เล่นทีมไทยทุกคนต่างเตรียมตัวเพื่อรังสรรค์ผลงานที่ดีที่สุดในศึกใหญ่ครั้งนี้ พี่น้องสาวกพับจีชาวไทยอย่างลืมมาให้กำลังใจทีมได้ทั้ง 2 (หรือ 3 ทีมนะ ^^)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 #AAA #BRU
⛔⛔⛔⛔⛔⛔⛔⛔⛔
🔔 กดติดตามช่องทางถ่ายทอดสดเตรียมไว้เลยที่: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</si>
  <si>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https://www.facebook.com/172882636630076/posts/1000447847206880/</t>
  </si>
  <si>
    <t>172882636630076_1018981242020207</t>
  </si>
  <si>
    <t>🏆 สรุปตารางคะแนนรอบ 𝗚𝗿𝗮𝗻𝗱 𝗙𝗶𝗻𝗮𝗹 วันที่ 1
Heroic ทีมจากโซน EU อยู่อันดับ 1 หลังจบ 5 เกมวันแรก  ในเวทีชิงแชมป์โลก 𝐏𝐔𝐁𝐆 𝐆𝐥𝐨𝐛𝐚𝐥 𝐂𝐡𝐚𝐦𝐩𝐢𝐨𝐧𝐬𝐡𝐢𝐩 𝟐𝟎𝟐𝟏 💵เงินรางวัลรวมกว่า 60 ล้านบาท  ร่วมลุ้นกันต่อวันพรุ่งนี้เวลา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</si>
  <si>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https://www.facebook.com/172882636630076/posts/1018981242020207/</t>
  </si>
  <si>
    <t>172882636630076_969476276970704</t>
  </si>
  <si>
    <t>🔥🔥 นับถอยหลัง 6 เกมสุดท้ายเชียร์ให้สุดกับ 5 ทีมไทย ในการแข่งขัน 𝐏𝐔𝐁𝐆 𝐂𝐨𝐧𝐭𝐢𝐧𝐞𝐧𝐭𝐚𝐥 𝐒𝐞𝐫𝐢𝐞𝐬 𝟓 𝗔𝗣𝗔𝗖 !!
.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</si>
  <si>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https://www.facebook.com/172882636630076/posts/969476276970704/</t>
  </si>
  <si>
    <t>172882636630076_1018844178700580</t>
  </si>
  <si>
    <t>🏆 ก่อนเริ่มแข่งวันนี้มาดูผู้เล่นที่ยิงเยอะที่สุดหลังผ่านมาแล้ว 30 แมทช์ ในเวทีชิงแชมป์โลกส่งท้ายปี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</si>
  <si>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https://www.facebook.com/172882636630076/posts/1018844178700580/</t>
  </si>
  <si>
    <t>172882636630076_1002995990285399</t>
  </si>
  <si>
    <t>🎥 𝐏𝐆𝐂 𝐃𝐢𝐚𝐫𝐢𝐞𝐬 ตามติดชีวิตนักแข่ง PUBG ชิงแชมป์โลก กักตัวทำอะไรกันบ้าง ไปดูกันเลยสาวก!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
#PUBG #ESPORTS #PGC2021 #พับจีชิงแชมป์โลก
#เชียร์ไทยไปชิงแชมป์โลก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</si>
  <si>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https://www.facebook.com/172882636630076/posts/1002995990285399/</t>
  </si>
  <si>
    <t>172882636630076_1005935756658089</t>
  </si>
  <si>
    <t>🎬ไฮไลท์จัดเต็มการแข่งขัน  รอบ 𝗪𝗲𝗲𝗸𝗹𝘆 𝗦𝘂𝗿𝘃𝗶𝘃𝗮𝗹 สัปดาห์ที่ 1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</si>
  <si>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https://www.facebook.com/172882636630076/posts/1005935756658089/</t>
  </si>
  <si>
    <t>172882636630076_1019983768586621</t>
  </si>
  <si>
    <t>🎬 PGC2021 Rivals EP.4 คมเฉือนคมนอกจอ เมื่อ Team Liquid vs KPI Gaming
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</si>
  <si>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https://www.facebook.com/172882636630076/posts/1019983768586621/</t>
  </si>
  <si>
    <t>172882636630076_1002358573682474</t>
  </si>
  <si>
    <t>🏆🌏อัพเดทตารางคะแนน 32 ทีม หลังจบกลุ่ม A VS D
🇹🇭Buriram United Esports ขยับขึ้นมาอยู่อันดับ 11 ชั่วคราว หลังกินไก่เพิ่ม ได้ 1 WWCD มีคะแนนรวม 108 แต้ม  
.
ในเวทีชิงแชมป์โลก 𝐏𝐔𝐁𝐆 𝐆𝐥𝐨𝐛𝐚𝐥 𝐂𝐡𝐚𝐦𝐩𝐢𝐨𝐧𝐬𝐡𝐢𝐩 𝟐𝟎𝟐𝟏  🔥 รอบ 𝗥𝗮𝗻𝗸 𝗗𝗲𝗰𝗶𝘀𝗶𝗼𝗻 วันสุดท้าย รับชม AAA🇹🇭  กันต่อกลุ่ม B VS C เวลา 17.00 น.เป็นต้นไป
.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</si>
  <si>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https://www.facebook.com/172882636630076/posts/1002358573682474/</t>
  </si>
  <si>
    <t>172882636630076_1007623696489295</t>
  </si>
  <si>
    <t>🎬ไฮไลท์จัดเต็มการแข่งขัน  รอบ 𝗪𝗲𝗲𝗸𝗹𝘆 𝗙𝗶𝗻𝗮𝗹 สัปดาห์ที่ 1 ในเวทีชิงแชมป์โลก 𝐏𝐔𝐁𝐆 𝐆𝐥𝐨𝐛𝐚𝐥 𝐂𝐡𝐚𝐦𝐩𝐢𝐨𝐧𝐬𝐡𝐢𝐩 𝟐𝟎𝟐𝟏  
🗓วันนี้ ทีม Attack All Around🇹🇭 จะได้เล่นในรอบ  𝗕𝗼𝘁𝘁𝗼𝗺 𝟭𝟲 สัปดาห์ที่ 1 เริ่มแข่งเวลา 17:00 น. (แข่ง 6 แมทช์)
 กฎ SUPER" สะสมแต้มเพื่อใช้จัดคิว 17-32 ใน Week 2 
.
มาเชียร์ตัวแทนทีมไทยลุยชิงแชมป์โลก 🇹🇭Buriram United Esports และ 🇹🇭Attack All Around  💵เงินรางวัลรวมกว่า 60 ล้านบาท ‼ 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</si>
  <si>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https://www.facebook.com/172882636630076/posts/1007623696489295/</t>
  </si>
  <si>
    <t>172882636630076_970284500223215</t>
  </si>
  <si>
    <t>ผู้เล่นไทย 🇹🇭 ที่ทำผลงานสุดปังสัปดาห์ที่ 3 วันที่ 1 ตกเป็นของ Ezqelusia จาก MiTH ในการแข่งขัน 𝐏𝐔𝐁𝐆 𝐂𝐨𝐧𝐭𝐢𝐧𝐞𝐧𝐭𝐚𝐥 𝐒𝐞𝐫𝐢𝐞𝐬 𝟓 𝗔𝗣𝗔𝗖 !!  #1ทุ่มเรามีนัดกัน6เกมสุดท้าย
 .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 (TH)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</si>
  <si>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https://www.facebook.com/172882636630076/posts/970284500223215/</t>
  </si>
  <si>
    <t>172882636630076_1019558645295800</t>
  </si>
  <si>
    <t>🏆 สรุปตารางคะแนนรอบ 𝗚𝗿𝗮𝗻𝗱 𝗙𝗶𝗻𝗮𝗹 วันที่ 2
ตึงเปรี๊ยะ !!! Heroic ทีมจากโซน EU ยังคงรักษาอันดับ 1 ไว้ได้ หลังจบวันที่ 2  ตามมาด้วย NewHappy ทีมจากประเทศจีน ในเวทีชิงแชมป์โลก 𝐏𝐔𝐁𝐆 𝐆𝐥𝐨𝐛𝐚𝐥 𝐂𝐡𝐚𝐦𝐩𝐢𝐨𝐧𝐬𝐡𝐢𝐩 𝟐𝟎𝟐𝟏 💵เงินรางวัลรวมกว่า 60 ล้านบาท  ร่วมลุ้นกันต่อพรุ่งนี้ 5 เกมสุดท้าย เวลา 17:00 น.เป็นต้นไป !!!
.
🗓ตารางการแข่งขันรอบ 𝗚𝗿𝗮𝗻𝗱 𝗙𝗶𝗻𝗮𝗹
⭕️17/ 18 / 19 ธันวาคม (แข่งวันละ 5 / 5/ 5 แมทช์) รอบ Grand Final 
⭕️ เริ่มแข่งเวลา 17:00 น.
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
🎥🟥 Youtube.com/c/EsportsAlliance/</t>
  </si>
  <si>
    <t>https://www.facebook.com/172882636630076/posts/1019558645295800/</t>
  </si>
  <si>
    <t>172882636630076_1012700112648320</t>
  </si>
  <si>
    <t>🎬ไฮไลท์จัดเต็มการแข่งขัน รอบ 𝗪𝗲𝗲𝗸𝗹𝘆 𝗙𝗶𝗻𝗮𝗹 สัปดาห์ที่ 2 ในเวทีชิงแชมป์โลก 𝐏𝐔𝐁𝐆 𝐆𝐥𝐨𝐛𝐚𝐥 𝐂𝐡𝐚𝐦𝐩𝐢𝐨𝐧𝐬𝐡𝐢𝐩 𝟐𝟎𝟐𝟏
◾ร่วมเชียร์ 🇹🇭Buriram United Esports ลุยต่อวัน รอบ 𝗪𝗲𝗲𝗸𝗹𝘆 𝗦𝘂𝗿𝘃𝗶𝘃𝗮𝗹 สัปดาห์ที่ 3 ในเวทีชิงแชมป์โลก 𝐏𝐔𝐁𝐆 𝐆𝐥𝐨𝐛𝐚𝐥 𝐂𝐡𝐚𝐦𝐩𝐢𝐨𝐧𝐬𝐡𝐢𝐩 𝟐𝟎𝟐𝟏 ตั้งแต่เวลา 17.00 น.เป็นต้นไป  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</si>
  <si>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https://www.facebook.com/172882636630076/posts/1012700112648320/</t>
  </si>
  <si>
    <t>172882636630076_972150376703294</t>
  </si>
  <si>
    <t>📢การต่อสู้ที่สูสี “PUBG Continental Series #5 - ASIA” จบลงไปแล้ว และทีม Petrichor Road 🇨🇳 คว้าแชมป์ในครั้งนี้ไปอย่างสวยงามพร้อมไปต่อรอบชิงแชมป์โลก
พากย์ไทยจัดเต็มความมันส์! ทุกวันเสาร์ - อาทิตย์ เวลา 
17.00 น. เป็นต้นไป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</si>
  <si>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https://www.facebook.com/172882636630076/posts/972150376703294/</t>
  </si>
  <si>
    <t>172882636630076_1003660933552238</t>
  </si>
  <si>
    <t>🏆🇹🇭 ร่วมเชียร์ไทยลุยชิงแชมป์โลกไปด้วยกันผ่าน 🎥"FANCAM" ที่จะเปิดให้ผู้ชมทางบ้านร่วมเชียร์กันผ่าน Discord ตลอดการแข่งขัน 𝐏𝐔𝐁𝐆 𝐆𝐥𝐨𝐛𝐚𝐥 𝐂𝐡𝐚𝐦𝐩𝐢𝐨𝐧𝐬𝐡𝐢𝐩 𝟐𝟎𝟐𝟏 
.
 วิธีการเข้าร่วมสนุก 
▶ 1.พร้อมเปิดกล้อง WEBCAM และ Microphone ระหว่างเชียร์
▶ 2.เข้าร่วม Discord ก่อนแข่ง 1 ชม. https://discord.gg/fuqEgg8vvV  
▶ 3.คนที่ได้เข้าร่วม 🎥 #FANCAM จะถูกสุ่มนำไปขึ้นไลฟ์ระหว่างถ่ายทอดสด ใครอยากโชว์ห้ามพลาด !!
มาเชียร์ตัวแทนทีมไทยลุยชิงแชมป์โลก 🇹🇭Buriram United Esports และ 🇹🇭Attack All Around  💵เงินรางวัลรวมกว่า 60 ล้านบาท ‼ 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</si>
  <si>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https://www.facebook.com/172882636630076/posts/1003660933552238/</t>
  </si>
  <si>
    <t>172882636630076_1007219633196368</t>
  </si>
  <si>
    <t>🏆🌏  เชียร์ 🇹🇭Attack All Around ไปด้วยกันรอบ 𝗕𝗼𝘁𝘁𝗼𝗺 𝟭𝟲 สัปดาห์ที่ 1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𝗕𝗼𝘁𝘁𝗼𝗺 𝟭𝟲 สัปดาห์ที่ 1  
⭕️ 29 พฤศจิกายน (แข่ง 6 แมทช์)
⭕️ เริ่มแข่งเวลา 17:00 น.
ทีม Attack All Around🇹🇭 จะได้เล่นในรอบ 𝗕𝗼𝘁𝘁𝗼𝗺 𝟭𝟲  กฎ SUPER" สะสมแต้มเพื่อใช้จัดคิว 17-32 ใน Week 2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</si>
  <si>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https://www.facebook.com/172882636630076/posts/1007219633196368/</t>
  </si>
  <si>
    <t>172882636630076_1017834152134916</t>
  </si>
  <si>
    <t>🎬 PGC Moments #4 รวมช็อทเฟี้ยวปั่นลั่นทุ่ง จากการแข่งขันพับจีชิงแชมป์โลก 2021 𝐏𝐔𝐁𝐆 𝐆𝐥𝐨𝐛𝐚𝐥 𝐂𝐡𝐚𝐦𝐩𝐢𝐨𝐧𝐬𝐡𝐢𝐩 𝟐𝟎𝟐𝟏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🗓ตารางการแข่งขันรอบ 𝗚𝗿𝗮𝗻𝗱 𝗦𝘂𝗿𝘃𝗶𝘃𝗮𝗹 / 𝗚𝗿𝗮𝗻𝗱 𝗙𝗶𝗻𝗮𝗹 
⭕️ 16 ธันวาคม (แข่ง 4 แมทช์) รอบ Grand Survival 
⭕️17/ 18 / 19 ธันวาคม (แข่งวันละ 5 / 5/ 5 แมทช์) รอบ Grand Final 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</si>
  <si>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https://www.facebook.com/172882636630076/posts/1017834152134916/</t>
  </si>
  <si>
    <t>172882636630076_1018144412103890</t>
  </si>
  <si>
    <t>🏆 ร่วมชี้ชะตา  4 ทีมสุดท้าย รอบ 𝗚𝗿𝗮𝗻𝗱 𝗦𝘂𝗿𝘃𝗶𝘃𝗮𝗹  เชียร์ 2 ทีมไทย 🇹🇭Buriram United Esports และ 🇹🇭Attack All Around ให้ผ่านเข้าสู่รอบ Grand Final ในเวทีชิงแชมป์โลก 𝐏𝐔𝐁𝐆 𝐆𝐥𝐨𝐛𝐚𝐥 𝐂𝐡𝐚𝐦𝐩𝐢𝐨𝐧𝐬𝐡𝐢𝐩 𝟐𝟎𝟐𝟏 ไปด้วยกันตั้งแต่เวลา 17.00 น. 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.
🗓ตารางการแข่งขันรอบ 𝗚𝗿𝗮𝗻𝗱 𝗦𝘂𝗿𝘃𝗶𝘃𝗮𝗹
⭕️ 16 ธันวาคม (แข่ง 4 แมทช์  กฎ WWCD)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</si>
  <si>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https://www.facebook.com/172882636630076/posts/1018144412103890/</t>
  </si>
  <si>
    <t>172882636630076_1017105642207767</t>
  </si>
  <si>
    <t>🎬ไฮไลท์จัดเต็มการแข่งขัน รอบ 𝗪𝗲𝗲𝗸𝗹𝘆 𝗙𝗶𝗻𝗮𝗹 สัปดาห์ที่ 3 ในเวทีชิงแชมป์โลก 𝐏𝐔𝐁𝐆 𝐆𝐥𝐨𝐛𝐚𝐥 𝐂𝐡𝐚𝐦𝐩𝐢𝐨𝐧𝐬𝐡𝐢𝐩 𝟐𝟎𝟐𝟏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🗓ตารางการแข่งขันรอบ 𝗚𝗿𝗮𝗻𝗱 𝗦𝘂𝗿𝘃𝗶𝘃𝗮𝗹 / 𝗚𝗿𝗮𝗻𝗱 𝗙𝗶𝗻𝗮𝗹 
⭕️ 16 ธันวาคม (แข่ง 4 แมทช์) รอบ Grand Survival 
⭕️ 17/ 18 / 19 ธันวาคม (แข่งวันละ 5 / 5/ 5 แมทช์) รอบ Grand Final 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FacebookPUBG Thailand Pro League 
🎥🟦 Facebook Esports Alliance</t>
  </si>
  <si>
    <t>https://www.facebook.com/172882636630076/posts/1017105642207767/</t>
  </si>
  <si>
    <t>172882636630076_972161813368817</t>
  </si>
  <si>
    <t>📢ทีม Petrichor Road 🇨🇳 แชมป์ “PUBG Continental Series #5 - ASIA” ได้ไปสองไก่และเงินรางวัลรวม 54,000 ดอลลาร์หรือเกือบๆ 2,000,000 บาทพร้อมคว้าตั๋วไปเจอทีมไทยใน PUBG Global Championship 2021 
พากย์ไทยจัดเต็มความมันส์! ทุกวันเสาร์ - อาทิตย์ เวลา 
17.00 น. เป็นต้นไป
🏆🇹🇭 ห้ามพลาดรวมส่งพลังใจ ชมสดและเชียร์ 5 ทีมไทย คว้าตั๋วลุยชิงแชมป์โลก!
🗓#วันที่แข่งขัน (ทุกวันพฤหัสบดี และ ศุกร์) เวลา 18.00 น.
▪️ สัปดาห์ที่ 1 : 16 ก.ย. - 17 ก.ย.
▪️ สัปดาห์ที่ 2 : 23 ก.ย. - 24 ก.ย.
▪️ สัปดาห์ที่ 3 : 30 ก.ย. - 1 ต.ค.
🔴 #ช่องทางรับชมถ่ายทอดสด
- PUBG Official -
🎥🟥 http://bit.ly/2P5IbzQ
🎥🟦 PLAYERUNKNOWN'S BATTLEGROUNDS
🎥🟪 Twitch.tv/pubgthailandofficial
🎥🟩 Tiktok.com/@pubgthailandofficial
- ช่องทางอื่นๆ -
🎥🟪 Twitch.tv/fpsthailand
🎥🟪 Twitch.tv/esports_alliance
🎥🟦 PUBG Thailand Pro League
🎥🟦 Esports Alliance
🎥🟥 Youtube.com/c/EsportsAlliance/
🇹🇭 #5ทีมที่ได้เป็นตัวแทนประเทศไทย ลุย PCS5 APAC 🇹🇭
▪Daytrade Gaming
▪Sharper Esport
▪Attack All Around
▪MiTH
▪MS Chonburi
👨‍💼 ดูรายละเอียด PCS5 Pick'Em Challenge เพิ่มเติมได้ที่ ▶▶ https://bit.ly/PCS5PickemTH
💞💁‍♀️เตรียมมาพบความน่ารักสดใสตลอดช่วงการแข่ง PCS5 ในรายการ PUBG Battle Girls 🎁⁉ พร้อมกิจกรรมตอบคำถามผ่านช่องแชทชิงรางวัลทุกสัปดาห์ บอกเลยว่าฟิน! 💓 กดซับช่องยูทูปรอกันได้เลยสาวก! ▶ http://bit.ly/2P5IbzQ
#PUBG #ESPORTS #PCS5 #PUBGBattleGirls
#เชียร์ไทยไปชิงแชมป์โลก #RoadToPGC202
#DaytradeGaming #ShaperEsport #AttackAllAround #MiTH #MSChonburi</t>
  </si>
  <si>
    <t>https://www.facebook.com/172882636630076/posts/972161813368817/</t>
  </si>
  <si>
    <t>172882636630076_1007813089803689</t>
  </si>
  <si>
    <t>🏆🌏 สรุปตารางคะแนน รอบ 𝗕𝗼𝘁𝘁𝗼𝗺 𝟭𝟲 สัปดาห์ที่ 1
🇹🇭Attack All Around ของเราจบอันดับ 11 ของตาราง จะได้ลงเล่นรอบ Weekly Survival  สัปดาห์ที่ 2 วันที่ 3 แมทช์ที่ 12 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</si>
  <si>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https://www.facebook.com/172882636630076/posts/1007813089803689/</t>
  </si>
  <si>
    <t>172882636630076_1000417933876538</t>
  </si>
  <si>
    <t>🏆🌏 พบกับเหล่านักพากย์ที่จะมาสร้างความมันส์ตลอดการแข่งขัน กับเวทีชิงแชมป์โลก 𝐏𝐔𝐁𝐆 𝐆𝐥𝐨𝐛𝐚𝐥 𝐂𝐡𝐚𝐦𝐩𝐢𝐨𝐧𝐬𝐡𝐢𝐩 𝟐𝟎𝟐𝟏 🔥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</si>
  <si>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https://www.facebook.com/172882636630076/posts/1000417933876538/</t>
  </si>
  <si>
    <t>172882636630076_1000369933881338</t>
  </si>
  <si>
    <t>🏆🌏 ปักเวลารอกันได้เลยกับตารางการแข่งขัน รอบ 𝗥𝗮𝗻𝗸 𝗗𝗲𝗰𝗶𝘀𝗶𝗼𝗻 ในเวทีชิงแชมป์โลก 𝐏𝐔𝐁𝐆 𝐆𝐥𝐨𝐛𝐚𝐥 𝐂𝐡𝐚𝐦𝐩𝐢𝐨𝐧𝐬𝐡𝐢𝐩 𝟐𝟎𝟐𝟏 🔥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</si>
  <si>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https://www.facebook.com/172882636630076/posts/1000369933881338/</t>
  </si>
  <si>
    <t>172882636630076_1011017489483249</t>
  </si>
  <si>
    <t>🏆🌏 มาร่วมเชียร์อีก 1 ทีมไทย 🇹🇭Attack All Around ให้ติดอันดับต้น ๆ ในรอบ 𝗕𝗼𝘁𝘁𝗼𝗺 𝟭𝟲 สัปดาห์ที่ 2 ไปด้วยกัน ในเวทีชิงแชมป์โลก 𝐏𝐔𝐁𝐆 𝐆𝐥𝐨𝐛𝐚𝐥 𝐂𝐡𝐚𝐦𝐩𝐢𝐨𝐧𝐬𝐡𝐢𝐩 𝟐𝟎𝟐𝟏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🗓ตารางการแข่งขันรอบ 𝗕𝗼𝘁𝘁𝗼𝗺 𝟭𝟲 สัปดาห์ที่ 2
⭕️ 6 ธันวาคม (แข่ง 6 แมทช์)
⭕️ เริ่มแข่งเวลา 17:00 น.
👨‍💼ทีม Attack All Around🇹🇭 จะได้เล่นในรอบ 𝗕𝗼𝘁𝘁𝗼𝗺 𝟭𝟲 กฎ SUPER" สะสมแต้มเพื่อใช้จัดคิว 17-32 ใน สัปดาห์ที่ 3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</si>
  <si>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https://www.facebook.com/172882636630076/posts/1011017489483249/</t>
  </si>
  <si>
    <t>172882636630076_1016029862315345</t>
  </si>
  <si>
    <t>🔥🔥ส่งท้ายไก่เกมสุดท้ายสวย ๆ Gen.G ตัวแทนจากประเทศเกาหลีใต้ พวกเขากลับมาแรงในวีคนี้ 
.
คว้าอันดับ 1 รอบ 𝗪𝗲𝗲𝗸𝗹𝘆 𝗙𝗶𝗻𝗮𝗹 สัปดาห์สุดท้ายไปครอง พร้อมเข้าไปสู่รอบ Grand Final  เป็นทีมที่ 3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</si>
  <si>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https://www.facebook.com/172882636630076/posts/1016029862315345/</t>
  </si>
  <si>
    <t>172882636630076_1001291520455846</t>
  </si>
  <si>
    <t>🏆🌏ศึกชิงเมืองกำลังจะลุกเป็นไฟ🔥 กับเวทีชิงแชมป์โลก 𝐏𝐔𝐁𝐆 𝐆𝐥𝐨𝐛𝐚𝐥 𝐂𝐡𝐚𝐦𝐩𝐢𝐨𝐧𝐬𝐡𝐢𝐩 𝟐𝟎𝟐𝟏  🔥 รอบ 𝗥𝗮𝗻𝗸 𝗗𝗲𝗰𝗶𝘀𝗶𝗼𝗻 วันที่ 2 ตั้งแต่เวลา 11:00 น.เป็นต้นไป !!!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</si>
  <si>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https://www.facebook.com/172882636630076/posts/1001291520455846/</t>
  </si>
  <si>
    <t>172882636630076_1000429033875428</t>
  </si>
  <si>
    <t>🏆🌏  พร้อมเปิดศึกใหญ่ที่จะลุกเป็นไฟ กับเวทีชิงแชมป์โลก 𝐏𝐔𝐁𝐆 𝐆𝐥𝐨𝐛𝐚𝐥 𝐂𝐡𝐚𝐦𝐩𝐢𝐨𝐧𝐬𝐡𝐢𝐩 𝟐𝟎𝟐𝟏  🔥 รอบ 𝗥𝗮𝗻𝗸 𝗗𝗲𝗰𝗶𝘀𝗶𝗼𝗻 วันแรก ตั้งแต่เวลา 11:00 น.เป็นต้นไป !!!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</si>
  <si>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https://www.facebook.com/172882636630076/posts/1000429033875428/</t>
  </si>
  <si>
    <t>172882636630076_1001572340427764</t>
  </si>
  <si>
    <t>🔥🔥ศึกชิงเมืองจะเป็นของใคร ? วันนี้มาลุ้นกัน 11.00 น. 17 Gaming นำ Soniqs อยู่ 4-2 ไฟท์ กับเวทีชิงแชมป์โลก 𝐏𝐔𝐁𝐆 𝐆𝐥𝐨𝐛𝐚𝐥 𝐂𝐡𝐚𝐦𝐩𝐢𝐨𝐧𝐬𝐡𝐢𝐩 𝟐𝟎𝟐𝟏  🔥 รอบ 𝗥𝗮𝗻𝗸 𝗗𝗲𝗰𝗶𝘀𝗶𝗼𝗻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</si>
  <si>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https://www.facebook.com/172882636630076/posts/1001572340427764/</t>
  </si>
  <si>
    <t>172882636630076_1001924903725841</t>
  </si>
  <si>
    <t>🏆🌏ลุ้นกันต่อให้ทีมไทยติดอันดับ 16 ทีมแรก 🔥 กับเวทีชิงแชมป์โลก 𝐏𝐔𝐁𝐆 𝐆𝐥𝐨𝐛𝐚𝐥 𝐂𝐡𝐚𝐦𝐩𝐢𝐨𝐧𝐬𝐡𝐢𝐩 𝟐𝟎𝟐𝟏  🔥 รอบ 𝗥𝗮𝗻𝗸 𝗗𝗲𝗰𝗶𝘀𝗶𝗼𝗻 วันที่ 3 ตั้งแต่เวลา 11:00 น.เป็นต้นไป !!! 
.
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นี้ !!!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 Esports Alliance 
🎥🟥 Youtube.com/c/EsportsAlliance/</t>
  </si>
  <si>
    <t>https://www.facebook.com/172882636630076/posts/1001924903725841/</t>
  </si>
  <si>
    <t>172882636630076_1010255829559415</t>
  </si>
  <si>
    <t>🎬ไฮไลท์จัดเต็มการแข่งขัน รอบ 𝗪𝗲𝗲𝗸𝗹𝘆 𝗦𝘂𝗿𝘃𝗶𝘃𝗮𝗹 สัปดาห์ที่ 2 ในเวทีชิงแชมป์โลก 𝐏𝐔𝐁𝐆 𝐆𝐥𝐨𝐛𝐚𝐥 𝐂𝐡𝐚𝐦𝐩𝐢𝐨𝐧𝐬𝐡𝐢𝐩 𝟐𝟎𝟐𝟏
◾ร่วมเชียร์ 🇹🇭Buriram United Esports ลุยต่อวัน เสาร์-อาทิตย์นี้ รอบ 𝗪𝗲𝗲𝗸𝗹𝘆 𝗙𝗶𝗻𝗮𝗹 สัปดาห์ที่ 2 ในเวทีชิงแชมป์โลก 𝐏𝐔𝐁𝐆 𝐆𝐥𝐨𝐛𝐚𝐥 𝐂𝐡𝐚𝐦𝐩𝐢𝐨𝐧𝐬𝐡𝐢𝐩 𝟐𝟎𝟐𝟏 ตั้งแต่เวลา 17.00 น.เป็นต้นไป  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</si>
  <si>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https://www.facebook.com/172882636630076/posts/1010255829559415/</t>
  </si>
  <si>
    <t>172882636630076_1015878822330449</t>
  </si>
  <si>
    <t>🇹🇭🎥ไฮไลท์ TEAM TALKS เปิดไมค์วินาทีกินไก่ ของ Attack All Around รอบ 𝗪𝗲𝗲𝗸𝗹𝘆 𝗦𝘂𝗿𝘃𝗶𝘃𝗮𝗹 สัปดาห์ที่ 3  ในเวทีชิงแชมป์โลก 𝐏𝐔𝐁𝐆 𝐆𝐥𝐨𝐛𝐚𝐥 𝐂𝐡𝐚𝐦𝐩𝐢𝐨𝐧𝐬𝐡𝐢𝐩 𝟐𝟎𝟐𝟏
◾ร่วมเชียร์ 🇹🇭Attack All Around ลุยต่อในวันนี้ รอบ 𝗪𝗲𝗲𝗸𝗹𝘆 𝗙𝗶𝗻𝗮𝗹 สัปดาห์ที่ 3 ในเวทีชิงแชมป์โลก 𝐏𝐔𝐁𝐆 𝐆𝐥𝐨𝐛𝐚𝐥 𝐂𝐡𝐚𝐦𝐩𝐢𝐨𝐧𝐬𝐡𝐢𝐩 𝟐𝟎𝟐𝟏 ตั้งแต่เวลา 17.00 น.เป็นต้นไป
🗓ตารางการแข่งขันรอบ 𝗪𝗲𝗲𝗸𝗹𝘆 𝗙𝗶𝗻𝗮𝗹 สัปดาห์ที่ 3
⭕️ 11/ 12 ธันวาคม (แข่งวันละ 5 / 5 แมทช์)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</si>
  <si>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https://www.facebook.com/172882636630076/posts/1015878822330449/</t>
  </si>
  <si>
    <t>172882636630076_1005926013325730</t>
  </si>
  <si>
    <t>🏆🌏  วันสุดท้าย รอบ 𝗪𝗲𝗲𝗸𝗹𝘆 𝗙𝗶𝗻𝗮𝗹 สัปดาห์แรก 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</si>
  <si>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https://www.facebook.com/172882636630076/posts/1005926013325730/</t>
  </si>
  <si>
    <t>172882636630076_1005921279992870</t>
  </si>
  <si>
    <t>🏆🌏 มันส์กันต่อกับรอบ 𝗪𝗲𝗲𝗸𝗹𝘆 𝗙𝗶𝗻𝗮𝗹 สัปดาห์แรก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</si>
  <si>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https://www.facebook.com/172882636630076/posts/1005921279992870/</t>
  </si>
  <si>
    <t>172882636630076_1017589345492730</t>
  </si>
  <si>
    <t>🇹🇭🎥ไฮไลท์ TEAM TALKS เปิดไมค์วินาทีกินไก่ ของ  Buriram United Esports ในเวทีชิงแชมป์โลก 𝐏𝐔𝐁𝐆 𝐆𝐥𝐨𝐛𝐚𝐥 𝐂𝐡𝐚𝐦𝐩𝐢𝐨𝐧𝐬𝐡𝐢𝐩 𝟐𝟎𝟐𝟏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🗓ตารางการแข่งขันรอบ 𝗚𝗿𝗮𝗻𝗱 𝗦𝘂𝗿𝘃𝗶𝘃𝗮𝗹 / 𝗚𝗿𝗮𝗻𝗱 𝗙𝗶𝗻𝗮𝗹 
⭕️ 16 ธันวาคม (แข่ง 4 แมทช์) รอบ Grand Survival 
⭕️17/ 18 / 19 ธันวาคม (แข่งวันละ 5 / 5/ 5 แมทช์) รอบ Grand Final 
⭕️ เริ่มแข่งเวลา 17:00 น.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</si>
  <si>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https://www.facebook.com/172882636630076/posts/1017589345492730/</t>
  </si>
  <si>
    <t>172882636630076_1001283097123355</t>
  </si>
  <si>
    <t>🏆🌏อัพเดทตารางคะแนนรวมทั้งหมด 32 ทีม วันแรก พรุ่งนี้มาลุ้นกันต่อกับศึกชิงเมือง 3 ทีม Attack All Around , Soniqs และ 17 Gaming  ตั้งแต่เวลา 11.00 น.เป็นต้นไป !!
.
ในเวทีชิงแชมป์โลก 𝐏𝐔𝐁𝐆 𝐆𝐥𝐨𝐛𝐚𝐥 𝐂𝐡𝐚𝐦𝐩𝐢𝐨𝐧𝐬𝐡𝐢𝐩 𝟐𝟎𝟐𝟏  🔥 รอบ 𝗥𝗮𝗻𝗸 𝗗𝗲𝗰𝗶𝘀𝗶𝗼𝗻 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</si>
  <si>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https://www.facebook.com/172882636630076/posts/1001283097123355/</t>
  </si>
  <si>
    <t>172882636630076_1014187265832938</t>
  </si>
  <si>
    <t>🇹🇭🍗 ผลงานทีม 🇹🇭Attack All Around แมทช์ 14 ที่กินไก่ รอบ 𝗪𝗲𝗲𝗸𝗹𝘆 𝗦𝘂𝗿𝘃𝗶𝘃𝗮𝗹 สัปดาห์ที่ 3 และเข้าสู่รอบ Weekly Final ได้สำเร็จในเวทีชิงแชมป์โลก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</si>
  <si>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https://www.facebook.com/172882636630076/posts/1014187265832938/</t>
  </si>
  <si>
    <t>172882636630076_1014939492424382</t>
  </si>
  <si>
    <t>🏆5 เกมสุดท้าย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</si>
  <si>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https://www.facebook.com/172882636630076/posts/1014939492424382/</t>
  </si>
  <si>
    <t>172882636630076_1014938215757843</t>
  </si>
  <si>
    <t>🏆เสาร์-อาทิตย์นี้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</si>
  <si>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https://www.facebook.com/172882636630076/posts/1014938215757843/</t>
  </si>
  <si>
    <t>172882636630076_1005877146663950</t>
  </si>
  <si>
    <t>🏆🌏 มาดูผลงานทีม 🇹🇭Buriram United Esports  แมทช์ที่พวกเขาได้กินไก่กันใน รอบ 𝗪𝗲𝗲𝗸𝗹𝘆 𝗦𝘂𝗿𝘃𝗶𝘃𝗮𝗹 สัปดาห์ที่ 1 แมทช์ที่ 16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</si>
  <si>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https://www.facebook.com/172882636630076/posts/1005877146663950/</t>
  </si>
  <si>
    <t>172882636630076_1002650746986590</t>
  </si>
  <si>
    <t>🏆🌏 สรุปตารางคะแนน 32 ทีม รอบ 𝗥𝗮𝗻𝗸 𝗗𝗲𝗰𝗶𝘀𝗶𝗼𝗻  วันสุดท้าย
ในเวทีชิงแชมป์โลก 𝐏𝐔𝐁𝐆 𝐆𝐥𝐨𝐛𝐚𝐥 𝐂𝐡𝐚𝐦𝐩𝐢𝐨𝐧𝐬𝐡𝐢𝐩 𝟐𝟎𝟐𝟏 อันดับ 1-16 จะได้ลงแข่งขันก่อนในแมทช์ที่ 1รอบ 𝗪𝗲𝗲𝗸𝗹𝘆 𝗦𝘂𝗿𝘃𝗶𝘃𝗮𝗹 สัปดาห์ที่ 1 เริ่มวันอังคารที่ 23 พ.ย. ที่จะใช้กฎ WWCD Rule และอันดับ17-31 จะได้ลงเล่นในแมทช์ถัดไปตามลำดับ
.
อันดับทีมไทย 🇹🇭
🎖อันดับ 15 Buriram United Esports 108 คะแนน 
🎖อันดับ 28 Attack All Around  67 คะแนน(จะได้ลงเล่นในแมทช์ที่ 13 )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</si>
  <si>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https://www.facebook.com/172882636630076/posts/1002650746986590/</t>
  </si>
  <si>
    <t>172882636630076_1006587349926263</t>
  </si>
  <si>
    <t>🏆🌏 Player of the day  𝗪𝗲𝗲𝗸𝗹𝘆 𝗙𝗶𝗻𝗮𝗹 สัปดาห์ที่ 1 วันที่ 1
ตกเป็นของ Capitan จากทีม KPI Gaming ที่ทำผลงาน Kills วันแรก จาก 5 เกมไป 12 kills 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</si>
  <si>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https://www.facebook.com/172882636630076/posts/1006587349926263/</t>
  </si>
  <si>
    <t>172882636630076_1014653392452992</t>
  </si>
  <si>
    <t>🎥ไฮไลท์จัดเต็มการแข่งขัน รอบ 𝗪𝗲𝗲𝗸𝗹𝘆 𝗦𝘂𝗿𝘃𝗶𝘃𝗮𝗹 สัปดาห์ที่ 3 ในเวทีชิงแชมป์โลก 𝐏𝐆𝐂𝟐𝟎𝟐𝟏
🎬ไฮไลท์จัดเต็มการแข่งขัน รอบ 𝗪𝗲𝗲𝗸𝗹𝘆 𝗦𝘂𝗿𝘃𝗶𝘃𝗮𝗹 สัปดาห์ที่ 3 ในเวทีชิงแชมป์โลก 𝐏𝐔𝐁𝐆 𝐆𝐥𝐨𝐛𝐚𝐥 𝐂𝐡𝐚𝐦𝐩𝐢𝐨𝐧𝐬𝐡𝐢𝐩 𝟐𝟎𝟐𝟏
◾ร่วมเชียร์ 🇹🇭Attack All Around ลุยต่อวัน เสาร์-อาทิตย์นี้ รอบ 𝗪𝗲𝗲𝗸𝗹𝘆 𝗙𝗶𝗻𝗮𝗹 สัปดาห์ที่ 3ในเวทีชิงแชมป์โลก 𝐏𝐔𝐁𝐆 𝐆𝐥𝐨𝐛𝐚𝐥 𝐂𝐡𝐚𝐦𝐩𝐢𝐨𝐧𝐬𝐡𝐢𝐩 𝟐𝟎𝟐𝟏 ตั้งแต่เวลา 17.00 น.เป็นต้นไป
🗓ตารางการแข่งขันรอบ 𝗪𝗲𝗲𝗸𝗹𝘆 𝗙𝗶𝗻𝗮𝗹 สัปดาห์ที่ 3
⭕️ 11/ 12 ธันวาคม (แข่งวันละ 5 / 5 แมทช์)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</si>
  <si>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https://www.facebook.com/172882636630076/posts/1014653392452992/</t>
  </si>
  <si>
    <t>172882636630076_1010515446200120</t>
  </si>
  <si>
    <t>🏆🌏 วันหยุดไม่ได้ไปไหนรอเชียร์ทีมไทย รอบ 𝗪𝗲𝗲𝗸𝗹𝘆 𝗙𝗶𝗻𝗮𝗹 สัปดาห์ที่ 2 วันที่ 2 ให้คว้าแชมป์วีคนี้ผ่านเข้าสู่รอบ Grand Final ไปด้วยกัน ในเวทีชิงแชมป์โลก 𝐏𝐔𝐁𝐆 𝐆𝐥𝐨𝐛𝐚𝐥 𝐂𝐡𝐚𝐦𝐩𝐢𝐨𝐧𝐬𝐡𝐢𝐩 𝟐𝟎𝟐𝟏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</si>
  <si>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https://www.facebook.com/172882636630076/posts/1010515446200120/</t>
  </si>
  <si>
    <t>172882636630076_1011030879481910</t>
  </si>
  <si>
    <t>🏆🌏 สรุปตารางคะแนน รอบ 𝗪𝗲𝗲𝗸𝗹𝘆 𝗙𝗶𝗻𝗮𝗹 สัปดาห์ที่ 2 วันที่ 1
เชียร์ทีมไทยกันต่อพรุ่งนี้อีก 1 วัน รอบ 𝗪𝗲𝗲𝗸𝗹𝘆 𝗙𝗶𝗻𝗮𝗹 สัปดาห์ที่ 2 ในเวทีชิงแชมป์โลก 𝐏𝐔𝐁𝐆 𝐆𝐥𝐨𝐛𝐚𝐥 𝐂𝐡𝐚𝐦𝐩𝐢𝐨𝐧𝐬𝐡𝐢𝐩 𝟐𝟎𝟐𝟏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</si>
  <si>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https://www.facebook.com/172882636630076/posts/1011030879481910/</t>
  </si>
  <si>
    <t>172882636630076_1010510302867301</t>
  </si>
  <si>
    <t>🏆🌏 เชียร์ 🇹🇭Buriram United Esport ไปด้วยกัน รอบ 𝗪𝗲𝗲𝗸𝗹𝘆 𝗙𝗶𝗻𝗮𝗹 สัปดาห์ที่ 2 วันที่ 1  ในเวทีชิงแชมป์โลก 𝐏𝐔𝐁𝐆 𝐆𝐥𝐨𝐛𝐚𝐥 𝐂𝐡𝐚𝐦𝐩𝐢𝐨𝐧𝐬𝐡𝐢𝐩 𝟐𝟎𝟐𝟏 ให้คว้าแชมป์วีคนี้ผ่านเข้าสู่รอบ Grand Final ไปด้วยกัน ตั้งแต่เวลา 17.00 น.เป็นต้นไป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</si>
  <si>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https://www.facebook.com/172882636630076/posts/1010510302867301/</t>
  </si>
  <si>
    <t>172882636630076_1014168805834784</t>
  </si>
  <si>
    <t>🏆🌏 สรุปทีมกินไก่รอบ 𝗪𝗲𝗲𝗸𝗹𝘆 𝗦𝘂𝗿𝘃𝗶𝘃𝗮𝗹 สัปดาห์ที่ 3 วันที่ 3
วีคนี้ 🇹🇭Attack All Around  พวกเขาปลดล็อคได้แล้ว จะเข้าไปแข่งขันต่อรอบ Weekly Final สัปดาห์ที่ 3 เสาร์-อาทิตย์นี้ บนเวทีชิงแชมป์โลก 𝐏𝐔𝐁𝐆 𝐆𝐥𝐨𝐛𝐚𝐥 𝐂𝐡𝐚𝐦𝐩𝐢𝐨𝐧𝐬𝐡𝐢𝐩 𝟐𝟎𝟐𝟏 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</si>
  <si>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https://www.facebook.com/172882636630076/posts/1014168805834784/</t>
  </si>
  <si>
    <t>172882636630076_1015898692328462</t>
  </si>
  <si>
    <t>🔥🔥ก่อนแข่งวันสุดท้าย เรามาดู Head To Head ของ 2 ทีม ที่กำลังเข้มข้นแย่งชิงอันดับ 1 กัน ระหว่าง Natus Vincere(NaVi)  𝗩𝘀 Gen.G 
หลังจบ 5 เกมวันแรก รอบ 𝗪𝗲𝗲𝗸𝗹𝘆 𝗙𝗶𝗻𝗮𝗹 สัปดาห์สุดท้าย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</si>
  <si>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https://www.facebook.com/172882636630076/posts/1015898692328462/</t>
  </si>
  <si>
    <t>172882636630076_1001915433726788</t>
  </si>
  <si>
    <t>🏆🌏อัพเดทตารางคะแนน 32 ทีม หลังจบกลุ่ม A VS C
🇹🇭Buriram United Esports วันนี้มาดีกินไก่แรกให้ไทยและเก็บคะแนนเพิ่มไป 48 แต้ม รวม 65 แต้มขึ้นมาอยู่อันดับ 15 วันที่ 2
.
ในเวทีชิงแชมป์โลก 𝐏𝐔𝐁𝐆 𝐆𝐥𝐨𝐛𝐚𝐥 𝐂𝐡𝐚𝐦𝐩𝐢𝐨𝐧𝐬𝐡𝐢𝐩 𝟐𝟎𝟐𝟏  🔥 รอบ 𝗥𝗮𝗻𝗸 𝗗𝗲𝗰𝗶𝘀𝗶𝗼𝗻  รับชมกันได้ต่อวันพรุ่งนี้ตั้งแต่เวลา 11.00 น.เป็นต้นไป !!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</si>
  <si>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https://www.facebook.com/172882636630076/posts/1001915433726788/</t>
  </si>
  <si>
    <t>172882636630076_1014090272509304</t>
  </si>
  <si>
    <t>🇹🇭พวกเขามาแล้ว 🇹🇭Attack All Around ทำได้หลังลงเพียง 2 เกมเท่านั้น กินไก่เกมที่ 14 ไปได้ในรอบ  𝗪𝗲𝗲𝗸𝗹𝘆 𝗦𝘂𝗿𝘃𝗶𝘃𝗮𝗹 สัปดาห์ที่ 3 บนเวทีชิงแชมป์โลก 𝐏𝐔𝐁𝐆 𝐆𝐥𝐨𝐛𝐚𝐥 𝐂𝐡𝐚𝐦𝐩𝐢𝐨𝐧𝐬𝐡𝐢𝐩 𝟐𝟎𝟐𝟏 !!
.
เชียร์ 🇹🇭Buriram United Esports ให้เข้ารอบไปด้วยกันต่ออีก 2 เกมสุดท้าย 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</si>
  <si>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https://www.facebook.com/172882636630076/posts/1014090272509304/</t>
  </si>
  <si>
    <t>172882636630076_1016094915642173</t>
  </si>
  <si>
    <t>🏆12 ทีมแรกที่จะเข้าไปรอรอบ  𝗚𝗿𝗮𝗻𝗱 𝗙𝗶𝗻𝗮𝗹 แบ่งเป็น 3 ทีมอันดับ 1 รอบ Weekly Final และ 9 ทีมที่มีคะแนนรวมดีที่สุด ในเวทีชิงแชมป์โลก 𝐏𝐔𝐁𝐆 𝐆𝐥𝐨𝐛𝐚𝐥 𝐂𝐡𝐚𝐦𝐩𝐢𝐨𝐧𝐬𝐡𝐢𝐩 𝟐𝟎𝟐𝟏 วันที่ 17-19 ธ.ค. นี้
.
ร่วมลุ้น 2 ตัวแทนทีมไทย 🇹🇭Buriram United Esports และ 🇹🇭Attack All Around กันต่อในรอบ Grand Survival กับกฎกินไก่ 4 ทีมเท่านั้นที่จะได้ไปต่อในรอบ Grand Final 
.
.
🗓ตารางการแข่งขันรอบ 𝗚𝗿𝗮𝗻𝗱 𝗦𝘂𝗿𝘃𝗶𝘃𝗮𝗹 / 𝗚𝗿𝗮𝗻𝗱 𝗙𝗶𝗻𝗮𝗹 
⭕️ 16 ธันวาคม (แข่ง 4 แมทช์) รอบ Grand Survival 
⭕️17/ 18 / 19 ธันวาคม (แข่งวันละ 5 / 5/ 5 แมทช์) รอบ Grand Final 
⭕️ เริ่มแข่งเวลา 17:00 น.
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</si>
  <si>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https://www.facebook.com/172882636630076/posts/1016094915642173/</t>
  </si>
  <si>
    <t>172882636630076_1015450285706636</t>
  </si>
  <si>
    <t>🏆 สรุปตารางคะแนน  รอบ 𝗪𝗲𝗲𝗸𝗹𝘆 𝗙𝗶𝗻𝗮𝗹 สัปดาห์ที่ 3 วันที่ 1
Natus Vincere และ Gen.G  เข้มข้นกันตั้งแต่วันแรก อยู่หัวตารางหลังจบ 5 เกม เชียร์ทีมไทย 🇹🇭Attack All Around กันต่อ ในเวทีชิงแชมป์โลก 𝐏𝐔𝐁𝐆 𝐆𝐥𝐨𝐛𝐚𝐥 𝐂𝐡𝐚𝐦𝐩𝐢𝐨𝐧𝐬𝐡𝐢𝐩 𝟐𝟎𝟐𝟏  วันพรุ่งนี้ เวลา 17.00 น.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3
⭕️ 11/ 12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</si>
  <si>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https://www.facebook.com/172882636630076/posts/1015450285706636/</t>
  </si>
  <si>
    <t>172882636630076_1012891612629170</t>
  </si>
  <si>
    <t>🏆🌏 สรุปทีมกินไก่รอบ 𝗪𝗲𝗲𝗸𝗹𝘆 𝗦𝘂𝗿𝘃𝗶𝘃𝗮𝗹 สัปดาห์ที่ 3 วันที่ 1
ลุ้นทีมไทยกินไก่กันต่อวันพรุ่งนี้ รอบ 𝗪𝗲𝗲𝗸𝗹𝘆 𝗦𝘂𝗿𝘃𝗶𝘃𝗮𝗹 สัปดาห์ที่ 3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</si>
  <si>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https://www.facebook.com/172882636630076/posts/1012891612629170/</t>
  </si>
  <si>
    <t>172882636630076_1011462816105383</t>
  </si>
  <si>
    <t>🔥🔥ก่อนแข่งมาดู Head To Head Player 2 ผู้เล่นที่มาแรงวีคนี้ว่าใครจะโหดกว่ากันหลังจบ รอบ 𝗪𝗲𝗲𝗸𝗹𝘆 𝗙𝗶𝗻𝗮𝗹 สัปดาห์ที่ 2  วันแรก จาก 5 เกมล่าสุด ระหว่าง Savior จากทีม Global Esports Xsset ปะทะกับ Heaven จากทีม GNL ESPORTS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</si>
  <si>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https://www.facebook.com/172882636630076/posts/1011462816105383/</t>
  </si>
  <si>
    <t>172882636630076_1009768216274843</t>
  </si>
  <si>
    <t>🍗สรุปทีมกินไก่ 𝗪𝗲𝗲𝗸𝗹𝘆 𝗦𝘂𝗿𝘃𝗶𝘃𝗮𝗹 สัปดาห์ที่ 2 วันที่ 3
.
ครบแล้วสำหรับ 16 ทีมที่จะเข้าไปแข่งขันต่อรอบ Weekly Final สัปดาห์ที่ 2 ในเวทีชิงแชมป์โลก 𝐏𝐔𝐁𝐆 𝐆𝐥𝐨𝐛𝐚𝐥 𝐂𝐡𝐚𝐦𝐩𝐢𝐨𝐧𝐬𝐡𝐢𝐩 𝟐𝟎𝟐𝟏 ร่วมเชียร์ 🇹🇭Buriram United Esports กันต่อวัน เสาร์-อาทิตย์นี้ ตั้งแต่เวลา 17.00 น.เป็นต้นไป 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2
⭕️ 4/ 5 ธันวาคม (แข่งวันละ 5 / 5 แมทช์)
⭕️ เริ่มแข่งเวลา 17:00 น.
.
มาเชียร์ตัวแทนทีมไทยลุยชิงแชมป์โลก 🇹🇭Buriram United Esports และ 🇹🇭Attack All Around 💵เงินรางวัลรวมกว่า 60 ล้านบาท ‼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PUBG: BATTLEGROUNDS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</si>
  <si>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https://www.facebook.com/172882636630076/posts/1009768216274843/</t>
  </si>
  <si>
    <t>172882636630076_1008768976374767</t>
  </si>
  <si>
    <t>🏆🌏 วันที่ 2 สัปดาห์ที่ 2 รอบ 𝗪𝗲𝗲𝗸𝗹𝘆 𝗦𝘂𝗿𝘃𝗶𝘃𝗮𝗹 มันส์กันต่อในเวทีชิงแชมป์โลก 𝐏𝐔𝐁𝐆 𝐆𝐥𝐨𝐛𝐚𝐥 𝐂𝐡𝐚𝐦𝐩𝐢𝐨𝐧𝐬𝐡𝐢𝐩 𝟐𝟎𝟐𝟏 เวลา 17.00 น.เป็นต้นไป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</si>
  <si>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https://www.facebook.com/172882636630076/posts/1008768976374767/</t>
  </si>
  <si>
    <t>172882636630076_1011606189424379</t>
  </si>
  <si>
    <t>Team Liquid คว้าอันดับ 1 รอบ 𝗪𝗲𝗲𝗸𝗹𝘆 𝗙𝗶𝗻𝗮𝗹 สัปดาห์ที่ 2 ไปครอง พร้อมการันตีตั๋ว เข้าไปแข่งขันรอบ Grand Final เป็นทีมที่ 2 ได้สำเร็จ 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𝗕𝗼𝘁𝘁𝗼𝗺 𝟭𝟲 สัปดาห์ที่ 2
⭕️ 6 ธันวาคม (แข่ง 6 แมทช์)
⭕️ เริ่มแข่งเวลา 17:00 น.
ทีม Attack All Around🇹🇭 จะได้เล่นในรอบ 𝗕𝗼𝘁𝘁𝗼𝗺 𝟭𝟲 กฎ SUPER" สะสมแต้มเพื่อใช้จัดคิว 17-32 ใน Week 3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Esports Alliance</t>
  </si>
  <si>
    <t>https://www.facebook.com/172882636630076/posts/1011606189424379/</t>
  </si>
  <si>
    <t>172882636630076_1013909035860761</t>
  </si>
  <si>
    <t>🏆🌏  5 แมทช์สุดท้ายรอบ  𝗪𝗲𝗲𝗸𝗹𝘆 𝗦𝘂𝗿𝘃𝗶𝘃𝗮𝗹 สัปดาห์ที่ 3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</si>
  <si>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https://www.facebook.com/172882636630076/posts/1013909035860761/</t>
  </si>
  <si>
    <t>172882636630076_1001062310478767</t>
  </si>
  <si>
    <t>🏆🌏อัพเดทตารางคะแนนกลุ่ม A VS B 
เปิดมาวันแรก Gen.G มาแรงอยู่ที่ 1ของกลุ่ม ไทยของเรา 🇹🇭Attack All Around อยู่อันดับที่ 4 เก็บมา 39 คะแนน และ 🇹🇭Buriram United Esports  อยู่อันดับ 15 เก็บมา 17 คะแนน 
.
ในเวทีชิงแชมป์โลก 𝐏𝐔𝐁𝐆 𝐆𝐥𝐨𝐛𝐚𝐥 𝐂𝐡𝐚𝐦𝐩𝐢𝐨𝐧𝐬𝐡𝐢𝐩 𝟐𝟎𝟐𝟏  🔥 รอบ 𝗥𝗮𝗻𝗸 𝗗𝗲𝗰𝗶𝘀𝗶𝗼𝗻 วันแรก รับชมกันต่อกลุ่ม C VS D เวลา 17.00 น.เป็นต้นไป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</si>
  <si>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https://www.facebook.com/172882636630076/posts/1001062310478767/</t>
  </si>
  <si>
    <t>172882636630076_1013266309258367</t>
  </si>
  <si>
    <t>🏆🌏 ลุยต่อ สัปดาห์ที่ 3 วันที่ 2  รอบ 𝗪𝗲𝗲𝗸𝗹𝘆 𝗦𝘂𝗿𝘃𝗶𝘃𝗮𝗹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</si>
  <si>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https://www.facebook.com/172882636630076/posts/1013266309258367/</t>
  </si>
  <si>
    <t>172882636630076_1006579676593697</t>
  </si>
  <si>
    <t>🏆🌏 สรุปตารางคะแนนรอบ 𝗪𝗲𝗲𝗸𝗹𝘆 𝗙𝗶𝗻𝗮𝗹 สัปดาห์ที่ 1 วันที่ 1
หัวตารางเข้มข้นหลังจบ 5 เกมวันแรก และ 🇹🇭Buriram United Esports วันนี้เก็บคะแนนไปได้ 18 แต้ม อยู่อันดับที่ 13 ของตาราง ลุ้นกันต่อพรุ่งนี้ 5 แมทช์สุดท้าย ในเวทีชิงแชมป์โลก 𝐏𝐔𝐁𝐆 𝐆𝐥𝐨𝐛𝐚𝐥 𝐂𝐡𝐚𝐦𝐩𝐢𝐨𝐧𝐬𝐡𝐢𝐩 𝟐𝟎𝟐𝟏 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𝗪𝗲𝗲𝗸𝗹𝘆 𝗙𝗶𝗻𝗮𝗹 สัปดาห์ที่ 1
⭕️ 27/ 28   พฤศจิกายน (แข่งวันละ 5 / 5 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</si>
  <si>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https://www.facebook.com/172882636630076/posts/1006579676593697/</t>
  </si>
  <si>
    <t>172882636630076_1008169273101404</t>
  </si>
  <si>
    <t>🏆🌏 ลุยกันใหม่ สัปดาห์ที่ 2 รอบ 𝗪𝗲𝗲𝗸𝗹𝘆 𝗦𝘂𝗿𝘃𝗶𝘃𝗮𝗹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</si>
  <si>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https://www.facebook.com/172882636630076/posts/1008169273101404/</t>
  </si>
  <si>
    <t>172882636630076_1008328726418792</t>
  </si>
  <si>
    <t>🍗🇹🇭 🇹🇭Buriram United Esports มาเร็วตั้งแต่วันแรก กินไก่เกมที่ 3 ผ่านเข้าสู่รอบ Weekly Final สัปดาห์ที่ 2 ได้สำเร็จ  !!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</si>
  <si>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https://www.facebook.com/172882636630076/posts/1008328726418792/</t>
  </si>
  <si>
    <t>172882636630076_1012243712693960</t>
  </si>
  <si>
    <t>🏆🌏 ครึ่งทางแล้วสำหรับการแข่งขัน ลุยกันต่อ รอบ 𝗪𝗲𝗲𝗸𝗹𝘆 𝗦𝘂𝗿𝘃𝗶𝘃𝗮𝗹 สัปดาห์ที่ 3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</si>
  <si>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https://www.facebook.com/172882636630076/posts/1012243712693960/</t>
  </si>
  <si>
    <t>172882636630076_1001741087077556</t>
  </si>
  <si>
    <t>🏆🌏อัพเดทตารางคะแนน 32 ทีม หลังจบกลุ่ม B VS D
Gen.G  ยังคงรักษาหัวตารางและเป็นทีมแรก ที่เก็บ Double WWCD 2 วันติด และทีมไทยของเรา 🇹🇭Attack All Around เก็บเพิ่มมาได้เพียง 5 แต้ม วันที่ 2 ส่งกำลังใจเชียร์ทีมไทยกันต่อไป !!
.
ในเวทีชิงแชมป์โลก 𝐏𝐔𝐁𝐆 𝐆𝐥𝐨𝐛𝐚𝐥 𝐂𝐡𝐚𝐦𝐩𝐢𝐨𝐧𝐬𝐡𝐢𝐩 𝟐𝟎𝟐𝟏  🔥 รอบ 𝗥𝗮𝗻𝗸 𝗗𝗲𝗰𝗶𝘀𝗶𝗼𝗻  รับชม BRU🇹🇭 กันต่อกลุ่ม A VS C เวลา 17.00 น.เป็นต้นไป
.
มาเชียร์ตัวแทนทีมไทยลุยชิงแชมป์โลก 🇹🇭Buriram United Esports และ 🇹🇭Attack All Around  💵เงินรางวัลรวมกว่า 60 ล้านบาท ‼ 
.
🗓ตารางการแข่งขัน รอบ 𝗥𝗮𝗻𝗸 𝗗𝗲𝗰𝗶𝘀𝗶𝗼𝗻 (BRU🇹🇭 กลุ่ม A ) (AAA🇹🇭 กลุ่ม B )
วันที่ 19 พ.ย. - 11:00 น. กลุ่ม A VS B / 17:00 น. กลุ่ม C VS D
วันที่ 20 พ.ย. - 11:00 น. กลุ่ม B VS D / 17:00 น. กลุ่ม A VS C
วันที่ 21 พ.ย. - 11:00 น. กลุ่ม A VS D / 17:00 น. กลุ่ม B VS C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</si>
  <si>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https://www.facebook.com/172882636630076/posts/1001741087077556/</t>
  </si>
  <si>
    <t>172882636630076_1003626886888976</t>
  </si>
  <si>
    <t>🏆🌏 วันนี้เวลา17.00 น.เป็นต้นไป !!! วันแรกของรอบ 𝗪𝗲𝗲𝗸𝗹𝘆 𝗦𝘂𝗿𝘃𝗶𝘃𝗮𝗹 สัปดาห์ที่ 1 เตรียมส่งเสียงเชียร์ไทยให้เข้าสู่รอบ Weekly Final ไปด้วยกัน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</si>
  <si>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https://www.facebook.com/172882636630076/posts/1003626886888976/</t>
  </si>
  <si>
    <t>172882636630076_1013947185856946</t>
  </si>
  <si>
    <t>" สู้ ไม่ ถอย " ขอ 3 คำ ก่อนแข่ง !!! ส่งกำลังใจเขียร์ไทยกินไก่ไปด้วยกันวันสุดท้ายรอบ  𝗪𝗲𝗲𝗸𝗹𝘆 𝗦𝘂𝗿𝘃𝗶𝘃𝗮𝗹 สัปดาห์ที่ 3 ในเวทีชิงแชมป์โลก 𝐏𝐔𝐁𝐆 𝐆𝐥𝐨𝐛𝐚𝐥 𝐂𝐡𝐚𝐦𝐩𝐢𝐨𝐧𝐬𝐡𝐢𝐩 𝟐𝟎𝟐𝟏 เวลา 17.00 น.เป็นต้นไป !!!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</si>
  <si>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https://www.facebook.com/172882636630076/posts/1013947185856946/</t>
  </si>
  <si>
    <t>172882636630076_1007177663200565</t>
  </si>
  <si>
    <t>🥇 KPI Gaming คว้าอันดับ 1 รอบ 𝗪𝗲𝗲𝗸𝗹𝘆 𝗙𝗶𝗻𝗮𝗹 สัปดาห์ที่ 1 พร้อมการันตีตั๋ว เข้าไปแข่งขันรอบ Grand Final เป็นทีมแรก และรับเงินรางวัล 30,000 USD ไปได้สำเร็จ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𝗙𝗶𝗻𝗮𝗹 นำทีมที่กินไก่ แมทช์ที่ 1-16 ในรอบ Weekly Survival มาแข่งขันกับกฎ SUPER ทีมที่ชนะในรอบนี้ของแต่ละสัปดาห์จะได้ตั๋วเข้าสู่รอบ Grand Final
.
🗓ตารางการแข่งขันรอบ 𝗕𝗼𝘁𝘁𝗼𝗺 𝟭𝟲 สัปดาห์ที่ 1  
⭕️ 29 พฤศจิกายน (แข่ง 6 แมทช์)
⭕️ เริ่มแข่งเวลา 17:00 น.
ทีม Attack All Around🇹🇭 จะได้เล่นในรอบ 𝗕𝗼𝘁𝘁𝗼𝗺 𝟭𝟲  กฎ SUPER" สะสมแต้มเพื่อใช้จัดคิว 17-32 ใน Week 2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</si>
  <si>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https://www.facebook.com/172882636630076/posts/1007177663200565/</t>
  </si>
  <si>
    <t>172882636630076_1005493426702322</t>
  </si>
  <si>
    <t>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 พร้อมติดแฮชแท็ค #PCG2021 #เชียร์ไทย ได้เลย!
⛔⛔⛔⛔⛔⛔⛔⛔⛔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#PUBG #ESPORTS #PGC2021 #พับจีชิงแชมป์โลก
#เชียร์ไทยไปชิงแชมป์โลก #BRU #AAA
🔔 กดติดตามช่องทางถ่ายทอดสดไว้เลยที่: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</si>
  <si>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https://www.facebook.com/172882636630076/posts/1005493426702322/</t>
  </si>
  <si>
    <t>172882636630076_1003126920272306</t>
  </si>
  <si>
    <t>🇹🇭🇹🇭ผลงานผู้เล่นไทยรอบ 𝗥𝗮𝗻𝗸 𝗗𝗲𝗰𝗶𝘀𝗶𝗼𝗻 ในเวทีชิงแชมป์โลก 𝐏𝐔𝐁𝐆 𝐆𝐥𝐨𝐛𝐚𝐥 𝐂𝐡𝐚𝐦𝐩𝐢𝐨𝐧𝐬𝐡𝐢𝐩 𝟐𝟎𝟐𝟏 
.
อันดับทีมไทย 🇹🇭
🎖อันดับ 15 Buriram United Esports 
🎖อันดับ 28 Attack All Around  (จะได้ลงเล่นในแมทช์ที่ 13 )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</si>
  <si>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https://www.facebook.com/172882636630076/posts/1003126920272306/</t>
  </si>
  <si>
    <t>172882636630076_1008780796373585</t>
  </si>
  <si>
    <t>🇹🇭🍗 ผลงานทีม 🇹🇭Buriram United Esports  แมทช์ 3 ที่กินไก่ รอบ 𝗪𝗲𝗲𝗸𝗹𝘆 𝗦𝘂𝗿𝘃𝗶𝘃𝗮𝗹 สัปดาห์ที่ 2 และเข้าสู่รอบ Weekly Final ได้สำเร็จในเวทีชิงแชมป์โลก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</si>
  <si>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https://www.facebook.com/172882636630076/posts/1008780796373585/</t>
  </si>
  <si>
    <t>172882636630076_1004216456830019</t>
  </si>
  <si>
    <t>🏆🌏 ลุ้นทีมไทยกินไก่กันต่อ เวลา17.00 น.เป็นต้นไป ! รอบ 𝗪𝗲𝗲𝗸𝗹𝘆 𝗦𝘂𝗿𝘃𝗶𝘃𝗮𝗹 สัปดาห์ที่ 1 วันที่ 2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</si>
  <si>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https://www.facebook.com/172882636630076/posts/1004216456830019/</t>
  </si>
  <si>
    <t>172882636630076_1004861883432143</t>
  </si>
  <si>
    <t>🏆🌏 วันสุดท้ายสัปดาห์แรกรอบ 𝗪𝗲𝗲𝗸𝗹𝘆 𝗦𝘂𝗿𝘃𝗶𝘃𝗮𝗹 เชียร์ 2 ทีมไทยกินไก่ให้ผ่านเข้าสู่รอบ Weekly Final ไปด้วยกันในเวทีชิงแชมป์โลก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</si>
  <si>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https://www.facebook.com/172882636630076/posts/1004861883432143/</t>
  </si>
  <si>
    <t>172882636630076_1004514486800216</t>
  </si>
  <si>
    <t>🇹🇭Buriram United Esports ชวดไก่🍗 2 วัน "แต่ไม่เป็นไรพรุ่งนี้เราจะลุยกันใหม่ไปพร้อมกับ 🇹🇭Attack All Around รอบ 𝗪𝗲𝗲𝗸𝗹𝘆 𝗦𝘂𝗿𝘃𝗶𝘃𝗮𝗹 สัปดาห์ที่ 1 วันที่ 3 ในเวทีชิงแชมป์โลก 𝐏𝐔𝐁𝐆 𝐆𝐥𝐨𝐛𝐚𝐥 𝐂𝐡𝐚𝐦𝐩𝐢𝐨𝐧𝐬𝐡𝐢𝐩 𝟐𝟎𝟐𝟏 #เชียร์ไทยให้กินไก่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</si>
  <si>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https://www.facebook.com/172882636630076/posts/1004514486800216/</t>
  </si>
  <si>
    <t>172882636630076_1009398206311844</t>
  </si>
  <si>
    <t>🏆🌏 วันที่ 3 สัปดาห์ที่ 2 รอบ 𝗪𝗲𝗲𝗸𝗹𝘆 𝗦𝘂𝗿𝘃𝗶𝘃𝗮𝗹 ร่วมส่งแรงใจ💙เชียร์ 🇹🇭Attack All Around ให้กินไก่ 5 เกมสุดท้ายผ่านเข้าสู่รอบ Weekly Final ไปด้วยกัน ในเวทีชิงแชมป์โลก 𝐏𝐔𝐁𝐆 𝐆𝐥𝐨𝐛𝐚𝐥 𝐂𝐡𝐚𝐦𝐩𝐢𝐨𝐧𝐬𝐡𝐢𝐩 𝟐𝟎𝟐𝟏 เวลา 17.00 น.เป็นต้นไป !!!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</si>
  <si>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https://www.facebook.com/172882636630076/posts/1009398206311844/</t>
  </si>
  <si>
    <t>172882636630076_1012283736023291</t>
  </si>
  <si>
    <t>🏆🌏 สรุปตารางคะแนน รอบ 𝗕𝗼𝘁𝘁𝗼𝗺 𝟭𝟲 สัปดาห์ที่ 2
17 Gaming แซงขึ้นมาจบอันดับ 1!! รอเข้าไปเล่นรอบ Weekly Survival สัปดาห์ที่ 2 แมทช์ที่ 2 ส่วน 🇹🇭Attack All Around ของเราจบอันดับ 12 จะได้ลงเล่น แมทช์ที่ 13 วันที่ 3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</si>
  <si>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https://www.facebook.com/172882636630076/posts/1012283736023291/</t>
  </si>
  <si>
    <t>172882636630076_1003860053532326</t>
  </si>
  <si>
    <t>🏆🌏  สรุปทีมกินไก่ รอบ 𝗪𝗲𝗲𝗸𝗹𝘆 𝗦𝘂𝗿𝘃𝗶𝘃𝗮𝗹 สัปดาห์ที่ 1 วันที่ 1
5 ทีมแรกที่จะเข้าไปนั่งรอรอบ Weekly Final วันเสาร์-อาทิตย์ นี้ โซน APAC อย่าง FURY 🧡 พวกเขามาแรงจริง ๆ กินไก่ตั้งแต่เกมที่ 3 ในเวทีชิงแชมป์โลก 𝐏𝐔𝐁𝐆 𝐆𝐥𝐨𝐛𝐚𝐥 𝐂𝐡𝐚𝐦𝐩𝐢𝐨𝐧𝐬𝐡𝐢𝐩 𝟐𝟎𝟐𝟏 #เชียร์ไทยกินไก่กันต่อวันพรุ่งนี้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</si>
  <si>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https://www.facebook.com/172882636630076/posts/1003860053532326/</t>
  </si>
  <si>
    <t>172882636630076_1013544389230559</t>
  </si>
  <si>
    <t>🏆🌏 สรุปทีมกินไก่รอบ 𝗪𝗲𝗲𝗸𝗹𝘆 𝗦𝘂𝗿𝘃𝗶𝘃𝗮𝗹 สัปดาห์ที่ 3 วันที่ 2
FURY โซน APAC ของเรากลับมาได้แล้วในวีคนี้ รอเข้าไปเล่นรอบ Weekly Final ลุ้นทีมไทยกินไก่กันต่อ 🇹🇭Buriram United Esports และ 🇹🇭Attack All Around วันพรุ่งนี้ รอบ 𝗪𝗲𝗲𝗸𝗹𝘆 𝗦𝘂𝗿𝘃𝗶𝘃𝗮𝗹 วันสุดท้าย เวลา 17.00 น.เป็นต้นไป !!!    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3
⭕️ 7 / 8 / 9 ธ.ค.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
.
#PUBG #ESPORTS #PGC2021 #พับจีชิงแชมป์โลก
#เชียร์ไทยไปชิงแชมป์โลก #BRU #AAA
.
🇹🇭เชียร์ไทยผ่าน FANCAM ได้ที่ : discord.gg/fuqEgg8vvV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 
🎥🟦 Facebook Esports Alliance</t>
  </si>
  <si>
    <t>https://www.facebook.com/172882636630076/posts/1013544389230559/</t>
  </si>
  <si>
    <t>172882636630076_1009036856347979</t>
  </si>
  <si>
    <t>🍗สรุปทีมกินไก่ 𝗪𝗲𝗲𝗸𝗹𝘆 𝗦𝘂𝗿𝘃𝗶𝘃𝗮𝗹 สัปดาห์ที่ 2 วันที่ 2
.
ในเวทีชิงแชมป์โลก 𝐏𝐔𝐁𝐆 𝐆𝐥𝐨𝐛𝐚𝐥 𝐂𝐡𝐚𝐦𝐩𝐢𝐨𝐧𝐬𝐡𝐢𝐩 𝟐𝟎𝟐𝟏 พรุ่งนี้ 🇹🇭Attack All Around อีก 1 ทีมไทยของเราจะได้ลงสนามตั้งแต่เกมแรก ส่งเสียงเชียร์ให้กินไก่ไปด้วยกัน 5 แมทช์สุดท้าย ตั้งแต่เวลา 17.00 น.เป็นต้นไป 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</si>
  <si>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https://www.facebook.com/172882636630076/posts/1009036856347979/</t>
  </si>
  <si>
    <t>172882636630076_1004897060095292</t>
  </si>
  <si>
    <t>🏆 PGC2021 ศึกชิงแชมป์โลก สู้กันด้วยศักดิ์ศรี บนสมรภูมิแห่งเกียรติ์ยศ
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กดติดตามช่องทางถ่ายทอดสดไว้เลยที่: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
🎥🟥 Youtube.com/c/EsportsAlliance/</t>
  </si>
  <si>
    <t>https://www.facebook.com/172882636630076/posts/1004897060095292/</t>
  </si>
  <si>
    <t>172882636630076_1005123576739307</t>
  </si>
  <si>
    <t>🍗🇹🇭 มาแล้วไทยทำได้ ปราสาทสายฟ้า 🇹🇭Buriram United Esports กินไก่เกมสุดท้าย รอบ 𝗪𝗲𝗲𝗸𝗹𝘆 𝗦𝘂𝗿𝘃𝗶𝘃𝗮𝗹 สัปดาห์ที่ 1 วันที่ 3 เข้าสู่รอบ  Weekly Final  เป็นทีมสุดท้ายของวีคนี้ได้สำเร็จ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</si>
  <si>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https://www.facebook.com/172882636630076/posts/1005123576739307/</t>
  </si>
  <si>
    <t>172882636630076_1008401143078217</t>
  </si>
  <si>
    <t>🍗สรุปทีมกินไก่ 𝗪𝗲𝗲𝗸𝗹𝘆 𝗦𝘂𝗿𝘃𝗶𝘃𝗮𝗹 สัปดาห์ที่ 2 วันที่ 1
.
Multi Circle Gaming จากจีนมาแรงเหมือนเดิมกินไก่เกมแรก 2 Week ติด และ 🇹🇭Buriram United Esports จากไทย ก็สามารถเข้าสู่รอบ  Weekly Final วันเสาร์-อาทิตย์ นี้ ได้ตั้งแต่วันแรก  ในเวทีชิงแชมป์โลก 𝐏𝐔𝐁𝐆 𝐆𝐥𝐨𝐛𝐚𝐥 𝐂𝐡𝐚𝐦𝐩𝐢𝐨𝐧𝐬𝐡𝐢𝐩 𝟐𝟎𝟐𝟏
.
มาเชียร์ตัวแทนทีมไทยลุยชิงแชมป์โลก 🇹🇭Buriram United Esports และ 🇹🇭Attack All Around 💵เงินรางวัลรวมกว่า 60 ล้านบาท ‼
.
👨‍💼 รูปแบบการแข่งขันรอบ 𝗪𝗲𝗲𝗸𝗹𝘆 𝗦𝘂𝗿𝘃𝗶𝘃𝗮𝗹 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2
⭕️ 30 พ.ย. / 1 ธ.ค. / 2 ธ.ค. 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</si>
  <si>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https://www.facebook.com/172882636630076/posts/1008401143078217/</t>
  </si>
  <si>
    <t>172882636630076_1004509010134097</t>
  </si>
  <si>
    <t>🏆🌏  สรุปทีมกินไก่ รอบ 𝗪𝗲𝗲𝗸𝗹𝘆 𝗦𝘂𝗿𝘃𝗶𝘃𝗮𝗹 สัปดาห์ที่ 1 วันที่ 2
ทีมจากเกาหลีเข้าไปเพิ่มอีก 3 ทีม รอบ Weekly Final วันเสาร์-อาทิตย์ นี้  ลุ้นทีมไทยกินไก่กันต่อวันพรุ่งนี้ 🇹🇭Buriram United Esports และ 🇹🇭Attack All Around ที่จะลงเล่นแมทช์ที่ 13  ในเวทีชิงแชมป์โลก 𝐏𝐔𝐁𝐆 𝐆𝐥𝐨𝐛𝐚𝐥 𝐂𝐡𝐚𝐦𝐩𝐢𝐨𝐧𝐬𝐡𝐢𝐩 𝟐𝟎𝟐𝟏 #เชียร์ไทยให้กินไก่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</si>
  <si>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https://www.facebook.com/172882636630076/posts/1004509010134097/</t>
  </si>
  <si>
    <t>172882636630076_1003059263612405</t>
  </si>
  <si>
    <t>🏆🌏  Kill Top 5 ผู้เล่นที่ยิงคมหลังจบรอบ 𝗥𝗮𝗻𝗸 𝗗𝗲𝗰𝗶𝘀𝗶𝗼𝗻 ในเวทีชิงแชมป์โลก 𝐏𝐔𝐁𝐆 𝐆𝐥𝐨𝐛𝐚𝐥 𝐂𝐡𝐚𝐦𝐩𝐢𝐨𝐧𝐬𝐡𝐢𝐩 𝟐𝟎𝟐𝟏 
.
อันดับ 1 Snakers ผู้เล่นทีม Oath Gaming Kill ไปถึง 35 Kills จาก 18 แมทช์ ร่วมเชียร์ทีมไทยกันต่อ 𝗪𝗲𝗲𝗸𝗹𝘆 𝗦𝘂𝗿𝘃𝗶𝘃𝗮𝗹 สัปดาห์ที่ 1 วันอังคารที่ 23 พ.ย. นี้เป็นต้นไป
.
อันดับทีมไทย 🇹🇭
🎖อันดับ 15 Buriram United Esports 
🎖อันดับ 28 Attack All Around  (จะได้ลงเล่นในแมทช์ที่ 13 )
.
มาเชียร์ตัวแทนทีมไทยลุยชิงแชมป์โลก 🇹🇭Buriram United Esports และ 🇹🇭Attack All Around  💵เงินรางวัลรวมกว่า 60 ล้านบาท ‼ 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</si>
  <si>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https://www.facebook.com/172882636630076/posts/1003059263612405/</t>
  </si>
  <si>
    <t>172882636630076_1005134566738208</t>
  </si>
  <si>
    <t>🏆🌏  สรุปทีมกินไก่ รอบ 𝗪𝗲𝗲𝗸𝗹𝘆 𝗦𝘂𝗿𝘃𝗶𝘃𝗮𝗹 สัปดาห์ที่ 1 วันที่ 3
.
ครบแล้ว 16 ทีม สัปดาห์แรกที่จะเข้าไปแข่งขันในรอบ Weekly Final วันเสาร์-อาทิตย์ นี้กับกฎ SUPER  1 ทีมจากไทย 🇹🇭Buriram United Esports ที่พวกเราต้องส่งเสียงเชียร์ให้พวกเขาคว้าตั๋ว เข้าสู่รอบ Grand Finals วีคนี้ให้ได้ !!  ในเวทีชิงแชมป์โลก 𝐏𝐔𝐁𝐆 𝐆𝐥𝐨𝐛𝐚𝐥 𝐂𝐡𝐚𝐦𝐩𝐢𝐨𝐧𝐬𝐡𝐢𝐩 𝟐𝟎𝟐𝟏 
.
มาเชียร์ตัวแทนทีมไทยลุยชิงแชมป์โลก 🇹🇭Buriram United Esports และ 🇹🇭Attack All Around  💵เงินรางวัลรวมกว่า 60 ล้านบาท ‼ 
.
👨‍💼 รูปแบบการแข่งขันรอบ 𝗪𝗲𝗲𝗸𝗹𝘆 𝗦𝘂𝗿𝘃𝗶𝘃𝗮𝗹 นำทีมอันดับ 1-16 ในรอบจัดอันดับมาแข่งกันก่อน "ทีมใดได้กินไก่ในแต่ละแมทช์" ก็จะเข้าไปสู่รอบ Weekly Final เลยทันที จากนั้นจะดันอันดับ 17-31 (เรียงตามลำดับ) ขึ้นมาแข่งแทนที่ที่ได้เข้ารอบในแมทช์ต่อไป โดยรอบนี้จะแข่งแบบนี้ทั้งหมด 16 แมทช์ เพื่อหา 16 ทีมที่ได้เล่นรอบ Weekly Final
.
🗓ตารางการแข่งขันรอบ 𝗪𝗲𝗲𝗸𝗹𝘆 𝗦𝘂𝗿𝘃𝗶𝘃𝗮𝗹 สัปดาห์ที่ 1
⭕️ 23/ 24 / 25  พฤศจิกายน (แข่งวันละ 5 / 6 / 5 แมทช์)
⭕️ เริ่มแข่งเวลา 17:00 น.
.
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https://asia.battlegrounds.pubg.com/.../pgc-2021-pickem.../
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
.
#PUBG #ESPORTS #PGC2021 #พับจีชิงแชมป์โลก
#เชียร์ไทยไปชิงแชมป์โลก #BRU #AAA
.
🇹🇭เชียร์ไทยผ่าน FANCAM ได้ที่ : discord.gg/fuqEgg8vvV  
.
🔔 กดติดตามความเคลื่อนไหวเกม PUBG ได้ที่:
🎥 YouTube http://bit.ly/2P5IbzQ
🎥 Facebook.com/pubg.battlegrounds.th
🎥 Twitch.tv/pubgthailandofficial
🎥 Tiktok.com/@pubgthailandofficial
- ช่องทางอื่นๆ -
🎥🟪 Twitch.tv/fpsthailand
🎥🟪 Twitch.tv/esports_alliance
🎥🟦 Facebook PUBG Thailand Pro League
🎥🟦 Facebook  Esports Alliance</t>
  </si>
  <si>
    <t>https://www.facebook.com/172882636630076/posts/1005134566738208/</t>
  </si>
  <si>
    <t>172882636630076_1008795433038788</t>
  </si>
  <si>
    <t>🎬 PGC Moments #2 รวมช็อทเฟี้ยวปั่นลั่นทุ่ง จากการแข่งขันพับจีชิงแชมป์โลก 2021
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</t>
  </si>
  <si>
    <t>https://www.facebook.com/172882636630076/posts/1008795433038788/</t>
  </si>
  <si>
    <t>172882636630076_1008454713072860</t>
  </si>
  <si>
    <t>👨‍🏫 อัพเดทการแข่งขันพับจีชิงแชมป์โลก ในรายการ Weekly PGC2021 EP.3
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"ตั๋วเชียร์ทีมรัก"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</si>
  <si>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https://www.facebook.com/172882636630076/posts/1008454713072860/</t>
  </si>
  <si>
    <t>172882636630076_1007863359798662</t>
  </si>
  <si>
    <t>🎬  PGC2021 Rivals EP.1 คมเฉือนคมนอกจอ เมื่อ Pio vs TGLTN พับจี | PUBG
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"ตั๋วเชียร์ทีมรัก"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</si>
  <si>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https://www.facebook.com/172882636630076/posts/1007863359798662/</t>
  </si>
  <si>
    <t>172882636630076_1007561479828850</t>
  </si>
  <si>
    <t>🏆 PGC2021 ศึกพับจีชิงแชมป์โลก รวมพล 32 ทีมที่ดีที่สุดในโลก ชิงเงินรางวัลกว่า 60 ล้าน 19พ.ย.-19ธ.ค!
❤️👫 มาร่วมสนุกและเชียร์ทีมที่คุณชื่นชอบ ในศึก PGC2021 กับกิจกรรม "ตั๋วเชียร์ทีมรัก"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</si>
  <si>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https://www.facebook.com/172882636630076/posts/1007561479828850/</t>
  </si>
  <si>
    <t>172882636630076_1004930273425304</t>
  </si>
  <si>
    <t>🎬 PGC Moments #1 รวมช็อทเฟี้ยวปั่นลั่นทุ่ง จากการแข่งขันพับจีชิงแชมป์โลก 2021
�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</si>
  <si>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https://www.facebook.com/172882636630076/posts/1004930273425304/</t>
  </si>
  <si>
    <t>172882636630076_1010142522904079</t>
  </si>
  <si>
    <t>👨‍🏫 PGC2021 PLAYBOOK EP.1 ย้อนดูแผนการเล่นของ Oath ในเกมที่คว้าไก่ พร้อมวิเคราะห์แบบเจาะลึกแต่ละช็อท
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
❤️👫 มาร่วมสนุกและเชียร์ทีมที่คุณชื่นชอบ ในศึก PGC2021 กับกิจกรรม "การ์ดเชียร์ทีมรัก"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
⭐ขั้นตอนการร่วมสนุก⭐
🔹 สเตป 1 : เข้าไปที่เวปไซต์ https://pgc2021event.com
🔹 สเต็ป 2 : เลือกทีมที่คุณเชียร์ในศึก PGC2021 และกด Ticketing จากนั้นพิมพ์ชื่อของคุณเพื่อ สร้างการ์ดเชียร์ โดยชื่อของคุณจะปรากฏอยู่บนการ์ดเชียร์โดยอัตโนมัติ
🔹 สเต็ป 3 : เซฟรูปการ์ดเชียร์ของคุณไปโพสที่ช่องทางโซเชี่ยลมีเดียของคุณได้เลย!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⛔⛔⛔⛔⛔⛔⛔⛔⛔
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
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  Youtube.com/watch?v=feKBHGhPGCI
🏆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 !!!
#PUBG #ESPORTS #PGC2021 #พับจีชิงแชมป์โลก
#เชียร์ไทยไปชิงแชมป์โลก #BRU #AAA
🔔 กดติดตามความเคลื่อนไหวเกม PUBG ได้ที่:
🎥 YouTube http://bit.ly/2P5IbzQ
🎥 Facebook.com/pubg.battlegrounds.th
🎥 Twitch.tv/pubgthailandofficial
🎥 Tiktok.com/@pubgthailandofficial
เกมพับจี หรือ PUBG ที่ย่อมาจาก PLAYERUNKNOWN'S BATTLEGROUNDS คือเกมยิงในรูปแบบ Battle Royale แนวเอาชีวิตรอด ที่มีผู้เล่น 100 คน โดดร่มลงสู่สนามรบ แย่งรวบรวมปืนกล ปืนสไนเปอร์ ระเบิด ไอเทมรักษา รถพาหนะ และอุปกรณ์ที่จำเป็นต่างๆ แล้วใช้ไหวพริบ แผนการกลยุทธ์ของคุณและทีม เพื่อเอาชนะคู่ต่อสู้นับร้อยและหาทางอยู่มีชีวิตรอดเป็นคนสุดท้ายให้ได้!</t>
  </si>
  <si>
    <t>https://www.facebook.com/172882636630076/posts/1010142522904079/</t>
  </si>
  <si>
    <t>SUM of Post shares</t>
  </si>
  <si>
    <t>Grand Total</t>
  </si>
  <si>
    <t>COUNTA of Post ID</t>
  </si>
  <si>
    <t>MAX of Likes</t>
  </si>
  <si>
    <t>AVERAGE of Likes</t>
  </si>
  <si>
    <t>Total engagement</t>
  </si>
  <si>
    <t>- Which type of contents has the most share?</t>
  </si>
  <si>
    <t>- Between Pubg and FreeFire, Which one has the most engagement ?</t>
  </si>
  <si>
    <t>- Number of Post within Range of Date</t>
  </si>
  <si>
    <t>- Maximum Likes of each game post?</t>
  </si>
  <si>
    <t>- Length of Message vs. Engagement?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</si>
</sst>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:ss"/>
  </numFmts>
  <fonts count="5">
    <font>
      <sz val="10.0"/>
      <color rgb="FF000000"/>
      <name val="Arial"/>
      <scheme val="minor"/>
    </font>
    <font>
      <color theme="1"/>
      <name val="Rubik"/>
    </font>
    <font>
      <b/>
      <color theme="1"/>
      <name val="Rubik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4A86E8"/>
                </a:solidFill>
                <a:latin typeface="serif"/>
              </a:defRPr>
            </a:pPr>
            <a:r>
              <a:rPr b="1" i="0" sz="2400">
                <a:solidFill>
                  <a:srgbClr val="4A86E8"/>
                </a:solidFill>
                <a:latin typeface="serif"/>
              </a:rPr>
              <a:t>Number of shares for each content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Dashboard!$D$2:$D$10</c:f>
            </c:strRef>
          </c:cat>
          <c:val>
            <c:numRef>
              <c:f>Dashboard!$E$2:$E$10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Engagements Between Free Fire and PUBG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Dashboard!$A$19:$A$20</c:f>
            </c:strRef>
          </c:cat>
          <c:val>
            <c:numRef>
              <c:f>Dashboard!$B$19:$B$20</c:f>
              <c:numCache/>
            </c:numRef>
          </c:val>
        </c:ser>
        <c:ser>
          <c:idx val="1"/>
          <c:order val="1"/>
          <c:tx>
            <c:strRef>
              <c:f>Dashboard!$C$18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Dashboard!$A$19:$A$20</c:f>
            </c:strRef>
          </c:cat>
          <c:val>
            <c:numRef>
              <c:f>Dashboard!$C$19:$C$20</c:f>
              <c:numCache/>
            </c:numRef>
          </c:val>
        </c:ser>
        <c:ser>
          <c:idx val="2"/>
          <c:order val="2"/>
          <c:tx>
            <c:strRef>
              <c:f>Dashboard!$D$18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Dashboard!$A$19:$A$20</c:f>
            </c:strRef>
          </c:cat>
          <c:val>
            <c:numRef>
              <c:f>Dashboard!$D$19:$D$20</c:f>
              <c:numCache/>
            </c:numRef>
          </c:val>
        </c:ser>
        <c:axId val="115351241"/>
        <c:axId val="39327656"/>
      </c:barChart>
      <c:catAx>
        <c:axId val="115351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27656"/>
      </c:catAx>
      <c:valAx>
        <c:axId val="39327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51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A64D79"/>
                </a:solidFill>
                <a:latin typeface="serif"/>
              </a:defRPr>
            </a:pPr>
            <a:r>
              <a:rPr b="1" sz="2400">
                <a:solidFill>
                  <a:srgbClr val="A64D79"/>
                </a:solidFill>
                <a:latin typeface="serif"/>
              </a:rPr>
              <a:t>Number of Posts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Dashboard!$B$26</c:f>
            </c:strRef>
          </c:tx>
          <c:spPr>
            <a:ln cmpd="sng" w="1905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6D9EEB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Dashboard!$A$27:$A$112</c:f>
            </c:strRef>
          </c:cat>
          <c:val>
            <c:numRef>
              <c:f>Dashboard!$B$27:$B$112</c:f>
              <c:numCache/>
            </c:numRef>
          </c:val>
          <c:smooth val="1"/>
        </c:ser>
        <c:axId val="355707592"/>
        <c:axId val="843015401"/>
      </c:lineChart>
      <c:catAx>
        <c:axId val="35570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843015401"/>
      </c:catAx>
      <c:valAx>
        <c:axId val="843015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355707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serif"/>
              </a:defRPr>
            </a:pPr>
            <a:r>
              <a:rPr b="1">
                <a:solidFill>
                  <a:srgbClr val="073763"/>
                </a:solidFill>
                <a:latin typeface="serif"/>
              </a:rPr>
              <a:t>Total engagement vs. Length of Message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Dashboard!$N$58</c:f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trendline>
            <c:name>Trendline for Total engagement</c:name>
            <c:spPr>
              <a:ln w="19050">
                <a:solidFill>
                  <a:srgbClr val="E06666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Dashboard!$M$59:$M$605</c:f>
            </c:numRef>
          </c:xVal>
          <c:yVal>
            <c:numRef>
              <c:f>Dashboard!$N$59:$N$605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00817"/>
        <c:axId val="1231838694"/>
      </c:scatterChart>
      <c:valAx>
        <c:axId val="7799008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Lenght of Message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838694"/>
      </c:valAx>
      <c:valAx>
        <c:axId val="1231838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900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serif"/>
              </a:defRPr>
            </a:pPr>
            <a:r>
              <a:rPr b="1">
                <a:solidFill>
                  <a:srgbClr val="073763"/>
                </a:solidFill>
                <a:latin typeface="serif"/>
              </a:rPr>
              <a:t>Total engagement vs. Length of Message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Dashboard!$N$58</c:f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trendline>
            <c:name>Trendline for Total engagement</c:name>
            <c:spPr>
              <a:ln w="19050">
                <a:solidFill>
                  <a:srgbClr val="E06666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Dashboard!$M$59:$M$605</c:f>
            </c:numRef>
          </c:xVal>
          <c:yVal>
            <c:numRef>
              <c:f>Dashboard!$N$59:$N$605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156655"/>
        <c:axId val="1845618325"/>
      </c:scatterChart>
      <c:valAx>
        <c:axId val="13741566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Lenght of Message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618325"/>
      </c:valAx>
      <c:valAx>
        <c:axId val="1845618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156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A64D79"/>
                </a:solidFill>
                <a:latin typeface="serif"/>
              </a:defRPr>
            </a:pPr>
            <a:r>
              <a:rPr b="1" sz="2400">
                <a:solidFill>
                  <a:srgbClr val="A64D79"/>
                </a:solidFill>
                <a:latin typeface="serif"/>
              </a:rPr>
              <a:t>Number of Posts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Dashboard!$B$26</c:f>
            </c:strRef>
          </c:tx>
          <c:spPr>
            <a:ln cmpd="sng" w="1905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6D9EEB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Dashboard!$A$27:$A$112</c:f>
            </c:strRef>
          </c:cat>
          <c:val>
            <c:numRef>
              <c:f>Dashboard!$B$27:$B$112</c:f>
              <c:numCache/>
            </c:numRef>
          </c:val>
          <c:smooth val="1"/>
        </c:ser>
        <c:axId val="1764458200"/>
        <c:axId val="768265292"/>
      </c:lineChart>
      <c:catAx>
        <c:axId val="176445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768265292"/>
      </c:catAx>
      <c:valAx>
        <c:axId val="768265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764458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Engagements Between Free Fire and PUBG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Dashboard!$A$19:$A$20</c:f>
            </c:strRef>
          </c:cat>
          <c:val>
            <c:numRef>
              <c:f>Dashboard!$B$19:$B$20</c:f>
              <c:numCache/>
            </c:numRef>
          </c:val>
        </c:ser>
        <c:ser>
          <c:idx val="1"/>
          <c:order val="1"/>
          <c:tx>
            <c:strRef>
              <c:f>Dashboard!$C$18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Dashboard!$A$19:$A$20</c:f>
            </c:strRef>
          </c:cat>
          <c:val>
            <c:numRef>
              <c:f>Dashboard!$C$19:$C$20</c:f>
              <c:numCache/>
            </c:numRef>
          </c:val>
        </c:ser>
        <c:ser>
          <c:idx val="2"/>
          <c:order val="2"/>
          <c:tx>
            <c:strRef>
              <c:f>Dashboard!$D$18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Dashboard!$A$19:$A$20</c:f>
            </c:strRef>
          </c:cat>
          <c:val>
            <c:numRef>
              <c:f>Dashboard!$D$19:$D$20</c:f>
              <c:numCache/>
            </c:numRef>
          </c:val>
        </c:ser>
        <c:axId val="1956645430"/>
        <c:axId val="579311532"/>
      </c:barChart>
      <c:catAx>
        <c:axId val="1956645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311532"/>
      </c:catAx>
      <c:valAx>
        <c:axId val="579311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645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4A86E8"/>
                </a:solidFill>
                <a:latin typeface="serif"/>
              </a:defRPr>
            </a:pPr>
            <a:r>
              <a:rPr b="1" i="0" sz="2400">
                <a:solidFill>
                  <a:srgbClr val="4A86E8"/>
                </a:solidFill>
                <a:latin typeface="serif"/>
              </a:rPr>
              <a:t>Number of shares for each content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Dashboard!$D$2:$D$10</c:f>
            </c:strRef>
          </c:cat>
          <c:val>
            <c:numRef>
              <c:f>Dashboard!$E$2:$E$10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143500" cy="319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152400</xdr:rowOff>
    </xdr:from>
    <xdr:ext cx="5143500" cy="3190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85725</xdr:rowOff>
    </xdr:from>
    <xdr:ext cx="10048875" cy="3571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333375</xdr:colOff>
      <xdr:row>15</xdr:row>
      <xdr:rowOff>152400</xdr:rowOff>
    </xdr:from>
    <xdr:ext cx="5686425" cy="3190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24</xdr:row>
      <xdr:rowOff>133350</xdr:rowOff>
    </xdr:from>
    <xdr:ext cx="5686425" cy="3190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66675</xdr:rowOff>
    </xdr:from>
    <xdr:ext cx="10048875" cy="3571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133350</xdr:rowOff>
    </xdr:from>
    <xdr:ext cx="5143500" cy="3190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</xdr:row>
      <xdr:rowOff>0</xdr:rowOff>
    </xdr:from>
    <xdr:ext cx="5143500" cy="31908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548" sheet="Full Dataset"/>
  </cacheSource>
  <cacheFields>
    <cacheField name="Created date" numFmtId="164">
      <sharedItems containsSemiMixedTypes="0" containsDate="1" containsString="0">
        <d v="2021-10-11T00:00:00Z"/>
        <d v="2021-10-12T00:00:00Z"/>
        <d v="2021-10-14T00:00:00Z"/>
        <d v="2021-10-29T00:00:00Z"/>
        <d v="2021-11-04T00:00:00Z"/>
        <d v="2021-11-15T00:00:00Z"/>
        <d v="2021-11-26T00:00:00Z"/>
        <d v="2021-10-27T00:00:00Z"/>
        <d v="2021-11-03T00:00:00Z"/>
        <d v="2021-12-10T00:00:00Z"/>
        <d v="2021-11-11T00:00:00Z"/>
        <d v="2021-11-07T00:00:00Z"/>
        <d v="2021-11-30T00:00:00Z"/>
        <d v="2021-11-22T00:00:00Z"/>
        <d v="2021-10-03T00:00:00Z"/>
        <d v="2021-12-08T00:00:00Z"/>
        <d v="2021-12-16T00:00:00Z"/>
        <d v="2021-11-25T00:00:00Z"/>
        <d v="2021-12-18T00:00:00Z"/>
        <d v="2021-10-09T00:00:00Z"/>
        <d v="2021-12-19T00:00:00Z"/>
        <d v="2021-11-28T00:00:00Z"/>
        <d v="2021-10-06T00:00:00Z"/>
        <d v="2021-12-21T00:00:00Z"/>
        <d v="2021-10-04T00:00:00Z"/>
        <d v="2021-10-15T00:00:00Z"/>
        <d v="2021-10-08T00:00:00Z"/>
        <d v="2021-12-24T00:00:00Z"/>
        <d v="2021-12-17T00:00:00Z"/>
        <d v="2021-10-10T00:00:00Z"/>
        <d v="2021-11-20T00:00:00Z"/>
        <d v="2021-12-04T00:00:00Z"/>
        <d v="2021-10-31T00:00:00Z"/>
        <d v="2021-11-21T00:00:00Z"/>
        <d v="2021-11-12T00:00:00Z"/>
        <d v="2021-11-06T00:00:00Z"/>
        <d v="2021-10-05T00:00:00Z"/>
        <d v="2021-11-08T00:00:00Z"/>
        <d v="2021-12-07T00:00:00Z"/>
        <d v="2021-10-23T00:00:00Z"/>
        <d v="2021-10-25T00:00:00Z"/>
        <d v="2021-12-22T00:00:00Z"/>
        <d v="2021-10-30T00:00:00Z"/>
        <d v="2021-11-01T00:00:00Z"/>
        <d v="2021-10-01T00:00:00Z"/>
        <d v="2021-11-09T00:00:00Z"/>
        <d v="2021-11-19T00:00:00Z"/>
        <d v="2021-11-18T00:00:00Z"/>
        <d v="2021-12-20T00:00:00Z"/>
        <d v="2021-12-23T00:00:00Z"/>
        <d v="2021-11-29T00:00:00Z"/>
        <d v="2021-10-28T00:00:00Z"/>
        <d v="2021-10-13T00:00:00Z"/>
        <d v="2021-11-10T00:00:00Z"/>
        <d v="2021-11-05T00:00:00Z"/>
        <d v="2021-11-02T00:00:00Z"/>
        <d v="2021-12-09T00:00:00Z"/>
        <d v="2021-11-24T00:00:00Z"/>
        <d v="2021-10-07T00:00:00Z"/>
        <d v="2021-11-23T00:00:00Z"/>
        <d v="2021-12-02T00:00:00Z"/>
        <d v="2021-10-24T00:00:00Z"/>
        <d v="2021-10-21T00:00:00Z"/>
        <d v="2021-10-26T00:00:00Z"/>
        <d v="2021-10-16T00:00:00Z"/>
        <d v="2021-10-20T00:00:00Z"/>
        <d v="2021-10-22T00:00:00Z"/>
        <d v="2021-11-27T00:00:00Z"/>
        <d v="2021-11-13T00:00:00Z"/>
        <d v="2021-11-14T00:00:00Z"/>
        <d v="2021-10-19T00:00:00Z"/>
        <d v="2021-11-16T00:00:00Z"/>
        <d v="2021-10-17T00:00:00Z"/>
        <d v="2021-12-01T00:00:00Z"/>
        <d v="2021-12-03T00:00:00Z"/>
        <d v="2021-12-13T00:00:00Z"/>
        <d v="2021-12-14T00:00:00Z"/>
        <d v="2021-12-15T00:00:00Z"/>
        <d v="2021-10-02T00:00:00Z"/>
        <d v="2021-10-18T00:00:00Z"/>
        <d v="2021-12-25T00:00:00Z"/>
        <d v="2021-12-11T00:00:00Z"/>
        <d v="2021-11-17T00:00:00Z"/>
        <d v="2021-12-06T00:00:00Z"/>
        <d v="2021-12-12T00:00:00Z"/>
        <d v="2021-12-05T00:00:00Z"/>
      </sharedItems>
    </cacheField>
    <cacheField name="Created time" numFmtId="165">
      <sharedItems containsSemiMixedTypes="0" containsDate="1" containsString="0">
        <d v="2021-10-11T14:24:54Z"/>
        <d v="2021-10-12T15:00:02Z"/>
        <d v="2021-10-14T13:10:36Z"/>
        <d v="2021-10-29T01:58:56Z"/>
        <d v="2021-10-29T02:06:20Z"/>
        <d v="2021-11-04T14:50:03Z"/>
        <d v="2021-11-15T17:02:08Z"/>
        <d v="2021-11-26T16:51:20Z"/>
        <d v="2021-10-27T18:09:50Z"/>
        <d v="2021-11-03T13:49:13Z"/>
        <d v="2021-12-10T09:50:51Z"/>
        <d v="2021-12-10T10:08:34Z"/>
        <d v="2021-11-11T13:22:26Z"/>
        <d v="2021-11-07T13:05:08Z"/>
        <d v="2021-11-30T12:00:02Z"/>
        <d v="2021-11-22T20:13:27Z"/>
        <d v="2021-10-03T13:00:04Z"/>
        <d v="2021-12-08T11:33:38Z"/>
        <d v="2021-12-16T16:00:01Z"/>
        <d v="2021-11-25T20:00:07Z"/>
        <d v="2021-12-18T11:00:01Z"/>
        <d v="2021-10-09T09:00:02Z"/>
        <d v="2021-12-18T18:31:23Z"/>
        <d v="2021-12-19T11:00:01Z"/>
        <d v="2021-11-28T21:00:05Z"/>
        <d v="2021-10-06T16:00:00Z"/>
        <d v="2021-10-06T20:00:02Z"/>
        <d v="2021-12-21T16:13:35Z"/>
        <d v="2021-10-09T13:00:01Z"/>
        <d v="2021-12-21T17:00:08Z"/>
        <d v="2021-10-04T16:00:00Z"/>
        <d v="2021-10-15T18:00:02Z"/>
        <d v="2021-11-22T14:00:01Z"/>
        <d v="2021-10-08T14:00:03Z"/>
        <d v="2021-12-24T13:00:01Z"/>
        <d v="2021-12-17T16:00:04Z"/>
        <d v="2021-11-30T14:00:02Z"/>
        <d v="2021-10-10T17:00:00Z"/>
        <d v="2021-11-15T13:00:01Z"/>
        <d v="2021-11-20T16:55:03Z"/>
        <d v="2021-12-04T14:05:07Z"/>
        <d v="2021-10-31T20:00:02Z"/>
        <d v="2021-11-21T17:00:05Z"/>
        <d v="2021-11-12T21:18:55Z"/>
        <d v="2021-12-19T13:00:01Z"/>
        <d v="2021-11-07T11:00:00Z"/>
        <d v="2021-11-06T18:00:05Z"/>
        <d v="2021-10-09T11:00:02Z"/>
        <d v="2021-10-05T18:00:01Z"/>
        <d v="2021-11-08T11:00:00Z"/>
        <d v="2021-12-07T11:28:17Z"/>
        <d v="2021-11-06T16:00:03Z"/>
        <d v="2021-10-23T07:00:01Z"/>
        <d v="2021-12-10T09:45:32Z"/>
        <d v="2021-10-25T17:00:04Z"/>
        <d v="2021-12-08T12:33:42Z"/>
        <d v="2021-12-22T08:00:01Z"/>
        <d v="2021-10-30T20:00:02Z"/>
        <d v="2021-11-01T18:00:02Z"/>
        <d v="2021-11-20T09:00:03Z"/>
        <d v="2021-10-23T10:00:00Z"/>
        <d v="2021-10-23T16:53:50Z"/>
        <d v="2021-10-01T20:00:04Z"/>
        <d v="2021-11-09T18:01:16Z"/>
        <d v="2021-11-19T12:00:01Z"/>
        <d v="2021-11-21T11:00:02Z"/>
        <d v="2021-12-17T15:00:01Z"/>
        <d v="2021-11-18T19:00:04Z"/>
        <d v="2021-10-04T13:00:04Z"/>
        <d v="2021-11-06T13:00:02Z"/>
        <d v="2021-12-20T18:46:19Z"/>
        <d v="2021-12-22T17:00:01Z"/>
        <d v="2021-12-20T18:00:01Z"/>
        <d v="2021-12-21T18:00:01Z"/>
        <d v="2021-12-23T18:00:01Z"/>
        <d v="2021-10-03T08:00:01Z"/>
        <d v="2021-10-30T19:00:01Z"/>
        <d v="2021-11-29T21:00:03Z"/>
        <d v="2021-11-04T15:00:01Z"/>
        <d v="2021-12-20T08:00:00Z"/>
        <d v="2021-12-20T15:00:01Z"/>
        <d v="2021-12-21T20:00:02Z"/>
        <d v="2021-12-22T13:00:00Z"/>
        <d v="2021-10-28T20:00:09Z"/>
        <d v="2021-10-13T18:00:00Z"/>
        <d v="2021-12-19T16:00:01Z"/>
        <d v="2021-12-21T15:00:01Z"/>
        <d v="2021-10-09T19:00:00Z"/>
        <d v="2021-12-20T20:00:02Z"/>
        <d v="2021-10-12T13:00:02Z"/>
        <d v="2021-11-10T08:00:02Z"/>
        <d v="2021-12-18T17:00:01Z"/>
        <d v="2021-11-05T18:00:25Z"/>
        <d v="2021-11-25T14:00:04Z"/>
        <d v="2021-10-09T17:00:01Z"/>
        <d v="2021-11-20T07:00:04Z"/>
        <d v="2021-12-17T18:46:15Z"/>
        <d v="2021-12-16T13:00:02Z"/>
        <d v="2021-11-20T15:00:01Z"/>
        <d v="2021-10-27T20:25:06Z"/>
        <d v="2021-10-04T18:00:16Z"/>
        <d v="2021-10-01T13:00:04Z"/>
        <d v="2021-12-23T20:00:02Z"/>
        <d v="2021-11-05T14:00:02Z"/>
        <d v="2021-11-02T18:00:51Z"/>
        <d v="2021-11-30T11:00:01Z"/>
        <d v="2021-12-23T16:00:02Z"/>
        <d v="2021-11-01T11:00:02Z"/>
        <d v="2021-12-09T09:30:03Z"/>
        <d v="2021-11-09T08:00:01Z"/>
        <d v="2021-10-15T16:40:49Z"/>
        <d v="2021-10-23T17:00:00Z"/>
        <d v="2021-11-24T08:00:02Z"/>
        <d v="2021-12-19T18:00:01Z"/>
        <d v="2021-10-07T15:00:01Z"/>
        <d v="2021-10-03T09:00:28Z"/>
        <d v="2021-10-03T09:00:59Z"/>
        <d v="2021-11-04T20:00:08Z"/>
        <d v="2021-11-11T10:00:02Z"/>
        <d v="2021-11-23T10:00:02Z"/>
        <d v="2021-11-23T14:00:07Z"/>
        <d v="2021-12-23T12:00:00Z"/>
        <d v="2021-12-02T15:00:41Z"/>
        <d v="2021-11-25T16:00:01Z"/>
        <d v="2021-12-22T16:55:39Z"/>
        <d v="2021-10-11T08:00:00Z"/>
        <d v="2021-10-24T14:00:01Z"/>
        <d v="2021-11-09T11:00:01Z"/>
        <d v="2021-11-25T21:00:01Z"/>
        <d v="2021-10-07T09:00:01Z"/>
        <d v="2021-10-21T19:00:01Z"/>
        <d v="2021-10-29T19:00:05Z"/>
        <d v="2021-11-01T14:07:30Z"/>
        <d v="2021-11-24T12:00:09Z"/>
        <d v="2021-10-26T20:00:04Z"/>
        <d v="2021-10-30T16:00:08Z"/>
        <d v="2021-11-28T09:00:03Z"/>
        <d v="2021-10-08T09:00:00Z"/>
        <d v="2021-10-10T09:00:00Z"/>
        <d v="2021-10-16T09:00:02Z"/>
        <d v="2021-10-20T16:00:02Z"/>
        <d v="2021-10-22T13:00:01Z"/>
        <d v="2021-10-28T10:00:00Z"/>
        <d v="2021-11-08T08:00:02Z"/>
        <d v="2021-10-10T07:00:04Z"/>
        <d v="2021-11-11T11:00:04Z"/>
        <d v="2021-10-24T09:00:00Z"/>
        <d v="2021-11-06T08:00:01Z"/>
        <d v="2021-11-24T18:00:01Z"/>
        <d v="2021-11-27T16:00:03Z"/>
        <d v="2021-11-19T17:00:56Z"/>
        <d v="2021-12-17T09:00:01Z"/>
        <d v="2021-10-21T17:00:01Z"/>
        <d v="2021-11-08T18:00:00Z"/>
        <d v="2021-12-22T10:00:01Z"/>
        <d v="2021-10-23T08:00:01Z"/>
        <d v="2021-11-27T09:00:02Z"/>
        <d v="2021-10-14T15:00:00Z"/>
        <d v="2021-11-13T14:00:03Z"/>
        <d v="2021-12-19T18:30:52Z"/>
        <d v="2021-11-26T08:00:02Z"/>
        <d v="2021-11-20T18:00:08Z"/>
        <d v="2021-10-06T08:00:04Z"/>
        <d v="2021-11-26T13:00:01Z"/>
        <d v="2021-12-24T09:00:00Z"/>
        <d v="2021-11-13T11:00:05Z"/>
        <d v="2021-10-25T09:00:01Z"/>
        <d v="2021-11-04T07:00:08Z"/>
        <d v="2021-11-14T12:56:33Z"/>
        <d v="2021-12-18T08:00:01Z"/>
        <d v="2021-12-22T18:00:01Z"/>
        <d v="2021-11-29T15:00:49Z"/>
        <d v="2021-10-28T13:00:04Z"/>
        <d v="2021-11-23T08:00:00Z"/>
        <d v="2021-10-19T12:00:24Z"/>
        <d v="2021-11-19T10:00:01Z"/>
        <d v="2021-11-16T10:00:05Z"/>
        <d v="2021-12-22T15:00:01Z"/>
        <d v="2021-10-27T08:00:01Z"/>
        <d v="2021-11-23T16:00:29Z"/>
        <d v="2021-10-28T19:03:25Z"/>
        <d v="2021-11-13T09:00:02Z"/>
        <d v="2021-11-12T20:00:03Z"/>
        <d v="2021-11-16T16:00:01Z"/>
        <d v="2021-12-17T11:00:01Z"/>
        <d v="2021-11-22T18:00:02Z"/>
        <d v="2021-10-17T08:00:00Z"/>
        <d v="2021-11-12T19:00:06Z"/>
        <d v="2021-11-19T13:00:02Z"/>
        <d v="2021-11-24T09:00:05Z"/>
        <d v="2021-11-28T15:00:01Z"/>
        <d v="2021-10-16T15:00:00Z"/>
        <d v="2021-10-30T07:00:02Z"/>
        <d v="2021-11-16T08:00:04Z"/>
        <d v="2021-12-18T09:00:01Z"/>
        <d v="2021-10-15T08:00:01Z"/>
        <d v="2021-11-13T07:00:06Z"/>
        <d v="2021-11-13T12:00:00Z"/>
        <d v="2021-10-30T10:00:04Z"/>
        <d v="2021-11-02T10:00:00Z"/>
        <d v="2021-12-21T08:00:01Z"/>
        <d v="2021-12-24T08:00:00Z"/>
        <d v="2021-12-01T15:25:07Z"/>
        <d v="2021-10-30T12:00:08Z"/>
        <d v="2021-10-28T11:00:02Z"/>
        <d v="2021-11-04T09:00:01Z"/>
        <d v="2021-10-08T07:00:51Z"/>
        <d v="2021-10-22T12:00:01Z"/>
        <d v="2021-10-11T18:00:00Z"/>
        <d v="2021-10-29T08:00:02Z"/>
        <d v="2021-10-31T08:00:03Z"/>
        <d v="2021-11-04T10:00:03Z"/>
        <d v="2021-10-11T20:00:02Z"/>
        <d v="2021-12-19T09:00:00Z"/>
        <d v="2021-10-23T11:00:03Z"/>
        <d v="2021-11-05T09:00:06Z"/>
        <d v="2021-11-08T13:00:00Z"/>
        <d v="2021-11-10T14:00:58Z"/>
        <d v="2021-11-24T20:00:25Z"/>
        <d v="2021-12-23T08:00:01Z"/>
        <d v="2021-10-24T16:00:01Z"/>
        <d v="2021-10-31T16:30:44Z"/>
        <d v="2021-11-26T15:00:02Z"/>
        <d v="2021-10-08T08:00:01Z"/>
        <d v="2021-11-12T11:00:00Z"/>
        <d v="2021-12-23T09:00:00Z"/>
        <d v="2021-10-06T14:00:01Z"/>
        <d v="2021-12-17T18:00:03Z"/>
        <d v="2021-10-13T20:00:03Z"/>
        <d v="2021-11-21T08:00:00Z"/>
        <d v="2021-10-07T17:00:02Z"/>
        <d v="2021-10-27T20:00:02Z"/>
        <d v="2021-12-16T18:00:05Z"/>
        <d v="2021-10-12T16:00:55Z"/>
        <d v="2021-10-05T16:00:00Z"/>
        <d v="2021-10-16T07:00:00Z"/>
        <d v="2021-10-28T22:00:01Z"/>
        <d v="2021-11-27T20:00:05Z"/>
        <d v="2021-11-10T17:00:01Z"/>
        <d v="2021-10-14T13:00:05Z"/>
        <d v="2021-10-22T11:00:00Z"/>
        <d v="2021-12-21T10:00:00Z"/>
        <d v="2021-11-14T09:00:02Z"/>
        <d v="2021-10-08T19:00:01Z"/>
        <d v="2021-10-16T18:00:01Z"/>
        <d v="2021-10-27T13:00:05Z"/>
        <d v="2021-10-12T20:00:02Z"/>
        <d v="2021-10-09T16:00:17Z"/>
        <d v="2021-12-03T16:00:32Z"/>
        <d v="2021-11-08T17:00:01Z"/>
        <d v="2021-10-24T18:00:46Z"/>
        <d v="2021-10-27T17:00:01Z"/>
        <d v="2021-12-19T17:19:11Z"/>
        <d v="2021-12-13T15:29:32Z"/>
        <d v="2021-11-10T18:04:35Z"/>
        <d v="2021-12-14T21:00:00Z"/>
        <d v="2021-10-28T10:13:33Z"/>
        <d v="2021-10-19T21:00:01Z"/>
        <d v="2021-10-11T11:00:05Z"/>
        <d v="2021-11-16T21:00:02Z"/>
        <d v="2021-10-10T12:00:01Z"/>
        <d v="2021-11-30T10:00:34Z"/>
        <d v="2021-12-17T14:00:00Z"/>
        <d v="2021-10-30T22:00:01Z"/>
        <d v="2021-12-15T15:00:59Z"/>
        <d v="2021-10-16T10:00:01Z"/>
        <d v="2021-10-15T15:30:31Z"/>
        <d v="2021-12-09T14:01:00Z"/>
        <d v="2021-10-01T15:00:42Z"/>
        <d v="2021-10-02T15:00:43Z"/>
        <d v="2021-10-08T15:00:28Z"/>
        <d v="2021-11-18T20:00:54Z"/>
        <d v="2021-12-16T18:45:23Z"/>
        <d v="2021-11-03T16:35:54Z"/>
        <d v="2021-10-31T14:09:03Z"/>
        <d v="2021-10-18T14:00:48Z"/>
        <d v="2021-10-30T14:00:25Z"/>
        <d v="2021-10-12T18:00:25Z"/>
        <d v="2021-12-13T20:09:59Z"/>
        <d v="2021-10-06T18:00:54Z"/>
        <d v="2021-11-13T21:00:02Z"/>
        <d v="2021-10-12T15:01:22Z"/>
        <d v="2021-10-17T16:00:54Z"/>
        <d v="2021-12-25T21:00:01Z"/>
        <d v="2021-10-17T13:00:17Z"/>
        <d v="2021-10-15T19:00:12Z"/>
        <d v="2021-11-24T15:10:32Z"/>
        <d v="2021-10-19T14:00:26Z"/>
        <d v="2021-11-09T20:00:05Z"/>
        <d v="2021-11-24T13:00:00Z"/>
        <d v="2021-10-05T12:00:37Z"/>
        <d v="2021-11-23T22:00:03Z"/>
        <d v="2021-10-05T16:15:12Z"/>
        <d v="2021-10-20T18:00:00Z"/>
        <d v="2021-10-30T16:00:02Z"/>
        <d v="2021-10-05T21:00:01Z"/>
        <d v="2021-10-17T14:35:22Z"/>
        <d v="2021-11-30T21:00:03Z"/>
        <d v="2021-12-20T20:00:03Z"/>
        <d v="2021-11-02T21:00:02Z"/>
        <d v="2021-10-07T21:00:58Z"/>
        <d v="2021-10-13T10:00:01Z"/>
        <d v="2021-11-19T20:00:07Z"/>
        <d v="2021-11-08T15:00:01Z"/>
        <d v="2021-10-01T16:00:05Z"/>
        <d v="2021-12-16T20:00:02Z"/>
        <d v="2021-10-13T14:00:07Z"/>
        <d v="2021-10-03T16:19:06Z"/>
        <d v="2021-11-28T13:00:00Z"/>
        <d v="2021-10-13T16:00:50Z"/>
        <d v="2021-10-06T16:30:58Z"/>
        <d v="2021-12-07T14:00:07Z"/>
        <d v="2021-10-17T15:00:05Z"/>
        <d v="2021-11-03T16:00:34Z"/>
        <d v="2021-11-11T16:00:33Z"/>
        <d v="2021-10-12T19:00:22Z"/>
        <d v="2021-10-08T11:45:00Z"/>
        <d v="2021-10-27T14:30:10Z"/>
        <d v="2021-12-25T16:30:16Z"/>
        <d v="2021-12-20T15:00:10Z"/>
        <d v="2021-11-05T16:00:09Z"/>
        <d v="2021-10-07T11:45:04Z"/>
        <d v="2021-11-16T19:00:05Z"/>
        <d v="2021-12-08T15:00:11Z"/>
        <d v="2021-12-15T13:00:40Z"/>
        <d v="2021-10-27T17:00:03Z"/>
        <d v="2021-11-22T18:00:01Z"/>
        <d v="2021-10-18T18:31:17Z"/>
        <d v="2021-11-01T18:00:01Z"/>
        <d v="2021-10-02T16:12:45Z"/>
        <d v="2021-12-19T20:52:52Z"/>
        <d v="2021-10-06T15:40:50Z"/>
        <d v="2021-10-05T10:07:22Z"/>
        <d v="2021-10-08T14:00:16Z"/>
        <d v="2021-10-20T16:05:03Z"/>
        <d v="2021-11-05T13:54:35Z"/>
        <d v="2021-12-20T18:00:00Z"/>
        <d v="2021-11-08T12:57:37Z"/>
        <d v="2021-10-23T13:05:07Z"/>
        <d v="2021-10-23T21:00:04Z"/>
        <d v="2021-10-07T14:00:33Z"/>
        <d v="2021-12-19T14:00:01Z"/>
        <d v="2021-10-08T15:30:11Z"/>
        <d v="2021-12-10T12:05:17Z"/>
        <d v="2021-10-23T12:59:23Z"/>
        <d v="2021-12-01T14:10:47Z"/>
        <d v="2021-10-10T15:21:51Z"/>
        <d v="2021-10-11T17:00:03Z"/>
        <d v="2021-11-26T16:35:06Z"/>
        <d v="2021-11-27T10:00:01Z"/>
        <d v="2021-12-02T13:00:52Z"/>
        <d v="2021-12-04T11:00:03Z"/>
        <d v="2021-12-03T15:00:09Z"/>
        <d v="2021-12-17T10:00:06Z"/>
        <d v="2021-10-22T20:00:28Z"/>
        <d v="2021-12-19T20:42:49Z"/>
        <d v="2021-12-14T15:30:03Z"/>
        <d v="2021-12-11T15:00:01Z"/>
        <d v="2021-10-11T12:17:24Z"/>
        <d v="2021-12-20T12:30:00Z"/>
        <d v="2021-11-28T16:50:05Z"/>
        <d v="2021-10-19T20:00:00Z"/>
        <d v="2021-10-20T20:00:03Z"/>
        <d v="2021-10-05T18:00:07Z"/>
        <d v="2021-10-02T21:07:39Z"/>
        <d v="2021-10-01T22:30:17Z"/>
        <d v="2021-10-11T16:00:24Z"/>
        <d v="2021-11-23T16:13:18Z"/>
        <d v="2021-10-02T15:00:08Z"/>
        <d v="2021-10-22T14:00:31Z"/>
        <d v="2021-10-01T22:25:47Z"/>
        <d v="2021-10-20T17:00:20Z"/>
        <d v="2021-12-25T15:00:01Z"/>
        <d v="2021-11-08T21:00:06Z"/>
        <d v="2021-10-20T13:39:10Z"/>
        <d v="2021-11-11T14:00:13Z"/>
        <d v="2021-11-06T19:00:01Z"/>
        <d v="2021-10-23T12:00:17Z"/>
        <d v="2021-11-27T14:00:01Z"/>
        <d v="2021-11-22T16:00:03Z"/>
        <d v="2021-11-15T15:34:04Z"/>
        <d v="2021-10-09T15:23:28Z"/>
        <d v="2021-11-15T14:30:47Z"/>
        <d v="2021-12-15T09:55:22Z"/>
        <d v="2021-11-24T16:00:01Z"/>
        <d v="2021-10-08T17:20:01Z"/>
        <d v="2021-10-07T16:33:42Z"/>
        <d v="2021-11-15T15:40:38Z"/>
        <d v="2021-10-04T11:00:01Z"/>
        <d v="2021-10-13T12:00:01Z"/>
        <d v="2021-10-17T11:00:00Z"/>
        <d v="2021-10-29T11:00:04Z"/>
        <d v="2021-10-21T11:00:03Z"/>
        <d v="2021-12-20T10:00:00Z"/>
        <d v="2021-11-18T17:00:00Z"/>
        <d v="2021-10-09T17:14:24Z"/>
        <d v="2021-10-31T11:00:04Z"/>
        <d v="2021-10-14T19:05:40Z"/>
        <d v="2021-12-23T10:00:00Z"/>
        <d v="2021-12-17T08:00:00Z"/>
        <d v="2021-12-18T15:00:00Z"/>
        <d v="2021-12-21T14:00:00Z"/>
        <d v="2021-11-03T15:40:02Z"/>
        <d v="2021-11-06T11:56:12Z"/>
        <d v="2021-11-16T18:00:02Z"/>
        <d v="2021-11-14T17:00:01Z"/>
        <d v="2021-11-02T18:32:54Z"/>
        <d v="2021-11-25T12:00:02Z"/>
        <d v="2021-11-17T13:00:00Z"/>
        <d v="2021-11-28T11:00:01Z"/>
        <d v="2021-11-21T10:00:02Z"/>
        <d v="2021-12-18T13:00:00Z"/>
        <d v="2021-12-23T14:00:00Z"/>
        <d v="2021-11-04T18:24:45Z"/>
        <d v="2021-11-06T18:17:19Z"/>
        <d v="2021-11-03T18:35:10Z"/>
        <d v="2021-11-05T18:25:29Z"/>
        <d v="2021-11-05T20:54:19Z"/>
        <d v="2021-11-07T18:13:30Z"/>
        <d v="2021-11-07T21:08:54Z"/>
        <d v="2021-11-03T11:00:02Z"/>
        <d v="2021-11-06T15:00:01Z"/>
        <d v="2021-11-02T09:58:36Z"/>
        <d v="2021-12-10T18:00:13Z"/>
        <d v="2021-11-29T16:28:42Z"/>
        <d v="2021-11-15T13:11:45Z"/>
        <d v="2021-10-26T11:21:00Z"/>
        <d v="2021-11-16T15:00:01Z"/>
        <d v="2021-11-12T14:41:30Z"/>
        <d v="2021-10-11T12:00:00Z"/>
        <d v="2021-10-17T17:00:00Z"/>
        <d v="2021-10-11T09:00:01Z"/>
        <d v="2021-11-16T19:20:02Z"/>
        <d v="2021-10-06T09:49:21Z"/>
        <d v="2021-11-14T13:24:50Z"/>
        <d v="2021-11-18T09:00:04Z"/>
        <d v="2021-11-18T18:45:10Z"/>
        <d v="2021-11-17T11:00:01Z"/>
        <d v="2021-11-09T14:34:45Z"/>
        <d v="2021-11-17T15:00:02Z"/>
        <d v="2021-11-18T11:45:00Z"/>
        <d v="2021-11-16T11:05:03Z"/>
        <d v="2021-11-17T09:00:04Z"/>
        <d v="2021-11-13T13:59:06Z"/>
        <d v="2021-11-20T18:52:57Z"/>
        <d v="2021-10-07T15:11:00Z"/>
        <d v="2021-12-17T13:20:56Z"/>
        <d v="2021-11-09T09:30:03Z"/>
        <d v="2021-12-18T13:13:00Z"/>
        <d v="2021-10-21T14:00:36Z"/>
        <d v="2021-12-16T20:33:46Z"/>
        <d v="2021-11-21T14:54:18Z"/>
        <d v="2021-12-19T13:06:26Z"/>
        <d v="2021-11-17T18:16:56Z"/>
        <d v="2021-11-18T17:15:01Z"/>
        <d v="2021-11-29T16:00:04Z"/>
        <d v="2021-12-17T15:30:29Z"/>
        <d v="2021-11-18T20:10:07Z"/>
        <d v="2021-12-17T20:58:19Z"/>
        <d v="2021-10-01T12:01:02Z"/>
        <d v="2021-12-17T16:28:36Z"/>
        <d v="2021-11-22T11:34:28Z"/>
        <d v="2021-11-27T13:00:07Z"/>
        <d v="2021-12-19T15:02:41Z"/>
        <d v="2021-11-21T15:36:52Z"/>
        <d v="2021-11-29T16:30:00Z"/>
        <d v="2021-10-01T15:00:06Z"/>
        <d v="2021-12-18T20:40:03Z"/>
        <d v="2021-12-07T15:30:01Z"/>
        <d v="2021-10-03T21:09:46Z"/>
        <d v="2021-11-23T15:01:52Z"/>
        <d v="2021-11-29T13:00:01Z"/>
        <d v="2021-12-16T09:30:01Z"/>
        <d v="2021-12-16T13:34:17Z"/>
        <d v="2021-12-14T17:54:35Z"/>
        <d v="2021-10-03T21:29:57Z"/>
        <d v="2021-11-29T21:35:01Z"/>
        <d v="2021-11-18T16:16:47Z"/>
        <d v="2021-11-18T13:59:57Z"/>
        <d v="2021-12-06T13:00:02Z"/>
        <d v="2021-12-12T20:30:50Z"/>
        <d v="2021-11-20T08:30:00Z"/>
        <d v="2021-11-19T08:00:05Z"/>
        <d v="2021-11-20T10:56:10Z"/>
        <d v="2021-11-21T08:30:03Z"/>
        <d v="2021-12-03T18:30:08Z"/>
        <d v="2021-12-12T15:31:00Z"/>
        <d v="2021-11-28T11:59:04Z"/>
        <d v="2021-11-27T11:59:00Z"/>
        <d v="2021-12-15T17:00:01Z"/>
        <d v="2021-11-19T22:49:24Z"/>
        <d v="2021-12-10T14:00:06Z"/>
        <d v="2021-12-12T13:00:02Z"/>
        <d v="2021-12-11T13:00:01Z"/>
        <d v="2021-11-26T20:00:02Z"/>
        <d v="2021-11-21T22:18:50Z"/>
        <d v="2021-11-27T21:09:37Z"/>
        <d v="2021-12-10T17:00:01Z"/>
        <d v="2021-12-05T13:00:01Z"/>
        <d v="2021-12-04T20:56:32Z"/>
        <d v="2021-12-04T13:00:01Z"/>
        <d v="2021-12-09T21:06:21Z"/>
        <d v="2021-12-12T16:15:02Z"/>
        <d v="2021-11-20T21:56:50Z"/>
        <d v="2021-12-09T19:16:28Z"/>
        <d v="2021-12-13T10:01:48Z"/>
        <d v="2021-12-11T21:30:26Z"/>
        <d v="2021-12-07T21:14:48Z"/>
        <d v="2021-12-05T15:59:19Z"/>
        <d v="2021-12-02T20:50:04Z"/>
        <d v="2021-12-01T13:15:38Z"/>
        <d v="2021-12-05T20:43:29Z"/>
        <d v="2021-12-09T13:12:01Z"/>
        <d v="2021-11-19T16:41:35Z"/>
        <d v="2021-12-08T13:12:15Z"/>
        <d v="2021-11-27T20:57:03Z"/>
        <d v="2021-11-30T13:15:11Z"/>
        <d v="2021-11-30T19:09:10Z"/>
        <d v="2021-12-07T13:00:01Z"/>
        <d v="2021-11-20T16:33:33Z"/>
        <d v="2021-11-23T13:24:38Z"/>
        <d v="2021-12-09T15:00:22Z"/>
        <d v="2021-11-28T20:46:33Z"/>
        <d v="2021-11-26T13:48:12Z"/>
        <d v="2021-11-22T17:18:59Z"/>
        <d v="2021-12-01T16:30:08Z"/>
        <d v="2021-11-24T13:09:59Z"/>
        <d v="2021-11-25T13:16:29Z"/>
        <d v="2021-11-24T23:03:05Z"/>
        <d v="2021-12-02T14:08:09Z"/>
        <d v="2021-12-06T21:29:12Z"/>
        <d v="2021-11-23T21:27:12Z"/>
        <d v="2021-12-08T21:44:00Z"/>
        <d v="2021-12-01T22:11:57Z"/>
        <d v="2021-11-25T15:00:02Z"/>
        <d v="2021-11-25T21:33:25Z"/>
        <d v="2021-11-30T20:52:28Z"/>
        <d v="2021-11-24T22:36:19Z"/>
        <d v="2021-11-22T14:18:24Z"/>
        <d v="2021-11-25T21:47:40Z"/>
        <d v="2021-12-01T15:00:02Z"/>
        <d v="2021-12-01T09:00:03Z"/>
        <d v="2021-11-30T09:00:08Z"/>
        <d v="2021-11-29T13:20:13Z"/>
        <d v="2021-11-26T11:00:03Z"/>
        <d v="2021-12-03T11:00:00Z"/>
      </sharedItems>
    </cacheField>
    <cacheField name="Name (Profile)" numFmtId="0">
      <sharedItems>
        <s v="Garena Free Fire"/>
        <s v="PUBG: BATTLEGROUNDS"/>
      </sharedItems>
    </cacheField>
    <cacheField name="Post ID" numFmtId="0">
      <sharedItems>
        <s v="740460599475760_1913693218819153"/>
        <s v="740460599475760_1914580795397062"/>
        <s v="740460599475760_1916081251913683"/>
        <s v="740460599475760_1927797234075418"/>
        <s v="740460599475760_1927801720741636"/>
        <s v="740460599475760_1932721116916363"/>
        <s v="740460599475760_1940827519439056"/>
        <s v="740460599475760_1949208095267665"/>
        <s v="172882636630076_987097465208585"/>
        <s v="172882636630076_991318428119822"/>
        <s v="172882636630076_1014482262470105"/>
        <s v="172882636630076_1014489645802700"/>
        <s v="740460599475760_4546634405427841"/>
        <s v="740460599475760_306128691099558"/>
        <s v="740460599475760_1951513731703768"/>
        <s v="172882636630076_1003205673597764"/>
        <s v="740460599475760_1905962889592186"/>
        <s v="172882636630076_1013230399261958"/>
        <s v="740460599475760_1963778730477268"/>
        <s v="740460599475760_1947695698752238"/>
        <s v="740460599475760_1963827217139086"/>
        <s v="740460599475760_1911243259064149"/>
        <s v="740460599475760_295978249106529"/>
        <s v="740460599475760_1963845677137240"/>
        <s v="740460599475760_1949254281929713"/>
        <s v="740460599475760_1908796782642130"/>
        <s v="740460599475760_1908797172642091"/>
        <s v="172882636630076_1021170775134587"/>
        <s v="740460599475760_1911243639064111"/>
        <s v="740460599475760_1967695280085613"/>
        <s v="740460599475760_1908168186038323"/>
        <s v="740460599475760_1917008835154258"/>
        <s v="740460599475760_1944019885786486"/>
        <s v="740460599475760_1910342392487569"/>
        <s v="740460599475760_1969128239942317"/>
        <s v="740460599475760_1964456007076207"/>
        <s v="740460599475760_1951423808379427"/>
        <s v="740460599475760_1911245965730545"/>
        <s v="740460599475760_1938587642996377"/>
        <s v="740460599475760_1944766482378493"/>
        <s v="172882636630076_1010822766169388"/>
        <s v="740460599475760_1928432400678568"/>
        <s v="740460599475760_1945472215641253"/>
        <s v="172882636630076_996848754233456"/>
        <s v="740460599475760_1963822657139542"/>
        <s v="740460599475760_1933467933508348"/>
        <s v="740460599475760_1933463956842079"/>
        <s v="740460599475760_1911360665719075"/>
        <s v="740460599475760_1908306979357777"/>
        <s v="740460599475760_1935447329977075"/>
        <s v="172882636630076_1012621895989475"/>
        <s v="740460599475760_1933552703499871"/>
        <s v="740460599475760_1921944611327347"/>
        <s v="172882636630076_1014471625804502"/>
        <s v="740460599475760_1924909847697490"/>
        <s v="172882636630076_1013251422593189"/>
        <s v="740460599475760_1967775646744243"/>
        <s v="740460599475760_1928446460677162"/>
        <s v="740460599475760_1930474490474359"/>
        <s v="740460599475760_1943968502458291"/>
        <s v="740460599475760_1921838101337998"/>
        <s v="740460599475760_1923459334509208"/>
        <s v="740460599475760_1905729416282200"/>
        <s v="740460599475760_1936441439877664"/>
        <s v="740460599475760_1943825175805957"/>
        <s v="740460599475760_1943971055791369"/>
        <s v="740460599475760_1964448330410308"/>
        <s v="740460599475760_1943171275871347"/>
        <s v="740460599475760_1905971419591333"/>
        <s v="740460599475760_1933489020172906"/>
        <s v="740460599475760_3272605146348688"/>
        <s v="740460599475760_1967821676739640"/>
        <s v="740460599475760_1966795856842222"/>
        <s v="740460599475760_1967657196756088"/>
        <s v="740460599475760_1969321056589702"/>
        <s v="740460599475760_1905939169594558"/>
        <s v="740460599475760_1928430600678748"/>
        <s v="740460599475760_1949241151931026"/>
        <s v="740460599475760_1932019070319901"/>
        <s v="740460599475760_1963833767138431"/>
        <s v="740460599475760_1963836677138140"/>
        <s v="740460599475760_1967775140077627"/>
        <s v="740460599475760_1968403463348128"/>
        <s v="740460599475760_1926680174187124"/>
        <s v="740460599475760_1914729018715573"/>
        <s v="740460599475760_1963839930471148"/>
        <s v="740460599475760_1967618723426602"/>
        <s v="740460599475760_1911365515718590"/>
        <s v="740460599475760_1966958943492580"/>
        <s v="740460599475760_1913811978807277"/>
        <s v="740460599475760_1936446436543831"/>
        <s v="740460599475760_1963833210471820"/>
        <s v="740460599475760_1933425790179229"/>
        <s v="172882636630076_1004804416771223"/>
        <s v="740460599475760_1911244335730708"/>
        <s v="740460599475760_1943967959125012"/>
        <s v="740460599475760_1017690712111095"/>
        <s v="740460599475760_1963557903832684"/>
        <s v="740460599475760_1943970059124802"/>
        <s v="172882636630076_987160195202312"/>
        <s v="740460599475760_1908168586038283"/>
        <s v="740460599475760_1905181179670357"/>
        <s v="740460599475760_1969269273261547"/>
        <s v="740460599475760_1932850766903398"/>
        <s v="740460599475760_1931244117064063"/>
        <s v="740460599475760_1951403998381408"/>
        <s v="740460599475760_1969123923276082"/>
        <s v="740460599475760_1928433627345112"/>
        <s v="172882636630076_1013823322535999"/>
        <s v="740460599475760_1935728093282332"/>
        <s v="740460599475760_1917113598477115"/>
        <s v="740460599475760_1921840288004446"/>
        <s v="740460599475760_1947015365486938"/>
        <s v="740460599475760_1964809903707484"/>
        <s v="740460599475760_1909625719225903"/>
        <s v="740460599475760_1905076383014170"/>
        <s v="740460599475760_1905076663014142"/>
        <s v="740460599475760_1932024120319396"/>
        <s v="740460599475760_1936327786555696"/>
        <s v="740460599475760_1946262388895569"/>
        <s v="740460599475760_1946790715509403"/>
        <s v="740460599475760_1968548526666955"/>
        <s v="172882636630076_1009575606294104"/>
        <s v="740460599475760_1948389112016230"/>
        <s v="172882636630076_1021798985071766"/>
        <s v="740460599475760_1911247305730411"/>
        <s v="740460599475760_1921843774670764"/>
        <s v="740460599475760_1936200256568449"/>
        <s v="740460599475760_1947622975426177"/>
        <s v="740460599475760_1909602242561584"/>
        <s v="740460599475760_1921818054673336"/>
        <s v="740460599475760_1928356114019530"/>
        <s v="740460599475760_1269931843454044"/>
        <s v="740460599475760_1947017738820034"/>
        <s v="740460599475760_1925619187626556"/>
        <s v="740460599475760_1928427537345721"/>
        <s v="740460599475760_1949234531931688"/>
        <s v="740460599475760_1910471942474614"/>
        <s v="740460599475760_1911244862397322"/>
        <s v="740460599475760_1917063811815427"/>
        <s v="740460599475760_1920915854763556"/>
        <s v="740460599475760_1921831148005360"/>
        <s v="740460599475760_1926627490859059"/>
        <s v="740460599475760_1933473546841120"/>
        <s v="740460599475760_1911625359025939"/>
        <s v="740460599475760_1936326133222528"/>
        <s v="740460599475760_1921843044670837"/>
        <s v="740460599475760_1932852616903213"/>
        <s v="740460599475760_1947019415486533"/>
        <s v="740460599475760_1949233491931792"/>
        <s v="740460599475760_1943902472464894"/>
        <s v="740460599475760_1963787453809729"/>
        <s v="740460599475760_1921183174736824"/>
        <s v="740460599475760_1935564853298656"/>
        <s v="740460599475760_1967776100077531"/>
        <s v="740460599475760_1921837141338094"/>
        <s v="740460599475760_1949044658617342"/>
        <s v="740460599475760_1914643625390779"/>
        <s v="740460599475760_1937055576482917"/>
        <s v="740460599475760_4347917948653797"/>
        <s v="740460599475760_1947673822087759"/>
        <s v="740460599475760_1944013139120494"/>
        <s v="740460599475760_1908796339308841"/>
        <s v="740460599475760_1948391182016023"/>
        <s v="740460599475760_1968551743333300"/>
        <s v="740460599475760_1937028466485628"/>
        <s v="740460599475760_1921844304670711"/>
        <s v="740460599475760_1932005006987974"/>
        <s v="740460599475760_901966987347375"/>
        <s v="740460599475760_1963789357142872"/>
        <s v="740460599475760_1968512446670563"/>
        <s v="172882636630076_1007589999825998"/>
        <s v="740460599475760_1926629087525566"/>
        <s v="740460599475760_1946261052229036"/>
        <s v="740460599475760_1917073385147803"/>
        <s v="740460599475760_1943172792537862"/>
        <s v="740460599475760_1940855049436303"/>
        <s v="740460599475760_1967777143410760"/>
        <s v="740460599475760_1925741547614320"/>
        <s v="740460599475760_1946861385502336"/>
        <s v="740460599475760_1927511477437327"/>
        <s v="740460599475760_1937027923152349"/>
        <s v="740460599475760_1937030689818739"/>
        <s v="740460599475760_1941486246039850"/>
        <s v="740460599475760_1963788033809671"/>
        <s v="740460599475760_1946247932230348"/>
        <s v="740460599475760_1917067105148431"/>
        <s v="740460599475760_1937032936485181"/>
        <s v="740460599475760_1943173239204484"/>
        <s v="740460599475760_1947016335486841"/>
        <s v="740460599475760_1949239088597899"/>
        <s v="740460599475760_1917065585148583"/>
        <s v="740460599475760_1928423800679428"/>
        <s v="740460599475760_1940854602769681"/>
        <s v="740460599475760_1963789900476151"/>
        <s v="740460599475760_1916236491898159"/>
        <s v="740460599475760_1937027513152390"/>
        <s v="740460599475760_1937029113152230"/>
        <s v="740460599475760_1928424837345991"/>
        <s v="740460599475760_1930818393773302"/>
        <s v="740460599475760_1966941793494295"/>
        <s v="740460599475760_1968551040000037"/>
        <s v="172882636630076_1008790769705921"/>
        <s v="740460599475760_1928425317345943"/>
        <s v="740460599475760_1926628300858978"/>
        <s v="740460599475760_1932009396987535"/>
        <s v="740460599475760_1910576212464187"/>
        <s v="740460599475760_1921827931339015"/>
        <s v="740460599475760_1911250759063399"/>
        <s v="740460599475760_1927470357441439"/>
        <s v="740460599475760_1928431267345348"/>
        <s v="740460599475760_1932017340320074"/>
        <s v="740460599475760_1913642725490869"/>
        <s v="740460599475760_1963790573809417"/>
        <s v="740460599475760_1921839284671213"/>
        <s v="740460599475760_1932849380236870"/>
        <s v="740460599475760_1933474060174402"/>
        <s v="172882636630076_995475351037463"/>
        <s v="740460599475760_1947713838750424"/>
        <s v="740460599475760_1968546566667151"/>
        <s v="740460599475760_1921842081337600"/>
        <s v="172882636630076_989524938299171"/>
        <s v="172882636630076_1005613603356971"/>
        <s v="740460599475760_1910465929141882"/>
        <s v="740460599475760_1936337043221437"/>
        <s v="740460599475760_1968547556667052"/>
        <s v="740460599475760_1909427849245690"/>
        <s v="740460599475760_1964072870447854"/>
        <s v="740460599475760_1914641738724301"/>
        <s v="740460599475760_1943970605791414"/>
        <s v="740460599475760_1910441942477614"/>
        <s v="740460599475760_1926468667541608"/>
        <s v="740460599475760_1963277000527441"/>
        <s v="172882636630076_977708739480791"/>
        <s v="740460599475760_1908703655984776"/>
        <s v="740460599475760_1917063088482166"/>
        <s v="740460599475760_1926689657519509"/>
        <s v="740460599475760_1949238361931305"/>
        <s v="740460599475760_1936318723223269"/>
        <s v="740460599475760_1914733125381829"/>
        <s v="740460599475760_1921852924669849"/>
        <s v="740460599475760_1966951500159991"/>
        <s v="740460599475760_1938554809666327"/>
        <s v="740460599475760_1910351379153337"/>
        <s v="740460599475760_1917261255129016"/>
        <s v="740460599475760_1925742604280881"/>
        <s v="740460599475760_1913812335473908"/>
        <s v="740460599475760_1911524132369395"/>
        <s v="172882636630076_1010234416228223"/>
        <s v="740460599475760_1935555239966284"/>
        <s v="740460599475760_1924094991112309"/>
        <s v="740460599475760_1925738904281251"/>
        <s v="172882636630076_1020042835247381"/>
        <s v="172882636630076_1016474115604253"/>
        <s v="172882636630076_995567364361595"/>
        <s v="172882636630076_1016987565552908"/>
        <s v="172882636630076_987509225167409"/>
        <s v="172882636630076_982020615716270"/>
        <s v="740460599475760_1913161612205647"/>
        <s v="172882636630076_999276717323993"/>
        <s v="740460599475760_1911245445730597"/>
        <s v="740460599475760_1951271898394618"/>
        <s v="172882636630076_1018676585384006"/>
        <s v="740460599475760_1928120204043121"/>
        <s v="172882636630076_1017542245497440"/>
        <s v="740460599475760_1917064441815364"/>
        <s v="172882636630076_979679202617078"/>
        <s v="172882636630076_1013333265918338"/>
        <s v="740460599475760_1905065849681890"/>
        <s v="740460599475760_1905068203014988"/>
        <s v="740460599475760_1910557712466037"/>
        <s v="740460599475760_1943028985885576"/>
        <s v="740460599475760_447029496861849"/>
        <s v="172882636630076_991272001457798"/>
        <s v="740460599475760_282532207073795"/>
        <s v="172882636630076_981491159102549"/>
        <s v="172882636630076_988271731757825"/>
        <s v="172882636630076_977798096138522"/>
        <s v="172882636630076_1016596568925341"/>
        <s v="172882636630076_973689799882685"/>
        <s v="740460599475760_1938461969675611"/>
        <s v="172882636630076_977696136148718"/>
        <s v="172882636630076_980958539155811"/>
        <s v="172882636630076_1023840101534321"/>
        <s v="740460599475760_1918050318383443"/>
        <s v="740460599475760_1917028241818984"/>
        <s v="172882636630076_1004261323492199"/>
        <s v="172882636630076_982061412378857"/>
        <s v="740460599475760_1933548783500263"/>
        <s v="172882636630076_1004171890167809"/>
        <s v="740460599475760_1908404846014657"/>
        <s v="740460599475760_1946818968839911"/>
        <s v="740460599475760_1947013265487148"/>
        <s v="172882636630076_973096053275393"/>
        <s v="172882636630076_982779412307057"/>
        <s v="740460599475760_1928451200676688"/>
        <s v="172882636630076_972880253296973"/>
        <s v="172882636630076_980953712489627"/>
        <s v="172882636630076_1008135323104799"/>
        <s v="172882636630076_1020646178520380"/>
        <s v="172882636630076_990554618196203"/>
        <s v="740460599475760_1910533969135078"/>
        <s v="740460599475760_1914640848724390"/>
        <s v="740460599475760_1943020629219745"/>
        <s v="740460599475760_1933545816833893"/>
        <s v="172882636630076_970669680184697"/>
        <s v="740460599475760_1963760730479068"/>
        <s v="172882636630076_977895402795458"/>
        <s v="172882636630076_941368270062200"/>
        <s v="740460599475760_1949240285264446"/>
        <s v="740460599475760_1914765935378548"/>
        <s v="172882636630076_973674283217570"/>
        <s v="172882636630076_1012606602657671"/>
        <s v="740460599475760_1917117195143422"/>
        <s v="172882636630076_991250004793331"/>
        <s v="172882636630076_996102694308062"/>
        <s v="740460599475760_1914615942060214"/>
        <s v="172882636630076_974893623095636"/>
        <s v="172882636630076_986959085222423"/>
        <s v="172882636630076_1023704381547893"/>
        <s v="172882636630076_1020555818529416"/>
        <s v="172882636630076_992549451330053"/>
        <s v="172882636630076_974253753159623"/>
        <s v="740460599475760_1941531746035300"/>
        <s v="172882636630076_1013318095919855"/>
        <s v="172882636630076_1017506038834394"/>
        <s v="172882636630076_987063738545291"/>
        <s v="172882636630076_1003122253606106"/>
        <s v="740460599475760_1919656528222822"/>
        <s v="172882636630076_990130271571971"/>
        <s v="172882636630076_401104991611623"/>
        <s v="172882636630076_1020158005235864"/>
        <s v="172882636630076_973652123219786"/>
        <s v="172882636630076_972919619959703"/>
        <s v="172882636630076_974967039754961"/>
        <s v="172882636630076_982766825641649"/>
        <s v="172882636630076_992517154666616"/>
        <s v="172882636630076_1020635191854812"/>
        <s v="172882636630076_994303424487989"/>
        <s v="740460599475760_1923251744529967"/>
        <s v="740460599475760_1921992781322530"/>
        <s v="172882636630076_974324759819189"/>
        <s v="740460599475760_1954317724756702"/>
        <s v="172882636630076_974981129753552"/>
        <s v="172882636630076_1014537342464597"/>
        <s v="740460599475760_1922714304583711"/>
        <s v="172882636630076_1008791016372563"/>
        <s v="172882636630076_976362902948708"/>
        <s v="740460599475760_1913537378834737"/>
        <s v="172882636630076_1005758736675791"/>
        <s v="172882636630076_1005813916670273"/>
        <s v="172882636630076_1009374452980886"/>
        <s v="172882636630076_1010225402895791"/>
        <s v="172882636630076_1010219899563008"/>
        <s v="172882636630076_1018687355382929"/>
        <s v="740460599475760_1922684047920070"/>
        <s v="172882636630076_1020152101903121"/>
        <s v="172882636630076_1017030578881940"/>
        <s v="172882636630076_1014949152423416"/>
        <s v="172882636630076_976953709556294"/>
        <s v="172882636630076_1020170918567906"/>
        <s v="740460599475760_1948421818679626"/>
        <s v="740460599475760_1919541568234318"/>
        <s v="740460599475760_1919542078234267"/>
        <s v="172882636630076_973095346608797"/>
        <s v="172882636630076_971543223430676"/>
        <s v="172882636630076_970945460157119"/>
        <s v="740460599475760_1913685608819914"/>
        <s v="172882636630076_1003683373549994"/>
        <s v="172882636630076_971000823484916"/>
        <s v="740460599475760_1921988727989602"/>
        <s v="172882636630076_970942463490752"/>
        <s v="740460599475760_1920949781426830"/>
        <s v="172882636630076_1023655268219471"/>
        <s v="740460599475760_1935583059963502"/>
        <s v="172882636630076_982696852315313"/>
        <s v="172882636630076_996049987646666"/>
        <s v="740460599475760_1933766253478516"/>
        <s v="740460599475760_1922737251248083"/>
        <s v="172882636630076_1005700296681635"/>
        <s v="740460599475760_1946073798914428"/>
        <s v="172882636630076_943157496307517"/>
        <s v="172882636630076_975672303017768"/>
        <s v="172882636630076_998503534067978"/>
        <s v="172882636630076_1017489112169420"/>
        <s v="740460599475760_1946179912237150"/>
        <s v="172882636630076_975060066412325"/>
        <s v="172882636630076_974385706479761"/>
        <s v="172882636630076_998530390731959"/>
        <s v="740460599475760_1905162739672201"/>
        <s v="740460599475760_1914639852057823"/>
        <s v="740460599475760_1917094281812380"/>
        <s v="740460599475760_1925663274288814"/>
        <s v="740460599475760_1920381241483684"/>
        <s v="740460599475760_1962250917296716"/>
        <s v="740460599475760_1942317042623437"/>
        <s v="172882636630076_975724409679224"/>
        <s v="740460599475760_1925661867622288"/>
        <s v="740460599475760_1916023201919488"/>
        <s v="740460599475760_1966884233500051"/>
        <s v="740460599475760_1958524954335979"/>
        <s v="740460599475760_1958525884335886"/>
        <s v="740460599475760_1966950776826730"/>
        <s v="172882636630076_991329311452067"/>
        <s v="172882636630076_993086827942982"/>
        <s v="172882636630076_999185517333113"/>
        <s v="172882636630076_997945124123819"/>
        <s v="172882636630076_625073651855177"/>
        <s v="740460599475760_1947520292103112"/>
        <s v="740460599475760_1940979659423842"/>
        <s v="740460599475760_1947591738762634"/>
        <s v="740460599475760_1941444886043986"/>
        <s v="740460599475760_1957749637746844"/>
        <s v="740460599475760_1968550000000141"/>
        <s v="172882636630076_874280446610068"/>
        <s v="172882636630076_287173213277608"/>
        <s v="172882636630076_403992904533768"/>
        <s v="172882636630076_699373684355247"/>
        <s v="172882636630076_424186866092505"/>
        <s v="172882636630076_266636538744720"/>
        <s v="172882636630076_240826381288570"/>
        <s v="740460599475760_1931154987072976"/>
        <s v="740460599475760_1932661716922303"/>
        <s v="172882636630076_990526674865664"/>
        <s v="172882636630076_1014469522471379"/>
        <s v="172882636630076_587002365858520"/>
        <s v="172882636630076_998456574072674"/>
        <s v="172882636630076_986268008624864"/>
        <s v="172882636630076_999121967339468"/>
        <s v="172882636630076_996665127585152"/>
        <s v="740460599475760_1911249899063485"/>
        <s v="740460599475760_1917068655148276"/>
        <s v="740460599475760_1911247819063693"/>
        <s v="172882636630076_999260497325615"/>
        <s v="172882636630076_973550876563244"/>
        <s v="172882636630076_997901074128224"/>
        <s v="172882636630076_999096604008671"/>
        <s v="172882636630076_1000466597205005"/>
        <s v="172882636630076_999091954009136"/>
        <s v="172882636630076_994927227758942"/>
        <s v="172882636630076_999696490615349"/>
        <s v="172882636630076_999871137264551"/>
        <s v="172882636630076_999088734009458"/>
        <s v="172882636630076_999281797323485"/>
        <s v="172882636630076_997263320858666"/>
        <s v="172882636630076_1001808150404183"/>
        <s v="172882636630076_974353596482972"/>
        <s v="172882636630076_1018778448707153"/>
        <s v="172882636630076_994557011129297"/>
        <s v="172882636630076_1019350951983236"/>
        <s v="740460599475760_1921114361410372"/>
        <s v="172882636630076_1018340555417609"/>
        <s v="172882636630076_1002338103684521"/>
        <s v="172882636630076_1019943645257300"/>
        <s v="172882636630076_999859547265710"/>
        <s v="172882636630076_1000440563874275"/>
        <s v="172882636630076_1007592689825729"/>
        <s v="172882636630076_1018820962036235"/>
        <s v="172882636630076_1000447847206880"/>
        <s v="172882636630076_1018981242020207"/>
        <s v="172882636630076_969476276970704"/>
        <s v="172882636630076_1018844178700580"/>
        <s v="172882636630076_1002995990285399"/>
        <s v="172882636630076_1005935756658089"/>
        <s v="172882636630076_1019983768586621"/>
        <s v="172882636630076_1002358573682474"/>
        <s v="172882636630076_1007623696489295"/>
        <s v="172882636630076_970284500223215"/>
        <s v="172882636630076_1019558645295800"/>
        <s v="172882636630076_1012700112648320"/>
        <s v="172882636630076_972150376703294"/>
        <s v="172882636630076_1003660933552238"/>
        <s v="172882636630076_1007219633196368"/>
        <s v="172882636630076_1017834152134916"/>
        <s v="172882636630076_1018144412103890"/>
        <s v="172882636630076_1017105642207767"/>
        <s v="172882636630076_972161813368817"/>
        <s v="172882636630076_1007813089803689"/>
        <s v="172882636630076_1000417933876538"/>
        <s v="172882636630076_1000369933881338"/>
        <s v="172882636630076_1011017489483249"/>
        <s v="172882636630076_1016029862315345"/>
        <s v="172882636630076_1001291520455846"/>
        <s v="172882636630076_1000429033875428"/>
        <s v="172882636630076_1001572340427764"/>
        <s v="172882636630076_1001924903725841"/>
        <s v="172882636630076_1010255829559415"/>
        <s v="172882636630076_1015878822330449"/>
        <s v="172882636630076_1005926013325730"/>
        <s v="172882636630076_1005921279992870"/>
        <s v="172882636630076_1017589345492730"/>
        <s v="172882636630076_1001283097123355"/>
        <s v="172882636630076_1014187265832938"/>
        <s v="172882636630076_1014939492424382"/>
        <s v="172882636630076_1014938215757843"/>
        <s v="172882636630076_1005877146663950"/>
        <s v="172882636630076_1002650746986590"/>
        <s v="172882636630076_1006587349926263"/>
        <s v="172882636630076_1014653392452992"/>
        <s v="172882636630076_1010515446200120"/>
        <s v="172882636630076_1011030879481910"/>
        <s v="172882636630076_1010510302867301"/>
        <s v="172882636630076_1014168805834784"/>
        <s v="172882636630076_1015898692328462"/>
        <s v="172882636630076_1001915433726788"/>
        <s v="172882636630076_1014090272509304"/>
        <s v="172882636630076_1016094915642173"/>
        <s v="172882636630076_1015450285706636"/>
        <s v="172882636630076_1012891612629170"/>
        <s v="172882636630076_1011462816105383"/>
        <s v="172882636630076_1009768216274843"/>
        <s v="172882636630076_1008768976374767"/>
        <s v="172882636630076_1011606189424379"/>
        <s v="172882636630076_1013909035860761"/>
        <s v="172882636630076_1001062310478767"/>
        <s v="172882636630076_1013266309258367"/>
        <s v="172882636630076_1006579676593697"/>
        <s v="172882636630076_1008169273101404"/>
        <s v="172882636630076_1008328726418792"/>
        <s v="172882636630076_1012243712693960"/>
        <s v="172882636630076_1001741087077556"/>
        <s v="172882636630076_1003626886888976"/>
        <s v="172882636630076_1013947185856946"/>
        <s v="172882636630076_1007177663200565"/>
        <s v="172882636630076_1005493426702322"/>
        <s v="172882636630076_1003126920272306"/>
        <s v="172882636630076_1008780796373585"/>
        <s v="172882636630076_1004216456830019"/>
        <s v="172882636630076_1004861883432143"/>
        <s v="172882636630076_1004514486800216"/>
        <s v="172882636630076_1009398206311844"/>
        <s v="172882636630076_1012283736023291"/>
        <s v="172882636630076_1003860053532326"/>
        <s v="172882636630076_1013544389230559"/>
        <s v="172882636630076_1009036856347979"/>
        <s v="172882636630076_1004897060095292"/>
        <s v="172882636630076_1005123576739307"/>
        <s v="172882636630076_1008401143078217"/>
        <s v="172882636630076_1004509010134097"/>
        <s v="172882636630076_1003059263612405"/>
        <s v="172882636630076_1005134566738208"/>
        <s v="172882636630076_1008795433038788"/>
        <s v="172882636630076_1008454713072860"/>
        <s v="172882636630076_1007863359798662"/>
        <s v="172882636630076_1007561479828850"/>
        <s v="172882636630076_1004930273425304"/>
        <s v="172882636630076_1010142522904079"/>
      </sharedItems>
    </cacheField>
    <cacheField name="Post type" numFmtId="0">
      <sharedItems>
        <s v="added_photos"/>
        <s v="mobile_status_update"/>
        <s v="added_video"/>
        <s v="shared_story"/>
      </sharedItems>
    </cacheField>
    <cacheField name="Content type" numFmtId="0">
      <sharedItems containsBlank="1">
        <s v="profile_media"/>
        <s v="photo"/>
        <s v="cover_photo"/>
        <s v="share"/>
        <s v="video_inline"/>
        <s v="video"/>
        <s v="native_templates"/>
        <s v="video_direct_response"/>
        <s v="album"/>
        <m/>
      </sharedItems>
    </cacheField>
    <cacheField name="Message" numFmtId="0">
      <sharedItems containsBlank="1">
        <m/>
        <s v="Free Fire Show off Special : MEW x EARENA"/>
        <s v="Free Fire Show-off ซ้อมกับโปร : KOG และ SYZ ตัวแทนประเทศไทยที่จะลุยศึก FFAC"/>
        <s v="SURVIVALS MASTER WINTER ❄️&#10;เส้นทางสู่โปรลีก...กำลังจะเริ่มต้นขึ้น &#10;&#10;#FFSM  #R2FFPL #FFESPORTS"/>
        <s v="🎥 𝐏𝐆𝐂𝟐𝟎𝟐𝟏 𝐒𝐂𝐎𝐏𝐄 พาบุกกองงาน Media Day อย่างหล่ออย่างเท่ห์ เจอ AAA และ BRU ด้วยนะ"/>
        <s v="[ANIMATION] จากโรงงานร้าง สู่สมรภูมิ&#10;เอาชีวิตรอดและชิงความที่หนึ่ง ⚙&#10;ให้สมรภูมิรบแห่งนี้ลุกเป็นไฟ Booyah 🔥"/>
        <s v="🎬 Team Voice PGC2021 Rivals EP.2 อารมณ์หลังกินไก่ในสัปดาห์ที่ 2&#10;&#10;#PUBG #ESPORTS #PGC2021 #พับจีชิงแชมป์โลก"/>
        <s v="[VDO] Dragon Hunter&#10;Live Action จากแฟชั่นสุดเท่ 💥&#10;ของเหล่านักล่ามังกรในตำนาน&#10;มาสัมผัสความโหดเหี้ยมพร้อมกัน 🔥"/>
        <s v="[VDO] คาตานะ กะโหลกทอง&#10;เตรียมพบพลังอำนาจแห่งความมืดมิด&#10;ที่แฝงอยู่ในดาบคาตานะสุดยิ่งใหญ๋ ✨&#10;กะโหลกประกายทองแผ่ขนายพลัง"/>
        <s v="[VDO] ต๊าชชชช แฟชั่นเย็นเจี๊ยบ&#10;ฤดูนี้ หนาวแค่ไหนให้ถามใจดู✨&#10;กับแฟชั่นโชว์กล้ามท้าลมเย็น ❄️&#10;แค่เห็นก็สั่นสะท้านไปหมดแล้ว 🔥"/>
        <s v="ห้ามพลาด วันเดียวเท่านั้น ❗&#10;เพียงเข้ามาล็อคอินก็รับไอเทมแบบปัง ๆ ✨&#10;เฉพาะวันที่ 9 ตุลาคม 2564 &#10;&#10;แล้วมาร่ามกิจกรรมกันเยอะ ๆ นะ 💕"/>
        <s v="BOOYAH x Free Fire Asia Tournament Day 1&#10;เตรียมร่วมเชียร์ตัวแทนประเทศไทยลุยศึกแห่งศักดิ์ศรี&#10;#FFTHSTREAMER #THNO1 #ASIASURVIVORS"/>
        <s v="[VDO] กิจกรรม NEW YEAR เร็ว ๆ นี้&#10;กับกิจกรรม Free Fire มันส์ข้ามปี ❄️&#10;จะมีความสนุกสุดมันส์อะไรบ้าง ❓&#10; แล้วเตรียมมาเจอกันนนนน ❤️"/>
        <s v="[VDO] จุดเริ่มต้นของจุดจบ&#10;มหากาพย์แผนการสุดอลังการครั้งสุดท้าย ✨&#10;ที่เป็นจุดเริ่มต้นของแผนการขนทอง&#10;กับ Free Fire x ทรชนคนปล้นโลก 💥"/>
        <s v="ไอเทมสุดเดือดประจำสัปดาห์ 🔥&#10;จัดมาให้ครบทั้งสกินปืนและแฟชั่นสุดเท่ 💥&#10;ต้อนรับเดือนตุลาคม &#10;ไอเทมแต่ละวันสุดจัดทั้งนั้น ต้องห้ามพลาด ❗"/>
        <s v="อัพเกรดอนิเมชั่นอาวุธใหม่ ✨&#10;ให้สวยขึ้น และสมจริงมากยิ่งขึ้น ❗&#10;จะมองมุมไหนก็เท่ซะเหลือเกิน 💥&#10;&#10;ใครชอบอาวุธไหนคอมเมนต์บอกกันหน่อยน้า 💕"/>
        <s v="🏆💓 ส่งท้ายความประทับใจ PGC2021 แล้วเจอกันใหม่ในศึก PUBG ESPORTS 2022 ปีหน้ามาลุยกันมันส์ตลอดปี!&#10;&#10;#PUBG #ESPORTS #PGC2021 #PUBGESPORTS"/>
        <s v="คร๊าฟแลนด์ โหมดที่แสดงความเป็นตัวตน 💥&#10;ยิ่งมาเล่นเยอะ ยิ่งสะสมคะแนน&#10;มาร่วมด้วยช่วยกันปลดล็อครางวัล 🏆&#10;รับไอเทมและสกินปืนสุดเท่กันไปเลย 🔥"/>
        <s v="[VDO] คอลเลกชันต้องห้ามพลาด&#10;กับไอเทมมากมายที่เข้ากับเทศกาล ✨&#10;ในฤดูหนาวแบบนี้ ต้องมาฟินกับของคลู ๆ ❄&#10;มาสะสมกันให้ครบ แล้วออกไปลุยกันเลย 💥"/>
        <s v="[FFMAX] ใครยังไม่ลองต้องลอง&#10;เพราะ Free Fire MAX 💥&#10;มาพร้อมประสบการณ์ขั้นเหนือกว่า ✨&#10;สัมผัสความสมจริงด้วยเอฟเฟกต์เสียงพิเศษได้แล้ววันนี้ 🥰"/>
        <s v="โหมดใหม่ ❗ ที่จะมาสร้างความเร้าใจ &#10;ลุ้นระทึกทุกฝีก้าว 🔥&#10;เตรียมตัวให้พร้อม เพราะครั้งนี้ ✨&#10;จะทำให้คุณต้องขวัญผวา &#10;&#10;แล้วเจอกันเร็ว ๆ นี้ 💥"/>
        <s v="[VDO] เจ้าหน้าที่ ฮ็อป กลับมาแล้ว&#10;โดนวงบีบมาหรอ ใครเค้ากลัวกัน 💥&#10;ถ้าเป็นคู่หู เจ้าหน้าที่ฮ็อปล่ะก็ หายห่วง&#10;จะโดนมาหนักขนาดไหนก็รอดได้สบาย ✨"/>
        <s v="[VDO] ระวัง ❗ บางอย่างกำลังจะมา&#10;ความมืดมิดที่ค่อย ๆ แผงตัวเข้ามาทีละนิด 💥&#10;พร้อมกลืนกินทุกสิ่งที่ขวางหน้า &#10;พาคุณดำดิ่งสู่ความน่าสะพรึงกลัว 🖤"/>
        <s v="[VDO] เปิดคลังเทศกาลลมหนาว&#10;รับลมเย็นส่งท้ายปี กับแฟชันคู่รัก 😘&#10;สีขาวบนเสื้อ บ่งบอกความบริสุทธิ์ ราวกับหิมะ&#10;และสีแดง คือความรักที่มีของทั้งสอง 💕"/>
        <s v="[VDO] ขั้นตอนการสร้าง นิคมรกร้าง&#10;เมื่อเหล่าวายร้ายมาชิงแกนพลัง 💥&#10;ทำให้นิคมแห่งนี้ถูกปกคลุมไปด้วยน้ำแข็ง ❄️&#10;มาร่วมกันฟื้นฟูนิคมแห่งนี้ไปพร้อมกัน ✨"/>
        <s v="[VDO] รับลมหนาวเร็ว ๆ นี้&#10;Free Fire ต้อนรับเดือนแห่งความหนาวเหน็บ ❄&#10;กับสิ่งที่จะมาใหม่เพียบ ดูวิดีโอไว้ให้ดี&#10;จะเห็นสิ่งที่กำลังจะมา แล้วเจอกันนะ 💕"/>
        <s v="ห้ามลืม ❗ วันสุดท้ายแล้วนะ&#10;ใครที่ลงทะเบียนล่วงหน้า Free Fire MAX&#10;มารับทั้งแฟชั่นสุดเท่และไอเทมสวย ๆ มากมาย&#10;&#10;รับของรางวัลได้ในหน้ากิจกรรมพิเศษน้าา 💥"/>
        <s v="[VDO] แผนลับ ฝั่งร้าย&#10;เบื้องหลังก่อนจะเป็นแผนการบุกเข้าโจมตี 💥&#10;ในเทศการ BOOYAH DAY ที่แสนสงบสุข&#10;การร่วมมือของสองตัวร้าย Skull King และ Mist Queen 🔥"/>
        <s v="วันนี้มาให้กำลังใจทีมตัวแทนประเทศไทยในการแข่งขัน &#10;FREE FIRE ASIA CHAMPIONSHIP รอบ PLAY-INS GROUP A&#10;มารับชมพร้อมกันได้ที่&#10;https://youtu.be/q-LdcO3cG_M"/>
        <s v="🪂💥 ไฮไลท์ 5 ช็อทเด็ด ศึกชิงแชมป์โลก PGC2021 สัปดาห์ที่ 2 พับจี | PUBG&#10;&#10; #PUBG #ESPORTS #PGC2021 #พับจีชิงแชมป์โลก&#10;#เชียร์ไทยไปชิงแชมป์โลก #BRU #AAA"/>
        <s v="เหล่าผู้เล่น Free Fire ทั้งหลาย บอกแอดหน่อย ❓&#10;ชื่นชอบชุดเซ็ต EVO ไหนมากที่สุด&#10;และอยากให้อันไหนกลับมาอีกครั้ง ✨&#10;&#10;กดอีโมจิชุดที่ต้องการมารัว ๆ ได้เลย 💥"/>
        <s v="วันนี้ 17.00 น.&#10;มาให้กำลังใจทีมตัวแทนประเทศไทยในการแข่งขัน&#10;FREE FIRE ASIA CHAMPIONSHIP &#10;รอบ PLAY-INS GROUP B&#10;🔴 Youtube : https://youtu.be/7qYhcIjIYz8"/>
        <s v="🍗 ดึกๆก็หิวไก่สิค๊าบ มาโดดร่มยาวไปกับฟางโกะ!! เชียร์หน่อยคืนนี้ไม่ได้ไก่ไม่นอน! ❤️ ถูกใจใช่เลยก็อย่าลืมไปกดติดตามช่องได้ที่ ➡ ฟางโกะ OK&#10;&#10;#PUBG #ฟางโกะ"/>
        <s v="เอ๊าาา ❗️ ใครสายลงแรงก์ต้องมา&#10;เราเปิดการจัดอันดับให้เล่นแล้ว 🔥&#10;ในโหมด &quot;หมาป่าเดียวดาย&quot;&#10;กับความเร้าใจสุดระทึกยากจะลืม&#10;&#10;เปิดให้เล่นพร้อมกันวันพรุ่งนี้  ✨"/>
        <s v="[VDO] โดดไกลให้ถึงฝัน&#10;ลีออนผู้ที่ไม่เคยหยุดนิ่งในการใช้ชีวิต ✨&#10;เค้าเรียนรู้และพัฒนาตัวเองไม่ให้อยู่กับที่&#10;วันนี้เค้าพร้อมแล้วในสรมภูมิเดือดอันยิ่งใหญ่ 🔥"/>
        <s v="[VDO] แฟชันเที่ยวทิพย์ กลับมาแล้ว !&#10;วิถีคนรวย ๆ อยากเที่ยวต้องได้เที่ยว 😎&#10;ต้องนี่เลย ชุดแฟชั่นเที่ยวทิพย์ &#10;อยู่ไหนก็เที่ยวได้ อยู่บ้านชิว ๆ นี่แหละใช่ 💲"/>
        <s v="[VDO] เกาะสวรรค์ขั้นสุด&#10;Free Fire MAX ขออาสาพาทัวร์แผนใหม่ล่าสุด ✨&#10;เพิ่มความมันส์ และการเดินเกมใหม่ ๆ 🎉 &#10;ที่จะทำให้คุณและทีม ต้องคิดกลยุทธ์เพื่อคว้าชัย 🏆"/>
        <s v="[VDO] ไหนใครเป็นสาย 4x4 กันบ้าง ❓&#10;เตรียมตัวกันให้พร้อมกับเกาะสวรรค์ MAX &quot;โรงงาน&quot; 🚧&#10;สมรภูมิเดือดใหม่ ที่เข้ามาเติมความเร้าใจ 🔥&#10;จัดตี้ครบแล้ว ก็ลุยกันเลย 💥"/>
        <s v="ขอต้อนรับเข้าสู่ช่วง &quot;ตัวจริงเรื่อง Free Fire&quot;&#10;จากเงาปริศนาของปืนในรูปนี้ &#10;คิดว่าอาวุธอัพเกรดถัดไปจะเป็นปืนอะไร ❓&#10;&#10;ลองคอมเม้นท์คำตอบมาบอกแอดกันหน่อยเร็ววว ✨"/>
        <s v="🎬 PUBG Squad Reunion EP.1การกลับมาเจอกันของสมาชิกทีม GEN.G ที่คุณคิดถึง&#10;&#10;#PUBG #ESPORTS #PGC2021 #พับจีชิงแชมป์โลก &#10;#เชียร์ไทยไปชิงแชมป์โลก #BRU #AAA #GENG"/>
        <s v="ในทุกครั้งที่เข้าร่วมสมรภูมิ 💥&#10;ในทุก ๆ เกมย่อมมีความแตกต่าง&#10;เหมือนชีวิตที่ไม่มีวันเหมือนเดิมในแต่ละวัน 🔥&#10;ชีวิตคือการต่อสู้&#10;&quot;BATTLE IN STYLE สู้อย่างมีสไตล์&quot;"/>
        <s v="ระบบ iOS พร้อมให้เล่นแล้ว 💥&#10;กับโหมดสุดระทึก A E I O U หยุด&#10;จับมือถือให้แน่น เตรียมใจให้พร้อม ❗&#10;เพราะการขยับเพียงนิดเดียว = จุดจบ &#10;&#10;ถ้าหากพร้อมแล้ว ก็ลุยเลย! 🔥"/>
        <s v="เกมพับจีเล่นฟรี 12 มกราคม 2022 เป็นต้นไป ลงทะเบียนล่วงหน้าที่ https://bit.ly/PUBG_F2P_PreRegister&#10;&#10;#PUBG #BATTLEGROUNDS #BATTLEROYALE #FREETOPLAY #พับจี #เกมพับจี"/>
        <s v="[VDO] คู่หูสุดซิ่ง เร็ว ๆ นี้&#10;สัตว์เลี้ยงตัวป่วนที่จะมาตะลุยด่าน&#10;สุดโหด มันส์ ฮา 💥&#10;พร้อมแล้วรึยังกับความคิ้วในสนามแข่งขัน 😘&#10;&#10;แล้วเจอกัน 30 ตุลาคม 2564 นี้นะจ๊ะ 💕"/>
        <s v="🎬 ทำซีนปั่นๆแล้วใส่เพลงประกอบ ดูแล้วอินขึ้นปั่นขึ้นนิดนึง 555 &#10;แล้วมาเชียร์ไทยกันต่อเย็นนี้ 17.00 น. ลุ้นเข้ารอบกันหน่อย!&#10;#PUBG #ESPORTS #PGC2021 #พับจีชิงแชมป์โลก"/>
        <s v="ออกมาเต้น เอ๊า ❗ ออกมาเต้น&#10;มาออกลวดลายสายแดนซ์ ✨&#10;ด้วยท่าทางสเต็ปเท้าไฟ 🔥&#10;เต้นกันให้สมรภูมิแตกกันไปข้างนึง&#10;&#10;⏳ ระยะเวลากิจกรรม&#10;ตั้งแต่วันที่ 28 ธันวาคม 2564 เป็นต้นไป"/>
        <s v="[VDO] คู่มือโหมด คู่หูสุดซิ่ง&#10;4 ด่านสุดหฤโหด กับ 3 มินิเกมสุดฮา 🤣&#10;ที่จะให้เหล่าตัวป่วนแสนคิวท์&#10;มาโลดแล่นในสนามแข่งขันนี้ 💥&#10;&#10;ใครยังไม่ได้ลองเล่น บอกเลยว่า ต้องลอง! ✨"/>
        <s v="เตรียมพบกับ MUSIC VIDEO เพลงจากภาคเหนือ&#10;ยืนหนึ่ง - PMCปู่จ๋าน ลองไมค์ x โอห์ม ฟลุ้ค&#10;ให้กลิ่งอายเหนือ ๆ แบบจัดเต็ม&#10;ถึงกับต้องอู้กำเมืองว่า &quot;กึ๊ดเติงหา&quot;&#10;&#10;#FreeFire4FEST"/>
        <s v="รวมมาให้แบบไม่มีกั๊กในกิจกรรม BOOYAH DAY ❗&#10;ที่มียาว ๆ จนถึงท้ายเดือน&#10;มีตั้งแต่แฟชั่นระดับตำนาน ✨&#10;ไปยันท่าทางใหม่ฉบับ Booyah 💥&#10;&#10;ใครเล็งไอเทมไหน ห้ามพลาดกันเชียวล่ะ 💕"/>
        <s v="หยิบมือถือและตั้งเวลาไว้ ห้ามลืมเด็ดขาด ❗&#10;กิจกรรมต้อนรับวันฮาโลวีนสุดหลอน 🎃&#10;เพียงเข้าเกม Free Fire&#10;รับไปเลย บัตรสร้างห้อง ฟรี 💥&#10;&#10;23 ตุลาคม 2564 วันเดียวเท่านั้นน้าา 💕"/>
        <s v="[#FFPLSS5] ได้ทีมแชมป์เป็นที่เรียบร้อย 💥&#10;ยินดีกับทีม EARENA ✨&#10;เป็นตัวแทนประเทศไทยแข่งรายการ 🇹🇭&#10;Free Fire Asia Championships 2021 ที่ใกล้จะถึงนี้&#10; &#10;#FFPLSS5 #GRANDFINAL"/>
        <s v="[FFMAX] ปลดล็อกรางวัลตามขั้น 🌡&#10;ชวนเพื่อน พ่อ แม่ พี่ น้อง หรือแฟน 💕&#10;ยิ่งมีคนมาเล่นมากเท่าไหร่&#10;ยิ่งได้ของรางวัลมากเท่านั้น 💥&#10;&#10;เข้ามาเล่นโหมดคร๊าฟแลนด์กันเยอะ ๆ น้าาาา 🥰"/>
        <s v="TEASER MV เพลงสุดซึ้ง ❗&#10;&quot;ก่อนรักกลายเป็นเกลียด&quot;&#10;จากศิลปิน Violette Wautier x Mew Suppasit&#10;บทเพลงกินใจ เนื้อหาโดน ๆ&#10;พร้อมปาดน้ำตากันได้ที่นี่ : https://youtu.be/JE_31UyRJ0I"/>
        <s v="[VDO] แฟชั่นระดับตำนาน BOOYAH! DAY&#10;ได้เวลาของแฟชั่น EVO ใหม่สุดเดือด 🔥&#10;ปลดปล่อยพลังในแบบของตัวเอง 💥&#10;โลดแล่นและต่อสู้ในสไตล์ที่ใช่ ✨&#10;พร้อมโชว์ศักยภาพให้ทุกคนได้ประจักษ์ 👊"/>
        <s v="5 วันเต็มกับกิจกรรม BATTLE IN STYLE ✨&#10;ภารกิจสุดมันส์ที่ให้คุณได้ออกลีลาในสมรภูมิ 🔥&#10;ตามสไตล์ของตัวเอง จะสายแฟชั่น สายยิงคม &#10;และอย่าลืมเข้ามาล็อกอินเพื่อรับท่าทางกันเลย ฟรี ❗"/>
        <s v="อัลบั้มภาพ Cosplay จากแฟชั่นสุดอลังการ ✨&#10;พบกับ &quot;Dragon Hunter&quot; เหล่านักล่ามังกร 🐉&#10;ที่จะมาล้างเผ่าพันธุ์นี้ และครองความยิ่งใหญ๋&#10;สัมผัสความโหดเหี้ยมของชุดผ่าน Cosplay นี้ได้เลย 🔥"/>
        <s v="TEASER MUSIC VIDEO สุดพิเศษ ✨&#10;จากโปรเจกต์ Free Fire 4 Fest&#10;ที่ได้ความร่วมมือจาก 3 ศิลปิน ❗&#10;แจ็ค แฟนฉัน x กลัฟ คณาวุฒิ X ลุค อิชิคาว่า&#10;&#10;รับชมเลยที่นี่ : https://youtu.be/YibcKJn8rkw"/>
        <s v="[VDO] สร้างเสร็จแล้ว ก็พร้อมลุย&#10;วันนี้ Free Fire ของนำเสนอ 💥&#10;วิธีชวนเพื่อน ๆ พี่ ๆ น้อง ๆ 💕&#10;เข้ามามันส์ในสมรภูมิรบ โหมดคร๊าฟแลนด์ 🌎&#10;&#10;ทำตามกันได้ง่าย ๆ ไม่กี่ขั้นตอนก็พร้อมเดือด🌡"/>
        <s v="[VDO] เปิดเทอมเล่น Free Fire&#10;เปิดเทอมทั้งที เรียนก็เรียนให้สุด เล่นก็เล่นให้สุด ✨&#10;แต่ต้องให้ถูกเวลา พักเที่ยงหรือเลิกเรียนเมื่อไหร่ &#10;มาเจอกัน รวมเพื่อน ตั้งตี้ เล่น Free Fire เลย 💥"/>
        <s v="ถ่ายทอดสดการแข่งขัน&#10;Free Fire Survivals Master Winter รอบคัดเลือก&#10;ทัวร์นาเม้นเส้นทางสู่ Free Fire Pro League Season 6&#10;8 ทีมเท่านั้น ที่จะผ่านสู่การเป็นนักกีฬามืออาชีพของเกม Free Fire"/>
        <s v="[VDO] เปิดตำนานแฟชั่นและสกินอาวุธ&#10;ยักษ์และปลาคาร์ฟ สัญลักษณ์ความแข็งแกร่ง ✨&#10;ที่มีมาอย่างยาวนานของชายญี่ปุ่น 🎌&#10;แฟชั่นสุดโหดและสกินปืนสุกน่าเกรงขาม&#10;ที่ไม่ว่าใครเห็นเป็นต้องสั่นกลัว 💥"/>
        <s v="ตารางการถ่ายทอดสด Free Fire Survivals Master Winter ❄️&#10;รอบ GROUP STAGE สายบนรอบที่ 1 DAY1&#10;เริ่มเวลา 19.00 น. เป็นต้นไป&#10;&#10;📺 รับชมการแข่งขันได้ที่&#10;🔔 YT &amp; FB : Garena Free Fire Thailand"/>
        <s v="ตารางการถ่ายทอดสด Free Fire Survivals Master Winter ❄️&#10;รอบ GROUP STAGE สายบนรอบที่ 1 DAY2&#10;เริ่มเวลา 19.00 น. เป็นต้นไป&#10;&#10;📺 รับชมการแข่งขันได้ที่&#10;🔔 YT &amp; FB : Garena Free Fire Thailand"/>
        <s v="ตารางการถ่ายทอดสด Free Fire Survivals Master Winter ❄️&#10;รอบ GROUP STAGE สายล่างรอบที่ 1&#10;🔴 เริ่มเวลา 19.00 น. เป็นต้นไป&#10;&#10;📺 รับชมการแข่งขันได้ที่&#10;🔔 YT &amp; FB : Garena Free Fire Thailand"/>
        <s v="TOP-UP ตุลารับชุดสุดคุ้ม 🔥&#10;เติม 💎 ปั๊บ รับชุดปุ๊บ &#10;ให้คุณพร้อมไปอวดเพื่อน ๆ ในเกม ✨&#10;&#10;⏳ ระยะเวลากิจกรรม&#10;ตั้งแต่วันที่ 3 ตุลาคม 2564 เวลา 00.01 น.&#10;ถึงวันที่ 5 ตุลาคม 2564 เวลา 23.59 น."/>
        <s v="เคล็ดไม่ลับฉบับของแอดมิน 💥&#10;ในโหมดสุดน่ารักน่าชัง &quot;คู่หูสุดซิ่ง&quot;&#10;ลองเอาทริคเหล่านี้ไปเล่นกันดูน้า ✨&#10;&#10;ส่วนใครที่เล่นจนเซียนแล้ว ลองเอาทริคที่ใช้&#10;มาแชร์ให้เพื่อน ๆ ได้รู้กันหน่อยเร็วว 😘"/>
        <s v="กลับมาอีกครั้ง งานสังสรรค์ของเหล่าทรชน 👺&#10;กับการปิดฉากภารกิจครั้งสุดท้ายของแผนการ&#10;ระหว่าง Free Fire x ทรชนคนปล้นโลก&#10;เตรียมพบกับภารกิจครั้งใหม่ 🔥&#10;ที่เหล่าผู้รอดชีวิตทั้งหลายต้องเผชิญ ✨"/>
        <s v="ตั้งแต่เล่นโหมดคู่หูสุดซิ่งมาเป็นอย่างไรบ้าง ❓&#10;ด้วยความน่ารักแบบ โหด มันส์ ฮา ขนาดนี้&#10;ในทุก ๆ เกมที่เล่นจบไป ✨&#10;พี่ ๆ น้อง ๆ เป็นสายไหนใน 4 สาย&#10;&#10;กดอิโมจิมาบอกแอดกันหน่อยสิ๊ แอดอยากรู้ 💕"/>
        <s v="เมื่อความร้อนปะทะกับความเย็น 💥&#10;ระเบิดออกกลายมาเป็นสกินปืนทั้ง 4&#10;2 ปืนเร่าร้อน 2 ปืนเยือกเย็น &#10;ใครอยากมีปืนเจ๋ง ๆ ต้องโดนนน 🔥&#10;&#10;⏳ ระยะเวลากิจกรรม&#10;ตั้งแต่วันที่ 20 ธันวาคม 2564 เป็นต้นไป"/>
        <s v="มาแล้วกับกิจกรรมแจกของฟรี รับปีใหม่ ❄️&#10;ไล่ยาวตั้งแต่ท้ายปี ถึงต้นปีแบบจุก ๆ 🔥&#10;กากปฏิทินไว้ให้พร้อม จำวันให้ดี&#10;ห้ามพลาดเลยแม้แต่กิจกรรมเดียว ✨&#10;&#10;ใครอยากได้ไอเทมไหนคอมเมนต์บอกแอดมาหน่อย 💕"/>
        <s v="เตรียมพบกับ MUSIC VIDEO สุดน่ารัก 💕&#10;&quot;FOREVERMORE&quot; ของ WJMILD&#10;ใครเห็นความสดใสในครั้งนี้เป็นต้องละลาย ❄&#10;และมาทำให้ทุกวันเป็นวันที่ BOOYAH กัน 🔥&#10;&#10;รับชมพร้อมกันได้ในวันที่ 24 ธันวาคม นี้ ✨"/>
        <s v="รวมภาพ COSPLAY สุดเท่กระชากใจ ✨&#10;ในโหมดใหม่ &quot;หมาป่าเดียวดาย&quot;&#10;จะสู้แบบ 1v1 หรือ 2v2 ก็ไม่หวั่น&#10;เข้ามาสัมผัสความมันส์ขั้นสุดได้แล้ววันนี้ 💥&#10;&#10;และมาเป็นที่หนึ่งให้ได้ ดุจหมาป่าผู้เดียวดาย 🏆"/>
        <s v="[VDO] DARK DRAGON ตระกลูมังกรทมิฬ&#10;เปลวเพลิงเดือดพล่านปะทุออกจากปีก ✨&#10;อัลบัมคอสเพลย์ครั้งยิ่งใหญ่&#10;ที่จะทำให้หัวใจคุณเร่าร้อนดั่งไฟ 🔥&#10;&#10;เตรียมพบความแข็งแกร่งจากสายเลือดมังกรได้เร็ว ๆ นี้ 💥"/>
        <s v="[VDO] ครั้งแรกกับสกินอาวุธ Kingfisher&#10;อสรพิษร้ายที่พร้อมเขมือบศัตรูให้สิ้น 🐍&#10;สู่สกินปืนแสนอำมหิต 💥&#10;ที่ใครได้เห็นเป็นต้องขวัญผวา 😈&#10;&#10;⏳ ระยะเวลากิจกรรม&#10;ตั้งแต่วันที่ 14 ตุลาคม 2564 เป็นต้นไป"/>
        <s v="[หนังสั้นสอนใจ EP.4] PRO-PLAYER&#10;เรื่องของการเล่นเกม หากฝึกฝนที่มากพอ 💥&#10;ไม่ว่าใครก็สามารถเป็นผู้เล่นมืออาชีพได้&#10;เรื่องสอนใจครั้งนี้จะมาบอกถึงเรื่อง ❗️&#10;&quot;อย่าดูถูกใคร และอย่ามองคนแค่ที่ภายนอก&quot; ✨"/>
        <s v="มาไต่แรงก์เพื่อเป็นที่หนึ่งไปด้วยกัน 🏆&#10;กับโหมด &quot;หมาป่าเดียวดาย&quot;&#10;การต่อสู้แบบตัวต่อตัว ในพื้นที่จำกัด 💥&#10;ที่พลาดแม้แต่นิดเดียว เท่ากับ พ่ายแพ้ 🔥&#10;&#10;มาบอกแรงก์ที่อยากขึ้นไปถึงให้แอดรู้กันหน่อย ✨"/>
        <s v="[VDO] ดาบคาตานะลายคราม ✨&#10;เปลวเพลิงสีครามที่พร้อมแผดเผาทุกสิ่ง 🔥&#10;ให้มอดไหม้กลายเป็นผุยผง 💥 &#10;&#10;⏳ ระยะเวลากิจกรรม&#10;ตั้งแต่วันที่ 10 ตุลาคม 2564 เวลา 00.01 น.&#10;ถึงวันที่ 16 ตุลาคม 2564 เวลา 23.59 น."/>
        <s v="[TEASER] ชิงบัลลังก์หมาป่าเดียวดาย&#10;พร้อมออกรบกันแล้วหรือยัง  ❓&#10;ที่จะพบความมันส์แบบสุดขีด&#10;กับการมาถึงของเกมจัดอันดับ 🏆&#10;ในโหมด &quot;หมาป่าเดียวดาย&quot; 🐺&#10;&#10;ออกมาขย้ำเหยื่อราวกับหมาป่าที่หิวโหยกันเถอะ 🔥"/>
        <s v="ได้ดูกันแล้วหรือยัง ❓ UNDEFEATED 💥&#10;ภาพยนต์ Live-Action ของ Free Fire 🔥&#10;ที่ตอกย้ำความสำเร็จ ✨&#10;ด้วยการคว้า 2 รางวัลสุดยิ่งใหญ่แห่งปี 🏆&#10;&#10;ใครที่ยังไม่ได้ดู สามารถดูได้ที่ : https://bit.ly/3AvE6dp"/>
        <s v="เหล่าผู้รอดชีวิตทั้งหลายมาร่วมกันเป็นส่วนหนึ่ง &#10;ในการโหวตเพื่อให้ FREE FIRE MAX ✨&#10;เป็นสุดยอดเกมเอาตัวรอด&#10;มาแสดงพลังขอพวกเราให้ทุกคนได้ประจักษ์ 🔥&#10;&#10;มาร่วมกันโหวตได้ที่นี่ : https://bit.ly/30cDP2C"/>
        <s v="[VDO] แฟชั่น ฮันเตอร์ดรากอน&#10;จะยกโขยงมังกรมาทั้งฝูงก็ไม่หวั่น ❗️&#10;เพราะเขามาเพื่อล่าและกำจัดมังกรให้สิ้น 🔥&#10;กับแฟชั่นสุดเดือด ท่ามกลางความหนาวเย็น ❄️&#10;&#10;เตรียมเป็นเจ้าของแฟชั่นนี้ได้ที่ร้านค้าโมโค ✨"/>
        <s v="MV ภาคเหนือที่รอคอย มาแล้ว ❗&#10;ยืนหนึ่ง - PMCปู่จ๋าน ลองไมค์ x โอห์ม ฟลุ้ค&#10;เพลงฟังสบาย &quot;เปิงใจ๋แต้ ๆ&quot; &#10;ให้คุณได้อบอุ่นหัวใจผ่านบทเพลง 💕&#10;&#10;เข้ามาดู MV สุดพิเศษนี้ได้ที่ : https://youtu.be/ISli9hgQ29Q"/>
        <s v="สกินไอเทมใหม่ล่าสุด GodV โปรเพลย์เยอร์ระดับโลกและสตรีมเมอร์ชาวจีนดินแดนมังกร ที่วางจำหน่ายในรูปแบบชุด Jumpsuit และปืน M416 ใครที่เป็นแฟนๆ GodV ต้องไม่พลาด!!&#10;&#10;#พับจี #เกมพับจี #PUBG #Season14 #GodV"/>
        <s v="[FFMAX] เล่นเกาะสวรรค์ใหม่มาแล้ว เป็นไงบ้าง ❓&#10;แต่ละจุด แต่ละมุมในแผนที่ ดี ๆ ทั้งนั้น 💥&#10;แอดเล่นแล้วยังมันส์เลย ✨&#10;แต่แอดยังไม่มีมุมอร่อยของตัวเองสักที 🤣&#10;&#10;ไหนมาแชร์มุมอร่อยของแต่ละคนให้แอดรู้หน่อย 💕"/>
        <s v="ดูวันไว้ให้ดี วันเดียวเท่านั้น 💥&#10;เข้าเกม Free Fire มาล็อกอิน &#10;รับผู้รอดชีวิตใหม่ &quot;ลีออน&quot; &#10;ทักบอกเพื่อน แฟน ตี้ที่เล่นทุกวัน&#10;ให้มารับของฟรีกันด้วยน้าา 😘&#10;&#10;⏳ วันที่ 20 พฤศจิกายน 2564 วันเดียวเท่านั้น❗❗"/>
        <s v="ถ่ายทอดสดการแข่งขัน&#10;Free Fire Survivals Master Winter รอบคัดเลือก&#10;ทัวร์นาเม้นเส้นทางสู่ Free Fire Pro League Season 6&#10;8 ทีมเท่านั้น ที่จะผ่านสู่การเป็นนักกีฬามืออาชีพของเกม Free Fire&#10;&#10;#FFSM #FFesports"/>
        <s v="[ANIMATION] ปกป้องนิคมรกร้าง&#10;ข่าวด่วน ข่าวด่วน ขณะนี้พายุหิมะ ❄&#10;กำลังโหมกระหน่ำพัดเข้าสู่เมือง&#10;เป็นผลมาจากวายร้ายขโมยแกนพลังงานไป ✨&#10;เหล่าผู้รอดชีวิตทั้งหลายต้องร่วมมือ&#10;ชิงแกนพลังงานนี้กลับมาให้จงได้ 💥"/>
        <s v="หาตี้มาลงสมรภูมิและ BOOYAH ไปด้วยกัน ❗&#10;กิจกรรมที่มีแต่ได้กับได้ ทั้งผู้เชิญและผู้ถูกเชิญ 💥&#10;รับไอเทมกันไปแบบจุก ๆ&#10;คุ้มสุดมีโอกาสรับ 💎 แบบถล่มถลาย&#10;&#10;ชวนเพื่อน พ่อ แม่ พี่ น้อง มาเล่น Free Fire กันเถอะ 💕"/>
        <s v="🔴Live ไปส่ง 💙AAA และ 💙BRU บินตรงไปเกาหลี สู่เวทีชิงแชมป์โลก PGC2021 มาให้กำลังใจผู้เล่นทั้งสองทีมและทีมงานทุกคน &#10;ขอบคุณไลฟ์จากเพจ MS Chonburi PUBG&#10;&#10;#PUBG #ESPORTS #PGC2021 #พับจีชิงแชมป์โลก&#10;#AAA #BRU"/>
        <s v="[FFMAX] พบกิจกรรมสุดพิเศษ&#10;ต้อนรับการมาถึงของ Free Fire MAX 💥&#10;และโหมดใหม่สุดครีเอทีฟอย่าง คร๊าฟแลนด์ ✨&#10;เล่นด้วยกัน รับรางวัลด้วยกันยกเซิร์ฟได้แล้วตอนนี้จ้า&#10;&#10;เข้ารับรางวัลได้ทางหน้ากิจกรรมพิเศษ MAX น้า 🥰"/>
        <s v="[VDO] แอนิเมชัน สมรภูมิใหม่เต็ม MAX&#10;ต้อนรับ Free Fire MAX&#10;ด้วยสมรภูมิใหม่สุดเดือด 🔥&#10;เอาใจผู้เล่นในโหมด 4v4&#10;รวมตี้มันส์กับเพื่อนให้สุด 💥&#10;&#10;แล้วหยุดที่คว้า BOOYAH!&#10;เฉพาะผู้เล่น Free Fire MAX เท่านั้นน้า 💕"/>
        <s v="[TEASER] Forevermore - WJMILD&#10;&#10;วิดีโอ TEASER มูสเพลงแห่งความสุข ✨&#10;&quot;FOREVERMORE&quot; จาก WJMILD&#10;เตรียมตัวให้พร้อมกับความน่ารักสดใส 💕&#10;ตามสไตล์ของ FREE FIRE กันเลยย 💥&#10;&#10;แล้วมารับชม MV ตัวเต็มกันได้เร็ว ๆ นี้ 😘"/>
        <s v="เริ่มต้นกิจกรรมที่ยิ่งใหญ่ BOOYAH! DAY&#10;แจกไอเทมเพียบ แบบยาว ๆ จนถึงท้ายเดือน 🔥&#10;ทำภารกิจแต่ละวันเพื่อรับโทเคน&#10;มาใช้ร่วมกิจกรรมต่าง ๆ ที่จะเกิดขึ้น 💥&#10;&#10;⏰ ตั้งเวลาเตือนไว้ให้ดี จะได้ไม่พลาดไอเทมเด็ดที่ต้องการ"/>
        <s v="มาแล้วกับ TEASER MV ภาคเหนือที่รอคอย&#10;ยืนหนึ่ง - PMCปู่จ๋าน ลองไมค์ x โอห์ม ฟลุ้ค&#10;อบอวนไปด้วยอารมณ์สนุกสนาน ✨&#10;แต่เต็มไปด้วยความ &quot;น่าฮักขนาด&quot; แบบเต็มเปี่ยม 💕&#10;ตามไปยืนหนึ่งก่อนใครที่นี่: https://bit.ly/2ZODTp2"/>
        <s v="อีกหนึ่งความสำเร็จสุดยิ่งใหญ่ของ Free Fire MAX ✨&#10;ที่ได้รับรับผลโหวตจากผู้เล่นทั่วโลก ให้กลายมาเป็น&#10;&quot;สุดยอดเกมเอาตัวรอด&quot; จาก Google Play 🔥&#10;เราขอขอบคุณผู้รอดชีวิตทุกท่าน &#10;ที่มาเป็นกำลังใจให้กับพวกเราเสมอมา 💕"/>
        <s v="[VDO] แอนิเมชันเปิดตัว เลื่อนของขวัญ&#10;คลิสต์มาสทั้งที ต้องมีของขวัญแล้วมั้ยย ❓&#10;ปะ ออกไปให้ของขวัญคนอื่น ๆ กัน&#10;กับท่าเปิดตัว ที่พร้อมส่งมอบความสุขใรครั้งนี้ ❄&#10;&#10;#FreeFire #FreeFireTH #นิคมรกร้าง #FreeFireNewAge"/>
        <s v="จงลุกเป็นไฟและเผาทุกอย่างที่ขวางหน้าให้สิ้น 🔥&#10;อัลบั้มชุดแฟชันสิทธิ์ขั้นสูง EP. 42 INFERNO RAGE&#10;ความร้อนแรง ความดุดัน และความมีอำนาจ ✨&#10;แผ่ขยายอำนาจของพลังมังกรไปให้ทั่ว&#10;&#10;สามารถซื้อสิทธิขั้นสูงได้แล้ววันนี้ 💥"/>
        <s v="อีก 24 ชม. พบกับประกาศก้าวสำคัญของเกม PUBG: BATTLEGROUNDS ในงาน Game Awards 2021 สดจาก Los Angeles ประเทศสหรัฐอเมริกา วันที่ 10.12.2021 เวลา 9.30 (ประเทศไทย) แฟนๆ พับจีทุกคน ห้ามพลาด!!&#10;&#10;#พับจี #เกมพับจี #PUBG"/>
        <s v="เอ๊าาาา ไหนใครรอแผนที่ใหม่อยู่ ยกมือขึ้น 🖐🏻&#10;ใกล้เข้าเข้ามาแล้วกับแผนที่ขนาด 4X4&#10;ที่จะมาเพิ่มความเร้าใจมากยิ่งขึ้น 🔥&#10;ซ้อมมือไว้ให้พร้อม และเตรียมเดือดกันไว้ให้ดี &#10;&#10;แล้วมาเจอกันในแผนที่ใหม่นี้ได้เร็ว ๆ นี้ 💕"/>
        <s v="[VDO] M1887 ทองสอยร่วง&#10;ปืนสำหรับสายคลุกวงใน ✨&#10;ยิงโดนที ต้องมีล้ม 💥&#10;สกินปืนสุดแวววาวที่ใครเห็นเป็นต้องกลัว 🔥&#10;&#10;⏳ ระยะเวลากิจกรรม&#10;ตั้งแต่วันที่ 16 ตุลาคม 2564 เวลา 04.00 น.&#10;ถึงวันที่ 22 ตุลาคม 2564 เวลา 23.59 น."/>
        <s v="เหลือเวลา 2 วันสุดท้ายเท่านั้น ❗&#10;กับภารกิจจิตวิญญาณแห่งเวน่อม 💥&#10;กำจัดเหล่าร้ายให้สิ้นซากและรับไอเทมสุดพิเศษใน&#10;Free Fire X Venom: Let There Be Carnage 🖤&#10;&#10;#FFxเวน่อม2&#10;#FreeFirexVenom&#10;#Venom: Let There Be Carnage"/>
        <s v="เหมายกแพ็คผู้รอดชีวิต &quot;ออโท&quot; พร้อมชุดประจำถิ่น&#10;ให้อารมณ์เม็กซีโกซิตี้แบบจัดเต็ม ✨&#10;ใครยังไม่มีตัวละครนี้ รออะไรอยู่ ❓&#10;เป็นเจ้าของได้แล้ววันนี้ที่ร้านค้า&#10;&#10;⏳ ระยะเวลากิจกรรม&#10;ตั้งแต่วันที่ 24 พศจิกายน 2564 เป็นต้นไป"/>
        <s v="ตารางถ่ายทอดสด 📡&#10;FFSM รอบ GROUP STAGE ❄️&#10;🔸 UPPER BRACKET : 20-22 ธันวาคม 2564&#10;🔹 LOWER BRACKET : 23-24 ธันวาคม 2564&#10;เริ่มเวลา 19.00 น. เป็นต้นไป&#10;&#10;📺 รับชมการแข่งขันได้ที่&#10;🔔 YT &amp; FB : Garena Free Fire Thailand"/>
        <s v="[VDO] นินจาสาว แดนอาทิตย์อุทัย 🐱‍👤&#10;มาท่องคาถา พรางตัว และลอบโจมตี 💥 &#10;และชิงความเป็นที่หนึ่งในสมรภูมิ Booyah ✨&#10;&#10;⏳ ระยะเวลากิจกรรม&#10;ตั้งแต่วันที่ 8 ตุลาคม 2564 เวลา 00.01 น.&#10;ถึงวันที่ 15 ตุลาคม 2564 เวลา 23.59 น."/>
        <s v="⏳วันนี้ 1 ทุ่มตรง⏳&#10;รับชมการแข่งขันรอบ Regular Season วันที่ 19&#10;โดยประกอบไปด้วยทีมจากกลุ่ม A B และ C&#10;ร่วมค้นหา 12 ทีมที่ดีที่สุดที่จะผ่านเข้าสู่รอบ Grand Final&#10;&#10;▶️ รับชมการแข่งขันได้ที่&#10;https://youtu.be/_pi_BCpTsF4"/>
        <s v="[การ์ตูน📖] REALITY UNVEILED ตอนที่ 2 คำเชิญปริศนา&#10;ด้วยความสามารถในการเล่นเกมของวูฟราห์&#10;ที่แสนจะโดดเด่นและเก่งกาจ&#10;จึงเป็นเหตุที่ทำให้เขาได้รับคำเชิญปริศนา&#10;คำเชิญนี้จะมาจากใคร และวูฟร่าห์จะตอบรับคำเชิญนี้หรือไม่..."/>
        <s v="แฟชั่นพื้นเมืองสุดเท่ของ &quot;ออโท&quot; 💥&#10;ที่บ่งบอกความเป็นชนพื้นเมืองทางแถบตะวันตก&#10;ชุดสุดเท่ให้อารมณ์พริ้วไหว &#10;พร้อมใส่ไปอวดกันแล้วเหล่าผู้รอดชีวิตในสมรภูมิ 🔥&#10;&#10;⏳ ระยะเวลากิจกรรม&#10;ตั้งแต่วันที่ 11 พศจิกายน 2564 เป็นต้นไป"/>
        <s v="2 ชุดแฟชั่นสุดร้ายกาจ 💥&#10;ตัวร้ายหนุ่มสาวเจ้าแห่งอสรพิษ 🐍&#10;กับกล่องแฟชั่น BOOYAH&#10;สะสมโทเคมให้ครบแลกรับไปเลย ❗&#10;&#10;⏳ ระยะเวลากิจกรรม&#10;ตั้งแต่วันที่ 23 พศจิกายน 2564 เวลา 00.01 น.&#10;ถึงวันที่ 25 พศจิกายน 2564 เวลา 23.59 น."/>
        <s v="มาอีกครับกับคู่หูขนฟูสุดน่ารัก 🐰&#10;เจ้าหน้าที่ ฮ็อป ครั้งนี้ไม่ได้มาตัวเปล่า&#10;แต่มาพร้อมแฟชั่นออกรบแบบเต็มขั้น ✨&#10;ไปจ้องน้องมาออกรบพร้อมคุณได้แล้วที่ร้านค้า&#10;&#10;⏳ ระยะเวลากิจกรรม&#10;ตั้งแต่วันที่ 23 พศจิกายน 2564 เป็นต้นไป"/>
        <s v="รวมไอเทมเด็ด รับวันคริสต์มาสกันแบบจุก ๆ ✨&#10;หนาวนี้ไม่รู้กอดใครก็เข้ามาฝากใจกับ Free Fire&#10;ยิงยาว 3 วันเต็มกับไอเทมเข้าธีม ❄&#10;รับช่วงท้ายของปี ของมันต้องมีแล้วป่ะ ❗&#10;&#10;ใครชอบไอเทมชิ้นไหนบ้างแกล้ง ๆ พิมพ์มาบอกแอดหน่อย 💕"/>
        <s v="🔎เจาะลึกอัปเดต 15.1🔎 ของใหม่ล่าสุดเข้าเกม PUBG: BATTLEGROUNDS แล้ว มีอะไรส่งท้ายปีให้เพื่อนๆ สาวกพับจีบ้าง? ไปดู!!&#10;&#10;ดูรายละเอียดแพทช์ 15.1 แบบเต็มๆ ได้ที่: https://bit.ly/31kDP0H&#10;&#10;#พับจี #เกมพับจี #PUBG #Season15"/>
        <s v="เตรียมพบกับการคัมแบคของศิลปิน T.R.A.P. ✨&#10;เมื่อวานเราได้แอบให้ฟังเพลงของพวกเค้าทั้ง 4 💥&#10;ใน STORY ของพวกเราไปแล้ว &#10;ไหนใครฟังแล้วรู้สึกอย่างไรกันบ้าง ❓&#10;&#10;ส่วนใครที่ยังไม่ฟัง รอการกลับมาแบบจัดหนักจัดเต็มของเค้าได้เลย 💕"/>
        <s v="🎬 PGC Moments #5 รวมช็อทเฟี้ยวปั่นลั่นทุ่ง จากการแข่งขันพับจีชิงแชมป์โลก 2021&#10;&#10;🏆💓 ส่งท้ายความประทับใจ PGC2021 แล้วเจอกันใหม่ในศึก PUBG ESPORTS 2022 ปีหน้ามาลุยกันมันส์ตลอดปี!&#10;&#10;#PUBG #ESPORTS #PGC2021 #PUBGESPORTS"/>
        <s v="สกินปืนใหม่ THE FALCONER 🦅&#10;ลายปืนสุดเฉียบคมสไตล์ของผู้ล่า&#10;เลือดเย็นราวกับกลงเล็บเหยียว  &#10;ที่พร้อมจะกระชากเหยื่อให้สิ้น 😈 &#10;&#10;แล้วพบกับกล่องอาวุธได้ในร้านค้า 💸 &#10;&#10;⏳ ระยะเวลากิจกรรม&#10;ตั้งแต่วันที่ 11 ตุลาคม 2564 เป็นต้นไป"/>
        <s v="วันสุดท้าย ❗ ของการร่วมมือระหว่างหนังฟอร์มยักษ์&#10;Free Fire X Venom: Let There Be Carnage 🖤&#10;คว้าโอกาสสุดท้ายนี้ไว้ให้ดี 🔥&#10;ก่อนที่เงามืดในครั้งนี้กำลังจะจางหายไป&#10;&#10;#FFxเวน่อม2&#10;#FreeFirexVenom&#10;#Venom: Let There Be Carnage"/>
        <s v="โปรเด็ด Free Fire 11.11 ✨&#10;จัดหนัก จัดเต็มกับของเด็ดไม่ซ้ำ 💥&#10;ตั้งแต่ผู้รอดชีวิตใหม่ ยันแฟชั่นที่ทุดคนถามหา&#10;อีกทั้งยังมีสกินปืนสุดเท่ โปรดีแบบนี้ พลาดไม่ได้แล้ว 🔥&#10;&#10;ใครชอบแฟชั่นไหนหรือสกินปืนพิมพ์มาบอกแอดกันหน้อยจ้าา 💕"/>
        <s v="[การ์ตูน📖] REALITY UNVEILED ตอนที่ 4 การต่อสู้ไม่คาดฝัน&#10;&quot;บุช&quot; บุคคลลึกลับที่มาชิงความที่ 1 ไปจากวูฟร่าห์ 💥&#10;ความโกรธแค้นในครั้งนี้ แมตซ์ต่อไปหลังจากนี้จะเป็นอย่างไร ❓&#10;วูฟร่าห์จะหาคำตอบได้หรือไม่ ว่าใครกันคือ &quot;บุช&quot;...."/>
        <s v="ปืนไม่แดง ไม่มีแรงยิง 😈&#10;สกินปืนไฟสุดเร่าร้อน เปลวเพลิงที่ลุกโชติช่วง 🔥&#10;เพิ่มความเดือด เปลี่ยนสมรภูมิให้ลุกเป็นไฟ 💥&#10;&#10;⏳ ระยะเวลากิจกรรม&#10;ตั้งแต่วันที่ 7 ตุลาคม 2564 เวลา 00.01 น.&#10;ถึงวันที่ 4 พฤศจิกายน 2564 เวลา 23.59 น."/>
        <s v="[VDO] แก๊งลูกมาเฟีย&#10;พบกับลูกสาวสุดหวง และพี่ชายสุดเก๋า&#10;ที่มาพร้อมดีกรีความฮอตและเท่เกิน 100 องศา🔥&#10;แฟชั่นเด็ดสุดเท่และสวยที่ได้รับการโหวตสูงสุด ✨ จาก&#10;Costume Design Contest 2020 🏆&#10;&#10;พบกับแฟชั่นสุดว๊าวได้ในเกม เร็ว ๆ นี้"/>
        <s v="[FULL CG ANIMATION] แอนิเมชันคู่หูสุดซิ่ง&#10;ใครกัน! มาทำให้น้องดร.บีนนี่ ของเราโกรธ 💢&#10;แบบนี้ต้องเอาคืนในสนามแข่งกันหน่อยแล้ว &#10;โหมดสุดปั่น กับก๊วนคู่หูสุดป่วน พร้อมมันส์กันจ้า 💥&#10;&#10;เปิดให้เล่น 30 ตุลาคม 2564 นี้แล้วน้าาา 😘"/>
        <s v="🔴 รับชม Live ได้แล้วตอนนี้&#10;กับโหมดใหม่ล่าสุด คู่หูสุดซิ่ง 🔥&#10;โหมดใหม่สุดมันส์ จัดเต็มความคิวท์ 💕&#10;มาพร้อมหล่าครีเอเตอร์ที่ทุกคนชื่นชอบ&#10;&#10;✨ INDARFZ FF&#10;✨ GutuX2&#10;✨ ICMac Channel&#10;✨ Jojoe CH&#10;&#10;เอาใจช่วยพร้อมรับไอเทมโค๊ดฟรี! 💥"/>
        <s v="รวมไอเทมโดนใจ ส่งท้าย BOOYAH DAY ❗&#10;4 วันรวด ที่จัดไอเทมสุดเทพไว้ 💥&#10;ตั้งแต่สกิน หมัดบูย่าห์ที่หลายคนรอคอย&#10;และแฟชั่น EVO สุดเท่ จันทราสองหน้า&#10;ของดี ๆ แบบนี้ไม่มี ไม่ได้แล้วน้าาา ✨&#10;&#10;ใครอยากได้ไอเทมไหน ล็อควันไว้ให้พร้อม 💕"/>
        <s v="[VDO] THFACT ขุนพลคนขลัง นารีต้องมนตรา&#10;กล่องต้องคำสาปที่ปลดผนึก 2 นักรบในตำนาน 💥 &#10;จากมนต์ดำอันชัวร้ายที่กักขังพวกเขาเอาไว้ &#10;ความมืดที่แฝงอยู่ในชุดแฟชั่นและดาบต้องคำสาป &#10;&#10;พร้อมมาปลดปล่อยทั้งสองให้เป็นอิสระกันแล้วหรือยัง ❓"/>
        <s v="อัลบั้มคอสเพลย์สุดเท่ฉลองวันหลอน ๆ ❗&#10;จากชุดแฟชั่นขุนพลคนขลังและนารีต้องมนตรา &#10;2 นักรบในตำนานที่ถูกปลดคำสาป 💥&#10;ให้หลุดพ้นจากการหลับไหล และกลับเข้าสู้ในสมรภูมิ 🔥&#10;&#10;ใครที่ยังไม่มีแฟชั่นนี้ต้องรีบไปตามเก็บให้ครบกันแล้วน้าา 😘"/>
        <s v="TOP-UP สายฟ้าฟาดกับปืนสุดเท่ ⚡&#10;&quot;ELECTRONIC AN94&quot;&#10;เติมปั๊บรับพิมพ์เขียวไปเลยย ❗&#10;รอช้าอะไรอยู่ ของมันต้องมีแล้วมั้ยล่า ✨&#10;&#10;⏳ ระยะเวลากิจกรรม&#10;ตั้งแต่วันที่ 28 พศจิกายน 2564 เวลา 00.01 น.&#10;ถึงวันที่ 1 ธันวาคม 2564 เวลา 23.59 น."/>
        <s v="เตรียมตัวให้พร้อมกับกิจกรรมใหม่ 🔥&#10;ในความร่วมมือจากภาพยนตร์ฟอร์มยักษ์ระดับโลก 💥&#10;Free Fire x Venom: Let There Be Carnage&#10;พบกับภารกิจสุดท้าท้าย&#10;&#10;ตลอดเดือน ตุลาคม นี้&#10;&#10;#FreeFirexVenom&#10;#Venom: Let There Be Carnage&#10;#FFxเวน่อม2"/>
        <s v="ตามคำเรียกร้อง คาตานะลายคราม มาแล้ว&#10;สายแมทซ์แฟชั่นเท่ ๆ ต้องจัด ✨&#10;คาตานะเพลิงสีครามพร้อมมาฟาดฟัน 🔥&#10;แบบเดือดทะลุจุดศูนย์ ❗&#10;&#10;⏳ ระยะเวลากิจกรรม&#10;ตั้งแต่วันที่ 10 ตุลาคม 2564 เวลา 00.01 น.&#10;ถึงวันที่ 16 ตุลาคม 2564 เวลา 23.59 น."/>
        <s v="เน้นคลุกวงใน เข้าใส่นัว ยิงไม่ยั้ง 💥&#10;กับสกินปืนสีทองสุดอร่าม 💛&#10;ใครเข้าใกล้เป็นต้องร่วง &#10;สวยเด็ดขนาดนี้ ต้องจัดแล้วน้า 💸&#10;&#10;⏳ ระยะเวลากิจกรรม&#10;ตั้งแต่วันที่ 16 ตุลาคม 2564 เวลา 04.00 น.&#10;ถึงวันที่ 22 ตุลาคม 2564 เวลา 23.59 น."/>
        <s v="[VDO] สายเลือดตระกูลมังกร&#10;การเผชิญหน้าระหว่างความยุติธรรมและความอยุติธรรม ☯&#10;เจ้าพ่อมังกร ผู้เป็นหัวหน้าแก็งค์ที่ยิ่งใหญ่ที่สุด 🐉&#10;กลับถูกไล่ล่าโดยนักสืบสาวสายเลือดเดียวกัน &#10;แฟชั่นขั่วตรงข้ามของความดีและความชั่วจึงก่อเกิด 🔥"/>
        <s v="อัลบั้มคอสเพลย์จากชุดแฟชั่นลูกเจ้าพ่อมาเฟีย 💕&#10;ลูกสาวสุดหวง และพี่ชายสุดเก๋าที่ดีกรีความฮอตเกิน 100 🔥&#10;แฟชั่นเด็ดสุดเท่และสวยที่ได้รับการโหวตสูงสุด ✨ จาก&#10;Costume Design Contest 2020 🏆&#10;&#10;พบกับแฟชั่นสุดว๊าวได้ในเกม เร็ว ๆ นี้"/>
        <s v="กิจกรรมฟี เส้นทางนักสู้ ROAD TO BOOYAH! DAY&#10;เส้นทางเดือดของเหล่าผู้เล่น Free Fire&#10;ทำภารกิจแต่ละช่วงให้ครบ เราแจกไอเทมไปเลย 💥&#10;รอช้าอะไรอยู่ล่ะ เข้ามาเล่นกันได้แล้วว 🔥&#10;&#10;5 ภารกิจ กับ 5 ช่วงเวลา ดูวันเอาไว้ให้ดีและลุดโลดดด 💕"/>
        <s v="ภารกิจบูย่าห์ กับวัน BOOYAH DAY ❗&#10;เพียงทำภารกิจรายวันให้สำเร็จ&#10;และสะสมโทเคนในกิจกรรม &#10;แลกรับสกินปืนไปแบบจุก ๆ แน่น ๆ 💥&#10;&#10;⏳ ระยะเวลากิจกรรม&#10;ตั้งแต่วันที่ 8 พศจิกายน 2564 เวลา 04.00 น.&#10;ถึงวันที่ 15 พศจิกายน 2564 เวลา 03.59 น."/>
        <s v="⏳วันนี้ 1 ทุ่มตรง⏳&#10;รับชมการแข่งขันFree Fire Pro League Season 5 Presented by dtac&#10;รอบ PLAY-INS&#10;มีเพียง 6 ทีมเท่านั้นที่จะผ่านเข้าสู่รอบ Grand Final รับชมพร้อมกัน 19.00 น.&#10;▶️ รับชมการแข่งขันได้ที่&#10;https://youtu.be/lK-DP3VE21U"/>
        <s v="อดใจรอกันหน่อย อีกแค่ 2 ชั่วโมงเท่านั้น&#10;กับ LIVE สุดพิเศษระหว่าง ✨&#10;&quot;MEW X แก๊งค์กระต่ายคลั่ง&quot;&#10;นอกจากความสนุกภายในไลฟ์ยังมีแจกไอเทมเพียบ&#10;แบบนี้ต้องห้ามพลาดแล้ว 💥&#10;&#10;📱 จับมือถือเตรียมดูไลฟ์ไว้ให้พร้อม แล้วมาเจอกันเวลา 13.00 น."/>
        <s v="กลับมาอีกครั้ง ❗ กับแฟชั่นแรปเปอร์รุ่นใหม่&#10;ชุดไม่แดง ไม่มีแรงยิง 💥&#10;โดนใจสายสตรีท ไม่โดนไม่ได้แล้ว 💸&#10;&#10;ห้ามพลาดเด็ดขาดน้า 🔥&#10;&#10;⏳ ระยะเวลากิจกรรม&#10;ตั้งแต่วันที่ 24 ตุลาคม 2564 เวลา 09.00 น.&#10;ถึงวันที่ 30 ตุลาคม 2564 เวลา 23.59 น."/>
        <s v="หน่ะนี่มัน ❗ แก๊ง 4 สีนี่นา&#10;คนชั่วทั้งหลายต้องชิดซ้าย 💥&#10;เหล่าวายร้ายที่พบต้องหลีกขวา&#10;เพราะเค้ามาเพื่อผดุงความยุติธรรม 🔥&#10;&#10;⏳ ระยะเวลากิจกรรม&#10;ตั้งแต่วันที่ 6 พศจิกายน 2564 เวลา 00.01 น.&#10;ถึงวันที่ 13 พศจิกายน 2564 เวลา 23.59 น."/>
        <s v="อัปเดตแพทซ์ใหม่ บาลานซ์กว่าเดิม 🔥&#10;เตรียมปรับตัวกันไว้ให้ดี ฝึกฝนกันใหม่ ✨&#10;การเปลี่ยนครั้งนี้จะทำให้รูปแบบของ Free Fire&#10;ไม่เหมือนเดิม สกิลโครโน่ที่ว่าโกง เราก็ปรับให้ 💥&#10;&#10;ไหนใครมีความเห็นอย่างไรกับการปรับในครั้ง บอกแอดมาหน่อย 💕"/>
        <s v="อัปเดตใหม่ทั้งที มีอะไรมาใหม่บ้าง ❓&#10;หมดปัญหาเรื่องการสื่อสาร เพราะแพทซ์นี้&#10;มีระบบปิงบอกเพื่อนแล้ว จะศัตรูหรือปืน บอกได้หมด ✨&#10;นอกจากนี้ยังมีสิ่งอื่น ๆ อีกเพียบ ไปดูกันเลย 💥&#10;&#10;คอมเมนต์มาบอกกันหน่อยว่าอัปเดตครั้งนี้เป็นยังไงบ้าง 💕"/>
        <s v="เพลงสุดพิเศษในโปรเจกต์ Free Fire 4 Feat&#10;ในเพลง &quot;ตกลงเธอ...เลือกใคร&quot; 😥&#10;ของ 3 ศิลปิน แจ็ค แฟนฉัน x กลัฟ คณาวุฒิ X ลุค อิชิคาว่า&#10;ไม่ว่าเธอจะเลือกใคร ฉันก็พร้อมจะยินดี ✨&#10;&#10;🔴 รับชม MUSIC VIDEO ได้ที่นี่ : https://youtu.be/uCTpfk9vbw8"/>
        <s v="กลับมาแล้วกับแฟชั่นสไตล์นักล่า 🐯&#10;เตรียมตัวพับกบ ❗️ เย๊ย พบกับบบบ&#10;Cardboard Animal ที่ทุกคนรอคอย ✨&#10;ไปสอยกันได้เลยที่ร้านค้า EVO&#10;&#10;⏳ ระยะเวลากิจกรรม&#10;ตั้งแต่วันที่ 17 ธันวาคม 2564 เวลา 00.01 น.&#10;ถึงวันที่ 23 ธันวาคม 2564 เวลา 23.59 น."/>
        <s v="ผสานสตรีทแวร์เข้ากับความกร้าวแกร่งของเวน่อม&#10;Free Fire X Venom: Let There Be Carnage 🖤&#10;แฟชั่นที่แฝงพลังอีกด้านของซิมบิโอตเอาไว้ 💥&#10;พร้อมที่จะด่ำดิ่งสู่ความมืดกันแล้วหรือยัง ❓&#10;&#10;#FFxเวน่อม2&#10;#FreeFirexVenom&#10;#Venom: Let There Be Carnage"/>
        <s v="เตรียมพบกับ MUSIC VIDEO ✨&#10;เพลงที่ 4 จากโปรเจกต์ Free Fire 4FEST 💥&#10;&quot;ก่อนรักกลายเป็นเกลียด&quot;&#10;จากศิลปิน Violette Wautier x Mew Suppasit 💕&#10;&#10;เพลงที่ปลดปล่อยความรู้สึกซึ้งปนเศร้า เคล้าน้ำตา 😢&#10;เมื่อความรักไม่ใช่เพียงแค่ &quot;รักกัน&quot; เท่านั้น"/>
        <s v="ปลาคาร์ฟในความเชื่อของชาวญี่ปุ่น 🎌&#10;คือ การบ่งบอกถึงความแข็งแกร่ง&#10;แฟชันที่ได้รับแรงบันดาลใจ ✨&#10;จากความเชื่อนี้ ก่อเป็นชุดสุดโหด 💥&#10;&#10;⏳ ระยะเวลากิจกรรม&#10;ตั้งแต่วันที่ 22 ธันวาคม 2564 เวลา 00.01 น.&#10;ถึงวันที่ 31 ธันวาคม 2564 เวลา 23.59 น."/>
        <s v="อย่ามาแหยมกับลูกเจ้าพ่อมาเฟีย ❗&#10;&quot;เดี๋ยวจะโดนดีไม่ใช่น้อย&quot;&#10;แฟชั่นสุดเก๋าที่เข้ามายึดครองเป็นเจ้าถิ่น 🔥&#10;ที่ใครเห็นเป็นต้องเกรงกลัว 💥&#10;&#10;⏳ ระยะเวลากิจกรรม&#10;ตั้งแต่วันที่ 23 ตุลาคม 2564 เวลา 00.01 น.&#10;ถึงวันที่ 29 ตุลาคม 2564 เวลา 23.59 น."/>
        <s v="เห็นขอกันมาเยอะกับหมัด BOOYAH&#10;วันนี้มาแล้วน้า อยากได้ต้องโดน&#10;สะสมโทเคนให้ครบ แลกรับไปเลย&#10;กำหมัดและชูขึ้นฟ้า คว้า BOOYAH มาให้จงได้&#10;&#10;⏳ ระยะเวลากิจกรรม&#10;ตั้งแต่วันที่ 27 พศจิกายน 2564 เวลา 00.01 น.&#10;ถึงวันที่ 4 ธันวาคม 2564 เวลา 23.59 น."/>
        <s v="น้อง ๆ คนไหนปิดเทอมกันแล้วบ้าง 🖐🏻&#10;เตรียมตัวให้พร้อมกับไอเทมต้อนรับปิดเทอม 💥&#10;ทั้งไอเทมและแฟชั่นสุดเดือด 🔥&#10;ให้อวดเพื่อน ๆ ในสมรภูมิ&#10;&#10;⏳ ระยะเวลากิจกรรม&#10;ตั้งแต่วันที่ 17 ตุลาคม 2564 เวลา 01.00 น.&#10;ถึงวันที่ 17 ตุลาคม 2564 เวลา 23.59 น."/>
        <s v="[VDO] BOOYAH DAY CG แอนิเมชัน&#10;ท่ามกลางงานวัน BOOYAH DAY ที่แสนสงบ 💕&#10;ลีออนและน้องสาวแสนรัก ไปเที่ยวงานอย่างสนุกสนาน &#10;แต่แล้วความโกลาหลก็เกิดขึ้นและได้ถือกำเนินผู้รอดชีวิตใหม่ 🔥&#10;&#10;ร่วมสู้อย่างมีสไตล์กับ &quot;ลีออน&quot; ใน BOOYAH DAY กันเถอะ 💥"/>
        <s v="BOOYAH x Free Fire Asia Tournament Day 2&#10;เตรียมร่วมเชียร์ตัวแทนประเทศไทยลุยศึกแห่งศักดิ์ศรี&#10;ทีม WAT ARUN วัดอรุณ&#10;🔹ราชาหล่อเท่&#10;🔸17Arm&#10;🔹Bosser Gamer&#10;🔸SeeYou&#10;&#10;ทีม WAT PHO วัดโพธิ์&#10;🔹JASMINNIIZ&#10;🔸R.I.P Freestyle&#10;🔹FMP TV&#10;🔸OJOE Gaming"/>
        <s v="เอ๊าาา ❗ เร่เข้ามาวันนี้ Free Fire ขอเสนอ&#10;เคียวสุดเฟี้ยวเกี่ยว BOOYAH 💥&#10;นอกจากนี้ยังมาพร้อมรถสปอร์ตสุดคูล&#10;ไอเทมโดนใจขนาดพลาดได้ไง ✨&#10;&#10;⏳ ระยะเวลากิจกรรม&#10;ตั้งแต่วันที่ 25 พศจิกายน 2564 เวลา 00.01 น.&#10;ถึงวันที่ 3 ธันวาคม 2564 เวลา 23.59 น."/>
        <s v="[VDO] ในเกม &amp; ชีวิตจริง&#10;BOOYAH หนึ่งคำที่สามารถสื่อความหมายได้หลายอย่าง &#10;ชัยชนะหรอ ดีใจหรอ หรือการแสดงความยินดี ✨&#10;แต่ละคนใช้ความหมายไม่เหมือนกัน 💥&#10;&#10;แล้วคำว่า &quot;BOOYAH&quot; ของคุณล่ะมีความหมายว่าอย่างไร ❓&#10;&#10;คอมเมนท์บอกแอดหน่อยสิ แอดอยากรู้ 💕"/>
        <s v="อาวุธ LEGENDARY ใหม่ ที่สายซุ่มยิงต้องห้ามพลาด 💥&#10;กับปืน AWM WAVEBREAKER KAZE 💙&#10;ลายปืนพริ้วไหวดุจสายสายน้ำ &#10;แต่ดุดันราวกับคลื่นสึนามิ 🌊&#10;&#10;⏳ ระยะเวลากิจกรรม&#10;ตั้งแต่วันที่ 6 ตุลาคม 2564 เวลา 00.01 น.&#10;ถึงวันที่ 12 ตุลาคม 2564 เวลา 23.59 น."/>
        <s v="แจกของกันไม่หยุด ฉุดกันไม่อยู่ ✨&#10;เพียงลงทะเบียนล็อกอินล่วงหน้า 💥&#10;ก็รับไอเทมแบบจุก ๆ กันไปเลย&#10;แล้วเข้ามาเกมมาล็อกอินกันเยอะ ๆ น้าาา 😘&#10;&#10;⏳ ระยะเวลากิจกรรม&#10;ตั้งแต่วันที่ 30 พศจิกายน 2564 เวลา 04.00 น.&#10;ถึงวันที่ 3 ธันวาคม 2564 เวลา 03.59 น."/>
        <s v="หนาวววว ใจจะขาดเพราะขาดเธอคนดี &#10;แต่ขาดเธอไปแค่ไหน ไอเทมต้องไม่ขาด 💥&#10;ของดีประจำซีซันนี้กับ เลื่อนหิมะ &#10;พร้อมมาส่งมอบความสุขให้แล้ววว ✨&#10;&#10;⏳ ระยะเวลากิจกรรม&#10;ตั้งแต่วันที่ 24 ธันวาคม 2564 เวลา 00.01 น.&#10;ถึงวันที่ 30 ธันวาคม 2564 เวลา 23.59 น."/>
        <s v="ใครมีปืน UMP EVO แล้วแต่ยังอัปเกรดไม่สุดบ้าง ❓&#10;TOP-UP นี้สิ ❗ ตอบโจทย์&#10;เติม 99💎 รับเลยกล่องหินอัปเกรด&#10;เอาไปแต่งบวกปืนกันให้กระจาย 💥&#10;&#10;⏳ ระยะเวลากิจกรรม&#10;ตั้งแต่วันที่ 13 พศจิกายน 2564 เวลา 00.01 น.&#10;ถึงวันที่ 15 พศจิกายน 2564 เวลา 23.59 น."/>
        <s v="ต้อนรับวันฮาโลวีน 🎃 เทศกาลสุดหลอน&#10;กับภารกิจรายวัน เพียงทำให้ครบ&#10;ล่าโทเคนมาแลกแฟชั่นวันปล่อยผี 👻&#10;ส่วมชุดและออกไป ทริกออร์ทรีต กันเถอะ ❓&#10;&#10;⏳ ระยะเวลากิจกรรม&#10;ตั้งแต่วันที่ 25 ตุลาคม 2564 เวลา 04.00 น.&#10;ถึงวันที่ 1 พฤศจิกายน 2564 เวลา 03.59 น."/>
        <s v="TOP-UP ปั๊บรับคู่หูใหม่ปุ๊บ ✨&#10;กับต้าวกระต่ายเจ้าหน้าที่ฮ็อปมาร่วมรบ&#10;มาพร้อมชุดแฟชันแน่นไปด้วยยุทโธปกรณ์&#10;ช่วยเหล่าผู้รอดชีวิตให้ BOOYAH ❗&#10;&#10;⏳ ระยะเวลากิจกรรม&#10;ตั้งแต่วันที่ 4 พศจิกายน 2564 เวลา 00.01 น.&#10;ถึงวันที่ 8 พศจิกายน 2564 เวลา 23.59 น."/>
        <s v="[LIVE🔴] Free Fire Show Off : ซ้อมกับโปร PHXF และ CGGG&#10;พบกับแขกรับเชิญซ้อมกับโปร PHXF และ CGGG ที่จะมาร่วมลงห้องซ้อมกับคุณ พร้อมรับไอเทมฟรี!&#10;&#10;-----------------------------------------------------&#10;#FFEsports #FreeFireShowOff #FreeFire #FFTH"/>
        <s v="หนาวนี้มี Ice wall ไว้ต้านลมหรือยัง 🔥&#10;กิจกรรม Top-up ต้อนรับหน้าหนาว&#10;เติมแล้วรับสกินสุดว้าว WINTERFEST ❄️&#10;สวยสุดจัดขนาดนี้ไม่มีได้หรอ ❓&#10;&#10;⏳ ระยะเวลากิจกรรม&#10;ตั้งแต่วันที่ 19 ธันวาคม 2564 เวลา 00.01 น.&#10;ถึงวันที่ 20 ธันวาคม 2564 เวลา 23.59 น."/>
        <s v="ตารางการถ่ายทอดสด Free Fire Survivals Master Winter ❄️&#10;รอบ GROUP STAGE สายบนรอบที่ 2 &#10;🔴 เริ่มเวลา 19.00 น. เป็นต้นไป&#10;📌 อันดับ 1 และ 2 ของแต่ละ GROUP เข้าสู่โปรลีกซีซั่น6 🏆&#10;&#10;📺 รับชมการแข่งขันได้ที่&#10;🔔 YT &amp; FB : Garena Free Fire Thailand"/>
        <s v="เตรียมตัวต้อนรับเพื่อนใหม่...ที่กำลังมายึดครองพื้นที่ Dino Land ใน Vikendi พร้อมเทศกาลแห่งความสุข เริ่ม 1 ธันวาคมนี้&#10;KAKAO FRIENDS x BATTLEGROUNDS&#10;&#10;#พับจี #เกมพับจี #PUBG #Season15 #KakaoFriends #KakaoFriendxPUBG #KakaoFriendxBattlegrounds"/>
        <s v="ใกล้เข้ามาแล้วนะกับโหมดใหม่ คู่หูสุดซิ่ง&#10;จากที่เห็น ๆ กันพอเดากันได้ไหมเอ่ย ❓&#10;ว่าโหมดใหม่นี้ จะเอาเจ้าเหล่าคู่หูสุดน่ารัก&#10;มาเล่นกันแบบไหน ยังไงกัน 💥&#10;&#10;ไหนลองแกล้ง ๆ คอมเมนต์มาบอกแอดกันหน่อยสิ๊ 💕&#10;&#10;พร้อมให้เล่น 30 ตุลาคม 2564 นี้แล้วน้าาา 😘"/>
        <s v="เพียงแค่เติม 299 💎 เท่านั้น&#10;รับไอซ์วอลล์ BOOYAH DAY สุดเท่&#10;โดนยิงกระหน่ำเท่าไหร่ก็ไม่มีหวั่น 💥&#10;ตั้งไอซ์วอลล์และคว้า BOOYAH มาให้ได้ ✨&#10;&#10;⏳ ระยะเวลากิจกรรม&#10;ตั้งแต่วันที่ 23 พศจิกายน 2564 เวลา 00.01 น.&#10;ถึงวันที่ 25 พศจิกายน 2564 เวลา 23.59 น."/>
        <s v="อีกหนึ่งความประทับของเกม Free Fire&#10;ได้รับเสนอชื่อเข้าชิงเกมมือถือสาขาอีสปอร์ต 💥&#10;มายกระดับเกมสู่ระดับโลกไปพร้อมกัน ✨&#10;&#10;มาแสดงพลังเหล่าผู้เล่น Free Fire ให้ได้ประจักษ์ 🔥&#10;&#10;🖐🏻 โหวตเลยที่ : https://esportsawards.com/mobile-game/#mobilegamevote"/>
        <s v="เพราะการต่อสู้ของแต่ละคนไม่เหมือนกัน ✨&#10;สู้อย่างมีสไตล์ในแบบของตัวเอง&#10;สู่สมราภูมิบนเกาะสวรรค์และกำจัดศัตรูให้ครบ 💥&#10;รับไอเทมแบบจุก ๆ ฟรี ❗&#10;&#10;⏳ ระยะเวลากิจกรรม&#10;ตั้งแต่วันที่ 19 พศจิกายน 2564 เวลา 04.00 น.&#10;ถึงวันที่ 29 พศจิกายน 2564 เวลา 03.59 น."/>
        <s v="ของฟรีแล้วหนึ่ง ✨ เข้าเกมมาล็อกอิน&#10;ครบ 5 วันเหมาไอเทมไปเลย&#10;ดูวันที่ และตั้งแจ้งเตือนไว้ให้ดี&#10;บอกต่อเพื่อน ๆ ให้เข้ามาเล่น Free Fire ด้วยน้า&#10;&#10;⏳ ระยะเวลากิจกรรม&#10;ตั้งแต่วันที่ 16 พศจิกายน 2564 เวลา 04.00 น.&#10;ถึงวันที่ 24 พศจิกายน 2564 เวลา 03.59 น."/>
        <s v="สายฟรี ฟังทางนี้ เด็ดจนห้ามพลาด 💥&#10;กับกิจกรรมการมาถึงของ NEW AGE&#10;พบกับไอเทมมากมาย ในธีมฤดูหนาว ❄&#10;จัดหนักจัดเต็มขนาดนี้ เข้ามาเล่นกันด้วยน้า 💕&#10;&#10;⏳ ระยะเวลากิจกรรม&#10;ตั้งแต่วันที่ 23 ธันวาคม 2564 เวลา 04.00 น.&#10;ถึงวันที่ 10 มกราคา 2565 เวลา 03.59 น."/>
        <s v="TOP-UP หน้ากากยักษ์สีเขียว 💚&#10;ยักษาที่เรียกได้ว่าเป็นตำนานผู้ปกปักษ์&#10;เข้ามาบุกทะลวงให้สิ้นในสมรภูมิเดือด 🔥&#10;ภายใต้หน้ากากที่ซ่อนความโหดเอาไว้ 💥&#10;&#10;⏳ ระยะเวลากิจกรรม&#10;ตั้งแต่วันที่ 27 ตุลาคม 2564 เวลา 01.00 น.&#10;ถึงวันที่ 31 ตุลาคม 2564 เวลา 23.59 น."/>
        <s v="[VDO] Highlight FFAC รอบ Play-ins มีทีมใดกันบ้างมารับชมพร้อมกัน&#10;---------------------------------&#10;อาทิตย์ 28 พ.ย. 2564 เวลา 17.00 น.&#10;พร้อมของรางวัลจากยอดรับชมพร้อมกัน แจกยกเชิร์ฟ!!&#10;รอรับชมการแข่งขันพร้อมกัน&#10;🔴 Youtube : Garena Free Fire Thailand"/>
        <s v="ป้องกันไว้ก่อนกับบัญชีของ Facebook 💥&#10;ช่วงนี้มีเรื่องของ Facebook ที่แจ้งในเรื่องของความปลอดภัย 🔒&#10;แอดมินจึงมาแชร์วิธีเพิ่อป้องกันไม่ให้บัญชีที่มีอยู่นั้นหายไป&#10;เพียงทำตามขั้นตอนง่าย ๆ เหล่านี้ได้เลย ❗&#10;&#10;อย่าลืมทำกันนะทั้ง iOS และ Andriod เลยน้า 💕"/>
        <s v="สกินปืนฉลอง BOOYAH DAY 🎇&#10;ยิ่งอัปเกรดยิ่งเท่ ยิ่งอัปเกรดอีกก็ยิ่งโหด&#10;กับปืนที่มีเอฟเฟคเปลี่ยนไปในทุกเลเวล 💥&#10;ใครสายปืน EVO เอฟเฟคเทพ ต้องจัด ❗&#10;&#10;⏳ ระยะเวลากิจกรรม&#10;ตั้งแต่วันที่ 13 พศจิกายน 2564 เวลา 00.01 น.&#10;ถึงวันที่ 10 ธันวาคม 2564 เวลา 23.59 น."/>
        <s v="[การ์ตูน📖] REALITY UNVEILED ตอนที่ 3 หมาป่าจักรกล&#10;แมทช์แรกหลังจากที่วูฟราห์ได้ตอบรับคำเชิญ 💥&#10;เกมแห่งการเอาชีวิตรอดก็ได้เริ่มต้นขึ้น&#10;คว้าอาวุธและห้ำหั่นอย่างดุเดือด ไม่ว่าใครก็อยากเป็นแชมป์ 🔥&#10;วูฟราห์จะสามารถเอาชนะในการแข่งครั้งแรกนี้ได้หรือไม่ ❓"/>
        <s v="4 DJ ที่กลับมารวมตัวกันอีกครั้ง&#10;ในการแสดงครั้งยิ่งใหญ่ของพวกเขา 🔥&#10;พร้อมคสามมันส์สุดขีด สนุกสุดเหวี่ยง ✨&#10;&#10;เข้าไปดู LIVE สุดพิเศษนี้ได้ผ่านช่องทางเดียวเท่านั้น ❗&#10;🔴YouTube : FREE FIRE OFFICIAL&#10;&#10;แล้วไปเจอพวกเขากันวันที่ 20 พฤศจิกายน 2564 เวลาตี 3 💥"/>
        <s v="คริสมาสต์นี้มีของดีที่ Free Fire 🔥&#10;ภารกิจมันส์ ข้าม ปี เริ่มขึ้นแล้ว ❄️&#10;ตะลุยภารกิจและไปรับไอเทมได้เลย&#10;รับรางวัลที่หน้ากิจกรรม Christmas นะ 💥&#10;&#10;⏳ ระยะเวลากิจกรรม&#10;ตั้งแต่วันที่ 17 ธันวาคม 2564 เวลา 04.00 น.&#10;ถึงวันที่ 26 ธันวาคม  2564 เวลา 03.59 น."/>
        <s v="หยิบปืนยิงเธอดัง ปิ้ว ปิ้ว ปิ้ว 🔫&#10;โดนใจดวง จิ๋ว จิ๋ว จิ๋ว  💕&#10;&#10;ครั้งแรกของการร่วมงานกันระหว่าง&#10;SPRITE x GUYGEEGEE และ Free Fire 💥&#10;เตรียมตัวรับชม Music Video เพลงใหม่ “ปิ้ว ปิ้ว”&#10;&#10;ได้ในวันที่ 26 พฤศจิกายน เวลา 18.00 น.&#10;&#10;#FreeFireTH&#10;#FreeFireSPxGGG"/>
        <s v="เพื่อที่จะเป็นหนึ่งในยุทธภพ 💥&#10;เหล่านักสู้จากทั่วสารทิศต่างต้องแย่งชิง &#10;นักสู้ผู้มาพร้อมกับวรยุทธ์แห่งสายน้ำ 🌊&#10;จึงก้าวเข้าสู่สมรภูมิเดือดแห่งนี้ 🔥&#10;&#10;⏳ ระยะเวลากิจกรรม&#10;ตั้งแต่วันที่ 17 ตุลาคม 2564 เวลา 01.00 น.&#10;ถึงวันที่ 23 ตุลาคม 2564 เวลา 23.59 น."/>
        <s v="[VDO] แฟชั่น EVO กลับมาแล้ว&#10;จากผลโหวตจำนวนมากของผู้เล่น ตอนนี้ ✨&#10;&quot;SPIRITED OVERSEERS&quot;&#10;ชุดของเหล่าจิ้งจอก พร้อมป่วนเมือง กลับมาอีกครั้งแล้วจ้า 🦊&#10;&#10;⏳ ระยะเวลากิจกรรม&#10;ตั้งแต่วันที่ 12 พศจิกายน 2564 เวลา 00.01 น.&#10;ถึงวันที่ 19 พศจิกายน 2564 เวลา 23.59 น."/>
        <s v="BOOYAH! ชู้ต กิจกรรมสายสตรีท 🏀&#10;มาสะสมโทเคนและร่วมเล่นบาสกับลีออน&#10;ชู๊ตลงห่วงเอาคะแนนไปแลกของรางวัลได้เลย 💕&#10;กับไอเทมสุดพิเศษ ตามคะแนนที่มีอยู่ 💥&#10;&#10;⏳ ระยะเวลากิจกรรม&#10;ตั้งแต่วันที่ 18 พศจิกายน 2564 เวลา 04.00 น.&#10;ถึงวันที่ 29 พศจิกายน 2564 เวลา 03.59 น"/>
        <s v="ลมหนาวพัดมา พร้อมกับดีลพิเศษแบบปัง ๆ 💥&#10;แฟชั่นและกล่องสกินปืนสวย ๆ เพียบ  🔥&#10;แถมลดสูงสุดแบบจัดให้หนัก ๆ ถึง 87%&#10;&#10;มีเฉพาะใน Google Play เท่านั้น ✨&#10;&#10;⏳ ระยะเวลากิจกรรม&#10;ตั้งแต่วันที่ 24 พศจิกายน 2564 เวลา 00.01 น.&#10;ถึงวันที่ 30 พศจิกายน 2564 เวลา 23.59 น."/>
        <s v="ข่าวดีสำหรับคนที่เล่น Free Fire ทุกวัน ✨&#10;เพียงเข้ามาล็อกอิน 5 วันเท่านั้น ❗&#10;ก็เอาไปเลยกับไอซ์วอลล์กะโหลกเขียว&#10;อย่าลืมเข้ามาเล่นกันบ่อย ๆ ด้วยล่ะ 💕&#10;&#10;⏳ ระยะเวลากิจกรรม&#10;ตั้งแต่วันที่ 28 พศจิกายน 2564 เวลา 04.00 น.&#10;ถึงวันที่13 ธันวาคม 2564 เวลา 03.59 น."/>
        <s v="หนึ่งความสำเร็จครั้งยิ่งใหญ่ 💥&#10;กับยอดชมทะลุ 3 ล้านวิว ❗&#10;ของวิดีโอสุดพิเศษที่ร่วมมือกับหนังฟอร์มยักษ์&#10;Free Fire X Venom: Let There Be Carnage 🖤&#10;&#10;เข้าไปรับ หมวก Carnage ได้แล้วในเกม Free Fire 🔥&#10;&#10;#FFxเวน่อม2&#10;#FreeFirexVenom&#10;#Venom: Let There Be Carnage"/>
        <s v="ก่อนที่จะจากลาเดือนตุลาคมนี้ 💥&#10;พบกับ TOP-UP สุดคุ้มส่งท้าย&#10;เพียงแค่เติม 1 💎 ก็รับไปเลย&#10;ไอเทมบัตรสร้างห้อง 1 ใบ &#10;เอาไว้สร้างเล่นกับเพื่อน ๆ ได้เล้ย 💕&#10;&#10;⏳ ระยะเวลากิจกรรม&#10;ตั้งแต่วันที่ 30 ตุลาคม 2564 เวลา 00.01 น.&#10;ถึงวันที่ 31 ตุลาคม 2564 เวลา 23.59 น."/>
        <s v="TOP-UP Booyah! กระเป๋าปีกแห่งชัยชนะ 🏆&#10;เพียงเติม 99 💎 ปั๊บรับทันที&#10;แค่ใส่ก็รู้สึกได้ว่าตาถัดไปจะต้องชนะ &#10;คว้ากระเป๋าและพาทีมเอา BOOYAH มาให้ได้ 💥&#10;&#10;⏳ ระยะเวลากิจกรรม&#10;ตั้งแต่วันที่ 16 พศจิกายน 2564 เวลา 00.01 น.&#10;ถึงวันที่ 19 พศจิกายน 2564 เวลา 23.59 น."/>
        <s v="ร้านค้าแห่งความมืด ลดสูงสุดถึง 85%&#10;พบกันแฟชั่น Midnught Mafia สุดเท่ 💥&#10;ใส่ปุ๊บเท่ปั๊บแบบไม่มีอะไรมากั้น ✨&#10;ชุดก็ดี ส่วนลดก็โดน แบบนี้ต้องจัดแล้วนะ 🥰&#10;&#10;⏳ ระยะเวลากิจกรรม&#10;ตั้งแต่วันที่ 18 ธันวาคม 2564 เวลา 00.01 น.&#10;ถึงวันที่ 24 ธันวาคม 2564 เวลา 23.59 น."/>
        <s v="สายลมพัดอ่อน ๆ กับแสงแดดที่แสนอบอุ่น ⛅&#10;สาวงามที่เตรียมพร้อมจะเข้าพิธีแต่งงาน 😘&#10;กับชายหนุ่มที่หมายปอง &#10;ชุดแฟชั่นหวาน ๆ จากความรักของทั้งสองจึงก่อเกิด 💕&#10;&#10;⏳ ระยะเวลากิจกรรม&#10;ตั้งแต่วันที่ 15 ตุลาคม 2564 เวลา 01.00 น.&#10;ถึงวันที่ 24 ตุลาคม 2564 เวลา 23.59 น."/>
        <s v="กิจกรรมแจกของฟรี BOOYAH DAY&#10;เพียงแค่เข้าเกม Free Fire มาล็อกอิน 💥&#10;ก็รับไปเลย &quot;กล่องดวงใจ&quot; สุดอลังการ&#10;ชวนเพื่อน พี่ น้อง มาล็อกอินกันเยอะ ๆ น้าาา 💕&#10;&#10;⏳ ระยะเวลากิจกรรม&#10;ตั้งแต่วันที่ 13 พศจิกายน 2564 เวลา 04.00 น.&#10;ถึงวันที่ 15 พศจิกายน 2564 เวลา 03.59 น."/>
        <s v="เสาร์-อาทิตย์นี้ใครว่าง ๆ ไม่ออกไปไหน 💥&#10;ให้ Free Fire มาอยู่เป็นเพื่อนน้าา&#10;โดดและกำจัดศัตรู ชิงความเป็นที่ 1 🏆&#10;BOOYAH ❗ 5 ตา &quot;กระทะ&quot; ลอยมาเข้าในคลัง&#10;&#10;⏳ ระยะเวลากิจกรรม&#10;ตั้งแต่วันที่ 13 พศจิกายน 2564 เวลา 04.00 น.&#10;ถึงวันที่ 15 พศจิกายน 2564 เวลา 03.59 น."/>
        <s v="เอ๊าาา ไหนใครที่เรียกร้องดาบคาตานะ ⚔&#10;จัดมาให้แล้วกับช่วงเทศกาลฮาโลวีนนี้ 🎃&#10;ด้วยดาบต้องคำสาปที่ปิดผนึกความมืดมิดเอาไว้&#10;พร้อมฟาดฟันความชั่วให้มลายหายไป 💥&#10;&#10;⏳ ระยะเวลากิจกรรม&#10;ตั้งแต่วันที่ 30 ตุลาคม 2564 เวลา 00.01 น.&#10;ถึงวันที่ 5 พฤศจิกายน 2564 เวลา 23.59 น"/>
        <s v="หนทางของนักสู้นั้นช่างลำบากนัก 🔥&#10;เหล่าผู้รอดชีวิตใน Free Fire ทั้งหลาย &#10;ทำภารกิจรายวันสะสมโทเคนแลกรับรางวัลพิเศษ&#10;นักสู้ที่แท้จริง ภารกิจแค่นี้ สบาย ❗&#10;&#10;⏳ ระยะเวลากิจกรรม&#10;ตั้งแต่วันที่ 6 พฤศจิกายน 2564 เวลา 04.00 น.&#10;ถึงวันที่ 8 พฤศจิกายน  2564 เวลา 03.59 น"/>
        <s v="ถึงจะเป็นคนตลก แต่ก็ตลกไม่ตลอดน้า 😂&#10;พบกับโปรโมชั่นที่เหมาะกับคนเท่ ๆ อย่างเรา ✨&#10;กับหมวกวายร้ายตัวตัวตลกและสกินคู่หู&#10;บอกเลยว่าไม่มี ไม่ได้แล้วรึป่าวววว 🔥&#10;&#10;⏳ ระยะเวลากิจกรรม&#10;ตั้งแต่วันที่ 19 ธันวาคม 2564 เวลา 00.01 น.&#10;ถึงวันที่ 25 ธันวาคม 2564 เวลา 23.59 "/>
        <s v="คว้าใจเค้าไม่ได้ ลองใช้เคียวเกี่ยวใจดู 💕&#10;ในคืนก่อนวันคริสต์มาสนี้ ขอมอบโปรดี&#10;กับ เคียวบลัดดี้ ขยี้ใจในช่วยฤดูหนาว ❄&#10;ถือไปไหนก็โดดเด่นเหนือใครในสมรภูมิ 💥&#10;&#10;⏳ ระยะเวลากิจกรรม&#10;ตั้งแต่วันที่ 24 ธันวาคม 2564 เวลา 00.01 น.&#10;ถึงวันที่ 27 ธันวาคม 2564 เวลา 23.59 "/>
        <s v="อัปเดต 15.1 เปิดแล้ว กดอัปเดตได้เลย! แต่จะมีอะไรใหม่บ้าง? และเรื่องอะไรบ้างที่เพื่อนๆ เกมพับจีต้องรู้? ไปดูระหว่างรออัปเดตตัวเกมก่อนเข้าโดดร่มวันนี้กันได้เลย!!&#10;&#10;ดูรายละเอียดแพทช์ 15.1 แบบเต็มๆ ได้ที่: https://bit.ly/31kDP0H&#10;&#10;#พับจี #เกมพับจี #PUBG #Season"/>
        <s v="ต้อนรับวันปล่อยผี ด้วยกิจกรรมโทเคนแลกไอเทม ✨&#10;กับของสุดพิเศษที่มีมาให้เฉพาะช่วง &#10;วันฮาโลวีนสุดเฮี้ยน 🎃 ในปีนี้&#10;ล่าแฟชั่นและไป ทริค ออ ทรีท ในสมรภูมิกันจ้า 🔥&#10;&#10;⏳ ระยะเวลากิจกรรม&#10;ตั้งแต่วันที่ 30 ตุลาคม 2564 เวลา 04.00 น.&#10;ถึงวันที่ 1 พฤศจิกายน 2564 เวลา 03."/>
        <s v="กลับมาแล้ว กับชุดสุดป่วนเจ้าก๊วนกระต่าย&#10;กับแฟชั่นกระต่ายหมายฟันสุดโหด 💥&#10;ที่เข้ามาเพื่อกำจัดทุก ๆ ตี้ในสมรภูมิ 🔥&#10;ครั้งที่แล้วใครพลาดไป ครั้งนี้ต้องห้ามพลาด &#10;&#10;⏳ ระยะเวลากิจกรรม&#10;ตั้งแต่วันที่ 28 ตุลาคม 2564 เวลา 01.00 น.&#10;ถึงวันที่ 3 พฤศจิกายน 2564 เวลา 23."/>
        <s v="ก๊วนคู่หูสุดซี้ ออกป่วนเมือง ✨&#10;เมื่อทั้งสองรู้สึกว่าทุกสิ่งน่าเบื่อไปหมด&#10;เค้าจึงหาสิ่งที่มาทำให้เค้าสนุกขึ้น&#10;แฟชั่นที่เพิ่มสีสันให้กับเมืองที่แสนเงียบสงบ 💥&#10;&#10;⏳ ระยะเวลากิจกรรม&#10;ตั้งแต่วันที่ 4 พศจิกายน 2564 เวลา 00.01 น.&#10;ถึงวันที่ 10 พศจิกายน 2564 เวลา 23."/>
        <s v="⏳วันนี้ 1 ทุ่มตรง⏳&#10;รับชมการแข่งขัน Free Fire Pro League Season 5 Presented by dtac&#10;รอบ Regular Season วันที่ 20&#10;โดยประกอบไปด้วยทีมจากกลุ่ม A C และ E &#10;มีเพียง 6 ทีมเท่านั้นที่จะผ่านเข้าสู่รอบ Grand Final ได้&#10;&#10;▶️ รับชมการแข่งขันได้ที่&#10;https://youtu.be/_53ZZ"/>
        <s v="รับไอเทมสุดเดือดในภารกิจเงามืดคืบคลาน 🔥&#10;Free Fire X Venom: Let There Be Carnage 🖤&#10;ทั้งชุดแฟชั่น We Are Venom Streetwear &#10;และกล่องดวงใจ Venom vs Carnage  &#10;&#10;รีบทำภารกิจให้สำเร็จก่อนวันที่ 24 ตุลาคมนี้ 💥&#10;&#10;#FFxเวน่อม2&#10;#FreeFirexVenom&#10;#Venom: Let There Be C"/>
        <s v="ล็อควันไว้ให้พร้อม แล้วมาเจอกันในภารกิจสุดพิเศษ ✨ จาก&#10;Free Fire x Venom: Let There Be Carnage&#10;ผนึกกำลังเข้าร่วมภารกิจครั้งสำคัญกับ CHAOS ATTACK 💥&#10;พร้อมรับรางวัลมากมายภายในเกม 💕&#10;&#10;แล้วพบกัน 16 ตุลาคม 2564&#10;&#10;#FFxเวน่อม2&#10;#FreeFirexVenom&#10;#Venom: Let There Be "/>
        <s v="แฟชั่นนารีต้องมนตรา&#10;เหล่าวิญญาณ 👻 ที่หลับไหลวนเวียนอยู่ในชุด &#10;นำโทเคนที่ได้ 🎃 มาแลกเปลี่ยน&#10;ปลดปล่อยชุดนี้มาจากคำสาปอันมืดมิด&#10;สู่คำคืนแห่งความหลอนแบบสุดขีด 💥&#10;&#10;⏳ ระยะเวลากิจกรรม&#10;ตั้งแต่วันที่ 29 ตุลาคม 2564 เวลา 01.00 น.&#10;ถึงวันที่ 7 พฤศจิกายน 2564 เวลา 2"/>
        <s v="ถึงคิวของชุดแฟชั่นขุนพลคนขลัง ❗&#10;อยู่มาวันหนึ่ง คำสาปที่กักขลังเขาไว้ก็ถูกปลดออก 💥&#10;จากความยาวนานนี้ ทำให้เค้าสะสมพลังเอาไว้&#10;และเตรียมมาปลดปล่อยพลังในสมรภูมิ 🔥&#10;&#10;⏳ ระยะเวลากิจกรรม&#10;ตั้งแต่วันที่ 31 ตุลาคม 2564 เวลา 00.01 น.&#10;ถึงวันที่ 6 พฤศจิกายน 2564 เวลา 2"/>
        <s v="หัวหน้าที่ไม่เคยแม้แต่จะเปิดเผยใบหน้า&#10;เรื่องราวของเค้ายังคงเป็นปริศนา ❓&#10;ผู้ที่อยู่เบื้องหลังอาชกรรมแถบตะวันตก&#10;แฟชั่นทรงอิทธิพลที่ทำให้คุณรู้สึกเป็นที่หนึ่ง 🏆&#10;&#10;⏳ ระยะเวลากิจกรรม&#10;ตั้งแต่วันที่ 4 พศจิกายน 2564 เวลา 00.01 น.&#10;ถึงวันที่ 24 พศจิกายน 2564 เวลา 2"/>
        <s v="รับชมวิดีโอสุดพิเศษ 💥&#10;ในความร่วมมือครั้งใหม่ กับภาพยนตร์ฟอร์มยักษ์ระดับโลก 🌎&#10;Free fire x Venom: Let There Be Carnage 🖤&#10;ความระทึกที่จะทำให้คุณต้องสั่นผวา กำลังจะมาถึง 🌡&#10;&#10;ชอบซีนไหน คอมเมนต์บอกหน่อยจ้า 💕&#10;&#10;#FFxเวน่อม2&#10;#FreeFirexVenom&#10;#Venom: Let There Be"/>
        <s v="เปิดร้านค้าโมโคกับแฟชันฮันเตอร์ดรากอน 🔥&#10;และสกินปืน ที่จะมาเขย่าขวัญ&#10;เหล่ามังกรให้หายสาปสูญไปให้หมด ✨&#10;เหล่าผู้รอดชีวิตทั้งหลาย มาเป็นนักล่ามังกรไปด้วยกันเถอะ ❗️&#10;&#10;⏳ ระยะเวลากิจกรรม&#10;ตั้งแต่วันที่ 19 ธันวาคม 2564 เวลา 00.01 น.&#10;ถึงวันที่ 25 ธันวาคม 2564 เวลา "/>
        <s v="ใครพรีออเดอร์ไม่ทัน ไม่ต้องเสียใจ 😂&#10;เราเอากลับมาขายให้แล้วในร้านค้า&#10;กับลายเพ้นท์หน้าสุดเท่ 🔥&#10;พร้อมท่องไปในห้วงอาหรับราตรี 🛕&#10;&#10;ขายเฉพาะไอเทม 💥 ไม่รวมของใน EP น้า&#10;&#10;⏳ ระยะเวลากิจกรรม&#10;ตั้งแต่วันที่ 23 ตุลาคม 2564 เวลา 00.01 น.&#10;ถึงวันที่ 31 ตุลาคม 2564 เวลา"/>
        <s v="จักรวรรดิแอซเท็กผู้บูชาเทพเจ้าแห่งดวงอาทิตย์ ☀&#10;โดยความเชื่อในเรื่องของชัยชนะแห่งสงคราม ⚔&#10;จากเรื่องราวที่เกิดขึ้นในอดีตกาล&#10;สู่สกินปืนสุริยันแห่งชัยนะอันยิ่งใหญ่ 💥&#10;&#10;⏳ ระยะเวลากิจกรรม&#10;ตั้งแต่วันที่ 5 พศจิกายน 2564 เวลา 00.01 น.&#10;ถึงวันที่ 3 ธันวาคม 2564 เวลา"/>
        <s v="เหล่าคู่หูหิวแล้วน้าา มาเติมพลังให้เค้าหน่อยเร็วว 💥&#10;ทำภารกิจเพื่อรับคุกกี้แสนอร่อย 🍪&#10;เอาให้ให้น้อง ๆ มีแรงมาช่วย &#10;เหล่าผู้รอดชีวิตในสมรภูมิและ BOOYAH ❗ ไปด้วยกัน &#10;&#10;⏳ ระยะเวลากิจกรรม&#10;ตั้งแต่วันที่ 8 พศจิกายน 2564 เวลา 04.00 น.&#10;ถึงวันที่ 14 พศจิกายน 2564 "/>
        <s v="11.11 ไอเทมเซ็ตใหม่รับวันคนโสด ที่เชื่อว่าเพื่อนๆ เกมพับจีถึงจะยังโสดอยู่หรือเป็นได้แค่พี่น้อง แต่สกินชุดต้องสดใหม่ไว้ก่อนแน่นอน!! ชุดเฟี้ยวๆ ทั้ง 3 แบบวางจำหน่ายแล้ววันนี้ตอนนี้ในร้านค้าเกม PUBG PC เท่านั้น! เข้าเกมจัดกันได้เลย!!&#10;&#10;#พับจี #เกมพับจี #PUBG "/>
        <s v="[VDO]คนดังชวนดูแข่ง FFAC GRAND FINALS ส่งเสียงเชียร์ให้ดังและรับชมการแข่งไปพร้อมเหล่าอินฟูลเลนเซอร์ &#10;นำทีมโดย TONKLA , Jasminniiiz และ ราชาหล่อเท่ห์ &#10;ร่วมเชียร์ทีมตัวแทนประเทศไทย&#10;วันอาทิตย์ที่ 28 พ.ย. 2564 เวลา 17.00น. &#10;ช่องทาง 🔴 Youtube : Garena Free Fi"/>
        <s v="ปืนที่ว่าโหดยังโฉดไม่เท่าปืนระดับตำนาน ✨&#10;กับสปินปืน &quot;อินทนิลมัจฉาเจ้าวารี&quot; 🌊&#10;สาดกระสุนให้กระหน่ำ กำจัดศัตรูให้เกลี้ยง&#10;ยิงเร็ว ยิงแรง ใส่ไม่ยั้งพร้อมคว้า BOOYAH 🔥&#10;&#10;⏳ ระยะเวลากิจกรรม&#10;ตั้งแต่วันที่ 23 ธันวาคม 2564 เวลา 00.01 น.&#10;ถึงวันที่ 29 ธันวาคม 2564 เว"/>
        <s v="สิ้นสุดการรอคอยกับ MUSIC VIDEO ตัวเต็ม 💥&#10;ในโปรเจกต์เพลงสุดพิเศษจาก เทศกาลแห่งความสุข 🎵&#10;เพลงฮิตสุดไพเราะของแต่ละภาค ตั้งแต่เหนือจรดใต้&#10;อีกทั้งยังมีเพลงสุดพิเศษที่ต้องขออุบไว้ก่อน 🔥&#10;&#10;รายละเอียดคลิก: https://ff.garena.com/news/article/th/493/&#10;&#10;แล้วพบกันเร"/>
        <s v="ขอให้เป็นวันฮัลโลวีนที่พิเศษสำหรับเพื่อนๆ ชาวพับจีทุกคน 🎃Happy Halloween🎃&#10;&#10;🔔 กดติดตามช่องทางเพิ่มเติมได้ที่:&#10;🎥 YouTube http://bit.ly/2P5IbzQ&#10;🎥 PLAYERUNKNOWN'S BATTLEGROUNDS&#10;🎥 Twitch.tv/pubgthailandofficial&#10;🎥 Tiktok.com/@pubgthailandofficial&#10;#พับจี "/>
        <s v="สกินไอเทมใหม่รับ BLACK FRIDAY สุดแนวที่จัดมาให้ถึง 3 แบบ 3 ชุด อย่าง Ohm สุดเฟี้ยว, นินจา Shadowstar, และ Crimson Hex สุดเซ็กซี่ วางจำหน่ายแล้ววันนี้ เพื่อนๆ พับจีสายแฟชั่นนิสต้า ต้องไม่พลาด! เข้าเกมมุ่งไปที่ร้านค้าได้เลย!!&#10;&#10;#พับจี #เกมพับจี #PUBG #Season"/>
        <s v="ณ ประเทศญี่ปุ่นในยุคสมัยเซ็นโกคุ &#10;นินจาสาวที่รับภารกิจอย่างเดี๋ยวดายยามค่ำคืน 🌙&#10;เข้าลอบโจมตีและบุกทะลวงศัตรู 🐱‍👤&#10;ด้วยความเงียบสงัด&#10;&#10;พบกับแฟชั่นใหม่จากแดนอาทิตย์อุทัย 🌞&#10;&#10;⏳ ระยะเวลากิจกรรม&#10;ตั้งแต่วันที่ 8 ตุลาคม 2564 เวลา 00.01 น.&#10;ถึงวันที่ 15 ตุลาคม 25"/>
        <s v="กิจกรรม BOOYAH! GO ✨&#10;เข้ามาเล่นเกม Free Fire โหมด BR และ 4V4&#10;หลังจบแมทช์ปั๊บรับโทเคนลูกเต๋า 🎲&#10;เอาไปร่วมเล่นในกิจกรรม &#10;&#10;เฉพาะวันที่ 20 พฤศจิกายน 2564 ได้โทเคนคูณ 2 🔥&#10;&#10;⏳ ระยะเวลากิจกรรม&#10;ตั้งแต่วันที่ 12 พศจิกายน 2564 เวลา 04.00 น.&#10;ถึงวันที่ 30 พศจิกายน 25"/>
        <s v="ใครไม่บิ๊ก แต่รถบิ๊กฟุตนะ แผ่มมม ❗&#10;หลายคนอาจพลาดไปก่อนหน้านี้&#10;ไม่เป็นไร เราเอากลับมาขายให้ใหม่ ✨&#10;สกินรถเก๋ ๆ ขับได้เท่ ๆ ลุยสมรภูมิ&#10;&#10;ขายเฉพาะไอเทม ไม่รวมของใน EP น้าา 💕&#10;&#10;⏳ ระยะเวลากิจกรรม&#10;ตั้งแต่วันที่ 23 ธันวาคม 2564 เวลา 00.01 น.&#10;ถึงวันที่ 31 ธันวาคม 2"/>
        <s v="[FFMAX] จะเป็นอย่างไร ❓ ถ้าเอาเอฟเฟคปืนภายในเกม มาใส่ไว้ในเพลง TO THE MAX&#10;BANG BANG BANG 💥&#10;&#10;มารับฟังและโยกหัวตามไปพร้อม ๆ กันได้แล้ววันนี้ 🎧&#10;&#10;สัมผัสประสบการณ์ของ Free Fire MAX ได้ที่&#10;📲 iOS - https://bit.ly/FreeFireMAXiOS&#10;📲 Android - https://bit.ly/Fre"/>
        <s v="วันนี้มี LIVE 🔴 รับชมการถ่ายทอดสด &#10;Free Fire Survivals Master Winter ❄️&#10;รอบ KNOCKOUT : รอบที่ 3 : เวลา 19:00 น. เป็นต้นไป&#10;คลิ๊กเพื่อรับชม : https://youtu.be/OGAHnOHoG-o&#10;&#10;📺 รับชมการแข่งขันได้ที่&#10;🔴 Youtube : Garena Free Fire Thailand&#10;🔵 Facebook : Garena"/>
        <s v="ขนเพื่อนมาชมวิดีโอสุดพิเศษ 🔥&#10;Free Fire x Venom: Let There Be Carnage 🖤&#10;กับการคืบคลานสุดน่ากลัวที่จะทำให้คุณต้องขวัญผวา 💥&#10;ยิ่งยอดการชมเยอะ ยิ่งปลดล็อครางวัลใหญ่สุดเศษ 🏆&#10;&#10;อย่าลืม ❗ เข้ามาล็อกอินวันที่ 16 ตุลาคม 2564&#10;&#10;#FFxเวน่อม2&#10;#FreeFirexVenom&#10;#Venom: "/>
        <s v="วันนี้แล้วนะที่เรามีนัดกับ &quot;หัวขาวในตำนาน&quot;&#10;เรียกร้องมามากขนาดนี้ จะอยู่่เฉยได้ไง ก็จัดให้เลย ❗&#10;เท่ในทุกมุมมอง ใครเห็นเป็นต้องอิจฉา ✨&#10;กลับมาครั้งนี้ต้องห้ามพลาดแล้วน้าา 💕&#10;&#10;⏳ ระยะเวลากิจกรรม&#10;ตั้งแต่วันที่ 21 พศจิกายน 2564 เวลา 00.01 น.&#10;ถึงวันที่ 27 พศจิกาย"/>
        <s v="สมรภูมรบแห่งความมืดที่ถาโถมเข้ามา 💥&#10;Free fire x Venom: Let There Be Carnage 🖤&#10;กับพลังแห่งซิมบิโอตที่กำลังกลืนกินที่สรรพสิ่ง&#10;รับชมภาพยนต์สุดเอ็กซ์คลูซีฟได้ในโรงภาพยนต์ 🎞&#10;&#10;อย่าลืมเข้ามาล็อกอินกันในวันที่ 16 ตุลาคม 2564&#10;&#10;#FFxเวน่อม2&#10;#FreeFirexVenom&#10;#Venom"/>
        <s v="[การ์ตูน📖] REALITY UNVEILED ตอนที่ 1 ฝันร้าย&#10;วูฟร่าห์สตรีมเมอร์หนุ่มที่เล่นเกมสุดเทพ&#10;กลับต้องเจอกับความฝัน&#10;ในอดีตที่ตามมาหลอกหลอนตัวเค้า&#10;เรื่องราวความฝันในวัยเด็กของเค้านั้นคืออะไร&#10;ปฐมบทของเรื่องราวทั้งหมดกำลังก่อตัวขึ้นแล้ว&#10;&#10;#RealityUnveiled #FreeFireUn"/>
        <s v="วันนี้มี LIVE 🔴 รับชมการถ่ายทอดสด &#10;Free Fire Survivals Master Winter ❄️&#10;รอบ KNOCKOUT : รอบที่ 2 DAY2 : เวลา 19:00 น. เป็นต้นไป&#10;คลิ๊กเพื่อรับชม : https://youtu.be/-Ww4lk5LP8Y&#10;&#10;📺 รับชมการแข่งขันได้ที่&#10;🔴 Youtube : Garena Free Fire Thailand&#10;🔵 Facebook : G"/>
        <s v="แฟนๆ พับจีคนไหนเคยเห็นการผจญภัยและทันทีมนักล่ามังกรทั้ง 4 ใน Erangel บ้าง?&#10;&#10;🔔 กดติดตามช่องทางเพิ่มเติมได้ที่:&#10;🎥 YouTube http://bit.ly/2P5IbzQ&#10;🎥 PLAYERUNKNOWN'S BATTLEGROUNDS&#10;🎥 Twitch.tv/pubgthailandofficial&#10;🎥 Tiktok.com/@pubgthailandofficial&#10;#พับจี #"/>
        <s v="ต้อนรับการเปิดโรงภาพยนต์อีกครั้งกับ 🎞&#10;Venom: Let There Be Carnage&#10;พร้อมกันแล้วหรือยัง? ที่จะเผชิญหน้าซิมบิโอตเวน่อม 💥&#10;ที่จะเข้ามากระชากคุณ ดำดิ่งสู่ความืด 🖤&#10;&#10;อย่าลืมเข้ามาล็อกอินกันในวันที่ 16 ตุลาคม 2564&#10;ในเกม Free Fire&#10;&#10;#FFxเวน่อม2&#10;#FreeFirexVenom&#10;#V"/>
        <s v="ล็อกอินวันนี้ 💕&#10;รับเลยทันที กระเป๋า Venom&#10;ไอเทมสุดแรร์จากความร่วมมือระดับโลก 🌎 จาก&#10;Free Fire x Venom: Let There Be Carnage&#10;&#10;⏳ ระยะเวลากิจกรรม&#10;ตั้งแต่วันที่ 16 ตุลาคม 2564 เวลา 04.00 น.&#10;ถึงวันที่ 16 ตุลาคม 2564 เวลา 23.59 น.&#10;&#10;#FreeFirexVenom&#10;#Venom: Let "/>
        <s v="[TEASER ภาพยนตร์สั้น] 3 เฮี้ยน เพี้ยนทุกซีน: ผีแม่ชี&#10;&#10;เรื่องราวของสาวเหนือที่เข้ามาทำงานในกรุงเทพ &#10;เธอได้เช่าห้องพักห้องหนึ่ง ❗ แต่หอพักนี้มีความลับบางอย่างซ่อนอยู่...&#10;&#10;รับชมภาพยนตร์สั้นสุดสยอง 3 เฮี้ยน เพี้ยนทุกซีน 👻&#10;⏳ ในวันที่ 31 ตุลาคม 2564&#10;&#10;#FFปาร์ตี"/>
        <s v="นี่สิ ❗ พลังของเหล่าเกมเมอร์&#10;Free Fire ขอขอบคุณ ผู้รอดชีวิตทุกคน &#10;ที่เป็นส่วนหนึ่งในการมาร่วมโหวดให้เราเป็น 💕&#10;เกมอีสปอร์ตในมือถือยอดเยี่ยมแห่งปี 🏆&#10;&#10;ชัยชนะในครั้งนี้เป็นรางวัลร่วมกันของพวกเรา Booyah 💥&#10;&#10;🔴 อ่านบทความสุดประทับใจได้ที่นี่ : &#10;https://ff.gar"/>
        <s v="พรุ่งนี้แล้วนะ กับ LIVE สุดพิเศษ ✨&#10;ระหว่าง MEW X แก๊งกระต่างคลั่ง&#10;อยากรู้ ว่าในการไลฟ์ครั้งนี้จะมีอะไร 💥&#10;ตั้งเวลาเตรียมไว้ บอกเลย &quot;ห้ามพลาด&quot; ❗&#10;&#10;ในวันที่ 11 พฤศจิกายน 2564 เวลา 13.00 น.&#10;ที่ช่องทาง Facebook และ YouTube : Free Fire TH&#10;&#10;ใครเป็นแฟนคลับต้องห้า"/>
        <s v="[VDO] คู่มือล่ารางวัล Free Fire x Venom: Let There Be Carnage&#10;เตรียมตัวให้พร้อมแล้วหรือยัง ❓&#10;กับการร่วมมือครั้งยิ่งใหญ่กับหนังฟอร์มยักษ์&#10;Free Fire x Venom: Let There Be Carnage 🖤&#10;พบกับชุดแฟชั่นสุดเท่และไอเทมมากมายในครั้งนี้ 🔥&#10;&#10;#FFxเวน่อม2&#10;#FreeFirexVeno"/>
        <s v="มีของดีมาบอกเหล่าผู้เล่น Free Fire ทั้งหลาย&#10;เอาตัวรอดให้ได้ จากเกมเอาชีวิต 💥&#10;ในโหมดใหม่ A E I O U หยุด&#10;ทำภารกิจให้ครบ ❗ รับไปเลยชุดนักโทษ&#10;&#10;ซ้อมมือไว้ให้ดี อยู่ให้นิ่ง และเป็นผู้รอด 🏆&#10; &#10;⏳ ระยะเวลากิจกรรม&#10;ตั้งแต่วันที่ 22 ตุลาคม 2564 เวลา 04.00 น.&#10;ถึงวันท"/>
        <s v="อ่ะเริศ ❗ ส่งความสุขกับดีลส่งท้ายปี&#10;ที่มอบส่วนลดสูงสุดถึง 85%&#10;จัดมาให้ทั้งสกินอาวุธและท่าทางคู่หู 💕&#10;โปรดีขนาดนี้ ไม่โดนไม่ได้แล้ว 💥&#10;&#10;โปรโมชั่นนี้มีเฉพาะใน GOOGLE PLAY เท่านั้นน้าาา 🔥&#10;&#10;⏳ ระยะเวลากิจกรรม&#10;ตั้งแต่วันที่ 19 ธันวาคม 2564 เวลา 00.01 น.&#10;ถึงวัน"/>
        <s v="2 แฟชั่น 2 สไตล์ ที่มาจากโลกคู่ขนาน ✨&#10;ฝั่งหนึ่งให้อารมณ์สตรีทแบบจัดเต็ม &#10;อีกฝั่งมาพร้อมความหรูหราแบบตะวันออกกลาง&#10;พร้อมสกินอาวุธสุดเท่ ที่พร้อมเข้าจู่โจม 💥&#10;&#10;จำหน่ายแล้วในร้านค้าโมโค 💕&#10;&#10;⏳ ระยะเวลากิจกรรม&#10;ตั้งแต่วันที่ 14 พศจิกายน 2564 เวลา 00.01 น.&#10;ถึงวัน"/>
        <s v="[ANIMATION] มาทำความรู้จักกับ Free Fire MAX&#10;ไปพร้อม ๆ กันกับ เคลลี่และฮายาโตะ ✨&#10;ทั้งเรื่องกราฟฟิคสุดเทพ และอื่น ๆ อีกมากมาย 💥&#10;ที่คุณต้องเข้ามาสัมผัสด้วยตัวเอง 💕&#10;&#10;สัมผัสประสบการณ์ของ Free Fire MAX ได้ที่&#10;📲 iOS - https://bit.ly/FreeFireMAXiOS&#10;📲 Android "/>
        <s v="[VDO] นักสู้คลื่นพลังใต้สมุทร&#10;แฟชันสุดพริ้วไหวแต่แข็งแกรงดั่งหินผา 🌊&#10;เพื่อที่จะให้ได้เป็นหนึ่งในสมรภูมิ 💥&#10;เค้าจึงต้องก้าวเข้าสู่สังเวียนเดือดนี้ 🔥&#10;เพื่อประกาศความแข่งแกร่งให้เป็นที่ประจักษ์&#10;&#10;⏳ ระยะเวลากิจกรรม&#10;ตั้งแต่วันที่ 17 ตุลาคม 2564 เวลา 01.00 น.&#10;"/>
        <s v="จิ๊กซอว์ที่หายไป 🧩 คุณต้องช่วยเป็นคนมาเติมเต็ม&#10;กับคู่หูแสนน่ารัก มาเล่นในโหมดใหม่ 💕&#10;อย่าลืมมารับชมความสนุกกับครีเอเตอร์ที่ชื่นชอบ&#10;พร้อมเป็นส่วนหนึ่งในการตัดสินใจ 💥&#10;&#10;ช่วยคอมเมนต์สัตว์เลี้ยงที่อยากให้เล่นใต้รูปเหล่าครีเอเตอร์กันโลด ❗&#10;&#10;⏳ ตั้งแต่ 30 ตุลาคม"/>
        <s v="เมื่อเงาแห่งความชั่วร้ายก่อเกิด 🔥&#10;Free Fire x Venom: Let There Be Carnage 🖤&#10;จึงออกภารกิจสุดดำมืด “CHAOS ATTACK” 💥&#10;พร้อมให้ออกล่ารางวัลสุดเอ็กซ์คลูซีฟ&#10;ทั้งมอเตอร์ไซต์เวน่อมและอื่น ๆ อีกเพียบ &#10;&#10;จับมือถือพร้อมล็อกอินได้ในวันที่ 16 ตุลาคม 2564 &#10;&#10;#FFxเวน่อม"/>
        <s v="💥พรุ่งนี้แล้วกับการแข่งขันรอบ PLAY-INS💥&#10;มีเพียง 6 ทีมเท่านั้นที่จะผ่านเข้าสู่รอบ Grand Final&#10;วันอาทิตย์ที่ 10 ตุลาคม 2564 19:00 น. เป็นต้นไป&#10;&#10;▶️ ติดตามรับชมการแข่งขัน รอบ PLAY-INS&#10;🎬 Free Fire Pro League Season 5 Presented by dtac&#10;🔴 Youtube : Garena Fr"/>
        <s v="🎀Jingle Bells!🎁 ใหม่แกะกล่อง สกินปืนอัปเกรดได้ตัวล่าสุด มารับเทศกาลคริสต์มาส YULE SLEIGH MINI14 ที่แฟนๆ พับจีทุกคนห้ามพลาด! สามารถอัปเกรดตกแต่งปืนให้วิบวับได้ถึง 10 เลเวล 🎄 ครอบครองเป็นเจ้าของได้แล้วในกล่องคอนทราแบนด์ (Contraband Crate) ถึงเวลไหนแล้วมา"/>
        <s v="เอ้าาา อย่าลืมเข้ามารับชม LIVE สุดพิเศษ ✨&#10;MEW และ แก๊งกระต่ายคลั่งกันได้ &#10;แจกของกันจุก ๆ พิเศษเฉพาะใน LIVE 🔥&#10;ทั้งไอเทม แฟชั่นสุดปัง สกินปืนถาวร และอื่น ๆ อีกเพียบ ❗&#10;&#10;ในวันที่ 11 พฤศจิกายน 2564 เวลา 13.00 น.&#10;ที่ช่องทาง Facebook และ YouTube : Free Fire TH&#10;"/>
        <s v="ไฮไลท์การแข่งขันรอบ GRAND FINAL &#10;เตรียมพบกับการแข่งขัน Free Fire Asia Championships 2021 เร็วๆนี้&#10; &#10;#FFPLSS5 #GRANDFINAL #FFAC2021&#10;••••••••••••••••••••••••••••••••&#10;🔥 Garena Free Fire 🔥&#10;สุดยอดเกมแอคชั่น เอาตัวรอดบนมือถือ!&#10;เล่นง่าย จบไว ใครๆก็ BOOYAH! ได้"/>
        <s v="ฮาโลวีนนี้ มาร่วมปาร์ตี้สุดหลอนแบบโหดมันส์ฮา 🎃&#10;ในภาพยนตร์สั้นสุดสยอง &quot;3 เฮี้ยน เพี้ยนทุกซีน&quot; &#10;ที่จะทำให้คุณหลอนแบบลั่น ๆ สั่นสะท้านไปถึงทรวง 💞&#10;พร้อมชวนเดอะแก๊งค์สุดซี้ มาร่วมสนุกไปพร้อมกัน &#10;&#10;รับชมภาพยนตร์สั้นสุดสยอง 3 เฮี้ยน เพี้ยนทุกซีน 👻&#10;⏳ ในวันที่ 3"/>
        <s v="🏆🌎 ข่าวด่วน PUBG E-SPORTS ❗❗ ผังการแข่งขันปี 2022 พร้อมการกลับมาของทัวร์นาเมต์ที่หลายคนรอคอย 𝐏𝐍𝐂 (PUBG Nations Cup) หรือที่หลายคนให้คำนิยามว่า &quot;พับจีทีมชาติ&quot; !! &#10;&#10;อ่านรายละเอียดเพิ่มได้เติมได้ที่ ➡➡ https://asia.battlegrounds.pubg.com/th/2021/12/19/p"/>
        <s v="🎬 ระดับโลกของจิ๊ง!! สไนเปอร์บนรถที่กำลังวิ่งอยู่! จาก Team Liquid&#10;&#10;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นะเลิศ 16 ธ.ค"/>
        <s v="พรุ่งนี้ PUBG: NEW STATE จะเปิดแล้ว &#10;ไปรับน้องกันหน่อยดีไหม! 😁&#10;&#10;🪂PUBG: NEW STATE&#10;โดดร่มเข้าสู่สมรภูมิรบใหม่สุดล้ำ ภาคต่อของจักรวาลพับจี จากผู้สร้างพับจี ภาพสวยสมจริงพร้อมแผนทีสุดคุ้นเคย Erangel 2051 เตรียมดาวน์โหลดเล่นฟรีได้เลย 11 พ.ย. นี้ เวลา 11.00น.!"/>
        <s v="⚠โปรดทราบ⚠&#10;ในวันที่ 15 ธันวาคม 2021 ตั้งแต่เวลา 7:30 น. เป็นต้นไป จะมีการปิดบำรุงรักษาเซิร์ฟเวอร์ซึ่งจะใช้เวลาดำเนินการประมาณ 4 ชั่วโมง&#10;&#10;ในระหว่างที่เราดำเนินการบำรุงรักษาอยู่ ผู้เล่นจะไม่สามารถล็อคอินเข้าสู่ตัวเกมได้ เมื่อเซิร์ฟเวอร์เปิดให้บริการแล้วเราจ"/>
        <s v="🪂✈ เมื่อคืนที่ผ่านมา ทีม 💙AAA และ 💙BRU ได้เดินทางบินลัดฟ้าสู่ประเทศเกาหลีใต้🇰🇷&#10;และช่วงเช้าทั้งสองทีมก็ได้ถึงเกาหลีเป็นที่เรียบร้อย พร้อมเริ่มมาตรการกักตัว 14 วันต่อไป&#10;&#10;🇹🇭👏 อย่าลืมมาให้กำลังใจและส่งแรงเชียร์ทีมไทย ในเวทีชิงแชมป์โลก PGC2021 เริ่ม 19"/>
        <s v="ในวันที่ 20 ตุลาคม 2021 ตั้งแต่เวลา 7:30 น. เป็นต้นไป&#10;จะมีการปิดบำรุงรักษาเซิร์ฟเวอร์ซึ่งจะใช้เวลาดำเนินการประมาณ 4 ชั่วโมง&#10;ในระหว่างการบำรุงรักษา&#10;&#10;ในระหว่างที่เราดำเนินการบำรุงรักษาอยู่ ผู้เล่นจะไม่สามารถล็อคอินเข้าสู่ตัวเกมได้&#10;เมื่อเซิร์ฟเวอร์เปิดให้บริ"/>
        <s v="ขอแสดงความยินดีกับ 12 ทีม ที่ผ่านเข้าสู่รอบ&#10;🏆Grand Final🏆&#10;&#10;มีเพียงทีมเดียวเท่านั้นที่จะได้เข้ามาชิงเงินรางวัลกว่า 5,000,000 บาท&#10;วันเสาร์ที่ 23 ตุลาคม 2564 13:00 น. เป็นต้นไป&#10;&#10;🎬 Free Fire Pro League Season 5 Presented by dtac&#10;🔴 Youtube : Garena Free Fi"/>
        <s v="ในวันที่ 17 พฤศจิกายน 2021 ตั้งแต่เวลา 7:30 น. เป็นต้นไป&#10;จะมีการปิดบำรุงรักษาเซิร์ฟเวอร์ซึ่งจะใช้เวลาดำเนินการประมาณ 4 ชั่วโมง&#10;ในระหว่างการบำรุงรักษา&#10;&#10;ในระหว่างที่เราดำเนินการบำรุงรักษาอยู่ ผู้เล่นจะไม่สามารถล็อคอินเข้าสู่ตัวเกมได้&#10;เมื่อเซิร์ฟเวอร์เปิดให้"/>
        <s v="เข้าร่วมในภารกิจสุดท้าทาย 🔥&#10;กำจัดเหล่าอสูรกายทั้ง 4 ให้สำเร็จ 💥&#10;เพื่อรับไอเทมสุดว๊าว การันตีความแรร์ ✨&#10;ในความร่วมมือระดับโลก 🌎 จาก&#10;Free Fire x Venom: Let There Be Carnage&#10;&#10;⏳ ระยะเวลากิจกรรม&#10;ตั้งแต่วันที่ 10 ตุลาคม 2564 เวลา 04.00 น.&#10;ถึงวันที่ 24 ตุลาคม"/>
        <s v="[VDO] Behind the Scene FFAC เบื้องหลังการถ่ายทำวิดีโอพิเศษ&#10;ทีม Evos Phoenix Force &#10;ควันหลงหลัง FreeFire Asia Championship &#10;จะเป็นอย่างไรกันบ้าง มารับชมกัน&#10;------------------------------------------------&#10;ติดตามข้อมูลข่าวสารได้ทาง&#10;🔴 Youtube : Garena Free "/>
        <s v="คริสต์มาสก็ดี แต่ Kiss หมี หน่อยได้ไหม! คริสต์มาสใกล้มาถึงแล้ว!! ไอเทมสกินเซ็ตใหม่ล่าสุดที่จะช่วยให้เพื่อนๆ แต่งตัวไปร่วมปาร์ตี้ฉลองเทศกาลแห่งความสุข ออกล่าไก่ WWCD กับเพื่อนๆ ได้แบบไม่ต้องเลี้ยงไว้ที่บ้าน วางจำหน่ายในร้านค้าตั้งแต่วันนี้ ถึง 6 กุมภาพันธ์"/>
        <s v="[TEASER ภาพยนตร์สั้น] 3 เฮี้ยน เพี้ยนทุกซีน: ผีปอบ&#10;&#10;หนุ่มลูกอีกสานปิดเทอมจากเมืองนอกต้องกลับบ้านนา&#10;แต่แล้วกลับเกิดเหตุการ์ณแปลกๆ เมื่อไก่ในเล้าของพ่อหายไป 🐔&#10;เหลือไว้แต่เพียงคราบเลือด 🩸 และเหตุการณ์วุ่น ๆ ที่กำลังจะเกิดขึ้น...&#10;&#10;รับชมภาพยนตร์สั้นสุดสยอง 3"/>
        <s v="เริ่มขึ้นแล้ว! กับการจับมือระหว่าง Jeremy Lin และ PUBG ที่จะนำสกินของหนึ่งในนักบาส🏀เชื้อสายเอเชียที่สามารถคว้าแชมป์ NBA ได้มาสู่เกม PUBG: BATTLEGROUNDS!&#10;&#10;โดยสกิน Jeremy Lin จะวางขายที่ร้านค้าในเกมตั้งแต่วันนี้จนถึงวันที่ 15 มีนาคม 2022  เท่านั้น เหล่าแฟน"/>
        <s v="ภารกิจสุดพิเศษจาก&#10;Free Fire x Venom: Let There Be Carnage&#10;วันเดียวเท่านั้นกับการรับชมวีดีโอสุดพิเศษภายในเกม 💕&#10;เข้าร่วมให้สำเร็จ 💥แล้วรับไอเทมสุดแรร์ ✨ ไปเลยจ้า&#10;&#10;ห้ามพลาดเด็ดขาดเลยน้า 🥰&#10;&#10;⏳ ระยะเวลากิจกรรม&#10;ตั้งแต่วันที่ 16 ตุลาคม 2564 เวลา 04.00 น.&#10;ถึงวั"/>
        <s v="👻เลเวลอะไรกัน? แล้วกับสกินปืนแบบอัปเกรดใหม่ล่าสุดรับเทศกาลฮัลโลวีนอย่าง Trick-or-Treat M416!! มาอวดกันหน่อยเป็นไง👻&#10;&#10;🔔 กดติดตามช่องทางเพิ่มเติมได้ที่:&#10;🎥 YouTube http://bit.ly/2P5IbzQ&#10;🎥 PLAYERUNKNOWN'S BATTLEGROUNDS&#10;🎥 Twitch.tv/pubgthailandofficial&#10;🎥"/>
        <s v="เมื่อความน่ารักมาพบกับความมันส์จึงเกิดเป็น การ Collab สุดปังส่งท้ายปี KAKAO FRIENDS x PUBG: BATTLEGROUNDS กราบเรียนเชิญแฟนๆ พับจีโดดร่มมาเดือดที่ KAKAO FRIENDS LAND แผนที่ VIKENDI ได้แล้ววันนี้ พร้อมไอเทมสกินสุดเอ๊กซ์คลูซีฟต่างๆ มากมายที่เกมพับจีพีซีเท่าน"/>
        <s v="⏳วันนี้ 1 ทุ่มตรง⏳&#10;รับชมการแข่งขันรอบ Regular Season วันที่ 17&#10;โดยประกอบไปด้วยทีมจากกลุ่ม B D และ E&#10;ร่วมค้นหา 12 ทีมที่ดีที่สุดที่จะผ่านเข้าสู่รอบ Grand Final&#10;&#10;▶️ ติดตามรับชมการแข่งขัน รอบ Regular Season&#10;🎬 Free Fire Pro League Season 5 Presented by dtac&#10;"/>
        <s v="⏳วันนี้ 1 ทุ่มตรง⏳&#10;รับชมการแข่งขันรอบ Regular Season วันที่ 18&#10;โดยประกอบไปด้วยทีมจากกลุ่ม A C และ D&#10;ร่วมค้นหา 12 ทีมที่ดีที่สุดที่จะผ่านเข้าสู่รอบ Grand Final&#10;&#10;▶️ ติดตามรับชมการแข่งขัน รอบ Regular Season&#10;🎬 Free Fire Pro League Season 5 Presented by dtac&#10;"/>
        <s v="⏳วันนี้ 1 ทุ่มตรง⏳&#10;รับชมการแข่งขันรอบ Regular Season วันที่ 20&#10;โดยประกอบไปด้วยทีมจากกลุ่ม A C และ E&#10;ร่วมค้นหา 12 ทีมที่ดีที่สุดที่จะผ่านเข้าสู่รอบ Grand Final&#10;&#10;▶️ ติดตามรับชมการแข่งขัน รอบ Regular Season&#10;🎬 Free Fire Pro League Season 5 Presented by dtac&#10;"/>
        <s v="[VDO] Trash Talk Group A Play-ins ขิง ก่อน ยิง &#10;กับคำพูดของเหล่านักแข่งทีมตัวแทนจากแต่ละภูมิภาค&#10;จะมีใครกันบ้างรับชมกันเลย&#10;&#10;----------------------&#10;รอรับชมการแข่งขันพร้อมกัน&#10;📌รอบ PLAY-INS : วันที่ 20 - 21 พ.ย. 2564 &#10;📌รอบ FINAL : วันที่ 28 พ.ย. 2564&#10; &#10;🔴 Y"/>
        <s v="ถ่ายทอดสดการแข่งขัน&#10;Free Fire Survivals Master Winter รอบคัดเลือก&#10;ทัวร์นาเม้นเส้นทางสู่ Free Fire Pro League Season 6&#10;8 ทีมเท่านั้น ที่จะผ่านสู่การเป็นนักกีฬามืออาชีพของเกม Free Fire&#10;••••••••••••••••••••••••••••••••&#10;🔥 Garena Free Fire 🔥&#10;📲 iOS - https:/"/>
        <s v="🔎เจาะลึกเกมพับจีอัปเดต 14.2🔎 มีอะไรใหม่ที่น่ารู้และต้องดู? แอดมัดรวมรายละเอียดมาให้เพื่อนๆ เกม PUBG: BATTLEGROUNDS ทุกคนไว้ที่นี่แล้ว ไปดูกันเลย!! 🐔&#10;&#10;🔔 กดติดตามช่องทางเพิ่มเติมได้ที่:&#10;🎥 YouTube http://bit.ly/2P5IbzQ&#10;🎥 PLAYERUNKNOWN'S BATTLEGROUNDS&#10;�"/>
        <s v="🔴 รับชม Live ได้แล้วตอนนี้&#10;กับโหมดใหม่ล่าสุด คู่หูสุดซิ่ง 🔥&#10;โหมดใหม่สุดมันส์ จัดเต็มความคิวท์ 💕&#10;มาพร้อมหล่าครีเอเตอร์ที่ทุกคนชื่นชอบ&#10;&#10;✨ K2J&#10;✨ 9NY FF&#10;✨ ZPLOY SY&#10;✨ SELECTZx&#10;&#10;เอาใจช่วยพร้อมรับไอเทมโค๊ดฟรี! 💥&#10;&#10;และอย่าลืม ❗️ รอชมเหล่าครีเอเตอร์คนอื่น ๆ&#10;ที่"/>
        <s v="🎯เรนเจอร์โคตรเท่!! สายซุ่มยิงโจมตีระยะไกลต้องไม่พลาดอาชีพใน Halloween Battle Royale เร็วๆ นี้ที่ PUBG: BATTLEGROUNDS เท่านั้น&#10;&#10;🔔 กดติดตามช่องทางเพิ่มเติมได้ที่:&#10;🎥 YouTube http://bit.ly/2P5IbzQ&#10;🎥 PLAYERUNKNOWN'S BATTLEGROUNDS&#10;🎥 Twitch.tv/pubgthailando"/>
        <s v="&quot;เจ้าเชื่อเรื่องบั้งไฟบ่&quot; MORTAR ปืนใหม่ เฮ็ดในสิ่งที่เชื่อ เชื่อในสิ่งที่เฮ็ด 3 พ.ย.นี้&#10;&#10;ดูรายละเอียดแพทช์ 14.2 แบบเต็มๆ ได้ที่: https://bit.ly/3Ei5wFN&#10;&#10;🔔 กดติดตามช่องทางเพิ่มเติมได้ที่:&#10;🎥 YouTube http://bit.ly/2P5IbzQ&#10;🎥 PLAYERUNKNOWN'S BATTLEGROUNDS&#10;"/>
        <s v="👻เพื่อนๆ เกม PUBG พีซีได้สัมผัสบรรยากาศและสภาพอากาศของฮัลโลวีนใน School, Hospital และเกาะเกิดของแผนที่ Erangel หรือยัง? หลอนดีไหม👻&#10;&#10;🔔 กดติดตามช่องทางเพิ่มเติมได้ที่:&#10;🎥 YouTube http://bit.ly/2P5IbzQ&#10;🎥 PLAYERUNKNOWN'S BATTLEGROUNDS&#10;🎥 Twitch.tv/pubgtha"/>
        <s v="🎥 𝐏𝐆𝐂𝟐𝟎𝟐𝟏 𝐒𝐂𝐎𝐏𝐄 บุกกองพาชมเบื้องหลังการแข่งขันชิงแชมป์โลก ณ เกาหลี&#10;&#10;� PUBG Global Championship 2021 รอบ Grand Survival อย่าลืมมาตามเชียร์ตัวแทนทีมไทย🇹🇭🇹🇭ลุยชิงแชมป์โลก 🇹🇭Buriram United Esports และ 🇹🇭Attack All Around กินไก่ได้เข้าชิงช"/>
        <s v="🏆🌏 𝐏𝐔𝐁𝐆 𝐆𝐥𝐨𝐛𝐚𝐥 𝐂𝐡𝐚𝐦𝐩𝐢𝐨𝐧𝐬𝐡𝐢𝐩 𝟐𝟎𝟐𝟏 ครบแล้ว 32 ทีมที่ดีที่สุดในโลก!!&#10;เริ่มศึกชิงแชมป์โลก 19 พฤษจิกายนนี้เป็นต้นไป อย่าลืมมาเชียร์ 2 ทีมไทย 🇹🇭 Buriram United Esports และ Attack All Around  กันด้วยล่ะ บอกเลยว่ามันส์หยดทุกสัปดาห์แน"/>
        <s v="วิดีโอสุดพิเศษต้อนรับ FFAC EVOS PHOENIX FORCE แชมป์ WORLD SERIES 2021 กับเส้นทางสู่การแข่งขันในภูมิภาคเอเชีย&#10;&#10;รอรับชมการแข่งขัน FFAC พร้อมกัน&#10;📌รอบ PLAY-INS : วันที่ 20 - 21 พ.ย. 2564  &#10;📌รอบ FINAL : วันที่ 28 พ.ย. 2564&#10;&#10;🔴 Youtube : Garena Free Fire Thai"/>
        <s v="สายไต่แรงค์ขึ้นอันดับ เล่นแผนที่ที่ถูกเปลี่ยนเข้ามาใหม่อย่าง Paramo และ Taego ใน Ranked Mode แล้วหรือยัง? เป็นยังไงกันบ้าง? บอกเล่าเก้าสิบสิบเอ็ดสิบสองกันหน่อย&#10;&#10;🔔 กดติดตามช่องทางเพิ่มเติมได้ที่:&#10;🎥 YouTube http://bit.ly/2P5IbzQ&#10;🎥 PLAYERUNKNOWN'S BATTLEG"/>
        <s v="นักเวทย์ไฟที่สามารถปลดปล่อยพลังเวทย์เพลิงทำลายล้างศัตรูให้เป็นจุลที่ Halloween Battle Royale เร็วๆ นี้ที่ PUBG: BATTLEGROUNDS เท่านั้น&#10;&#10;🔔 กดติดตามช่องทางเพิ่มเติมได้ที่:&#10;🎥 YouTube http://bit.ly/2P5IbzQ&#10;🎥 PLAYERUNKNOWN'S BATTLEGROUNDS&#10;🎥 Twitch.tv/pubgt"/>
        <s v="พวกเราทีมงาน PUBG : Battlegrounds ขอให้ทุกท่านมีความสุขในช่วงเทศกาลส่งท้ายปี! สำหรับใครที่จะเดินทางไปพักผ่อนตามสถานที่ต่างๆ เราก็ขออวยพรให้เดินทางถึงที่หมายโดยสวัสดิภาพ และสำหรับใครที่ไม่ได้เดินทางและอยู่เล่นเกม PUBG เราก็ขอให้ทุกๆ คนได้รับชัยชนะและคว้าไก"/>
        <s v="[ 🔥 ไฮไลท์เด็ดเช็คด่วน 🔥 ]&#10;Highlight โปรลีก - 12ทีมเข้าสู่รอบ GRAND FINAL&#10;&#10;ไฮไลท์ตัวแทนทั้ง12ทีมจากรอบ Regular Season&#10;ร่วมเชียร์และเป็นกำลังใจให้ทั้ง12ทีมรอบ GRAND FINAL &#10;ทีมใดจะคว้าแชมป์ Free Fire Pro League Season 5 Presented by dtac &#10;&#10;ติดตามรับชมการแ"/>
        <s v="[ 🔥 ไฮไลท์เด็ดเช็คด่วน 🔥 ]&#10;Highlight โปรลีก - รอบ PLAY-INS&#10;&#10;ขอแสดงความยินดีกับ6ทีมจากรอบ Play-ins&#10;ที่ผ่านเข้าสู่รอบ Grand Final 🏆&#10;NEOLUTION ESPORT&#10;SYZYGY&#10;ATTACK ALL AROUND&#10;DELTA X&#10;FREE FIRE BLUEWAVE CHONBURI&#10;SYZ PC ESPORTS&#10;&#10;•••••••••••••••••••••••••••&#10;"/>
        <s v="อัปเดต 15.1 เปิดให้ทดสอบที่เซิร์ฟเวอร์ทดสอบแล้ว!&#10;&#10;มาพบกับการปรับโฉมซึ่งเป็นจุดโดดยอดนิยมของแผนที่ Sanhok, การปรับสมดุลอาวุธรอบใหม่, และพาหนะใหม่ &quot;จักรยานภูเขา&quot;🚲 ที่สามารถพกติดตัวไว้ใช้ในยามฉุกเฉินได้! มาลองสัมผัสเนื้อหาใหม่เหล่านี้ก่อนถูกอัปเดตเข้าสู่เซิ"/>
        <s v="⚔ นักบู๊ตัวสุดโหด ที่เหล่าศัตรูต่อกรและเอาชีวิตรอดจากเขี้ยวคมขวานได้ยากที่สุด พบกับ Executioner ใน Halloween Battle Royale เร็วๆ นี้ที่ PUBG: BATTLEGROUNDS เท่านั้น&#10;&#10;🔔 กดติดตามช่องทางเพิ่มเติมได้ที่:&#10;🎥 YouTube http://bit.ly/2P5IbzQ&#10;🎥 PLAYERUNKNOWN'S BA"/>
        <s v="🏆ตารางแข่ง FREE FIRE ASIA CHAMPIONSHIP🏆&#10;&#10;ในรอบ Play-ins🔥&#10;อันดับ 1-2  และอันดับ 3 ที่ดีที่สุดจากทั้ง 2 กลุ่มจะผ่านเข้าสู่รอบ FINALS &#10;&#10;รอรับชมและให้กำลังใจพร้อมกัน&#10;📌รอบ PLAY-INS : วันที่ 20 - 21 พ.ย. 2564  เวลา 17.00 น. &#10;📌รอบ FINAL : วันที่ 28 พ.ย. 256"/>
        <s v="🎊เริ่มขึ้นแล้วกับกิจกรรมแบล็คฟรายเดย์สุดเซอร์ไพรส์!🎊&#10;&#10;ตั้งแต่วันนี้ไปจนถึงวันที่ 29 พฤศจิกายน 2021 เราได้เตรียมสินค้าราคาพิเศษที่จะถูกวางจำหน่ายที่ร้านค้าในเกมในราคาเพียง 1 BP!  โดยสินค้าพิเศษเหล่านี้จะเปลี่ยนไปในทุกๆ วัน ดังนั้นอย่าลืมเข้าเกมมาใช้สิทธิ"/>
        <s v="Highlight โปรลีก - Top5 Sniper Plays&#10;&#10;'' รวมช็อตเด็ด Top5 Sniper Plays ''&#10;📺 ช่องทางการติดตาม&#10;EA.KAPOM69 : ทีปกร สารภาพ&#10;EVOS.MOSHI : Moshiyuriz&#10;JL.PETCHEIEI : Ei Ei&#10;KOG.NAYPHAN : Nayphan MG&#10;BWC.PETER : Thanaphat Kladsuawn&#10;•••••••••••••••••••••••••••&#10;ติดตา"/>
        <s v="จะสายเมะ (๑⚈_⚈๑) สายมีม ( ° ʖ °) หรือสายคิ้ว (っ˘ω˘ς ) สายไหนก็ได้หมด ❗️&#10;&#10;#มีการันตีด้วยนะ&#10;&#10;Ice Wall ใหม่น่ารักค่ดๆ 💕 เริ่มต้นเพียง 20 บ. ฉูดฉาดขนาดนี้ หาได้ที่ดีแทคเท่านั้น ✨&#10;แถมเล่น Free Fire รัวๆ ไม่เสียเน็ต 💥&#10;&#10;อย่าช้า ถึง 15 ธ.ค.นี้เท่านั้น กดซื้อเลย"/>
        <s v="สกินปืนแบบอัปเกรดได้ใหม่ล่าสุด รับเทศกาลฮัลโลวีน 👻Trick-or-Treat M416 ที่อัปเกรดตกแต่งจัดเต็มได้ต๊าชถึง 10 ระดับ แฟนๆ พับจีและทาสแมวทุกคนห้ามพลาด! 6 ตุลาคมนี้เป็นต้นไป ในกล่องคอนทราแบนด์ (Contraband Crate)&#10;&#10;🔔 กดติดตามช่องทางเพิ่มเติมได้ที่:&#10;🎥 YouTube h"/>
        <s v="🏆 PUBG Global Championship 2021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&#10;&#10;#PUBG #ESPORTS #PGC2021 #พับจีชิงแชมป์โลก&#10;#เชียร์ไทยไปชิงแชมป์โลก&#10;&#10;🔔 กดติดตามคว"/>
        <s v="[VDO] เปิดคลังแสง ELITE PASS SEASON 42&#10;INFERNO RAGE ตระกลูมังกรทมิฬ 🐉&#10;เผาผลาญทุกสิ่งให้พินาศสิ้น &#10;เพื่อขึ้นมาปกครองผืนแผนดินนี้อีกครั้ง 💥&#10;&#10;ELITE PASS แห่งความแข็งแกร่งและดุดัน 🔥&#10;&#10;⏳ ระยะเวลากิจกรรม Pre-order&#10;ตั้งแต่วันที่ 29 ตุลาคม 2564 เวลา 00.01 น.&#10;ถึ"/>
        <s v="⚠โปรดทราบ⚠&#10;&#10;ในวันที่ 6 ตุลาคม 2021 ตั้งแต่เวลา 7:30 น. เป็นต้นไป&#10;จะมีการปิดบำรุงรักษาเซิร์ฟเวอร์ และทำการอัปเดตตัวเกมเป็นอัปเดต 14.1&#10;โดยคาดว่าจะใช้เวลาในดำเนินการประมาณ 8 ชั่วโมง&#10;&#10;ในระหว่างที่เราดำเนินการปรับปรุงอยู่ ผู้เล่นจะไม่สามารถล็อคอินเข้าสู่ตัวเกม"/>
        <s v="เปิดตัว พส แห่งความมืดของเกมพับจีในโหมดศึกฮัลโลวีน อาชีพนักบวชที่จะช่วยฮีลรักษาเพื่อนร่วมทีม, ดีบัฟทำลายสภาพเหล่าศัตรูให้อ่อนแอที่ Halloween Battle Royale เร็วๆ นี้ที่ PUBG: BATTLEGROUNDS เท่านั้น&#10;&#10;🔔 กดติดตามช่องทางเพิ่มเติมได้ที่:&#10;🎥 YouTube http://bit."/>
        <s v="⚠โปรดทราบ⚠&#10;ในวันที่ 1 ธันวาคม 2021 ตั้งแต่เวลา 7:30 น. จะมีการปิดบำรุงรักษาเซิร์ฟเวอร์&#10;และทำการอัปเดตตัวเกมเป็นอัปเดต 15.1 ซึ่งเราคาดว่าจะใช้เวลาในดำเนินการประมาณ 8 ชั่วโมง&#10;&#10;ในระหว่างที่เราดำเนินการปรับปรุงเซิร์ฟเวอร์ ผู้เล่นจะไม่สามารถล็อคอินเข้าสู่ตัวเก"/>
        <s v="🏆 2 วันสุดท้าย Nitro Gaming Night : PUBG  💥แข่งคัดเลือกยาวไปถึงชิงแชมป์ครบจบในวันเดียว! สมัครด่วน! กดได้ที่ลิงก์ด้านล่างนี้เลย&#10;🔗https://p9.gg/Nitro_PUBGA&#10;🔗https://p9.gg/Nitro_PUBGB&#10;🔗https://p9.gg/Nitro_PUBGC&#10;🔗https://p9.gg/Nitro_PUBGD  &#10;&#10;#สอบถามรายล"/>
        <s v="⚠โปรดทราบ⚠&#10;ในวันที่ 3 พฤศจิกายน 2021 ตั้งแต่เวลา 7:30 น. จะมีการปิดบำรุงรักษาเซิร์ฟเวอร์&#10;และทำการอัปเดตตัวเกมเป็นอัปเดต 14.2 ซึ่งเราคาดว่าจะใช้เวลาในดำเนินการประมาณ 8 ชั่วโมง&#10;&#10;ในระหว่างที่เราดำเนินการปรับปรุงเซิร์ฟเวอร์ ผู้เล่นจะไม่สามารถล็อคอินเข้าสู่ตัว"/>
        <s v="[รายการ] Pro League Talk&#10;รายการที่จะทำให้คุณ รู้ลึก‼ รู้จริง‼ ทันเหตุการณ์‼&#10;FREE FIRE PRO LEAGUE SEASON 5 Presented by dtac&#10;&#10;รอบ PLAY-INS มันเป็นยังไง?&#10;&#10;ดำเนินรายการโดย นักวิเคราะห์ และ MC ขาประจำ &#10;LOOKPEEMEK และ YUKIDEKYOU&#10;•••••••••••••••••••••••••••&#10;ติด"/>
        <s v="ถึงเวลาแฟน ๆ เวน่อมต้องว๊าว 💕&#10;เข้าร่วมกิจกรรมใหม่ ทำภารกิจรายวัน 💥&#10;สะสมโทเคนให้ครบ เพื่อแลกรับไอเทมสุดแรร์ ✨&#10;จากความร่วมมือระดับโลก 🌎 ของ&#10;Free Fire x Venom: Let There Be Carnage&#10;&#10;เล่น 3 เกม รับ โทเคน&#10;คิล 5 คิล รับ โทเคน&#10;เล่นครบ 60 นาที รับ โทเคน&#10;เล่นกั"/>
        <s v="[VDO] PHXF.THE CRUZ บทพิสูจน์ตน | Garena Free Fire&#10;EVOS PHOENIX FORCE THE CRUZ กับบทพิสูจน์ตน &#10;กว่าจะมาเป็นผู้เล่นมากฝีมือและแชมป์โลก ต้องฝ่าฟันอุสรรคมากมาย&#10;และอะไรคือสิ่งที่ทำให้เขามีวันนี้ได้&#10; &#10;------------------------------&#10; &#10;รอรับชมการแข่งขันพร้อมกัน&#10;"/>
        <s v="🏆FREE FIRE ASIA CHAMPIONSHIP รอบ PLAY-INS 🎯&#10;ทั้ง 24 ทีม แบ่งออกเป็น  Group A และ Group B&#10;&#10;🔥ในรอบ Play-ins&#10;อันดับ 1-2  และอันดับ 3 ที่ดีที่สุดจากทั้ง 2 กลุ่มจะผ่านเข้าสู่รอบ FINALS 🏆&#10;&#10;รอรับชมและให้กำลังใจพร้อมกัน&#10;📌รอบ PLAY-INS : วันที่ 20 - 21 พ.ย. 25"/>
        <s v="สวัสดีทุกคน!&#10;&#10;หลังจากที่ในปี 2021 นี้ได้มีการนำเสนอการทดลองต่างๆ หลากหลายชนิดใน PUBG LABS ให้ผู้เล่นได้พบกับการเล่นรูปแบบใหม่ๆ ที่แตกต่างไปจากการเล่นแบบเดิม เราอยากรู้ว่าในการทดลองที่ผ่านมาของปี 2021 นั้น เพื่อนๆ ชื่อชอบการทดลองแบบใดมากที่สุด? เพื่อใช้เป็"/>
        <s v="ไอซ์วอลใหม่ น่ารักแบบคิมิโนโตะ（˶′◡‵˶）&#10;&#10;กลับมาใหม่ในราคา 11 บาท!&#10;&#10;น่ารักทั้งลาย น่ารักทั้งราคา เริ่มต้นเพียง 11 บ. รับทันทีกล่อง dtac มีสิทธิ์รับไอซ์วอล Pinky Kitten&#10;&#10;แถมเล่น Free Fire ฟรี ไม่เสียเน็ต&#10;&#10;ลูกค้าดีแทคซื้อเลยกด *156*011# แล้วโทรออก&#10;&#10;อย่าช้า ถึง"/>
        <s v="โลกคู่ขนานด้านมืดของทีมนักล่ามังกรใน Fantasy Battle Royale ที่เกิดขึ้นในเมษายนปี 2020 จนถึงตุลาคมปีนี้ 2021 แฟนๆ เกมพับจีทุกคนเตรียมสนุกมันส์รับเทศกาลฮัลโลวีนด้วยโหมดใหม่แหวกแนวอย่าง Halloween Battle Royale เร็วๆ นี้ แน่นอน!👻👻👻👻&#10;&#10;🔔 กดติดตามช่องทางเพิ"/>
        <s v="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ิมได้ที่ ▶▶ https://bit.ly/PCS5PickemTH&#10;#PUBG #ESPORTS #PCS5&#10;▬▬▬▬▬▬▬▬▬▬▬▬▬▬▬&#10;🗓#วันที่"/>
        <s v="Pre-order : Elite Pass EP.43&#10;PALACE OF POKER 🃏&#10;เหล่ากองทัพจากจักรวรรดิเมืองแห่งไพ่ &#10;วายร้ายที่จะเข้ามาปกครองทุก ๆ สิ่ง 💥&#10;&#10;✨ พรีออเดอร์สิทธิ์ขั้นสูงตอนนี้&#10;รับไปเลย แพ็ค หัวใจอัญมณี&#10;และไอเทม 50 ขั้นทันที ไม่ต้องทำภารกิจ&#10;&#10;⏳ ระยะเวลากิจกรรม Pre-order&#10;ตั้งแต"/>
        <s v="🔥ต้อนรับ #FFPL5 รอบ Grand Final เล่น!! ครบ!! จบ!! แจก!!&#10;เพียงแค่ล็อกอินทุกวัน ตอบคำถามให้ถูก และทำภารกิจให้ครบ&#10;รับไอเทม ฟรี!! ไปเลย เตรียมตัวกันให้พร้อม&#10;18-26 ต.ค. นี้ เป็นต้นไป&#10;&#10;🎬 Free Fire Pro League Season 5 รอบ Grand Final&#10;⏳วันเสาร์ที่ 23 ตุลาคม 256"/>
        <s v="แบกมาให้ดู 🔎เจาะลึกอัปเดต 14.1🔎 เปิดแล้วมีอะไรใหม่บ้าง? ระบบใหม่, ปรับปรุงแผนที่ใหม่, Ranked Mode ฤดูกาลใหม่, สกินปืนใหม่, บรรยากาศใหม่ๆ รับเทศกาลฮัลโลวีน👻 และของใหม่อื่นๆ ที่น่ารู้ แอดมัดรวมและแบกมาให้เพื่อนๆ เกม PUBG: BATTLEGROUNDS ทุกคนไว้ที่นี่แล้ว"/>
        <s v="นี่มัน! จักรยานน่ะหรือมิตร? เปิดตัวพาหนะใหม่ใน PUBG Universe ที่ไม่ใช่ metaverse เป็นพาหนะตัวแรกของเกมพับจีที่ไม่ใช้เชื้อเพลิง ที่มีข้อดีคือพับเก็บพกพาติดตัวไปกางใช้เมื่อไหร่ก็ได้ เดินทางได้ค่อนข้างเงียบเพราะไม่มีเครื่องยนต์ รวมถึงตัวจักรยานและยางจะไม่สาม"/>
        <s v="ใช่...คุณนั่นแหละ ที่มีจิตวิญญาณของซามูไร 🔥&#10;และคู่ควรกับคาตานะในตำนานเล่มนี้ ✨&#10;&#10;ได้เวลาครอบครอง ICE FEATHER KATANA ฟ้าฝ่าเวหา ⚡️&#10;แค่ซื้อโปรเสริมดีแทคฟรีไฟร์ เริ่มต้นเพียง 11 บาท&#10;มีสิทธิ์รับโทเคนเพื่อแลกรับสกินคาตานะ ICE FEATHER KATANA ❄️ ถาวร&#10;แบบการันตี "/>
        <s v="🎉เซิฟเปิดพร้อมลุยแล้วอัปเดตใหม่ล่าสุด 14.2 ปืนครก MORTAR, ปืนยิงลูกระเบิด M79, สิ่งมีชีวิตน้องไก่, ระบบว่ายน้ำระหว่างน็อค, เมนูอีสปอร์ตรับ PGC และอื่นๆ รอเพื่อนๆ พับจีอีกเพียบ กดอัปเดตเข้าเกมไปโดดไปลุยกันได้เลย!! 🪂🪂🪂🪂&#10;&#10;ดูรายละเอียดแพทช์ 14.2 แบบเต็มๆ"/>
        <s v="จ่าย 1 ได้รับถึง 2 เท่า!! กับกิจกรรมโปรโมชั่นสุดพิเศษ BLACK FRIDAY เมื่อเติม G-Coin เกมพับจีวันนี้ 11.11 ถึง 8 ธันวาคมนี้เท่านั้น รับ G-Coin เพิ่มอีกเท่าตัว เพื่อนๆ พับจีคนไหนเล็งไอเทมอะไรไว้ หรือจะตุนไว้ให้ไอเทมใหม่ๆ ถึงเวลาต้องเปย์แล้ว! พลาดไม่ได้!!&#10;&#10;⭐ห"/>
        <s v="รับชมตัวอย่างเต็มพร้อมกัน 14 ต.ค. นี้ 19:00 น. เป็นต้นไป&#10;Free Fire Pro League SS5 Grand Final&#10;มีเพียงทีมเดียวเท่านั้นที่จะได้เข้ามาชิงเงินรางวัลกว่า 5,000,000 บาท&#10;&#10;🎬 Free Fire Pro League Season 5 Presented by dtac&#10;🔴 Youtube : Garena Free Fire Thailand&#10;�"/>
        <s v="💞💁‍♀️ รวมทีมสุดคิ้วท์น้องมุก&amp;เฌอแตม + มือโปรพับจี แข่งเกม!! ในรายการ PUBG Battle Girls EP.5 !&#10;&#10;ช่องทางติดตาม สาวๆใน PUBG Battle Girls&#10;Mook : https://www.instagram.com/mooktiikaikanomjeenah/&#10;Jetaime : https://www.instagram.com/jetaime_triya/&#10;&#10;ห้ามพลาด เช"/>
        <s v="สองปืนใหม่ MORTAR และ M79 รวมถึงระบบใหม่ล่าสุดที่จะช่วยให้คนน็อคในน้ำรอดชีวิตไม่เป็นกล่องได้!! ลองของใหม่ได้ก่อนใครที่เทสเซิร์ฟเวอร์แล้วตอนนี้! กับแพทช์อัปเดต 14.2 พร้อมการปรับปรุงใหม่อื่นๆ จะมีอะไรที่น่าสนใจอีกบ้าง? ไปดูกันเลย! 🪂&#10;&#10;ดูรายละเอียดแพทช์ 14.2"/>
        <s v="Logitech G Tournament Winter Season จบไปอย่างสุดมันส์ตั้งแต่เกมแรกจนเกมสุดท้าย  🏆ขอแสดงความยินดีกับ ให้กับ&#10;.&#10;🥇Champion  ทีม THEERATHON FIVE  รับเงินรางวัล 40,000 บาท &#10;🥈1st Runner-up : ทีม The Infinity Esport รับเงินรางวัล 20,000 บาท &#10;🥉2nd Runner-up : "/>
        <s v="มายลโฉมของรางวัลพิเศษสำหรับผู้เล่นในปัจจุบันเพื่อเป็นการขอบคุณสำหรับการสนับสนุนเรา โดยของรางวัลเหล่านี้จะถูกมอบให้กับผู้เล่นที่ทำการซื้อเกม PUBG ก่อนที่จะมีการเปลี่ยนรูปแบบการให้บริการเป็นการเปิดให้เล่นฟรีในวันที่ 12 มกราคม 2022!&#10;&#10;นอกจากสกินแบบพิเศษแล้ว ผ"/>
        <s v="ระบบใหม่ล่าสุดในอัปเดต 14.2 ที่จะช่วยให้เพื่อนๆ เกมพับจีสายลงเรือลุยน้ำปาดเจ็ทสกี หากโดนสอยร่วงกลางน้ำยังน็อคไม่เป็นกล่องในทันทีเหมือนก่อนหน้า และยังดำว่ายเอาชีวิตรอดในน้ำได้ หรือเรียกว่า DBNO Swimming นั่นเอง ใครลองสัมผัสแล้วเป็นไง มาเล่าสู่กันฟังหน่อย �"/>
        <s v="🎥 ไฮไลท์แข่งพับจี ช็อตเด็ด PCS5 จากทั่วโลก #16 | PUBG Esports Moments&#10;&#10;🔥🔥  ไฮไลท์ศึก 𝐏𝐂𝐒𝟓 ส่งท้าย แล้วเจอกันศึกชิงแชมป์โลก 19 พ.ย.นี้ มาเชียร์ 2 ทีมไทยกัน!&#10;&#10;🇹🇭 #2ทีมที่ได้เป็นตัวแทนประเทศไทย ลุย PGC2021 🇹🇭&#10;▪Buriram United Esports&#10;▪Attack All Ar"/>
        <s v="THE CRUZ แห่งทีม EVOS PHOENIX FORCE กับบทพิสูจน์ตน &#10;เตรียมพบกับวิดีโอที่จะมาบอกเล่าถึงเรื่องราวของเขา&#10;ที่กว่าจะมาเป็นผู้เล่นประสบความสำเร็จได้ ต้องผ่านอะไรมาบ้าง&#10;&#10;วันที่ 19 พฤศจิกายน 2564 &#10;รอรับชมบนทุกช่องทาง&#10;📍 Garena Free Fire Thailand&#10;📍 Free Fire Espo"/>
        <s v="น่ารักไม่ไหว! สกินใหม่ล่าสุดที่ KAKAO FRIENDS จับมือกับเกม PUBG: BATTLEGROUNDS ร่วมสร้างชุดคอสตูมสุดคิ้วท์ให้แฟนๆ พับจีทุกคนโดดร่มลงไปปาร์ตี้ส่งท้ายปี 2021 กับเหล่าแก็งค์คาเคา เฟรนส์ไม่ว่าจะเป็น เซ็ตไรอัน RYAN, เซ็ตเอพีช APEACH, เซ็ตทูป TUBE, และเซ็ตนีโอ "/>
        <s v="❄️PUBG LABS กลับมาอีกครั้งเพื่อมาเพิ่มสีสันให้กับฤดูหนาวปีนี้!❄️&#10;&#10;ในการทดลองครั้งใหม่นี้เราขอนำการทดลองสุดแหวกแนวมาให้ผู้เล่นทุกคนได้สัมผัสกับ 🏁Winter Race🏁 ที่จะให้ผู้เข้าร่วมการทดลองมาประลองความเร็วในการแข่งรถบนสนามแข่งรูปแบบใหม่ที่แผนที่ Vikendi พร้อ"/>
        <s v="สกินใหม่สุดต๊าชโดนใจวัยรุ่นสายสตรีทแน่นอน!! กับการร่วมมือ Collaboration ระหว่างเกม PUBG และแบรนด์เสื้อผ้าฮิปฮอปจากประเทศสหรัฐอเมริกาอย่าง FRESH HOODS ที่วางจำหน่ายให้เพื่อนๆ พับจีทุกคนมิกซ์แอนด์แมตช์แต่งตัวโดดร่มได้ให้ครบแล้ววันนี้! และอย่าลืมเก็บ 2 ตัวฟร"/>
        <s v="🎆Your Shop ร้านค้าของคุณ กำลังจะรีเซ็ตแล้ว!🎆 ถ้าใครยังไม่เคยเข้าเมนูนี้เลยต้องเข้าก่อนรีรอบใหม่!! และถ้าดองไว้จะซื้อภายหลังยิ่งต้องรีบหวด!! ในร้านค้าไอเทมราคาสุดพิเศษที่มีไว้สำหรับคุณโดยเฉพาะ! หากเปิดได้ไอเทมที่ถูกจิต ราคาที่โดนใจก็ต้องไม่พลาด เพราะไอเท"/>
        <s v="🔥กิจกรรม เล่น!! ครบ!! จบ!! แจก!! เปิดให้เล่นแล้ว🔥&#10;เพียงแค่ล็อกอิน ตอบคำถามให้ถูก และทำภารกิจให้ครบ&#10;รับไอเทม ฟรี!! ไปเลย เตรียมตัวกันให้พร้อม&#10;18-26 ต.ค. นี้ เป็นต้นไป&#10;&#10;วิธีการเล่น : https://www.facebook.com/FreeFireEsportsTH/photos/406060191023811&#10;&#10;🎬 Fr"/>
        <s v="🏆 𝐏𝐔𝐁𝐆 𝐆𝐥𝐨𝐛𝐚𝐥 𝐂𝐡𝐚𝐦𝐩𝐢𝐨𝐧𝐬𝐡𝐢𝐩 𝟐𝟎𝟐𝟏 การแข่งขันพับจีชิงแชมป์โลกสุดยิ่งใหญ่ส่งท้ายปี 2021 🌏 พบ 32 ทีมที่ดีที่สุดจากทั่วทุกมุมโลก โดดร่มไฝ้วสมรภูมเดือดเต็มอิ่ม 1 เดือน สดจากเกาหลี🇰🇷 เริ่ม 19 พ.ย. - 19 ธ.ค.นี้  อัปเดตรายละเอียดของทีม"/>
        <s v="&quot;🔴Live สด! PCS5 ASIA สัปดาห์ที่ 3 วันที่ 1 l 🏆ทีมทีมไหนจะได้ไปเจอไทยที่ชิงแชมป์โลก!&#10;🔥 ปังจัด! สกินสุดเฉียบ เปิดขายเฉพาะช่วง PCS5 ซื้อแล้วได้รับตั๋วเอาไปทายผล PICK'EM Challenge ได้อีก บอกเลยว่าคุ้มในคุ้ม 👨‍💼 ดูรายละเอียด PCS5 Pick'Em Challenge เพิ่มเต"/>
        <s v="🏆 สรุปอันดับและเงินรางวัลทั้ง 32 ทีม ในเวทีชิงแชมป์โลก 𝐏𝐔𝐁𝐆 𝐆𝐥𝐨𝐛𝐚𝐥 𝐂𝐡𝐚𝐦𝐩𝐢𝐨𝐧𝐬𝐡𝐢𝐩 𝟐𝟎𝟐𝟏 &#10;&#10;.&#10;#PUBG #ESPORTS #PGC2021 #พับจีชิงแชมป์โลก&#10;#เชียร์ไทยไปชิงแชมป์โลก #BRU #AAA&#10;.&#10;🔔 กดติดตามความเคลื่อนไหวเกม PUBG ได้ที่:&#10;🎥 YouTube http://b"/>
        <s v="🎉เปิดให้&quot;แบก&quot;แล้ว กับอัปเดตใหม่ล่าสุด 14.1 ระบบใหม่ล่าสุด &quot;เดอะแบก&quot; แบกได้ทั้งเพื่อนและศัตรู, การปรับปรุง Pochinki ใน Erangel, พร้อมของใหม่และปรับปรุงแผนที่ Taego และพลาดไม่ได้กับสกินปืนอัปเกรดได้ Trick-or-Treat M416 รับเทศกาลฮัลโลวีน กดอัปเดตเข้าเกมพับจ"/>
        <s v="‼🎁 ประกาศรายชื่อผู้โชคดีจากการตอบคำถามผ่านช่องแชทในไลฟ์ถ่ายทอดสด PCS5 APAC&#10;สัปดาห์ที่ 3&#10;&#10;#วิธีการรายงานตัว&#10;- ผู้โชคดีต้องพิมพ์ &quot;รายงานตัวผู้ได้รับรางวัล&quot; ที่คอมเม็นต์ไต้โพสนี้&#10;- Inbox หาทีมงานเพื่อยืนยันตัวและยืนยันที่อยู่ในการรับของรางวัล&#10;- ผู้โชคดีจะต้"/>
        <s v="👻Trick-or-Treat M416!!👻 สกินปืนอัปเกรดได้แบบใหม่ล่าสุด ของปืนกลไรเฟิลยอดนิยมของชาวพับจี ที่สามารถเปิดกล่อง&quot;คอนทราแบนด์&quot; (Contraband Crate) ในเมนู &quot;ที่ซ่อน&quot; หรือ &quot;Hideout&quot; ได้ เพื่อลุ้นปืนต้นแบบและอัปเกรดแต่งเติมจัดเต็มได้สูงสุดถึง 10 เลเวล เพื่อนๆ PUBG "/>
        <s v="👻สกินไอเทมเซ็ตใหม่ล่าสุด รับโหมดฮัลโลวีนสุดต๊าช Halloween Battle Royale ที่จะทำให้เพื่อนๆ เกมพับจีสวมใส่ชุดเหล่านักรบ HBR อย่าง นักรบ Executioner,  นักล่า Ranger, นักเวทย์ Pyromancer, นักบวช Cleric รวมถึงสกินไอเทมอาวุธ Crossbow, M249 และ S686 ลงสู่สนามรบ"/>
        <s v="🏆🇹🇭 รายละเอียดการแข่งพับจีชิงแชมป์โลก 𝐏𝐔𝐁𝐆 𝐆𝐥𝐨𝐛𝐚𝐥 𝐂𝐡𝐚𝐦𝐩𝐢𝐨𝐧𝐬𝐡𝐢𝐩 𝟐𝟎𝟐𝟏  เงินรางวัลรวมกว่า 60 ล้านบาท ‼ อ่านได้ที่นี่เลยสาวก ➡➡  https://bit.ly/PGCFormatTH &#10;&#10;🏆 ห้ามพลาด เชียร์ตัวแทนทีมไทย🇹🇭🇹🇭ลุยชิงแชมป์โลก 🇹🇭Buriram United "/>
        <s v="🎥ไฮไลท์จัดเต็มการแข่งขัน รอบ 𝗚𝗿𝗮𝗻𝗱 𝗙𝗶𝗻𝗮𝗹 ทั้ง 3 วัน ในเวทีชิงแชมป์โลก 𝐏𝐔𝐁𝐆 𝐆𝐥𝐨𝐛𝐚𝐥 𝐂𝐡𝐚𝐦𝐩𝐢𝐨𝐧𝐬𝐡𝐢𝐩 𝟐𝟎𝟐𝟏&#10;.&#10;#PUBG #ESPORTS #PGC2021 #พับจีชิงแชมป์โลก&#10;#เชียร์ไทยไปชิงแชมป์โลก #BRU #AAA&#10;.&#10;🔔 กดติดตามความเคลื่อนไหวเกม PUBG ได้ท"/>
        <s v="🎉 ขอแสดงความยินดีกับทีมจากประเทศออสเตรเลีย &#10;🏆 FURY Thailand  🏆 แชมป์รายการ AOC MASTERS TOURNAMENT 2021 🪂🔥 &#10;💎 และรองแชมป์อย่าง MiTH  จากประเทศไทย บอกเลยว่าเดือดลุ้นกันจนถึงหยดสุดท้ายกันเลย&#10;Get your Squad ready, Battlefield is on fire 🔥&#10;-------------"/>
        <s v="[#FFPLSS5] เตรียมตัวให้พร้อม!&#10;ของรางวัลยอดคนดูครบตามกำหนดรอคุณอยู่!!&#10; &#10;https://youtu.be/BvFQHgJWs04&#10; &#10;รับชมพร้อมกันครบรับไอเทมฟรีไปเลย&#10;🔒ขั้นที่ 1 คนดูพร้อมกันครบ 100,000 คน รับไปเลย ตั๋วไดมอนด์รอยัล 3 ใบ (มูลค่า 180 เพชร เป็นเงิน 67 บาท )&#10;🔒ขั้นที่ 2 คนด"/>
        <s v="วันนี้ 13:00 น. Free Fire Pro League SS5 Grand Final&#10;ศึกตัดสินเพื่อหาสุดยอดทีม Free Fire ของประเทศไทย&#10;&#10;https://youtu.be/BvFQHgJWs04&#10;&#10;รับชมพร้อมกันครบรับไอเทมฟรีไปเลย&#10;✨ขั้นที่ 1 คนดูพร้อมกันครบ 100,000 คน รับไปเลย ตั๋วไดมอนด์รอยัล 3 ใบ (มูลค่า 180 เพชร เป็"/>
        <s v="👻กุ๊ก กุ๊ก กู๋👻 ฮัลโลวีนปีนี้ เกม PUBG นอกจากจะอัปเดต 14.1 ตกแต่งโรงเรียน, โรงพยาบาล, เกาะเกิดใน Erangel และบรรยากาศของเทศกาล Halloween ไว้เรียบร้อยแล้ว เกมพับจียังมีกิจกรรมแจกไอเทมโค้ดฟรีผ่านสตรีมเมอร์พับจีไทยชื่อดังต่างๆ ทุกสัปดาห์ รวม 4 สัปดาห์ไอเทมไ"/>
        <s v="ไหนๆ ขอเสียงสายเกมเมอร์หน่อย! พบกันสินค้าคอลเล็คชันสุดพิเศษ &quot;Café Amazon x Free Fire Tumbler&quot; ✨&#10;ขวดสเตนเลสเก็บความเย็น ขนาดบรรจุ 16 ออนซ์ ลาย Limited Edition ที่มีการการนำตัวละครในเกมส์สุดฮิตของ Free Fire 🔥 มาแปลงร่างให้อยู่ในรูปของลายบนขวดสเตนเลส 💕&#10;โดย"/>
        <s v="4 โมงเย็นวันนี้ไปเฝ้าจอชมบนยูทูปพร้อมกัน!! https://youtu.be/6w4gvFSdr7U &#10;กับไฮไลท์รวมความโหด ฮา สวย น่ารัก ของ 4 สาว BLACKPINK อย่าง JISOO, JENNIE, ROSÉ, และ LISA ในการแข่งขันเกม PUBG แบบ 32 Vs 32 ระหว่างทีมจีซู Vs ทีมเจนนี่ ที่เหล่าสตรีมเมอร์พับจีและลูกท"/>
        <s v="เกมพับจีเข้าเล่นฟรี โดดร่มได้ทุกคน 12 มกราคม 2022 เป็นต้นไป ลงทะเบียนล่วงหน้ารับของรางวัลจากกิจกรรมเล่นฟรี, ชวนเพื่อน, และเช็คสไตล์การเล่นของตัวเองได้ที่ https://bit.ly/PUBG_F2P_PreRegister&#10;&#10;จดหมายจากทีมพัฒนา: เรื่องการรับมือการจัดการโปรแกรมโกงเมื่อเกมเปิ"/>
        <s v="รับชมพร้อมกันตอนนี้เลย!!! ศึกตัดสินเพื่อหาสุดยอดทีม Free Fire ของประเทศไทย &#10;Free Fire Pro League SS5 Grand Final&#10;&#10;https://youtu.be/BvFQHgJWs04&#10;&#10;รับชมพร้อมกันครบรับไอเทมฟรีไปเลย&#10;✨ขั้นที่ 1 คนดูพร้อมกันครบ 100,000 คน รับไปเลย ตั๋วไดมอนด์รอยัล 3 ใบ (มูลค่า 1"/>
        <s v="🏆 ดูแข่งชิงแชมป์โลกแล้วอยากลองโชว์สกิลบ้าง ก็มาดิค๊าบ! &#10;🤜“Logitech G Tournament PUBG Winter Season”🤛 เปิดรับสมัครพร้อมไฟว์เดือด!&#10;&#10;🎇พร้อมเดือดหัวอุ่นช่วงเดือนธันวาคมของปีนี้ พร้อมเงินรางวัลรวมกว่า 70,000 บาท และของรางวัลอื่นๆ อีกมากมาย ง้างนิ้วรอลงสมัค"/>
        <s v="💞💁‍♀️ สายฮาก็มาดิค๊าบ เมื่อน้องโม&amp;เอิร์น จับมือมือโปรพับจี แข่งเกม!! ใน PUBG Battle Girls EP.6 !&#10;&#10;ช่องทางติดตาม สาวๆใน PUBG Battle Girls&#10;Mo : https://www.instagram.com/virachaaaa/&#10;Earn : https://www.instagram.com/eaarrns/&#10;&#10;ห้ามพลาด เชียร์ตัวแทนทีมไทย🇹�"/>
        <s v="VLOG PGC EP.1 (BRU) บรรยากาศของทีม BRU ในศึก  PUBG GLOBAL CHAMPIONSHIP 2021 &#10;&#10;.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&#10;.&#10;.&#10;#PUBG #ESPORTS #PGC2"/>
        <s v="VLOG PGC EP.1 (AAA) บรรยากาศของทีม AAA ในศึก  PUBG GLOBAL CHAMPIONSHIP 2021 &#10;.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 https://bit.ly/PGCFormatTH &#10;.&#10;.&#10;#PUBG #ESPORTS #PGC20"/>
        <s v="VLOG PGC EP.2 (AAA) เกาะติดตัวแทนทีมไทย AAA ในศึก PUBG GLOBAL CHAMPIONSHIP 2021 !!&#10;.&#10;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&#10;.&#10;.&#10;#PUBG #ESPORTS #PG"/>
        <s v="VLOG PGC EP.2 (BRU) เกาะติดตัวแทนทีมไทย BRU ในศึก PUBG GLOBAL CHAMPIONSHIP 2021 !!&#10;.&#10;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&#10;.&#10;.&#10;#PUBG #ESPORTS #PG"/>
        <s v="สัมภาษณ์ 2 ตัวแทนทีมไทยในการแข่งขัน PUBG GLOBAL CHAMPIONSHIP 2021 หลังจากผ่านไปแล้ว 1 สัปดาห์  (AAA , BRU)&#10;&#10;🏆🇹🇭 รายละเอียดการแข่งพับจีชิงแชมป์โลก 𝐏𝐔𝐁𝐆 𝐆𝐥𝐨𝐛𝐚𝐥 𝐂𝐡𝐚𝐦𝐩𝐢𝐨𝐧𝐬𝐡𝐢𝐩 𝟐𝟎𝟐𝟏 อ่านได้ที่นี่เลยสาวก ➡➡ https://bit.ly/PGCFormatTH"/>
        <s v="👨‍🏫 PGC2021 PLAYBOOK ย้อนดูแผนการเล่นของ GEN.G ในเกมคว้าไก่ พร้อมวิเคราะห์แต่ละช็อท ก่อนลุย 𝗚𝗿𝗮𝗻𝗱 𝗙𝗶𝗻𝗮𝗹&#10;&#10;🗓ตารางการแข่งขันรอบ 𝗚𝗿𝗮𝗻𝗱 𝗙𝗶𝗻𝗮𝗹&#10;⭕️17/ 18 / 19 ธันวาคม (แข่งวันละ 5 / 5/ 5 แมทช์) รอบ Grand Final &#10;⭕️ เริ่มแข่งเวลา 17:00 น.&#10;&#10;🛒"/>
        <s v="รูปแบบการแข่งขันในรอบ Grand Final 🏆&#10;มีเพียงทีมเดียวเท่านั้นที่จะเป็นสุดยอดทีมใน&#10;FREE FIRE PRO LEAGUE SEASON 5&#10;&#10;รับชมได้ที่ https://youtu.be/BvFQHgJWs04&#10;&#10;🔥 วันเสาร์ที่ 23 ตุลาคม 2564 13:00 น. เป็นต้นไป&#10;&#10;✨ขั้นที่ 1 คนดูพร้อมกันครบ 100,000 คน รับไปเลย ตั๋ว"/>
        <s v="🏆 แซงได้วันสุดท้าย NewHappy ตัวแทนจากประเทศจีน🇨🇳 คว้าแชมป์โลก🏆  𝐏𝐔𝐁𝐆 𝐆𝐥𝐨𝐛𝐚𝐥 𝐂𝐡𝐚𝐦𝐩𝐢𝐨𝐧𝐬𝐡𝐢𝐩 𝟐𝟎𝟐𝟏 พร้อมเงินรางวัล $1,378,364 หรือประมาณ 45,927,088 บาทไทย  💵ไปครองได้สำเร็จ &#10;.&#10;พวกเขาสามารถเก็บคะแนน  รอบ 𝗚𝗿𝗮𝗻𝗱 𝗙𝗶𝗻𝗮𝗹 ไปถึ"/>
        <s v="VLOG PGC EP.3 (BRU) เกาะติดตัวแทนทีมไทย BRU ในศึก PUBG GLOBAL CHAMPIONSHIP 2021 !!&#10;-------------------------------------------------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"/>
        <s v="VLOG PGC EP.3 (AAA) เกาะติดตัวแทนทีมไทย AAA ในศึก PUBG GLOBAL CHAMPIONSHIP 2021 !!&#10;-------------------------------------------------&#10;🏆🇹🇭 รายละเอียดการแข่งพับจีชิงแชมป์โลก 𝐏𝐔𝐁𝐆 𝐆𝐥𝐨𝐛𝐚𝐥 𝐂𝐡𝐚𝐦𝐩𝐢𝐨𝐧𝐬𝐡𝐢𝐩 𝟐𝟎𝟐𝟏  อ่านได้ที่นี่เลยสาวก ➡➡ "/>
        <s v="🎉 ขอแสดงความยินดีกับทีม eArena ที่สามารถคว้าแชมป์ 🥇 และ ทีม MiTH 💎 ที่สามารถฝ่าสมรภูมิรบคว้าตำแหน่งตัวแทนประเทศไทยเข้าไปแข่งขันรอบ Regional Finals ในรายการ🏆 AOC MASTERS TOURNAMENT 2021 🏆&#10;&#10;🪂 ระเบิดศึกแห่งศักดิ์ศรี ร่วมส่งแรงเชียร์ให้กับทั้ง 2 ทีมตัวแ"/>
        <s v="อันดับและเงินรางวัลทีมไทย  🇹🇭Buriram United Esports จบอันดับที่ 22 💵พร้อมเงินรางวัล $29,865 และ 🇹🇭Attack All Around จบอันดับที่ 25 💵พร้อมเงินรางวัล $22,973  ในเวทีชิงแชมป์โลก 🏆𝐏𝐔𝐁𝐆 𝐆𝐥𝐨𝐛𝐚𝐥 𝐂𝐡𝐚𝐦𝐩𝐢𝐨𝐧𝐬𝐡𝐢𝐩 𝟐𝟎𝟐𝟏🏆 ร่วมเชียร์และต"/>
        <s v="วันนี้ 17.00 น.&#10;มาให้กำลังใจทีมตัวแทนประเทศไทยในการแข่งขัน&#10;FREE FIRE ASIA CHAMPIONSHIP รอบ GRAND FINALS&#10;🔴 Youtube : https://youtu.be/lgqnHrzlUpQ&#10;พร้อมกิจกรรมยอดผู้ชมครบรับไอเทมฟรี ยกเชิร์ฟ!!&#10;&#10;👉ยอดคนดูพร้อมกันครบ 50,000 คน &#10;✔รับตั๋วไดมอนด์รอยัล 2 ใบ และต"/>
        <s v="[Free Fire Pro League] แนะนำทีม Free Fire Pro League SS5 Grand Final&#10;มีเพียงทีมเดียวเท่านั้นที่จะได้เงินรางวัลกว่า 5,000,000 บาท&#10;&#10;🔥 วันเสาร์ที่ 23 ตุลาคม 2564 13:00 น. เป็นต้นไป&#10;✨ขั้นที่ 1 คนดูพร้อมกันครบ 100,000 คน รับไปเลย ตั๋วไดมอนด์รอยัล 3 ใบ (มูลค่า"/>
        <s v="ส่งท้ายความมันส์ Highlight สัปดาห์ที่ 3 ในการแข่งขัน 𝐏𝐔𝐁𝐆 𝐂𝐨𝐧𝐭𝐢𝐧𝐞𝐧𝐭𝐚𝐥 𝐒𝐞𝐫𝐢𝐞𝐬 𝟓 𝗔𝗣𝗔𝗖 &#10;&#10;เตรียมตัวไปลุยกันต่อกับ ศึกใหญ่ชิงแชมป์โลก PUBG Global Championship 2021 ตามเชียร์ 2 ตัวแทน 🇹🇭Buriram United Esports และ 🇹🇭Attack All Aroun"/>
        <s v="🍗 วันแรกของการแข่งขันสัปดาห์สุดท้าย Petrichor Road 🇨🇳 กลับมาทวงบัลลังก์คว้าไป 1 ไก่กับอีก 40 คิลในวันนี้ แล้วมาพบศึกตัดสินชะตาวันพรุ่งนี้ &#10;&#10;พากย์ไทยจัดเต็มความมันส์! ทุกวันเสาร์ - อาทิตย์ เวลา 17.00 น. เป็นต้นไป&#10;🗓18 - 19, 25 - 26, กันยายน และ 2 - 3 ตุ"/>
        <s v="ตัวแทนทีมไทย🇹🇭🇹🇭ลุยชิงแชมป์โลก PUBG Global Championship 2021 มาตามเชียร์ 2 ตัวแทน 🇹🇭Buriram United Esports และ 🇹🇭Attack All Around ลุยศึกใหญ่ได้ พฤศจิกายน นี้ !!!&#10;.&#10;&#10;🔴 #ดูย้อนหลังได้ที่&#10;- PUBG Official -&#10;🎥🟥 http://bit.ly/2P5IbzQ&#10;🎥🟦 PLAYERUNKN"/>
        <s v="23 ตุลานี้ แจกไอเทมยกเซิร์ฟ!!💥&#10;&#10;มีเพียงทีมเดียวเท่านั้นที่จะได้เข้ามาชิงเงินรางวัลกว่า 5,000,000 บาท&#10;รับชมถ่ายทอดสด ยอดคนดูครบเตรียมรับไอเทมยกเซิร์ฟ 💥&#10;🔥 วันเสาร์ที่ 23 ตุลาคม 2564 13:00 น. เป็นต้นไป&#10;&#10;✨ขั้นที่ 1 คนดูพร้อมกันครบ 100,000 คน รับไปเลย ตั๋วไ"/>
        <s v="🪂💥 ไฮไลท์ 5 ช็อทเด็ด ศึกชิงแชมป์โลก PGC2021 รอบ Rank Decision วันนี้มาต่อกันในรอบ Weekly Survival กินไก่ได้เข้ารอบ!&#10;&#10;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"/>
        <s v="🔥🔥 6 ทีม slot โซน APAC ได้ตั๋วไปลุยต่อ PUBG Global Championship 2021 มาตามเชียร์ 2 ตัวแทน 🇹🇭Buriram United Esports และ 🇹🇭Attack All Around ลุยศึกใหญ่ได้ พฤศจิกายน นี้ ไปพร้อมกัน  !!!&#10;.&#10;🔴 #รับชมย้อนหลังได้ที่&#10;- PUBG Official -&#10;🎥🟥 http://bit.ly/2P5"/>
        <s v="[Countdown⏳]พรุ่งนี้แล้ว Free Fire Pro League SS5 Grand Final&#10;ศึกตัดสินเพื่อหาสุดยอดทีม Free Fire ของประเทศไทย&#10;&#10;https://youtu.be/BvFQHgJWs04&#10;&#10;🔥 วันเสาร์ที่ 23 ตุลาคม 2564 13:00 น. เป็นต้นไป&#10;✨ขั้นที่ 1 คนดูพร้อมกันครบ 100,000 คน รับไปเลย ตั๋วไดมอนด์รอยัล "/>
        <s v="ยินดีกับ BN United ตัวแทนจากประเทศเวียดนาม 🇻🇳 คว้าแชมป์ 𝐏𝐔𝐁𝐆 𝐂𝐨𝐧𝐭𝐢𝐧𝐞𝐧𝐭𝐚𝐥 𝐒𝐞𝐫𝐢𝐞𝐬 𝟓 𝗔𝗣𝗔𝗖  รับเงินรางวัลไปถึง  41,000 USD พร้อมตั๋วไปลุยต่อ PGC 2021 ได้สำเร็จ !!!&#10;.&#10;&#10;🔴 #ดูย้อนหลังได้ที่&#10;- PUBG Official -&#10;🎥🟥 http://bit.ly/2P5Ibz"/>
        <s v="[Countdown⏳]อีก ️3️⃣ วันเท่านั้น&#10;Free Fire Pro League SS5 Grand Final&#10;ศึกตัดสินเพื่อหาสุดยอดทีม Free Fire ของประเทศไทย&#10;&#10;https://youtu.be/BvFQHgJWs04&#10;&#10;🔥 วันเสาร์ที่ 23 ตุลาคม 2564 13:00 น. เป็นต้นไป&#10;✨ขั้นที่ 1 คนดูพร้อมกันครบ 100,000 คน รับไปเลย ตั๋วไดมอน"/>
        <s v="สวัสดีผู้รอดชีวิตทุกคน&#10;&#10;ในขณะที่เรากำลังจะก้าวเข้าสู่ปี 2022 เราอยากขอเวลาซักครู่เพื่อขอขอบคุณทุกท่านสำหรับปีที่ยอดเยี่ยมปีนี้&#10;โดยในปี 2021 มีการเปลี่ยนแปลงหลายสิ่งเกิดขึ้นใน PUBG : Battlegrounds &#10;ทั้งการเปิดแผนที่สนามรบใหม่ที่ออกแบบในธีมเกาหลีขนาด 8X8 กม"/>
        <s v="สวัสดีผู้รอดชีวิตทุกท่าน&#10;&#10;เพื่อความเป็นธรรมในการเล่นเกมของผู้เล่นทุกคน การกระทำเหล่านี้อาจทำให้ท่านถูกแบนได้:&#10;&#10;1.ใช้โปรแกรมปรับแต่งหรือโปรแกรมที่ไม่ได้รับอนุญาตกับตัวเกม&#10;2.ใช้เครื่องมือที่ไม่ได้รับอนุญาตที่มีผลกับตัวเกม Free Fire&#10;3.ใช้โปรแกรมที่ไม่ถูกรับร"/>
        <s v="เซิฟเปิด! โหมดใหม่ก็เปิด!! หากเพื่อนๆ ชาวพับจีคนไหนเคยสัมผัสโหมดใหม่ฮาแหวกแนวสุดต๊าชอย่าง Fantasy Battle Royale ในปีก่อนแล้วละก็ ปีนี้ต้องไม่พลาดกับโหมดใหม่รับฮัลโลวีน Halloween Battle Royale ที่ Erangel ถูกความมืดและคำสาปมังกรครอบงำ เพื่อนๆ สามารถเลือกเล"/>
        <s v="ข้อเสนอสุดพิเศษรับเทศกาล BLACK FRIDAY สำหรับเพื่อนๆ สายเปย์เกม PUBG เมื่อเติม G-Coin รับเพิ่มอีก 2 เท่า เริ่มวันนี้ 11.11 ถึง 8 ธันวาคมนี้เท่านั้น สายเปย์ห้ามพลาด!!&#10;&#10;⭐หมายเหตุ: ใช้สิทธิ์ได้เพียง 1 ครั้งต่อ 1 บัญชี / แพ็คเท่านั้น⭐&#10;PC&#10;🪙ซื้อ 500 G-Coin + โบ"/>
        <s v="[เตรียมทีมให้พร้อม] ถ้าอยากซ้อมกับทีมตัวแทนประเทศไทย&#10;ทีมรับเชิญในสัปดาห์นี้มาพบกับ SYZYGY และ  KING OF GAMERS CLUB&#10;2 ทีมตัวแทนประเทศไทย จากกลุ่ม A รอบ PLAY-INS ในการแข่งขัน FFAC&#10;&#10;รวมทีมของคุณให้พร้อม แล้วมาโดดร่มลงสนามซ้อมตามล่ารางวัล&#10;มูลค่ารวมกว่า 20,000"/>
        <s v="สนามแข่งพร้อม!! นักกีฬาพร้อม!! คุณล่ะพร้อมหรือยัง!!!&#10;Free Fire Pro League Season 5 รอบ Grand Final&#10;ศึกตัดสินเพื่อหาสุดยอดทีม Free Fire ของประเทศไทย&#10;&#10;รับชมได้ที่&#10;https://youtu.be/BvFQHgJWs04&#10;&#10;รับชมพร้อมกันครบรับไอเทมฟรีไปเลย&#10;✨ขั้นที่ 1 คนดูพร้อมกันครบ 100,"/>
        <s v="📣ย้ำเตือนกันอีกครั้งกับ โปรโมชั่นสุดพิเศษรับเทศกาล BLACK FRIDAY เมื่อเติม G-Coin รับเพิ่มอีก 2 เท่า ใครยังไม่เติมห้ามพลาด! สิ้นสุด 8 ธันวาคมนี้เท่านั้น!! ⭐หมายเหตุ: ใช้สิทธิ์ได้เพียง 1 ครั้งต่อ 1 บัญชี/แพ็คเท่านั้น⭐&#10;.&#10;PC&#10;🪙ซื้อ 500 G-Coin + โบนัส 520 G-C"/>
        <s v="ส่งกำลังใจ 3 ทีมตัวแทนประเทศไทยในรอบGRAND FINALS 🏆&#10;อาทิตย์ 28 พ.ย. 2564 เวลา 17.00 น.&#10;พร้อมของรางวัลจากยอดรับชมพร้อมกัน แจกยกเชิร์ฟ!!&#10;&#10;ชมถ่ายทอดสดที่ลิ้งค์นี้ : https://www.youtube.com/watch?v=lgqnHrzlUpQ&#10;&#10;✔️ยอดคนดูพร้อมกันครบ 50,000 คน &#10;👉รับตั๋วไดมอนด์"/>
        <s v="ถ่ายทอดสดสัมภาษณ์ ตัวแทนทีมไทย🇹🇭 2 ทีม  ปราสาทสายฟ้า Buriram United Esports และ Attack All Around &#10;.&#10;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นบาท สัมภาษณ์วันจันทร์ท"/>
        <s v="🔔 ผลคะแนน GROUP FINAL DAY 2 🔔&#10;พรุ่งนี้วันชี้ชะตา !! ใครจะได้เป็น 2 ทีมตัวแทนประเทศไทย 🇹🇭&#10;ไปแข่งขันต่อในรอบ Regional Finals 🪐&#10;📍 ติดตามชมการแข่งขัน เวลา 18.30 น. 🪂  โดดแรกเริ่ม 19:00 น. เป็นต้นไป&#10;📺 รับชมการถ่ายทอดสด วันที่ 7 - 9 ตุลาคม เวลา 18.30 น."/>
        <s v="📌ประกาศเลื่อน Live🔴 ถ่ายทอดสดสัมภาษณ์ ตัวแทนทีมไทย🇹🇭 2 ทีม  ปราสาทสายฟ้า Buriram United Esports และ Attack All Around ก่อนลุยการแข่งพับจีชิงแชมป์โลก 𝐏𝐔𝐁𝐆 𝐆𝐥𝐨𝐛𝐚𝐥 𝐂𝐡𝐚𝐦𝐩𝐢𝐨𝐧𝐬𝐡𝐢𝐩 รอติดตามอัพเดทได้ใหม่ที่หน้าแฟนเพจ !!!&#10;&#10;.&#10;🔔 กดติดตามช่"/>
        <s v="🏆เปิดรับสมัครลุยทัวร์สุดท้ายของปี แข่ง 25 ธันวาคมนี้ ในรายการ Nitro Gaming Night : PUBG &#10;.&#10;เปิดรับสมัครตั้งแต่วันนี้ - 22 ธ.ค. เวลา 23:45 น. &#10;⏳ เปิดรับ256 ทีม แบ่งออกเป็น 4 Tournament  (ทัวร์ฯ ละ 64 ทีม) คัดจนเหลือ 16 ทีม เพื่อไปแข่ง Grand Final Tourname"/>
        <s v="🔥🔥ลดสุดโหด ไม่เติมได้ไง🔥🔥&#10;&#10; 💎💎 โปรโมชั่น จ่าย 37.- รับเลย 200 เพชร💎 💎 💎 &#10;&#10;เมือเติม แพ็ก 37.- 2 ครั้ง รับส่วนลด 1.-/36.- ตามลำดับ&#10;&#10;.&#10;&#10;📍คลิกเพื่อซื้อคูปอง: https://weblink.shopeepay.co.th/u/ffpay37get200dmnov23fb&#10;&#10;(เปิดได้เฉพาะบนโทรศัพท์แอนดรอยด์ "/>
        <s v="🔴LIVE NOW🔴 AOC MASTERS TOURNAMENT 2021 l 🇹🇭&#10;🏆เฟ้นหาสุดยอด 2 ทีมตัวแทนจากประเทศไทยไปแข่งขันต่อใน Regional Finals!&#10;🪂 BO12 | วันละ 4 แมทช์ ⚡️ ERANGEL, MIRAMAR, ERANGEL, MIRAMAR&#10;&#10;💸 เงินรางวัลมูลค่ารวมกว่า 43,000 USD &#10;&#10;🎬 ถ่ายทอดสดรอบคัดเลือกตัวแทนประเท"/>
        <s v="🔴LIVE NOW🔴 AOC MASTERS TOURNAMENT 2021 l 🇹🇭&#10;&#10;🏆เฟ้นหาสุดยอด 2 ทีมตัวแทนจากประเทศไทยไปแข่งขันต่อใน Regional Finals!&#10;🪂 BO12 | วันละ 4 แมทช์ ⚡️ ERANGEL, MIRAMAR, ERANGEL, MIRAMAR&#10;&#10;💸 เงินรางวัลมูลค่ารวมกว่า 43,000 USD &#10;&#10;🎬 ถ่ายทอดสดรอบคัดเลือกตัวแทนประเ"/>
        <s v="เจอกัน 4 โมงเย็น Live🔴 ถ่ายทอดสดสัมภาษณ์ ตัวแทนทีมไทย🇹🇭 2 ทีม  ปราสาทสายฟ้า Buriram United Esports และ Attack All Around &#10;.&#10;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"/>
        <s v="⏳วันสุดท้าย จัดหนักจัดเต็ม⏳&#10; 💎  💎 โปรโมชั่น จ่าย 60.- รับเลย 300 เพชร💎 💎  💎&#10;.&#10;📍คลิกเพื่อรับคูปอง: https://weblink.shopeepay.co.th/u/ffpay60get300dmoct03fb&#10;(เปิดได้เฉพาะบนโทรศัพท์แอนดรอยด์ ที่มีแอปฯ ShopeePay แล้วเท่านั้น หากยังไม่มีแอปฯจะพาไปหน้าดาว"/>
        <s v="⏳แฟชั่นเซ็ตใหม่ ใครจะอดใจไหว⏳&#10; 💎  💎 โปรโมชั่น จ่าย 70.- รับเลย 300 เพชร💎 💎 💎 &#10;.&#10;📍คลิกเพื่อรับคูปอง: https://weblink.shopeepay.co.th/u/ffpay70get300dmoct13fb&#10;(เปิดได้เฉพาะบนโทรศัพท์แอนดรอยด์ ที่มีแอปฯ ShopeePay แล้วเท่านั้น หากยังไม่มีแอปฯจะพาไปหน้าด"/>
        <s v="⏳โปรสุดคุ้ม วันสุดท้าย⏳&#10;&#10; 💎  💎 โปรโมชั่น จ่าย 70.- รับเลย 300 เพชร💎 💎 💎 &#10;&#10;.&#10;&#10;📍คลิกเพื่อรับคูปอง: https://weblink.shopeepay.co.th/u/ffpay70get300dmoct17fb&#10;&#10;(เปิดได้เฉพาะบนโทรศัพท์แอนดรอยด์ ที่มีแอปฯ ShopeePay แล้วเท่านั้น หากยังไม่มีแอปฯจะพาไปหน้าดาว"/>
        <s v="⏳โปรสุดโหด จะพลาดไม่ได้⏳&#10;&#10; 💎  💎 โปรโมชั่น จ่าย 60.- รับเลย 300 เพชร💎 💎 💎 &#10;&#10;.&#10;&#10;📍คลิกเพื่อรับคูปอง:https://weblink.shopeepay.co.th/u/ffpay60get300dmoct29fb&#10;&#10;(เปิดได้เฉพาะบนโทรศัพท์แอนดรอยด์ ที่มีแอปฯ ShopeePay แล้วเท่านั้น หากยังไม่มีแอปฯจะพาไปหน้าดาว"/>
        <s v="⏳คุ้มจัดๆแบบนี้ต้องจัดแล้วว⏳&#10;&#10; 💎  💎 โปรโมชั่น จ่าย 70.- รับเลย 300 เพชร💎 💎 💎 &#10;&#10;.&#10;&#10;📍คลิกเพื่อรับคูปอง: https://weblink.shopeepay.co.th/u/ffpay70get300dmoct20fb&#10;&#10;(เปิดได้เฉพาะบนโทรศัพท์แอนดรอยด์ ที่มีแอปฯ ShopeePay แล้วเท่านั้น หากยังไม่มีแอปฯจะพาไปหน"/>
        <s v="💎  💎 โปรเด็ดๆ ซื้อส่วนลดได้ทุกวัน 100 เพชร💎💎 &#10;&#10;จ่ายเพียง 18.- จากปกติ 37.- &#10;&#10;เมื่อใช้ส่วนลด 20.- และซื้อแพ็กขั้นต่ำ 37.- &#10;&#10;.&#10;&#10;📍คลิกเพื่อซื้อคูปอง:https://weblink.shopeepay.co.th/u/ffpay25get100dmdec20fb&#10;&#10;(เปิดได้เฉพาะบนโทรศัพท์แอนดรอยด์ ที่มีแอปฯ Sho"/>
        <s v="เปิดศึกเดือด #Venom: Let There Be Carnage  กับกิจกรรม “แคปมาเล่า ซีนนี้ที่อยากดู”  ชวนแคปซีนที่ใช่ พร้อมบอกเล่าเหตุผลว่าทำไมถึงอยากดูหนังเรื่องนี้&#10;&#10;👉 ชมตัวอย่างภาพยนตร์ คลิก https://bit.ly/3poDuo1&#10;&#10;กติกาการร่วมสนุก:&#10;1. แชร์ตัวอย่างภาพยนตร์ Venom: Let The"/>
        <s v="🔴LIVE NOW🔴 AOC MASTERS TOURNAMENT 2021 l 🇹🇭&#10;🏆วันนี้ตัดสิน!! ใครจะได้เป็น 2 ทีมตัวแทนจากประเทศไทยไปแข่งขันต่อใน Regional Finals!&#10;🪂 BO12 | วันละ 4 แมทช์ ⚡️ ERANGEL, MIRAMAR, ERANGEL, MIRAMAR&#10;&#10;💸 เงินรางวัลมูลค่ารวมกว่า 43,000 USD &#10;&#10;🎬 ถ่ายทอดสดรอบคัดเ"/>
        <s v="⏳เงินคืนกระจุย ส่งท้ายสิ้นเดือน⏳&#10;&#10; 💎  💎 โปรโมชั่น จ่าย 60.- รับเลย 300 เพชร💎 💎 💎 &#10;&#10;.&#10;&#10;📍คลิกเพื่อรับคูปอง: https://weblink.shopeepay.co.th/u/ffpay60get300dmoct31fb&#10;&#10;(เปิดได้เฉพาะบนโทรศัพท์แอนดรอยด์ ที่มีแอปฯ ShopeePay แล้วเท่านั้น หากยังไม่มีแอปฯจะพา"/>
        <s v="Free Fire Pro League SS5 Grand Final&#10;มีเพียงทีมเดียวเท่านั้นที่จะได้เข้ามาชิงเงินรางวัลกว่า 5,000,000 บาท&#10;&#10;🔥 วันเสาร์ที่ 23 ตุลาคม 2564 13:00 น. เป็นต้นไป&#10;✨ขั้นที่ 1 คนดูพร้อมกันครบ 100,000 คน รับไปเลย ตั๋วไดมอนด์รอยัล 3 ใบ (มูลค่า 180 เพชร เป็นเงิน 67 บ"/>
        <s v="💎💎 ลดจัดหนัก จนยิ้มอรุ่มเจ๊าะ💎💎 &#10;&#10;จ่าย 40.- รับเลย 200 เพชร &#10;&#10;เมื่อเติมแพ็ค 37.- 2 ครั้ง รับส่วนลด 1.- และ 33.- ตามลำดับ&#10;&#10;.&#10;&#10;📍คลิกเพื่อซื้อคูปอง: https://weblink.shopeepay.co.th/u/ffpay40get200dmdec22fb&#10;&#10;(เปิดได้เฉพาะบนโทรศัพท์แอนดรอยด์ ที่มีแอปฯ Sho"/>
        <s v="💎  💎 ลดจริงไม่จกจา คุ้มมากเว่อร์💎  💎 &#10;&#10;จ่าย 40.- รับเลย 200 เพชร &#10;&#10;เมื่อเติมแพ็ค 37.- 2 ครั้ง รับส่วนลด 1.- และ 33.- ตามลำดับ&#10;&#10;.&#10;&#10;📍คลิกเพื่อซื้อคูปอง: https://weblink.shopeepay.co.th/u/ffpay19get100dmdec17fb&#10;&#10;(เปิดได้เฉพาะบนโทรศัพท์แอนดรอยด์ ที่มีแอป"/>
        <s v="💎  💎 ลดจัดหนักแบบนี้ ไม่คุ้มตรงไหน💎  💎 &#10;&#10;จ่าย 40.- รับเลย 200 เพชร &#10;&#10;เมื่อเติมแพ็ค 37.- 2 ครั้ง รับส่วนลด 1.- และ 33.- ตามลำดับ&#10;&#10;.&#10;&#10;📍คลิกเพื่อซื้อคูปอง: https://weblink.shopeepay.co.th/u/ffpay19get100dmdec18fb&#10;&#10;(เปิดได้เฉพาะบนโทรศัพท์แอนดรอยด์ ที่มีแ"/>
        <s v="รู้กันรึยัง ปีใหม่ที่เซ็นทรัลเวิลด์ ✨&#10;Free Fire ไปจัดกิจกรรมสุดอลังการ&#10;ในชื่อ &quot;มันส์ ข้าม ปี&quot; ณ ลานกิจกรรม&#10;มาพร้อมมุมถ่ายรูปโดนและของรางวัลเพียบ 🔥&#10;_____________________________&#10;&#10;ของรางวัลสุดพิเศษ ✨&#10;❄️ iPhone 13 [128GB] 10 รางวัล รวมมูลค่า [รวมมูลค่า 299,"/>
        <s v="🔥 ตารางคะแนน AOC MASTERS TOURNAMENT 2021💣🪂 วันแรก บอกเลยแค่อุ่นเครื่อง วันนี้ 18.30 น. มาตามดูวันที่ 2 ทีมไทยจะเร่งฟอร์มขึ้นมาได้หรือไม่ มาเชียร์กัน 🔥 &#10;&#10;📺 ถ่ายทอดสดวันที่ 2 - 7 พฤศจิกายน 2564 | 18.30 น. เป็นต้นไป&#10;🔴 Facebook : AOC Monitor, AOC Game Z"/>
        <s v="🔥 เหลือ 2 วันสุดท้าย !!! ตารางคะแนน AOC MASTERS TOURNAMENT 2021💣🪂 &#10;เสาร์ - อาทิตย์นี้ 18.30 น. มาเชียร์ทีมไทย #MITH #EARENA ให้ปาดหน้าคว้าแชมป์กันกันให้ 🔥&#10;&#10;📺 ถ่ายทอดสดวันที่ 2 - 7 พฤศจิกายน 2564 | 18.30 น. เป็นต้นไป&#10;🔴 Facebook : AOC Monitor, AOC Gam"/>
        <s v="🗞 เจาะลึกรูปแบบการแข่ง PGC2021 มีกี่รอบ ใช้กฏอะไร ไป Grand Final กี่ทีม มาดูกันเลย!&#10;&#10;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"/>
        <s v="🇹🇭เตรียมพบกับ Live🔴 ถ่ายทอดสดสัมภาษณ์ ตัวแทนทีมไทย🇹🇭 2 ทีม  ปราสาทสายฟ้า Buriram United Esports และ Attack All Around &#10;.&#10;กับการเตรียมความพร้อมก่อนลุยการแข่งพับจีชิงแชมป์โลก 𝐏𝐔𝐁𝐆 𝐆𝐥𝐨𝐛𝐚𝐥 𝐂𝐡𝐚𝐦𝐩𝐢𝐨𝐧𝐬𝐡𝐢𝐩 ที่ชิงเงินรางวัลรวมกว่า 60 ล้า"/>
        <s v="🔴LIVE NOW🔴 [TH]  AOC MASTERS TOURNAMENT 2021 l REGIONAL FINALS&#10;🪂 BO24 | วันละ 4 แมทช์ ⚡️ ERANGEL, MIRAMAR, ERANGEL, MIRAMAR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2 - 7 พ"/>
        <s v="💎  💎 เติมกระจุยรับสิ้นเดือน  รับ100 เพชร💎  💎 &#10;&#10;จ่ายเพียง  19.- จากปกติ 37.- &#10;&#10;เมื่อใช้ส่วนลด 19.- และซื้อแพ็กขั้นต่ำ 37.- &#10;&#10;.&#10;&#10;📍คลิกเพื่อซื้อคูปอง: https://weblink.shopeepay.co.th/u/ffodvpay19get100dmnov25fb&#10;&#10;(เปิดได้เฉพาะบนโทรศัพท์แอนดรอยด์ ที่มีแอป"/>
        <s v="🔥🔥ลดเดือด เติมกระจุย 🔥🔥&#10;&#10; 💎💎 โปรโมชั่น จ่าย 70.- รับเลย 300 เพชร💎 💎 💎 &#10;&#10;เมือเติม แพ็ก 37.- 3 ครั้ง รับส่วนลด 1.-/10.-/30.- ตามลำดับ&#10;&#10;.&#10;&#10;📍คลิกเพื่อซื้อคูปอง: https://weblink.shopeepay.co.th/u/ffpay70get300dmnov17fb&#10;&#10;(เปิดได้เฉพาะบนโทรศัพท์แอนดรอย"/>
        <s v="💎  💎 ลดโหดจัดๆ สายเติมเกมต้องไม่พลาด💎💎 &#10;&#10;จ่ายเพียง 37.- รับเลย 200 เพชร &#10;&#10;ซื้อแพ็กขั้นต่ำ 37.-  2 ครั้ง รับส่วนลด 1.- และ 36.- ตามลำดับ&#10;&#10;.&#10;&#10;📍คลิกเพื่อซื้อคูปอง: https://weblink.shopeepay.co.th/u/ffpay37get200dmnov27fb&#10;&#10;(เปิดได้เฉพาะบนโทรศัพท์แอนดรอยด"/>
        <s v="🔥🔥ไอเทมสุดเฟี้ยว แบบนี้ต้องจัด 🔥🔥&#10;&#10; 💎💎 โปรโมชั่น จ่าย 70.- รับเลย 300 เพชร💎 💎 💎 &#10;&#10;เมือเติม แพ็ก 37.- 3 ครั้ง รับส่วนลด 1.-/10.-/30.- ตามลำดับ&#10;&#10;.&#10;&#10;📍คลิกเพื่อซื้อคูปอง: https://weblink.shopeepay.co.th/u/ffpay70get300dmnov21fb&#10;&#10;(เปิดได้เฉพาะบนโทรศั"/>
        <s v="ส่งท้ายปีเก่าต้อนรับปีใหม่สุดยิ่งใหญ่ 💥&#10;ในงาน &quot;Free Fire มันส์ข้ามปี&quot; ณ ลาน Central World&#10;กิจกรรมส่งมอบความสุข สนุกไปพร้อม ๆ กัน 😆&#10;มาร่วมถ่ายรูปกับต้นคริสมาสต์แอร์ดรอปยักษ์ 🎁&#10;และร่วมมันส์ไปกับการแจกของรางวัลแบบจุก ๆ &#10;&#10;ของรางวัลสุดพิเศษ ✨&#10;❄️ iPhone 13 ["/>
        <s v="เสื้อยืดสุดพิเศษจากศิลปิน CHANG OF ART&#10;Limited สุด ๆ เพราะมีเพียงแค่ 230 ตัว เท่านั้น ❗&#10;ใครอยากได้อยากโดน ต้องห้ามพลาด&#10;กับกิจจกรรม &quot;มันส์ ข้าม ปี&quot; ณ ลานเซ็นทรัลเวิลด์ ✨&#10;&#10;นอกจากนี้ยังมีรางวัลอื่น ๆ อีกเพียบ แล้วมาเจอกันน้า 💕&#10;_____________________________&#10;"/>
        <s v="🔴LIVE NOW🔴 [TH]  AOC MASTERS TOURNAMENT 2021 l REGIONAL FINALS DAY 3&#10;🪂 BO24 | วันละ 4 แมทช์ ⚡️ ERANGEL, MIRAMAR, ERANGEL, MIRAMAR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2"/>
        <s v="🔴LIVE NOW🔴 [TH]  AOC MASTERS TOURNAMENT 2021 l REGIONAL FINALS DAY 5&#10;🪂 BO24 | วันละ 4 แมทช์ ⚡️ ERANGEL, MIRAMAR, ERANGEL, MIRAMAR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2"/>
        <s v="🔴LIVE NOW🔴 [TH]  AOC MASTERS TOURNAMENT 2021 l REGIONAL FINALS DAY 2&#10;🪂 BO24 | วันละ 4 แมทช์  ⚡️ MIRAMAR, ERANGEL, MIRAMAR, ERANGEL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"/>
        <s v="🔴LIVE NOW🔴 [TH]  AOC MASTERS TOURNAMENT 2021 l REGIONAL FINALS DAY 4&#10;🪂 BO24 | วันละ 4 แมทช์  ⚡️ MIRAMAR, ERANGEL, MIRAMAR, ERANGEL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"/>
        <s v="🔴LIVE NOW🔴 [TH]  AOC MASTERS TOURNAMENT 2021 l REGIONAL FINALS DAY 6&#10;🪂 BO24 | วันละ 4 แมทช์  ⚡️ MIRAMAR, ERANGEL, MIRAMAR, ERANGEL&#10;&#10;💸 เงินรางวัลมูลค่ารวมกว่า $43,000 USD&#10;🏆 16 ทีม จาก 7 ประเทศ พร้อมระเบิดศึกเดือดครั้งยิ่งใหญ่ 🪂🔥&#10;🎬 ถ่ายทอดสดวันที่  "/>
        <s v="💎  💎 ลดกระจุยกับคูปองพิเศษรับ 300 เพชร💎  💎 &#10;&#10; โปรโมชั่น จ่ายเพียง  51 .- จากปกติ 111.- &#10;&#10;เมื่อใช้ส่วนลด 21.- ซื้อแพ็กขั้นต่ำ 37.- จำนวน 3 ครั้ง&#10;&#10;.&#10;&#10;📍คลิกเพื่อซื้อคูปอง: https://weblink.shopeepay.co.th/u/ffpay51get300dmnov03fb&#10;&#10;(เปิดได้เฉพาะบนโทรศัพท์"/>
        <s v="💎  💎 ลดกระจุยกับคูปองพิเศษรับ 300 เพชร💎  💎 &#10;&#10; โปรโมชั่น จ่ายเพียง  51 .- จากปกติ 111.- &#10;&#10;เมื่อใช้ส่วนลด 21.- ซื้อแพ็กขั้นต่ำ 37.- จำนวน 3 ครั้ง&#10;&#10;.&#10;&#10;📍คลิกเพื่อซื้อคูปอง: https://weblink.shopeepay.co.th/u/ffpay51get300dmnov06fb&#10;&#10;(เปิดได้เฉพาะบนโทรศัพท์"/>
        <s v="🔥 วันนี้ 18.30 น. เริ่มเดือด !! 16 ทีมสุดท้ายเตรียมปะทะกันในศึก 🔥&#10;AOC MASTERS TOURNAMENT 2021💣🪂&#10;&#10;เตรียมตัวให้พร้อม แล้วมาส่งเสียงเชียร์ให้กับ 2 ทีมตัวแทนจากประเทศไทย&#10;ทีม eArena และ MiTH !! 🇹🇭🇹🇭🇹🇭 🏆&#10;&#10;📺 ถ่ายทอดสดวันที่ 2 - 7 พฤศจิกายน 2564 | 18."/>
        <s v="เกือบ 5 ปี จาก Early Access ถึงปัจจุบัน, 8 แผนที่, กว่า 14,000,000,000 ชั่วโมงที่ผู้เล่นร่วมกันสร้าง, จากการตอบรับของแฟนๆ อย่างอบอุ่น, การขยายการเปิดตัวลงสู่หลายๆ แพลตฟอร์ม, และความสำเร็จมากมายที่เกิดขึ้น ตอนนี้ได้เวลาที่เกม PUBG: BATTLEGROUNDS ของพวกเราเ"/>
        <s v="🔴Live สด! 𝐏𝐆𝐂𝟐𝟎𝟐𝟏 รอบ Bottom 16  สัปดาห์ที่ 1  l 🇹🇭 🏆พับจีชิงแชมป์โลก !&#10;🏆🌏 𝐏𝐔𝐁𝐆 𝐆𝐥𝐨𝐛𝐚𝐥 𝐂𝐡𝐚𝐦𝐩𝐢𝐨𝐧𝐬𝐡𝐢𝐩 𝟐𝟎𝟐𝟏 มาชมศึกเดือดระหว่าง 32 ทีมที่ดีที่สุดในโลก ใครจะเป็น No.1 เริ่ม 19 พ.ย. - 19 ธ.ค นี้! &#10;&#10;🔥 อย่างเดือด! ไอเทมเซ็"/>
        <s v="🔥 บอกเลยว่าร้ายกาจ! ไอเทมเซ็ท 𝐏𝐆𝐂𝟐𝟎𝟐𝟏 ลายทองสุดปัง ต้องจัดแล้ว!&#10;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"/>
        <s v="📢📢 รายชื่อ 16 ทีม ที่จะมาปะทะกันรอบ Regional Finals รายการ AOC MASTERS TOURNAMENT 2021🪂 เจอกัน 2-7 พ.ย.นี้&#10;&#10;🔥 เตรียมตัวให้พร้อม แล้วมาส่งเสียงเชียร์ให้กับ 2 ทีมตัวแทนจากประเทศไทย&#10;ทีม eArena และ MiTH !! 🇹🇭🇹🇭🇹🇭 🏆&#10;&#10;🇹🇭 TH : eArena , MiTH&#10;🇻🇳 VN "/>
        <s v="💞ยามว่างของ Attack All Around ก่อนลุยศุกร์นี้! อย่าลืมมาตามเชียร์ 2 ทีมไทยกันด้วยนะสาวก&#10;&#10;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"/>
        <s v="🔥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asia.battlegrounds.pubg.com/th/2021/1"/>
        <s v="ถึงเวลาปั๊มเลเวลกันแล้ว 🔥&#10;ปั้นรหัสของคุณให้ไปถึงเวล 99&#10;รับแฟชั่นสุดเฟี้ยวและสกินรถยนต์สุดเท่ 💥&#10;&#10;กิจกรรมดี ๆ ที่ไม่ควรพลาด ✨ &#10;&#10;⏳ ระยะเวลากิจกรรม&#10;ตั้งแต่วันที่ 11 ตุลาคม 2564 เวลา 04.00 น.&#10;ถึงวันที่ 24 ตุลาคม 2564 เวลา 03.59 น.&#10;&#10;--------------------------"/>
        <s v="ถึงเวลาปล่อยของกันแล้ว 💥&#10;เพียงมาร่วมเล่นเกมและทำภารกิจให้ครบ ✨&#10;รับของรางวัลแบบจัดหนัก จัดเต็ม&#10;แล้วเข้ามาเล่นกันเยอะ ๆ น้าา 💕&#10;&#10;⏳ ระยะเวลากิจกรรม&#10;ตั้งแต่วันที่ 18 ตุลาคม 2564 เวลา 04.00 น.&#10;ถึงวันที่ 27 ตุลาคม 2564 เวลา 03.59 น.&#10;&#10;--------------------------"/>
        <s v="กิจกรรมชวนเพื่อนซี้ มาร่วมตี้ 💥&#10;ร่วมรบและรับของไปพร้อมกัน &#10;เล่นให้ครบตามเกมที่กำหนด &#10;รับไปเลย ไอเทมมากมาย ✨&#10;&#10;แล้วไปชวนเพื่อนมาร่วมเดือดกันเยอะ ๆ น้า 😘&#10;&#10;⏳ ระยะเวลากิจกรรม&#10;ตั้งแต่วันที่ 11 ตุลาคม 2564 เวลา 04.00 น.&#10;ถึงวันที่ 18 ตุลาคม 2564 เวลา 03.59 น.&#10;&#10;"/>
        <s v="💞 เพราะกองทัพต้องเดินด้วยท้อง! ใครคิดถึง Buriram United Esports  กันบ้างขอเสียงหน่อย 🇹🇭 แล้วศุกร์นี้อย่าลืมมาตามเชียร์ 2 ทีมไทยกันด้วยนะสาวก !!&#10;&#10;🛒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"/>
        <s v="🔻ยังเปิดรับสมัครอยู่นะจ๊ะ 🔺 ❤️ LEO PUBG Tournament❤️ เดือนตุลาคม ที่จะเอา 8 ทีมหน้าใหม่มาปะทะกับ 8 ทีมวางรอบลีก จะใช้กฎการแข่งขัน Most Chicken Rule (MC rule) พร้อมกับเงินรางวัลรวมถึง 110,000 บาท&#10;.&#10;เงินรางวัลแบ่งออกเป็น 2 Phase&#10;- เฟสละ 38,000 บาท&#10;- ทีมที"/>
        <s v="🦺🔎 จัดมาให้อีก 2 ภาพ อัพเดทการสร้างสนามแข่ง 𝐏𝐔𝐁𝐆 𝐆𝐥𝐨𝐛𝐚𝐥 𝐂𝐡𝐚𝐦𝐩𝐢𝐨𝐧𝐬𝐡𝐢𝐩 𝟐𝟎𝟐𝟏 &#10;&#10;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&#10;&#10;#PUBG "/>
        <s v="🏆🌏 พรุ่ง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9 พฤศจิกายน "/>
        <s v="📜 อัพเดทข่าวสาร PUBG ESPORTS NEWS แบบคิ้วท์ๆ ในรายการข่าว PGC2021 รอบโลก EP.13&#10;&#10;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"/>
        <s v="🏆🌏 อีก 2 วัน ! ศุกร์นี้เริ่มศึกเดือด เวทีชิงแชมป์โลก 𝐏𝐔𝐁𝐆 𝐆𝐥𝐨𝐛𝐚𝐥 𝐂𝐡𝐚𝐦𝐩𝐢𝐨𝐧𝐬𝐡𝐢𝐩 𝟐𝟎𝟐𝟏 จะลุกเป็นไฟ 🔥 มาเชียร์ตัวแทนทีมไทยลุยชิงแชมป์โลก 🇹🇭Buriram United Esports และ 🇹🇭Attack All Around  💵เงินรางวัลรวมกว่า 60 ล้านบาท ‼ เริ่ม 1"/>
        <s v="🪂😋 หิวก็หิวนะ แต่ทำไมไม่กล้ากินก็ไม่รู้ สงสัยกลัวหัก!!! แล้วเจอกัน 19 พ.ย.นี้  𝐏𝐔𝐁𝐆 𝐆𝐥𝐨𝐛𝐚𝐥 𝐂𝐡𝐚𝐦𝐩𝐢𝐨𝐧𝐬𝐡𝐢𝐩 𝟐𝟎𝟐𝟏 ศึกพีบจีชิงแชมป์โลกวันแรก!&#10;&#10;🏆🇹🇭 สายการแข่งรอบ Rank Desision 𝐏𝐔𝐁𝐆 𝐆𝐥𝐨𝐛𝐚𝐥 𝐂𝐡𝐚𝐦𝐩𝐢𝐨𝐧𝐬𝐡𝐢𝐩 𝟐𝟎𝟐𝟏"/>
        <s v="🏆🌏 PGC2021 มาชมศึกเดือดระหว่าง 32 ทีมที่ดีที่สุดในโลก ใครจะเป็น No.1 เริ่ม 19 พ.ย.นี้! ชิงแชมป์โลก&#10;&#10;🏆🇹🇭 รายละเอียดการแข่งพับจีชิงแชมป์โลก 𝐏𝐔𝐁𝐆 𝐆𝐥𝐨𝐛𝐚𝐥 𝐂𝐡𝐚𝐦𝐩𝐢𝐨𝐧𝐬𝐡𝐢𝐩 𝟐𝟎𝟐𝟏  มีกี่รอบ ใช้กฏอะไร ไป Grand Final กี่ทีม มาดูกันเลย! ➡➡"/>
        <s v="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้น EPs ซื้อไอเทมพิเศษต่ออีกชั้น! ดูรายละเอียดแบบเต็มๆได้เลยที่ ➡ https://bit.ly/PickEMTH&#10;&#10;🏆🌏 PGC"/>
        <s v="🏆🌏 ศุกร์นี้เริ่มศึกเดือด เวทีชิงแชมป์โลก 𝐏𝐔𝐁𝐆 𝐆𝐥𝐨𝐛𝐚𝐥 𝐂𝐡𝐚𝐦𝐩𝐢𝐨𝐧𝐬𝐡𝐢𝐩 𝟐𝟎𝟐𝟏 จะลุกเป็นไฟ&#10;🔥 🇹🇭 ห้ามพลาด เชียร์ตัวแทนทีมไทย🇹🇭🇹🇭ลุยชิงแชมป์โลก 🇹🇭Buriram United Esports และ 🇹🇭Attack All Around ลุยศึกใหญ่  💵เงินรางวัลรวมกว่า 6"/>
        <s v="🏆 ก่อนเริ่มศึกเดือดวันศุกร์นี้  มาดูเงินรางวัลที่จะทำให้การแข่งขัน ในเวทีชิงแชมป์โลกจะลุกเป็นไฟ  กับ 𝐏𝐔𝐁𝐆 𝐆𝐥𝐨𝐛𝐚𝐥 𝐂𝐡𝐚𝐦𝐩𝐢𝐨𝐧𝐬𝐡𝐢𝐩 𝟐𝟎𝟐𝟏 ที่ชิงเงินรางวัลรวมกว่า 60 ล้านบาท💵  !!!&#10;&#10;🔥 🇹🇭 ห้ามพลาด เชียร์ตัวแทนทีมไทย🇹🇭🇹🇭ลุยชิงแชมป์"/>
        <s v="🦺🔎 ตามไปดูอัพเดทการสร้างสนามแข่ง 𝐏𝐔𝐁𝐆 𝐆𝐥𝐨𝐛𝐚𝐥 𝐂𝐡𝐚𝐦𝐩𝐢𝐨𝐧𝐬𝐡𝐢𝐩 𝟐𝟎𝟐𝟏 🏆 ห้ามพลาด เชียร์ตัวแทนทีมไทย🇹🇭🇹🇭ลุยชิงแชมป์โลก 🇹🇭Buriram United Esports และ 🇹🇭Attack All Around ลุยศึกใหญ่ เริ่ม 19 พฤศจิกายน นี้ !!!&#10;&#10;🏆🇹🇭 รายละเอียดกา"/>
        <s v="🇹🇭🇹🇭นับ 1 ไก่แรกของไทยในเวทีชิงแชมป์โลกมาแล้ว 🇹🇭Buriram United Esports กินไก่เกมที่ 8 𝐏𝐔𝐁𝐆 𝐆𝐥𝐨𝐛𝐚𝐥 𝐂𝐡𝐚𝐦𝐩𝐢𝐨𝐧𝐬𝐡𝐢𝐩 𝟐𝟎𝟐𝟏  🔥 รอบ 𝗥𝗮𝗻𝗸 𝗗𝗲𝗰𝗶𝘀𝗶𝗼𝗻 วันที่ 2 [ A vs C ]&#10;.&#10;มาเชียร์ตัวแทนทีมไทยลุยชิงแชมป์โลก 🇹🇭Buriram Unit"/>
        <s v="🏆 AOC MASTERS TOURNAMENT 2021 🔥 วันนี้มาเดือดไปพร้อมๆกัน🔥ทั้งทีมที่ผ่านการคัดเลือกเข้ามา และทีมที่ได้รับเชิญ จะมาเริ่มโดดลงสมรภูมิรบที่กำลังจะลุกเป็นไฟ เตรียมตัวให้พร้อม แล้วเจอกัน เย็นนี้ 18.30 น.!! &#10;&#10;💎Made in Thailand&#10;💎Attack All Around&#10;💎DAYTRADE "/>
        <s v="🏆 ใครจะเป็นแชมป์โลกในเวที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.เป็นต้นไป !!!&#10;&#10;.&#10;🗓ตารางการแข่งขันรอบ 𝗚𝗿𝗮𝗻𝗱 𝗙𝗶𝗻𝗮𝗹&#10;⭕️1"/>
        <s v="🏆🇹🇭 สายการแข่งรอบ Rank Desision 𝐏𝐔𝐁𝐆 𝐆𝐥𝐨𝐛𝐚𝐥 𝐂𝐡𝐚𝐦𝐩𝐢𝐨𝐧𝐬𝐡𝐢𝐩 𝟐𝟎𝟐𝟏  &#10;ดูคลิปจับฉลากได้ที่ ➡➡  https://asia.battlegrounds.pubg.com/th/2021/11/08/pgc-2021-rank-decision-group-selection-results&#10;&#10;⏰ วันที่แข่งขันรอบ Rank Decision:&#10;⭕ วันท"/>
        <s v="🏆  วันที่ 2 รอบ 𝗚𝗿𝗮𝗻𝗱 𝗙𝗶𝗻𝗮𝗹 ลุ้นไปด้วยกันต่อ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&#10;&#10;.&#10;🗓ตารางการแข่งขันรอบ 𝗚𝗿𝗮𝗻𝗱 𝗙𝗶𝗻𝗮𝗹&#10;⭕"/>
        <s v="[กิจกรรมแจกไอเทม] กิจกรรม Speed Rush กลับมาแล้วใครเร็วรับสกินปืนฟรีไปเลย&#10; &#10;วันที่ 23 ตุลาคม 2564 นี้ เวลา 13.00 น. เป็นต้นไป&#10;เพื่อเอาใจแฟนๆ ที่รับชมถ่ายทอดสดการแข่งขัน&#10;เตรียมพบกับกิจกรรม ⏳SPEED RUSH⏳&#10; &#10;🎁 มูลค่าของรางวัลกิจกรรม&#10;◾️ ลำดับที่ 1        ในแต่ล"/>
        <s v="🔥🔥 4 ทีมสุดท้าย ที่ผ่านเข้าสู่รอบ 𝗚𝗿𝗮𝗻𝗱 𝗙𝗶𝗻𝗮𝗹  FURY  ทีมจากโซน APAC ของเรา เป็น 1 ทีม ที่ติดเข้าไป ลุ้นกันต่อ 3 วันสุดท้าย ใครจะได้เป็น แชมป์โลก  ใน 𝐏𝐔𝐁𝐆 𝐆𝐥𝐨𝐛𝐚𝐥 𝐂𝐡𝐚𝐦𝐩𝐢𝐨𝐧𝐬𝐡𝐢𝐩 𝟐𝟎𝟐𝟏 💵เงินรางวัลรวมกว่า 60 ล้านบาท ‼&#10;.&#10;🗓ต"/>
        <s v="🇹🇭🇹🇭 จัดไปอีก 1 ไก่  🇹🇭Buriram United Esports คว้าไก่ที่ 2 🍗 ได้บนเวทีชิงแชมป์โลก 𝐏𝐔𝐁𝐆 𝐆𝐥𝐨𝐛𝐚𝐥 𝐂𝐡𝐚𝐦𝐩𝐢𝐨𝐧𝐬𝐡𝐢𝐩 𝟐𝟎𝟐𝟏  🔥 รอบ 𝗥𝗮𝗻𝗸 𝗗𝗲𝗰𝗶𝘀𝗶𝗼𝗻 วันที่ 3 [ A vs D ] ลุยกันต่อเกมสุดท้ายของกลุ่มนี้ !!&#10;.&#10;มาเชียร์ตัวแทนทีมไทย"/>
        <s v="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่า 60 ล้านบาท เริ่ม 17:00 น.เป็นต้นไป !!!&#10;&#10;.&#10;🗓ตารางการแข่งขันรอบ 𝗚𝗿�"/>
        <s v="🔥คำคมส่งตรงจากเกาหลี &quot;คิดอะไรไม่ค่อยออก อยากจะบอกว่าจะเต็มที่ที่สุด &quot; จาก Conaxy ทีม ปราสาทสายฟ้า Buriram United Esports🇹🇭 ก่อนลุยศึกเดือดศุกร์นี้ ในเวทีชิงแชมป์โลก 𝐏𝐔𝐁𝐆 𝐆𝐥𝐨𝐛𝐚𝐥 𝐂𝐡𝐚𝐦𝐩𝐢𝐨𝐧𝐬𝐡𝐢𝐩 𝟐𝟎𝟐𝟏 &#10;.&#10;มาเชียร์ตัวแทนทีมไทยลุยชิงแช"/>
        <s v="🔥 เผยคำพูดก่อนแข่งส่งตรงจากเกาหลี  &quot; Pecado Pochinki ใครก็ได้ที่ไม่ใช่ Soniqs กับ 17gaming &quot; จากทีม 🇹🇭Attack All Around ก่อนลุยศึกเดือดศุกร์นี้ ในเวทีชิงแชมป์โลก 𝐏𝐔𝐁𝐆 𝐆𝐥𝐨𝐛𝐚𝐥 𝐂𝐡𝐚𝐦𝐩𝐢𝐨𝐧𝐬𝐡𝐢𝐩 𝟐𝟎𝟐𝟏 &#10;.&#10;มาเชียร์ตัวแทนทีมไทยลุยชิงแชมป์"/>
        <s v="5 ผู้เล่นที่ทำผลงานดีที่สุดรอบ 𝗪𝗲𝗲𝗸𝗹𝘆 𝗙𝗶𝗻𝗮𝗹 สัปดาห์ที่ 1 &#10;&#10;Dr4FTk1NG จากทีม KPI Gaming ทำผลงานดีที่สุดมาเป็นอับดับ 1 Kills ไปถึง 24 Kills ในเวทีชิงแชมป์โลก 𝐏𝐔𝐁𝐆 𝐆𝐥𝐨𝐛𝐚𝐥 𝐂𝐡𝐚𝐦𝐩𝐢𝐨𝐧𝐬𝐡𝐢𝐩 𝟐𝟎𝟐𝟏&#10; .&#10;มาเชียร์ตัวแทนทีมไทยลุยชิงแชม"/>
        <s v="🔥 ฝากต่อด้วยนะเพื่อน  FURY ทีม 1 เดียว จากโซน APAC มาลุ้นไปด้วยกัน 3 วันสุดท้าย รอบ 𝗚𝗿𝗮𝗻𝗱 𝗙𝗶𝗻𝗮𝗹 ในเวทีส่งท้ายปี 𝐏𝐔𝐁𝐆 𝐆𝐥𝐨𝐛𝐚𝐥 𝐂𝐡𝐚𝐦𝐩𝐢𝐨𝐧𝐬𝐡𝐢𝐩 𝟐𝟎𝟐𝟏  💵เงินรางวัลรวมกว่า 60 ล้านบาท เริ่ม 17:00 น.เป็นต้นไป !!!&#10;.&#10;🗓ตารางการแข่ง"/>
        <s v="❤️🪂 เริ่มแล้วพรุ่งนี้ 10.00 น. ผู้เล่นทีมไทยทุกคนต่างเตรียมตัวเพื่อรังสรรค์ผลงานที่ดีที่สุดในศึกใหญ่ครั้งนี้ พี่น้องสาวกพับจีชาวไทยอย่างลืมมาให้กำลังใจทีมได้ทั้ง 2 (หรือ 3 ทีมนะ ^^)&#10;&#10;🔥 อย่างเดือด! ไอเทมเซ็ทใหม่ต้อนรับศึกใหญ่ชิงแชมป์โลก 𝐏𝐆𝐂𝟐𝟎𝟐𝟏 จะ"/>
        <s v="🏆 สรุปตารางคะแนนรอบ 𝗚𝗿𝗮𝗻𝗱 𝗙𝗶𝗻𝗮𝗹 วันที่ 1&#10;&#10;Heroic ทีมจากโซน EU อยู่อันดับ 1 หลังจบ 5 เกมวันแรก  ในเวทีชิงแชมป์โลก 𝐏𝐔𝐁𝐆 𝐆𝐥𝐨𝐛𝐚𝐥 𝐂𝐡𝐚𝐦𝐩𝐢𝐨𝐧𝐬𝐡𝐢𝐩 𝟐𝟎𝟐𝟏 💵เงินรางวัลรวมกว่า 60 ล้านบาท  ร่วมลุ้นกันต่อวันพรุ่งนี้เวลา 17:00 น.เป็นต"/>
        <s v="🔥🔥 นับถอยหลัง 6 เกมสุดท้ายเชียร์ให้สุดกับ 5 ทีมไทย ในการแข่งขัน 𝐏𝐔𝐁𝐆 𝐂𝐨𝐧𝐭𝐢𝐧𝐞𝐧𝐭𝐚𝐥 𝐒𝐞𝐫𝐢𝐞𝐬 𝟓 𝗔𝗣𝗔𝗖 !!&#10;.&#10;🏆🇹🇭 ห้ามพลาดรวมส่งพลังใจ ชมสดและเชียร์ 5 ทีมไทย คว้าตั๋วลุยชิงแชมป์โลก!&#10;🗓#วันที่แข่งขัน (ทุกวันพฤหัสบดี และ ศุกร์) เวลา 18."/>
        <s v="🏆 ก่อนเริ่มแข่งวันนี้มาดูผู้เล่นที่ยิงเยอะที่สุดหลังผ่านมาแล้ว 30 แมทช์ ในเวทีชิงแชมป์โลกส่งท้ายปี 𝐏𝐔𝐁𝐆 𝐆𝐥𝐨𝐛𝐚𝐥 𝐂𝐡𝐚𝐦𝐩𝐢𝐨𝐧𝐬𝐡𝐢𝐩 𝟐𝟎𝟐𝟏 มาลุ้นไปด้วยกัน 3 วันสุดท้าย รอบ 𝗚𝗿𝗮𝗻𝗱 𝗙𝗶𝗻𝗮𝗹 💵เงินรางวัลรวมกว่า 60 ล้านบาท เริ่ม 17:00 น"/>
        <s v="🎥 𝐏𝐆𝐂 𝐃𝐢𝐚𝐫𝐢𝐞𝐬 ตามติดชีวิตนักแข่ง PUBG ชิงแชมป์โลก กักตัวทำอะไรกันบ้าง ไปดูกันเลยสาวก!&#10;&#10;🔥 อย่างเดือด! ไอเทมเซ็ทใหม่ต้อนรับศึกใหญ่ชิงแชมป์โลก 𝐏𝐆𝐂𝟐𝟎𝟐𝟏 จะมีอะไรบ้าง บอกเลยว่าแจ่มจัดๆ ซื้อแล้วยังได้ตั๋ว PICK’EM CHALLENGE ไปทายแชมป์ต่อพร้อมลุ"/>
        <s v="🎬ไฮไลท์จัดเต็มการแข่งขัน  รอบ 𝗪𝗲𝗲𝗸𝗹𝘆 𝗦𝘂𝗿𝘃𝗶𝘃𝗮𝗹 สัปดาห์ที่ 1 ในเวทีชิงแชมป์โลก 𝐏𝐔𝐁𝐆 𝐆𝐥𝐨𝐛𝐚𝐥 𝐂𝐡𝐚𝐦𝐩𝐢𝐨𝐧𝐬𝐡𝐢𝐩 𝟐𝟎𝟐𝟏 &#10;&#10;.&#10;มาเชียร์ตัวแทนทีมไทยลุยชิงแชมป์โลก 🇹🇭Buriram United Esports และ 🇹🇭Attack All Around  💵เงินรางวัลรว"/>
        <s v="🎬 PGC2021 Rivals EP.4 คมเฉือนคมนอกจอ เมื่อ Team Liquid vs KPI Gaming&#10;&#10;🏆  5 เกมสุดท้ายตัดสินแล้ววันนี้ รอบ 𝗚𝗿𝗮𝗻𝗱 𝗙𝗶𝗻𝗮𝗹 ลุ้นไปด้วยกัน ใครจะได้แชมป์ไปครอง ในเวทีชิงแชมป์โลก 𝐏𝐔𝐁𝐆 𝐆𝐥𝐨𝐛𝐚𝐥 𝐂𝐡𝐚𝐦𝐩𝐢𝐨𝐧𝐬𝐡𝐢𝐩 𝟐𝟎𝟐𝟏 💵เงินรางวัลรวมกว"/>
        <s v="🏆🌏อัพเดทตารางคะแนน 32 ทีม หลังจบกลุ่ม A VS D&#10;🇹🇭Buriram United Esports ขยับขึ้นมาอยู่อันดับ 11 ชั่วคราว หลังกินไก่เพิ่ม ได้ 1 WWCD มีคะแนนรวม 108 แต้ม  &#10;.&#10;ในเวทีชิงแชมป์โลก 𝐏𝐔𝐁𝐆 𝐆𝐥𝐨𝐛𝐚𝐥 𝐂𝐡𝐚𝐦𝐩𝐢𝐨𝐧𝐬𝐡𝐢𝐩 𝟐𝟎𝟐𝟏  🔥 รอบ 𝗥𝗮𝗻𝗸 𝗗𝗲𝗰"/>
        <s v="🎬ไฮไลท์จัดเต็มการแข่งขัน  รอบ 𝗪𝗲𝗲𝗸𝗹𝘆 𝗙𝗶𝗻𝗮𝗹 สัปดาห์ที่ 1 ในเวทีชิงแชมป์โลก 𝐏𝐔𝐁𝐆 𝐆𝐥𝐨𝐛𝐚𝐥 𝐂𝐡𝐚𝐦𝐩𝐢𝐨𝐧𝐬𝐡𝐢𝐩 𝟐𝟎𝟐𝟏  &#10;&#10;🗓วันนี้ ทีม Attack All Around🇹🇭 จะได้เล่นในรอบ  𝗕𝗼𝘁𝘁𝗼𝗺 𝟭𝟲 สัปดาห์ที่ 1 เริ่มแข่งเวลา 17:00 น. (แข่ง"/>
        <s v="ผู้เล่นไทย 🇹🇭 ที่ทำผลงานสุดปังสัปดาห์ที่ 3 วันที่ 1 ตกเป็นของ Ezqelusia จาก MiTH ในการแข่งขัน 𝐏𝐔𝐁𝐆 𝐂𝐨𝐧𝐭𝐢𝐧𝐞𝐧𝐭𝐚𝐥 𝐒𝐞𝐫𝐢𝐞𝐬 𝟓 𝗔𝗣𝗔𝗖 !!  #1ทุ่มเรามีนัดกัน6เกมสุดท้าย&#10; .&#10;🏆🇹🇭 ห้ามพลาดรวมส่งพลังใจ ชมสดและเชียร์ 5 ทีมไทย คว้าตั๋วลุยชิงแ"/>
        <s v="🏆 สรุปตารางคะแนนรอบ 𝗚𝗿𝗮𝗻𝗱 𝗙𝗶𝗻𝗮𝗹 วันที่ 2&#10;&#10;ตึงเปรี๊ยะ !!! Heroic ทีมจากโซน EU ยังคงรักษาอันดับ 1 ไว้ได้ หลังจบวันที่ 2  ตามมาด้วย NewHappy ทีมจากประเทศจีน ในเวทีชิงแชมป์โลก 𝐏𝐔𝐁𝐆 𝐆𝐥𝐨𝐛𝐚𝐥 𝐂𝐡𝐚𝐦𝐩𝐢𝐨𝐧𝐬𝐡𝐢𝐩 𝟐𝟎𝟐𝟏 💵เงินรางวัลรวมก"/>
        <s v="🎬ไฮไลท์จัดเต็มการแข่งขัน รอบ 𝗪𝗲𝗲𝗸𝗹𝘆 𝗙𝗶𝗻𝗮𝗹 สัปดาห์ที่ 2 ในเวทีชิงแชมป์โลก 𝐏𝐔𝐁𝐆 𝐆𝐥𝐨𝐛𝐚𝐥 𝐂𝐡𝐚𝐦𝐩𝐢𝐨𝐧𝐬𝐡𝐢𝐩 𝟐𝟎𝟐𝟏&#10;&#10;◾ร่วมเชียร์ 🇹🇭Buriram United Esports ลุยต่อวัน รอบ 𝗪𝗲𝗲𝗸𝗹𝘆 𝗦𝘂𝗿𝘃𝗶𝘃𝗮𝗹 สัปดาห์ที่ 3 ในเวทีชิงแชมป์โลก"/>
        <s v="📢การต่อสู้ที่สูสี “PUBG Continental Series #5 - ASIA” จบลงไปแล้ว และทีม Petrichor Road 🇨🇳 คว้าแชมป์ในครั้งนี้ไปอย่างสวยงามพร้อมไปต่อรอบชิงแชมป์โลก&#10;&#10;พากย์ไทยจัดเต็มความมันส์! ทุกวันเสาร์ - อาทิตย์ เวลา &#10;17.00 น. เป็นต้นไป&#10;&#10;🏆🇹🇭 ห้ามพลาดรวมส่งพลังใจ ชม"/>
        <s v="🏆🇹🇭 ร่วมเชียร์ไทยลุยชิงแชมป์โลกไปด้วยกันผ่าน 🎥&quot;FANCAM&quot; ที่จะเปิดให้ผู้ชมทางบ้านร่วมเชียร์กันผ่าน Discord ตลอดการแข่งขัน 𝐏𝐔𝐁𝐆 𝐆𝐥𝐨𝐛𝐚𝐥 𝐂𝐡𝐚𝐦𝐩𝐢𝐨𝐧𝐬𝐡𝐢𝐩 𝟐𝟎𝟐𝟏 &#10;.&#10; วิธีการเข้าร่วมสนุก &#10;▶ 1.พร้อมเปิดกล้อง WEBCAM และ Microphone ระหว่างเช"/>
        <s v="🏆🌏  เชียร์ 🇹🇭Attack All Around ไปด้วยกันรอบ 𝗕𝗼𝘁𝘁𝗼𝗺 𝟭𝟲 สัปดาห์ที่ 1 ในเวทีชิงแชมป์โลก 𝐏𝐔𝐁𝐆 𝐆𝐥𝐨𝐛𝐚𝐥 𝐂𝐡𝐚𝐦𝐩𝐢𝐨𝐧𝐬𝐡𝐢𝐩 𝟐𝟎𝟐𝟏  &#10;.&#10;มาเชียร์ตัวแทนทีมไทยลุยชิงแชมป์โลก 🇹🇭Buriram United Esports และ 🇹🇭Attack All Around  💵เงินราง"/>
        <s v="🎬 PGC Moments #4 รวมช็อทเฟี้ยวปั่นลั่นทุ่ง จากการแข่งขันพับจีชิงแชมป์โลก 2021 𝐏𝐔𝐁𝐆 𝐆𝐥𝐨𝐛𝐚𝐥 𝐂𝐡𝐚𝐦𝐩𝐢𝐨𝐧𝐬𝐡𝐢𝐩 𝟐𝟎𝟐𝟏&#10;.&#10;ร่วมลุ้น 2 ตัวแทนทีมไทย 🇹🇭Buriram United Esports และ 🇹🇭Attack All Around กันต่อในรอบ Grand Survival กับกฎกินไก่ 4 "/>
        <s v="🏆 ร่วมชี้ชะตา  4 ทีมสุดท้าย รอบ 𝗚𝗿𝗮𝗻𝗱 𝗦𝘂𝗿𝘃𝗶𝘃𝗮𝗹  เชียร์ 2 ทีมไทย 🇹🇭Buriram United Esports และ 🇹🇭Attack All Around ให้ผ่านเข้าสู่รอบ Grand Final ในเวทีชิงแชมป์โลก 𝐏𝐔𝐁𝐆 𝐆𝐥𝐨𝐛𝐚𝐥 𝐂𝐡𝐚𝐦𝐩𝐢𝐨𝐧𝐬𝐡𝐢𝐩 𝟐𝟎𝟐𝟏 ไปด้วยกันตั้งแต่เวลา"/>
        <s v="🎬ไฮไลท์จัดเต็มการแข่งขัน รอบ 𝗪𝗲𝗲𝗸𝗹𝘆 𝗙𝗶𝗻𝗮𝗹 สัปดาห์ที่ 3 ในเวทีชิงแชมป์โลก 𝐏𝐔𝐁𝐆 𝐆𝐥𝐨𝐛𝐚𝐥 𝐂𝐡𝐚𝐦𝐩𝐢𝐨𝐧𝐬𝐡𝐢𝐩 𝟐𝟎𝟐𝟏&#10;&#10;.&#10;ร่วมลุ้น 2 ตัวแทนทีมไทย 🇹🇭Buriram United Esports และ 🇹🇭Attack All Around กันต่อในรอบ Grand Survival กับกฎกิ"/>
        <s v="📢ทีม Petrichor Road 🇨🇳 แชมป์ “PUBG Continental Series #5 - ASIA” ได้ไปสองไก่และเงินรางวัลรวม 54,000 ดอลลาร์หรือเกือบๆ 2,000,000 บาทพร้อมคว้าตั๋วไปเจอทีมไทยใน PUBG Global Championship 2021 &#10;&#10;พากย์ไทยจัดเต็มความมันส์! ทุกวันเสาร์ - อาทิตย์ เวลา &#10;17.00 น."/>
        <s v="🏆🌏 สรุปตารางคะแนน รอบ 𝗕𝗼𝘁𝘁𝗼𝗺 𝟭𝟲 สัปดาห์ที่ 1&#10;&#10;🇹🇭Attack All Around ของเราจบอันดับ 11 ของตาราง จะได้ลงเล่นรอบ Weekly Survival  สัปดาห์ที่ 2 วันที่ 3 แมทช์ที่ 12  ในเวทีชิงแชมป์โลก 𝐏𝐔𝐁𝐆 𝐆𝐥𝐨𝐛𝐚𝐥 𝐂𝐡𝐚𝐦𝐩𝐢𝐨𝐧𝐬𝐡𝐢𝐩 𝟐𝟎𝟐𝟏  &#10;&#10;.&#10;มาเช"/>
        <s v="🏆🌏 พบกับเหล่านักพากย์ที่จะมาสร้างความมันส์ตลอดการแข่งขัน กับเวทีชิงแชมป์โลก 𝐏𝐔𝐁𝐆 𝐆𝐥𝐨𝐛𝐚𝐥 𝐂𝐡𝐚𝐦𝐩𝐢𝐨𝐧𝐬𝐡𝐢𝐩 𝟐𝟎𝟐𝟏 🔥&#10;.&#10;มาเชียร์ตัวแทนทีมไทยลุยชิงแชมป์โลก 🇹🇭Buriram United Esports และ 🇹🇭Attack All Around  💵เงินรางวัลรวมกว่า 60 ล้าน"/>
        <s v="🏆🌏 ปักเวลารอกันได้เลยกับตารางการแข่งขัน รอบ 𝗥𝗮𝗻𝗸 𝗗𝗲𝗰𝗶𝘀𝗶𝗼𝗻 ในเวทีชิงแชมป์โลก 𝐏𝐔𝐁𝐆 𝐆𝐥𝐨𝐛𝐚𝐥 𝐂𝐡𝐚𝐦𝐩𝐢𝐨𝐧𝐬𝐡𝐢𝐩 𝟐𝟎𝟐𝟏 🔥&#10;.&#10;มาเชียร์ตัวแทนทีมไทยลุยชิงแชมป์โลก 🇹🇭Buriram United Esports และ 🇹🇭Attack All Around  💵เงินรางวัลรวม"/>
        <s v="🏆🌏 มาร่วมเชียร์อีก 1 ทีมไทย 🇹🇭Attack All Around ให้ติดอันดับต้น ๆ ในรอบ 𝗕𝗼𝘁𝘁𝗼𝗺 𝟭𝟲 สัปดาห์ที่ 2 ไปด้วยกัน ในเวทีชิงแชมป์โลก 𝐏𝐔𝐁𝐆 𝐆𝐥𝐨𝐛𝐚𝐥 𝐂𝐡𝐚𝐦𝐩𝐢𝐨𝐧𝐬𝐡𝐢𝐩 𝟐𝟎𝟐𝟏 ตั้งแต่เวลา 17.00 น.เป็นต้นไป !!&#10;.&#10;มาเชียร์ตัวแทนทีมไทยลุยชิงแชม"/>
        <s v="🔥🔥ส่งท้ายไก่เกมสุดท้ายสวย ๆ Gen.G ตัวแทนจากประเทศเกาหลีใต้ พวกเขากลับมาแรงในวีคนี้ &#10;.&#10;คว้าอันดับ 1 รอบ 𝗪𝗲𝗲𝗸𝗹𝘆 𝗙𝗶𝗻𝗮𝗹 สัปดาห์สุดท้ายไปครอง พร้อมเข้าไปสู่รอบ Grand Final  เป็นทีมที่ 3 ในเวทีชิงแชมป์โลก 𝐏𝐔𝐁𝐆 𝐆𝐥𝐨𝐛𝐚𝐥 𝐂𝐡𝐚𝐦𝐩𝐢𝐨𝐧𝐬𝐡�"/>
        <s v="🏆🌏ศึกชิงเมืองกำลังจะลุกเป็นไฟ🔥 กับเวทีชิงแชมป์โลก 𝐏𝐔𝐁𝐆 𝐆𝐥𝐨𝐛𝐚𝐥 𝐂𝐡𝐚𝐦𝐩𝐢𝐨𝐧𝐬𝐡𝐢𝐩 𝟐𝟎𝟐𝟏  🔥 รอบ 𝗥𝗮𝗻𝗸 𝗗𝗲𝗰𝗶𝘀𝗶𝗼𝗻 วันที่ 2 ตั้งแต่เวลา 11:00 น.เป็นต้นไป !!! &#10;.&#10;มาเชียร์ตัวแทนทีมไทยลุยชิงแชมป์โลก 🇹🇭Buriram United Esports และ "/>
        <s v="🏆🌏  พร้อมเปิดศึกใหญ่ที่จะลุกเป็นไฟ กับเวทีชิงแชมป์โลก 𝐏𝐔𝐁𝐆 𝐆𝐥𝐨𝐛𝐚𝐥 𝐂𝐡𝐚𝐦𝐩𝐢𝐨𝐧𝐬𝐡𝐢𝐩 𝟐𝟎𝟐𝟏  🔥 รอบ 𝗥𝗮𝗻𝗸 𝗗𝗲𝗰𝗶𝘀𝗶𝗼𝗻 วันแรก ตั้งแต่เวลา 11:00 น.เป็นต้นไป !!! &#10;.&#10;มาเชียร์ตัวแทนทีมไทยลุยชิงแชมป์โลก 🇹🇭Buriram United Esports และ"/>
        <s v="🔥🔥ศึกชิงเมืองจะเป็นของใคร ? วันนี้มาลุ้นกัน 11.00 น. 17 Gaming นำ Soniqs อยู่ 4-2 ไฟท์ กับเวทีชิงแชมป์โลก 𝐏𝐔𝐁𝐆 𝐆𝐥𝐨𝐛𝐚𝐥 𝐂𝐡𝐚𝐦𝐩𝐢𝐨𝐧𝐬𝐡𝐢𝐩 𝟐𝟎𝟐𝟏  🔥 รอบ 𝗥𝗮𝗻𝗸 𝗗𝗲𝗰𝗶𝘀𝗶𝗼𝗻 &#10;&#10;.&#10;มาเชียร์ตัวแทนทีมไทยลุยชิงแชมป์โลก 🇹🇭Buriram United"/>
        <s v="🏆🌏ลุ้นกันต่อให้ทีมไทยติดอันดับ 16 ทีมแรก 🔥 กับเวทีชิงแชมป์โลก 𝐏𝐔𝐁𝐆 𝐆𝐥𝐨𝐛𝐚𝐥 𝐂𝐡𝐚𝐦𝐩𝐢𝐨𝐧𝐬𝐡𝐢𝐩 𝟐𝟎𝟐𝟏  🔥 รอบ 𝗥𝗮𝗻𝗸 𝗗𝗲𝗰𝗶𝘀𝗶𝗼𝗻 วันที่ 3 ตั้งแต่เวลา 11:00 น.เป็นต้นไป !!! &#10;.&#10;มาเชียร์ตัวแทนทีมไทยลุยชิงแชมป์โลก 🇹🇭Buriram United "/>
        <s v="🎬ไฮไลท์จัดเต็มการแข่งขัน รอบ 𝗪𝗲𝗲𝗸𝗹𝘆 𝗦𝘂𝗿𝘃𝗶𝘃𝗮𝗹 สัปดาห์ที่ 2 ในเวทีชิงแชมป์โลก 𝐏𝐔𝐁𝐆 𝐆𝐥𝐨𝐛𝐚𝐥 𝐂𝐡𝐚𝐦𝐩𝐢𝐨𝐧𝐬𝐡𝐢𝐩 𝟐𝟎𝟐𝟏&#10;&#10;◾ร่วมเชียร์ 🇹🇭Buriram United Esports ลุยต่อวัน เสาร์-อาทิตย์นี้ รอบ 𝗪𝗲𝗲𝗸𝗹𝘆 𝗙𝗶𝗻𝗮𝗹 สัปดาห์ที่ 2 "/>
        <s v="🇹🇭🎥ไฮไลท์ TEAM TALKS เปิดไมค์วินาทีกินไก่ ของ Attack All Around รอบ 𝗪𝗲𝗲𝗸𝗹𝘆 𝗦𝘂𝗿𝘃𝗶𝘃𝗮𝗹 สัปดาห์ที่ 3  ในเวทีชิงแชมป์โลก 𝐏𝐔𝐁𝐆 𝐆𝐥𝐨𝐛𝐚𝐥 𝐂𝐡𝐚𝐦𝐩𝐢𝐨𝐧𝐬𝐡𝐢𝐩 𝟐𝟎𝟐𝟏&#10;&#10;◾ร่วมเชียร์ 🇹🇭Attack All Around ลุยต่อในวันนี้ รอบ 𝗪𝗲𝗲𝗸𝗹𝘆"/>
        <s v="🏆🌏  วันสุดท้าย รอบ 𝗪𝗲𝗲𝗸𝗹𝘆 𝗙𝗶𝗻𝗮𝗹 สัปดาห์แรก 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&#10;.&#10;มาเชียร์ตัวแทนทีมไทยลุยชิงแชมป์โลก 🇹🇭Buriram United Esports และ 🇹🇭"/>
        <s v="🏆🌏 มันส์กันต่อกับรอบ 𝗪𝗲𝗲𝗸𝗹𝘆 𝗙𝗶𝗻𝗮𝗹 สัปดาห์แรก ลุ้นให้ไทยคว้าตั๋วเข้าสู่รอบ Grand Final ไปให้ได้ ในเวทีชิงแชมป์โลก 𝐏𝐔𝐁𝐆 𝐆𝐥𝐨𝐛𝐚𝐥 𝐂𝐡𝐚𝐦𝐩𝐢𝐨𝐧𝐬𝐡𝐢𝐩 𝟐𝟎𝟐𝟏  &#10;.&#10;มาเชียร์ตัวแทนทีมไทยลุยชิงแชมป์โลก 🇹🇭Buriram United Esports และ 🇹�"/>
        <s v="🇹🇭🎥ไฮไลท์ TEAM TALKS เปิดไมค์วินาทีกินไก่ ของ  Buriram United Esports ในเวทีชิงแชมป์โลก 𝐏𝐔𝐁𝐆 𝐆𝐥𝐨𝐛𝐚𝐥 𝐂𝐡𝐚𝐦𝐩𝐢𝐨𝐧𝐬𝐡𝐢𝐩 𝟐𝟎𝟐𝟏&#10;&#10;.&#10;ร่วมลุ้น 2 ตัวแทนทีมไทย 🇹🇭Buriram United Esports และ 🇹🇭Attack All Around กันต่อในรอบ Grand Survival ก"/>
        <s v="🏆🌏อัพเดทตารางคะแนนรวมทั้งหมด 32 ทีม วันแรก พรุ่งนี้มาลุ้นกันต่อกับศึกชิงเมือง 3 ทีม Attack All Around , Soniqs และ 17 Gaming  ตั้งแต่เวลา 11.00 น.เป็นต้นไป !!&#10;&#10;.&#10;ในเวทีชิงแชมป์โลก 𝐏𝐔𝐁𝐆 𝐆𝐥𝐨𝐛𝐚𝐥 𝐂𝐡𝐚𝐦𝐩𝐢𝐨𝐧𝐬𝐡𝐢𝐩 𝟐𝟎𝟐𝟏  🔥 รอบ 𝗥𝗮𝗻𝗸 "/>
        <s v="🇹🇭🍗 ผลงานทีม 🇹🇭Attack All Around แมทช์ 14 ที่กินไก่ รอบ 𝗪𝗲𝗲𝗸𝗹𝘆 𝗦𝘂𝗿𝘃𝗶𝘃𝗮𝗹 สัปดาห์ที่ 3 และเข้าสู่รอบ Weekly Final ได้สำเร็จในเวทีชิงแชมป์โลก 𝐏𝐔𝐁𝐆 𝐆𝐥𝐨𝐛𝐚𝐥 𝐂𝐡𝐚𝐦𝐩𝐢𝐨𝐧𝐬𝐡𝐢𝐩 𝟐𝟎𝟐𝟏&#10;&#10;.&#10;มาเชียร์ตัวแทนทีมไทยลุยชิงแชมป์โลก 🇹�"/>
        <s v="🏆5 เกมสุดท้าย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&#10;.&#10;มาเชียร์ตัวแทนทีมไทยลุยชิงแชมป์โลก �"/>
        <s v="🏆เสาร์-อาทิตย์นี้ ส่งแรงใจเชียร์ทีมไทย 🇹🇭Attack All Around รอบ 𝗪𝗲𝗲𝗸𝗹𝘆 𝗙𝗶𝗻𝗮𝗹 สัปดาห์สุดท้าย ให้ผ่านเข้าสู่รอบ Grand Final ไปด้วยกัน  ในเวทีชิงแชมป์โลก 𝐏𝐔𝐁𝐆 𝐆𝐥𝐨𝐛𝐚𝐥 𝐂𝐡𝐚𝐦𝐩𝐢𝐨𝐧𝐬𝐡𝐢𝐩 𝟐𝟎𝟐𝟏 &#10;.&#10;มาเชียร์ตัวแทนทีมไทยลุยชิงแชมป์โ"/>
        <s v="🏆🌏 มาดูผลงานทีม 🇹🇭Buriram United Esports  แมทช์ที่พวกเขาได้กินไก่กันใน รอบ 𝗪𝗲𝗲𝗸𝗹𝘆 𝗦𝘂𝗿𝘃𝗶𝘃𝗮𝗹 สัปดาห์ที่ 1 แมทช์ที่ 16 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"/>
        <s v="🏆🌏 สรุปตารางคะแนน 32 ทีม รอบ 𝗥𝗮𝗻𝗸 𝗗𝗲𝗰𝗶𝘀𝗶𝗼𝗻  วันสุดท้าย&#10;&#10;ในเวทีชิงแชมป์โลก 𝐏𝐔𝐁𝐆 𝐆𝐥𝐨𝐛𝐚𝐥 𝐂𝐡𝐚𝐦𝐩𝐢𝐨𝐧𝐬𝐡𝐢𝐩 𝟐𝟎𝟐𝟏 อันดับ 1-16 จะได้ลงแข่งขันก่อนในแมทช์ที่ 1รอบ 𝗪𝗲𝗲𝗸𝗹𝘆 𝗦𝘂𝗿𝘃𝗶𝘃𝗮𝗹 สัปดาห์ที่ 1 เริ่มวันอังคารที่ 23 พ"/>
        <s v="🏆🌏 Player of the day  𝗪𝗲𝗲𝗸𝗹𝘆 𝗙𝗶𝗻𝗮𝗹 สัปดาห์ที่ 1 วันที่ 1&#10;&#10;ตกเป็นของ Capitan จากทีม KPI Gaming ที่ทำผลงาน Kills วันแรก จาก 5 เกมไป 12 kills  ในเวทีชิงแชมป์โลก 𝐏𝐔𝐁𝐆 𝐆𝐥𝐨𝐛𝐚𝐥 𝐂𝐡𝐚𝐦𝐩𝐢𝐨𝐧𝐬𝐡𝐢𝐩 𝟐𝟎𝟐𝟏  &#10;.&#10;มาเชียร์ตัวแทนทีมไทยลุยช"/>
        <s v="🎥ไฮไลท์จัดเต็มการแข่งขัน รอบ 𝗪𝗲𝗲𝗸𝗹𝘆 𝗦𝘂𝗿𝘃𝗶𝘃𝗮𝗹 สัปดาห์ที่ 3 ในเวทีชิงแชมป์โลก 𝐏𝐆𝐂𝟐𝟎𝟐𝟏&#10;&#10;🎬ไฮไลท์จัดเต็มการแข่งขัน รอบ 𝗪𝗲𝗲𝗸𝗹𝘆 𝗦𝘂𝗿𝘃𝗶𝘃𝗮𝗹 สัปดาห์ที่ 3 ในเวทีชิงแชมป์โลก 𝐏𝐔𝐁𝐆 𝐆𝐥𝐨𝐛𝐚𝐥 𝐂𝐡𝐚𝐦𝐩𝐢𝐨𝐧𝐬𝐡𝐢𝐩 𝟐𝟎𝟐𝟏&#10;&#10;"/>
        <s v="🏆🌏 วันหยุดไม่ได้ไปไหนรอเชียร์ทีมไทย รอบ 𝗪𝗲𝗲𝗸𝗹𝘆 𝗙𝗶𝗻𝗮𝗹 สัปดาห์ที่ 2 วันที่ 2 ให้คว้าแชมป์วีคนี้ผ่านเข้าสู่รอบ Grand Final ไปด้วยกัน ในเวทีชิงแชมป์โลก 𝐏𝐔𝐁𝐆 𝐆𝐥𝐨𝐛𝐚𝐥 𝐂𝐡𝐚𝐦𝐩𝐢𝐨𝐧𝐬𝐡𝐢𝐩 𝟐𝟎𝟐𝟏 ตั้งแต่เวลา 17.00 น.เป็นต้นไป !!&#10;.&#10;มาเ"/>
        <s v="🏆🌏 สรุปตารางคะแนน รอบ 𝗪𝗲𝗲𝗸𝗹𝘆 𝗙𝗶𝗻𝗮𝗹 สัปดาห์ที่ 2 วันที่ 1&#10;&#10;เชียร์ทีมไทยกันต่อพรุ่งนี้อีก 1 วัน รอบ 𝗪𝗲𝗲𝗸𝗹𝘆 𝗙𝗶𝗻𝗮𝗹 สัปดาห์ที่ 2 ในเวทีชิงแชมป์โลก 𝐏𝐔𝐁𝐆 𝐆𝐥𝐨𝐛𝐚𝐥 𝐂𝐡𝐚𝐦𝐩𝐢𝐨𝐧𝐬𝐡𝐢𝐩 𝟐𝟎𝟐𝟏 ตั้งแต่เวลา 17.00 น.เป็นต้นไป !!&#10;"/>
        <s v="🏆🌏 เชียร์ 🇹🇭Buriram United Esport ไปด้วยกัน รอบ 𝗪𝗲𝗲𝗸𝗹𝘆 𝗙𝗶𝗻𝗮𝗹 สัปดาห์ที่ 2 วันที่ 1  ในเวทีชิงแชมป์โลก 𝐏𝐔𝐁𝐆 𝐆𝐥𝐨𝐛𝐚𝐥 𝐂𝐡𝐚𝐦𝐩𝐢𝐨𝐧𝐬𝐡𝐢𝐩 𝟐𝟎𝟐𝟏 ให้คว้าแชมป์วีคนี้ผ่านเข้าสู่รอบ Grand Final ไปด้วยกัน ตั้งแต่เวลา 17.00 น.เป็นต้น"/>
        <s v="🏆🌏 สรุปทีมกินไก่รอบ 𝗪𝗲𝗲𝗸𝗹𝘆 𝗦𝘂𝗿𝘃𝗶𝘃𝗮𝗹 สัปดาห์ที่ 3 วันที่ 3&#10;&#10;วีคนี้ 🇹🇭Attack All Around  พวกเขาปลดล็อคได้แล้ว จะเข้าไปแข่งขันต่อรอบ Weekly Final สัปดาห์ที่ 3 เสาร์-อาทิตย์นี้ บนเวทีชิงแชมป์โลก 𝐏𝐔𝐁𝐆 𝐆𝐥𝐨𝐛𝐚𝐥 𝐂𝐡𝐚𝐦𝐩𝐢𝐨𝐧𝐬𝐡𝐢𝐩"/>
        <s v="🔥🔥ก่อนแข่งวันสุดท้าย เรามาดู Head To Head ของ 2 ทีม ที่กำลังเข้มข้นแย่งชิงอันดับ 1 กัน ระหว่าง Natus Vincere(NaVi)  𝗩𝘀 Gen.G &#10;&#10;หลังจบ 5 เกมวันแรก รอบ 𝗪𝗲𝗲𝗸𝗹𝘆 𝗙𝗶𝗻𝗮𝗹 สัปดาห์สุดท้าย ในเวทีชิงแชมป์โลก 𝐏𝐔𝐁𝐆 𝐆𝐥𝐨𝐛𝐚𝐥 𝐂𝐡𝐚𝐦𝐩𝐢𝐨𝐧𝐬𝐡𝐢"/>
        <s v="🏆🌏อัพเดทตารางคะแนน 32 ทีม หลังจบกลุ่ม A VS C&#10;🇹🇭Buriram United Esports วันนี้มาดีกินไก่แรกให้ไทยและเก็บคะแนนเพิ่มไป 48 แต้ม รวม 65 แต้มขึ้นมาอยู่อันดับ 15 วันที่ 2&#10;.&#10;ในเวทีชิงแชมป์โลก 𝐏𝐔𝐁𝐆 𝐆𝐥𝐨𝐛𝐚𝐥 𝐂𝐡𝐚𝐦𝐩𝐢𝐨𝐧𝐬𝐡𝐢𝐩 𝟐𝟎𝟐𝟏  🔥 รอบ 𝗥𝗮"/>
        <s v="🇹🇭พวกเขามาแล้ว 🇹🇭Attack All Around ทำได้หลังลงเพียง 2 เกมเท่านั้น กินไก่เกมที่ 14 ไปได้ในรอบ  𝗪𝗲𝗲𝗸𝗹𝘆 𝗦𝘂𝗿𝘃𝗶𝘃𝗮𝗹 สัปดาห์ที่ 3 บนเวทีชิงแชมป์โลก 𝐏𝐔𝐁𝐆 𝐆𝐥𝐨𝐛𝐚𝐥 𝐂𝐡𝐚𝐦𝐩𝐢𝐨𝐧𝐬𝐡𝐢𝐩 𝟐𝟎𝟐𝟏 !!&#10;&#10;.&#10;เชียร์ 🇹🇭Buriram United Esports "/>
        <s v="🏆12 ทีมแรกที่จะเข้าไปรอรอบ  𝗚𝗿𝗮𝗻𝗱 𝗙𝗶𝗻𝗮𝗹 แบ่งเป็น 3 ทีมอันดับ 1 รอบ Weekly Final และ 9 ทีมที่มีคะแนนรวมดีที่สุด ในเวทีชิงแชมป์โลก 𝐏𝐔𝐁𝐆 𝐆𝐥𝐨𝐛𝐚𝐥 𝐂𝐡𝐚𝐦𝐩𝐢𝐨𝐧𝐬𝐡𝐢𝐩 𝟐𝟎𝟐𝟏 วันที่ 17-19 ธ.ค. นี้&#10;.&#10;ร่วมลุ้น 2 ตัวแทนทีมไทย 🇹🇭Buriram"/>
        <s v="🏆 สรุปตารางคะแนน  รอบ 𝗪𝗲𝗲𝗸𝗹𝘆 𝗙𝗶𝗻𝗮𝗹 สัปดาห์ที่ 3 วันที่ 1&#10;&#10;Natus Vincere และ Gen.G  เข้มข้นกันตั้งแต่วันแรก อยู่หัวตารางหลังจบ 5 เกม เชียร์ทีมไทย 🇹🇭Attack All Around กันต่อ ในเวทีชิงแชมป์โลก 𝐏𝐔𝐁𝐆 𝐆𝐥𝐨𝐛𝐚𝐥 𝐂𝐡𝐚𝐦𝐩𝐢𝐨𝐧𝐬𝐡𝐢𝐩 𝟐𝟎"/>
        <s v="🏆🌏 สรุปทีมกินไก่รอบ 𝗪𝗲𝗲𝗸𝗹𝘆 𝗦𝘂𝗿𝘃𝗶𝘃𝗮𝗹 สัปดาห์ที่ 3 วันที่ 1&#10;&#10;ลุ้นทีมไทยกินไก่กันต่อวันพรุ่งนี้ รอบ 𝗪𝗲𝗲𝗸𝗹𝘆 𝗦𝘂𝗿𝘃𝗶𝘃𝗮𝗹 สัปดาห์ที่ 3 เวลา 17.00 น.เป็นต้นไป !!!&#10;&#10;.&#10;มาเชียร์ตัวแทนทีมไทยลุยชิงแชมป์โลก 🇹🇭Buriram United Esports และ 🇹�"/>
        <s v="🔥🔥ก่อนแข่งมาดู Head To Head Player 2 ผู้เล่นที่มาแรงวีคนี้ว่าใครจะโหดกว่ากันหลังจบ รอบ 𝗪𝗲𝗲𝗸𝗹𝘆 𝗙𝗶𝗻𝗮𝗹 สัปดาห์ที่ 2  วันแรก จาก 5 เกมล่าสุด ระหว่าง Savior จากทีม Global Esports Xsset ปะทะกับ Heaven จากทีม GNL ESPORTS ในเวทีชิงแชมป์โลก 𝐏𝐔𝐁𝐆 �"/>
        <s v="🍗สรุปทีมกินไก่ 𝗪𝗲𝗲𝗸𝗹𝘆 𝗦𝘂𝗿𝘃𝗶𝘃𝗮𝗹 สัปดาห์ที่ 2 วันที่ 3&#10;.&#10;ครบแล้วสำหรับ 16 ทีมที่จะเข้าไปแข่งขันต่อรอบ Weekly Final สัปดาห์ที่ 2 ในเวทีชิงแชมป์โลก 𝐏𝐔𝐁𝐆 𝐆𝐥𝐨𝐛𝐚𝐥 𝐂𝐡𝐚𝐦𝐩𝐢𝐨𝐧𝐬𝐡𝐢𝐩 𝟐𝟎𝟐𝟏 ร่วมเชียร์ 🇹🇭Buriram United Esports กั"/>
        <s v="🏆🌏 วันที่ 2 สัปดาห์ที่ 2 รอบ 𝗪𝗲𝗲𝗸𝗹𝘆 𝗦𝘂𝗿𝘃𝗶𝘃𝗮𝗹 มันส์กันต่อในเวทีชิงแชมป์โลก 𝐏𝐔𝐁𝐆 𝐆𝐥𝐨𝐛𝐚𝐥 𝐂𝐡𝐚𝐦𝐩𝐢𝐨𝐧𝐬𝐡𝐢𝐩 𝟐𝟎𝟐𝟏 เวลา 17.00 น.เป็นต้นไป !!! &#10;&#10;.&#10;มาเชียร์ตัวแทนทีมไทยลุยชิงแชมป์โลก 🇹🇭Buriram United Esports และ 🇹🇭Attack A"/>
        <s v="Team Liquid คว้าอันดับ 1 รอบ 𝗪𝗲𝗲𝗸𝗹𝘆 𝗙𝗶𝗻𝗮𝗹 สัปดาห์ที่ 2 ไปครอง พร้อมการันตีตั๋ว เข้าไปแข่งขันรอบ Grand Final เป็นทีมที่ 2 ได้สำเร็จ  ในเวทีชิงแชมป์โลก 𝐏𝐔𝐁𝐆 𝐆𝐥𝐨𝐛𝐚𝐥 𝐂𝐡𝐚𝐦𝐩𝐢𝐨𝐧𝐬𝐡𝐢𝐩 𝟐𝟎𝟐𝟏&#10;.&#10;มาเชียร์ตัวแทนทีมไทยลุยชิงแชมป์โลก �"/>
        <s v="🏆🌏  5 แมทช์สุดท้ายรอบ  𝗪𝗲𝗲𝗸𝗹𝘆 𝗦𝘂𝗿𝘃𝗶𝘃𝗮𝗹 สัปดาห์ที่ 3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&#10;.&#10;มาเชียร์ตัวแทนทีมไทยลุยชิงแชมป์โลก 🇹🇭Buriram United Espo"/>
        <s v="🏆🌏อัพเดทตารางคะแนนกลุ่ม A VS B &#10;เปิดมาวันแรก Gen.G มาแรงอยู่ที่ 1ของกลุ่ม ไทยของเรา 🇹🇭Attack All Around อยู่อันดับที่ 4 เก็บมา 39 คะแนน และ 🇹🇭Buriram United Esports  อยู่อันดับ 15 เก็บมา 17 คะแนน &#10;.&#10;ในเวทีชิงแชมป์โลก 𝐏𝐔𝐁𝐆 𝐆𝐥𝐨𝐛𝐚𝐥 𝐂𝐡𝐚𝐦𝐩"/>
        <s v="🏆🌏 ลุยต่อ สัปดาห์ที่ 3 วันที่ 2  รอบ 𝗪𝗲𝗲𝗸𝗹𝘆 𝗦𝘂𝗿𝘃𝗶𝘃𝗮𝗹 เชียร์ไทยกินไก่ไปด้วยกัน  ในเวทีชิงแชมป์โลก 𝐏𝐔𝐁𝐆 𝐆𝐥𝐨𝐛𝐚𝐥 𝐂𝐡𝐚𝐦𝐩𝐢𝐨𝐧𝐬𝐡𝐢𝐩 𝟐𝟎𝟐𝟏 เวลา 17.00 น.เป็นต้นไป !!!&#10;&#10;.&#10;มาเชียร์ตัวแทนทีมไทยลุยชิงแชมป์โลก 🇹🇭Buriram United Es"/>
        <s v="🏆🌏 สรุปตารางคะแนนรอบ 𝗪𝗲𝗲𝗸𝗹𝘆 𝗙𝗶𝗻𝗮𝗹 สัปดาห์ที่ 1 วันที่ 1&#10;&#10;หัวตารางเข้มข้นหลังจบ 5 เกมวันแรก และ 🇹🇭Buriram United Esports วันนี้เก็บคะแนนไปได้ 18 แต้ม อยู่อันดับที่ 13 ของตาราง ลุ้นกันต่อพรุ่งนี้ 5 แมทช์สุดท้าย ในเวทีชิงแชมป์โลก 𝐏𝐔𝐁𝐆 𝐆𝐥"/>
        <s v="🏆🌏 ลุยกันใหม่ สัปดาห์ที่ 2 รอบ 𝗪𝗲𝗲𝗸𝗹𝘆 𝗦𝘂𝗿𝘃𝗶𝘃𝗮𝗹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 &#10;.&#10;มาเชียร์ตัวแทนทีมไทยลุยชิงแชมป์โลก 🇹🇭Buriram United Esports "/>
        <s v="🍗🇹🇭 🇹🇭Buriram United Esports มาเร็วตั้งแต่วันแรก กินไก่เกมที่ 3 ผ่านเข้าสู่รอบ Weekly Final สัปดาห์ที่ 2 ได้สำเร็จ  !! 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am United "/>
        <s v="🏆🌏 ครึ่งทางแล้วสำหรับการแข่งขัน ลุยกันต่อ รอบ 𝗪𝗲𝗲𝗸𝗹𝘆 𝗦𝘂𝗿𝘃𝗶𝘃𝗮𝗹 สัปดาห์ที่ 3 ลุ้นทีมไทยกินไก่ไปด้วยกัน ในเวทีชิงแชมป์โลก 𝐏𝐔𝐁𝐆 𝐆𝐥𝐨𝐛𝐚𝐥 𝐂𝐡𝐚𝐦𝐩𝐢𝐨𝐧𝐬𝐡𝐢𝐩 𝟐𝟎𝟐𝟏 เวลา 17.00 น.เป็นต้นไป !!!&#10;.&#10;มาเชียร์ตัวแทนทีมไทยลุยชิงแชมป์โลก "/>
        <s v="🏆🌏อัพเดทตารางคะแนน 32 ทีม หลังจบกลุ่ม B VS D&#10;Gen.G  ยังคงรักษาหัวตารางและเป็นทีมแรก ที่เก็บ Double WWCD 2 วันติด และทีมไทยของเรา 🇹🇭Attack All Around เก็บเพิ่มมาได้เพียง 5 แต้ม วันที่ 2 ส่งกำลังใจเชียร์ทีมไทยกันต่อไป !!&#10;.&#10;ในเวทีชิงแชมป์โลก 𝐏𝐔𝐁𝐆 𝐆�"/>
        <s v="🏆🌏 วันนี้เวลา17.00 น.เป็นต้นไป !!! วันแรกของรอบ 𝗪𝗲𝗲𝗸𝗹𝘆 𝗦𝘂𝗿𝘃𝗶𝘃𝗮𝗹 สัปดาห์ที่ 1 เตรียมส่งเสียงเชียร์ไทยให้เข้าสู่รอบ Weekly Final ไปด้วยกัน ในเวทีชิงแชมป์โลก 𝐏𝐔𝐁𝐆 𝐆𝐥𝐨𝐛𝐚𝐥 𝐂𝐡𝐚𝐦𝐩𝐢𝐨𝐧𝐬𝐡𝐢𝐩 𝟐𝟎𝟐𝟏 &#10;.&#10;มาเชียร์ตัวแทนทีมไทยลุยชิ"/>
        <s v="&quot; สู้ ไม่ ถอย &quot; ขอ 3 คำ ก่อนแข่ง !!! ส่งกำลังใจเขียร์ไทยกินไก่ไปด้วยกันวันสุดท้ายรอบ  𝗪𝗲𝗲𝗸𝗹𝘆 𝗦𝘂𝗿𝘃𝗶𝘃𝗮𝗹 สัปดาห์ที่ 3 ในเวทีชิงแชมป์โลก 𝐏𝐔𝐁𝐆 𝐆𝐥𝐨𝐛𝐚𝐥 𝐂𝐡𝐚𝐦𝐩𝐢𝐨𝐧𝐬𝐡𝐢𝐩 𝟐𝟎𝟐𝟏 เวลา 17.00 น.เป็นต้นไป !!!&#10;&#10;.&#10;มาเชียร์ตัวแทนทีมไทยลุ"/>
        <s v="🥇 KPI Gaming คว้าอันดับ 1 รอบ 𝗪𝗲𝗲𝗸𝗹𝘆 𝗙𝗶𝗻𝗮𝗹 สัปดาห์ที่ 1 พร้อมการันตีตั๋ว เข้าไปแข่งขันรอบ Grand Final เป็นทีมแรก และรับเงินรางวัล 30,000 USD ไปได้สำเร็จ ในเวทีชิงแชมป์โลก 𝐏𝐔𝐁𝐆 𝐆𝐥𝐨𝐛𝐚𝐥 𝐂𝐡𝐚𝐦𝐩𝐢𝐨𝐧𝐬𝐡𝐢𝐩 𝟐𝟎𝟐𝟏 &#10;&#10;.&#10;มาเชียร์ตัวแ"/>
        <s v="❤️👫 มาร่วมสนุกและเชียร์ทีมที่คุณชื่นชอบ ในศึก PGC2021 กับกิจกรรม &quot;การ์ดเชียร์ทีมรัก&quot; โดยสาวกสามารถเข้าไปสร้างการ์ดเชียร์ทีมรักที่มีชื่อคุณและทีมที่เชียร์อยู่ในการ์ด ▶▶ เข้าไปที่เวปไซต์ เพื่อสร้างการ์ดเชียร์ของคุณได้เลยที่ : ▶▶ https://pgc2021event.com&#10;&#10;⭐"/>
        <s v="🇹🇭🇹🇭ผลงานผู้เล่นไทยรอบ 𝗥𝗮𝗻𝗸 𝗗𝗲𝗰𝗶𝘀𝗶𝗼𝗻 ในเวทีชิงแชมป์โลก 𝐏𝐔𝐁𝐆 𝐆𝐥𝐨𝐛𝐚𝐥 𝐂𝐡𝐚𝐦𝐩𝐢𝐨𝐧𝐬𝐡𝐢𝐩 𝟐𝟎𝟐𝟏 &#10;.&#10;อันดับทีมไทย 🇹🇭&#10;🎖อันดับ 15 Buriram United Esports &#10;🎖อันดับ 28 Attack All Around  (จะได้ลงเล่นในแมทช์ที่ 13 )&#10;.&#10;มาเชียร์ตั"/>
        <s v="🇹🇭🍗 ผลงานทีม 🇹🇭Buriram United Esports  แมทช์ 3 ที่กินไก่ รอบ 𝗪𝗲𝗲𝗸𝗹𝘆 𝗦𝘂𝗿𝘃𝗶𝘃𝗮𝗹 สัปดาห์ที่ 2 และเข้าสู่รอบ Weekly Final ได้สำเร็จในเวทีชิงแชมป์โลก 𝐏𝐔𝐁𝐆 𝐆𝐥𝐨𝐛𝐚𝐥 𝐂𝐡𝐚𝐦𝐩𝐢𝐨𝐧𝐬𝐡𝐢𝐩 𝟐𝟎𝟐𝟏&#10;&#10;.&#10;มาเชียร์ตัวแทนทีมไทยลุยชิงแชมป์โล"/>
        <s v="🏆🌏 ลุ้นทีมไทยกินไก่กันต่อ เวลา17.00 น.เป็นต้นไป ! รอบ 𝗪𝗲𝗲𝗸𝗹𝘆 𝗦𝘂𝗿𝘃𝗶𝘃𝗮𝗹 สัปดาห์ที่ 1 วันที่ 2  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am United Esports และ 🇹�"/>
        <s v="🏆🌏 วันสุดท้ายสัปดาห์แรกรอบ 𝗪𝗲𝗲𝗸𝗹𝘆 𝗦𝘂𝗿𝘃𝗶𝘃𝗮𝗹 เชียร์ 2 ทีมไทยกินไก่ให้ผ่านเข้าสู่รอบ Weekly Final ไปด้วยกันในเวทีชิงแชมป์โลก 𝐏𝐔𝐁𝐆 𝐆𝐥𝐨𝐛𝐚𝐥 𝐂𝐡𝐚𝐦𝐩𝐢𝐨𝐧𝐬𝐡𝐢𝐩 𝟐𝟎𝟐𝟏 &#10;.&#10;มาเชียร์ตัวแทนทีมไทยลุยชิงแชมป์โลก 🇹🇭Buriram United Espo"/>
        <s v="🇹🇭Buriram United Esports ชวดไก่🍗 2 วัน &quot;แต่ไม่เป็นไรพรุ่งนี้เราจะลุยกันใหม่ไปพร้อมกับ 🇹🇭Attack All Around รอบ 𝗪𝗲𝗲𝗸𝗹𝘆 𝗦𝘂𝗿𝘃𝗶𝘃𝗮𝗹 สัปดาห์ที่ 1 วันที่ 3 ในเวทีชิงแชมป์โลก 𝐏𝐔𝐁𝐆 𝐆𝐥𝐨𝐛𝐚𝐥 𝐂𝐡𝐚𝐦𝐩𝐢𝐨𝐧𝐬𝐡𝐢𝐩 𝟐𝟎𝟐𝟏 #เชียร์ไทยให้ก"/>
        <s v="🏆🌏 วันที่ 3 สัปดาห์ที่ 2 รอบ 𝗪𝗲𝗲𝗸𝗹𝘆 𝗦𝘂𝗿𝘃𝗶𝘃𝗮𝗹 ร่วมส่งแรงใจ💙เชียร์ 🇹🇭Attack All Around ให้กินไก่ 5 เกมสุดท้ายผ่านเข้าสู่รอบ Weekly Final ไปด้วยกัน ในเวทีชิงแชมป์โลก 𝐏𝐔𝐁𝐆 𝐆𝐥𝐨𝐛𝐚𝐥 𝐂𝐡𝐚𝐦𝐩𝐢𝐨𝐧𝐬𝐡𝐢𝐩 𝟐𝟎𝟐𝟏 เวลา 17.00 น.เป็น"/>
        <s v="🏆🌏 สรุปตารางคะแนน รอบ 𝗕𝗼𝘁𝘁𝗼𝗺 𝟭𝟲 สัปดาห์ที่ 2&#10;&#10;17 Gaming แซงขึ้นมาจบอันดับ 1!! รอเข้าไปเล่นรอบ Weekly Survival สัปดาห์ที่ 2 แมทช์ที่ 2 ส่วน 🇹🇭Attack All Around ของเราจบอันดับ 12 จะได้ลงเล่น แมทช์ที่ 13 วันที่ 3 ในเวทีชิงแชมป์โลก 𝐏𝐔𝐁𝐆 𝐆𝐥𝐨"/>
        <s v="🏆🌏  สรุปทีมกินไก่ รอบ 𝗪𝗲𝗲𝗸𝗹𝘆 𝗦𝘂𝗿𝘃𝗶𝘃𝗮𝗹 สัปดาห์ที่ 1 วันที่ 1&#10;&#10;5 ทีมแรกที่จะเข้าไปนั่งรอรอบ Weekly Final วันเสาร์-อาทิตย์ นี้ โซน APAC อย่าง FURY 🧡 พวกเขามาแรงจริง ๆ กินไก่ตั้งแต่เกมที่ 3 ในเวทีชิงแชมป์โลก 𝐏𝐔𝐁𝐆 𝐆𝐥𝐨𝐛𝐚𝐥 𝐂𝐡𝐚𝐦𝐩𝐢"/>
        <s v="🏆🌏 สรุปทีมกินไก่รอบ 𝗪𝗲𝗲𝗸𝗹𝘆 𝗦𝘂𝗿𝘃𝗶𝘃𝗮𝗹 สัปดาห์ที่ 3 วันที่ 2&#10;&#10;FURY โซน APAC ของเรากลับมาได้แล้วในวีคนี้ รอเข้าไปเล่นรอบ Weekly Final ลุ้นทีมไทยกินไก่กันต่อ 🇹🇭Buriram United Esports และ 🇹🇭Attack All Around วันพรุ่งนี้ รอบ 𝗪𝗲𝗲𝗸𝗹𝘆 𝗦𝘂"/>
        <s v="🍗สรุปทีมกินไก่ 𝗪𝗲𝗲𝗸𝗹𝘆 𝗦𝘂𝗿𝘃𝗶𝘃𝗮𝗹 สัปดาห์ที่ 2 วันที่ 2&#10;.&#10;ในเวทีชิงแชมป์โลก 𝐏𝐔𝐁𝐆 𝐆𝐥𝐨𝐛𝐚𝐥 𝐂𝐡𝐚𝐦𝐩𝐢𝐨𝐧𝐬𝐡𝐢𝐩 𝟐𝟎𝟐𝟏 พรุ่งนี้ 🇹🇭Attack All Around อีก 1 ทีมไทยของเราจะได้ลงสนามตั้งแต่เกมแรก ส่งเสียงเชียร์ให้กินไก่ไปด้วยกัน 5 แม"/>
        <s v="🏆 PGC2021 ศึกชิงแชมป์โลก สู้กันด้วยศักดิ์ศรี บนสมรภูมิแห่งเกียรติ์ยศ&#10; วันที่แข่งขัน : 19 พฤศจิกายน - 19 ธันวาคม นี้ !!!&#10;&#10;❤️👫 มาร่วมสนุกและเชียร์ทีมที่คุณชื่นชอบ ในศึก PGC2021 กับกิจกรรม &quot;การ์ดเชียร์ทีมรัก&quot; โดยสาวกสามารถเข้าไปสร้างการ์ดเชียร์ทีมรักที่มีช"/>
        <s v="🍗🇹🇭 มาแล้วไทยทำได้ ปราสาทสายฟ้า 🇹🇭Buriram United Esports กินไก่เกมสุดท้าย รอบ 𝗪𝗲𝗲𝗸𝗹𝘆 𝗦𝘂𝗿𝘃𝗶𝘃𝗮𝗹 สัปดาห์ที่ 1 วันที่ 3 เข้าสู่รอบ  Weekly Final  เป็นทีมสุดท้ายของวีคนี้ได้สำเร็จ ในเวทีชิงแชมป์โลก 𝐏𝐔𝐁𝐆 𝐆𝐥𝐨𝐛𝐚𝐥 𝐂𝐡𝐚𝐦𝐩𝐢𝐨𝐧𝐬𝐡�"/>
        <s v="🍗สรุปทีมกินไก่ 𝗪𝗲𝗲𝗸𝗹𝘆 𝗦𝘂𝗿𝘃𝗶𝘃𝗮𝗹 สัปดาห์ที่ 2 วันที่ 1&#10;.&#10;Multi Circle Gaming จากจีนมาแรงเหมือนเดิมกินไก่เกมแรก 2 Week ติด และ 🇹🇭Buriram United Esports จากไทย ก็สามารถเข้าสู่รอบ  Weekly Final วันเสาร์-อาทิตย์ นี้ ได้ตั้งแต่วันแรก  ในเวทีชิงแ"/>
        <s v="🏆🌏  สรุปทีมกินไก่ รอบ 𝗪𝗲𝗲𝗸𝗹𝘆 𝗦𝘂𝗿𝘃𝗶𝘃𝗮𝗹 สัปดาห์ที่ 1 วันที่ 2&#10;&#10;ทีมจากเกาหลีเข้าไปเพิ่มอีก 3 ทีม รอบ Weekly Final วันเสาร์-อาทิตย์ นี้  ลุ้นทีมไทยกินไก่กันต่อวันพรุ่งนี้ 🇹🇭Buriram United Esports และ 🇹🇭Attack All Around ที่จะลงเล่นแมทช์ที่"/>
        <s v="🏆🌏  Kill Top 5 ผู้เล่นที่ยิงคมหลังจบรอบ 𝗥𝗮𝗻𝗸 𝗗𝗲𝗰𝗶𝘀𝗶𝗼𝗻 ในเวทีชิงแชมป์โลก 𝐏𝐔𝐁𝐆 𝐆𝐥𝐨𝐛𝐚𝐥 𝐂𝐡𝐚𝐦𝐩𝐢𝐨𝐧𝐬𝐡𝐢𝐩 𝟐𝟎𝟐𝟏 &#10;.&#10;อันดับ 1 Snakers ผู้เล่นทีม Oath Gaming Kill ไปถึง 35 Kills จาก 18 แมทช์ ร่วมเชียร์ทีมไทยกันต่อ 𝗪𝗲𝗲𝗸𝗹𝘆 �"/>
        <s v="🏆🌏  สรุปทีมกินไก่ รอบ 𝗪𝗲𝗲𝗸𝗹𝘆 𝗦𝘂𝗿𝘃𝗶𝘃𝗮𝗹 สัปดาห์ที่ 1 วันที่ 3&#10;.&#10;ครบแล้ว 16 ทีม สัปดาห์แรกที่จะเข้าไปแข่งขันในรอบ Weekly Final วันเสาร์-อาทิตย์ นี้กับกฎ SUPER  1 ทีมจากไทย 🇹🇭Buriram United Esports ที่พวกเราต้องส่งเสียงเชียร์ให้พวกเขาคว้าตั๋"/>
        <s v="🎬 PGC Moments #2 รวมช็อทเฟี้ยวปั่นลั่นทุ่ง จากการแข่งขันพับจีชิงแชมป์โลก 2021&#10;&#10;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งขัน : 19 พฤศจิกายน - 19"/>
        <s v="👨‍🏫 อัพเดทการแข่งขันพับจีชิงแชมป์โลก ในรายการ Weekly PGC2021 EP.3&#10;&#10;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&#10;&#10;❤️👫 มาร่วมสนุกและเชียร์ทีมที่คุณชื่นชอบ ในศึก PGC2021 กับกิจกรร"/>
        <s v="🎬  PGC2021 Rivals EP.1 คมเฉือนคมนอกจอ เมื่อ Pio vs TGLTN พับจี | PUBG&#10;&#10;🏆 PGC2021 ศึกชิงแชมป์โลก สู้กันด้วยศักดิ์ศรี บนสมรภูมิแห่งเกียรติ์ยศ  วันที่แข่งขัน : 19 พฤศจิกายน - 19 ธันวาคม นี้ !!!&#10;&#10;❤️👫 มาร่วมสนุกและเชียร์ทีมที่คุณชื่นชอบ ในศึก PGC2021 กับกิจ"/>
        <s v="🏆 PGC2021 ศึกพับจีชิงแชมป์โลก รวมพล 32 ทีมที่ดีที่สุดในโลก ชิงเงินรางวัลกว่า 60 ล้าน 19พ.ย.-19ธ.ค!&#10;&#10;❤️👫 มาร่วมสนุกและเชียร์ทีมที่คุณชื่นชอบ ในศึก PGC2021 กับกิจกรรม &quot;ตั๋วเชียร์ทีมรัก&quot; โดยสาวกสามารถเข้าไปสร้างการ์ดเชียร์ทีมรักที่มีชื่อคุณและทีมที่เชียร์อ"/>
        <s v="🎬 PGC Moments #1 รวมช็อทเฟี้ยวปั่นลั่นทุ่ง จากการแข่งขันพับจีชิงแชมป์โลก 2021&#10;&#10;� PUBG Global Championship 2021 ห้ามพลาด เชียร์ตัวแทนทีมไทย🇹🇭🇹🇭ลุยชิงแชมป์โลก 🇹🇭Buriram United Esports และ 🇹🇭Attack All Around ลุยศึกใหญ่ 19 พฤศจิกายน - 19 ธันวาคม นี้"/>
        <s v="👨‍🏫 PGC2021 PLAYBOOK EP.1 ย้อนดูแผนการเล่นของ Oath ในเกมที่คว้าไก่ พร้อมวิเคราะห์แบบเจาะลึกแต่ละช็อท&#10;&#10;� PUBG Global Championship 2021 อย่าลืมมาตามเชียร์กันต่อในสัปดาห์ที่ 2 🏆 PGC2021 ศึกชิงแชมป์โลก สู้กันด้วยศักดิ์ศรี บนสมรภูมิแห่งเกียรติ์ยศ  วันที่แข่"/>
      </sharedItems>
    </cacheField>
    <cacheField name="Link to post" numFmtId="0">
      <sharedItems>
        <s v="https://www.facebook.com/740460599475760/posts/1913522198836255/?substory_index=1"/>
        <s v="https://www.facebook.com/740460599475760/posts/1914580795397062/"/>
        <s v="https://www.facebook.com/740460599475760/posts/1916081251913683/"/>
        <s v="https://www.facebook.com/740460599475760/posts/1927797234075418/"/>
        <s v="https://www.facebook.com/740460599475760/posts/1927801720741636/?substory_index=0"/>
        <s v="https://www.facebook.com/740460599475760/posts/1932721116916363/"/>
        <s v="https://www.facebook.com/740460599475760/posts/1940827519439056/"/>
        <s v="https://www.facebook.com/740460599475760/posts/1949208095267665/"/>
        <s v="https://www.facebook.com/172882636630076/posts/987097465208585/"/>
        <s v="https://www.facebook.com/172882636630076/posts/991318428119822/"/>
        <s v="https://www.facebook.com/172882636630076/posts/1014482262470105/"/>
        <s v="https://www.facebook.com/172882636630076/posts/1014489645802700/"/>
        <s v="https://www.facebook.com/freefireth/videos/4546634405427841/"/>
        <s v="https://www.facebook.com/freefireth/videos/306128691099558/"/>
        <s v="https://www.facebook.com/740460599475760/posts/1951513731703768/"/>
        <s v="https://www.facebook.com/172882636630076/posts/1003205673597764/"/>
        <s v="https://www.facebook.com/740460599475760/posts/1905962889592186/"/>
        <s v="https://www.facebook.com/172882636630076/posts/1013230399261958/"/>
        <s v="https://www.facebook.com/740460599475760/posts/1963778730477268/"/>
        <s v="https://www.facebook.com/740460599475760/posts/1947695698752238/"/>
        <s v="https://www.facebook.com/740460599475760/posts/1963827217139086/"/>
        <s v="https://www.facebook.com/740460599475760/posts/1911243259064149/"/>
        <s v="https://www.facebook.com/freefireth/videos/295978249106529/"/>
        <s v="https://www.facebook.com/740460599475760/posts/1963845677137240/"/>
        <s v="https://www.facebook.com/740460599475760/posts/1949254281929713/"/>
        <s v="https://www.facebook.com/740460599475760/posts/1908796782642130/"/>
        <s v="https://www.facebook.com/740460599475760/posts/1908797172642091/"/>
        <s v="https://www.facebook.com/172882636630076/posts/1021170775134587/"/>
        <s v="https://www.facebook.com/740460599475760/posts/1911243639064111/"/>
        <s v="https://www.facebook.com/740460599475760/posts/1967695280085613/"/>
        <s v="https://www.facebook.com/740460599475760/posts/1908168186038323/"/>
        <s v="https://www.facebook.com/740460599475760/posts/1917008835154258/"/>
        <s v="https://www.facebook.com/740460599475760/posts/1944019885786486/"/>
        <s v="https://www.facebook.com/740460599475760/posts/1910342392487569/"/>
        <s v="https://www.facebook.com/740460599475760/posts/1969128239942317/"/>
        <s v="https://www.facebook.com/740460599475760/posts/1964456007076207/"/>
        <s v="https://www.facebook.com/740460599475760/posts/1951423808379427/"/>
        <s v="https://www.facebook.com/740460599475760/posts/1911245965730545/"/>
        <s v="https://www.facebook.com/740460599475760/posts/1938587642996377/"/>
        <s v="https://www.facebook.com/740460599475760/posts/1944766482378493/"/>
        <s v="https://www.facebook.com/172882636630076/posts/1010822766169388/"/>
        <s v="https://www.facebook.com/740460599475760/posts/1928432400678568/"/>
        <s v="https://www.facebook.com/740460599475760/posts/1945472215641253/"/>
        <s v="https://www.facebook.com/172882636630076/posts/996848754233456/"/>
        <s v="https://www.facebook.com/740460599475760/posts/1963822657139542/"/>
        <s v="https://www.facebook.com/740460599475760/posts/1933467933508348/"/>
        <s v="https://www.facebook.com/740460599475760/posts/1933463956842079/"/>
        <s v="https://www.facebook.com/740460599475760/posts/1911360665719075/"/>
        <s v="https://www.facebook.com/740460599475760/posts/1908306979357777/"/>
        <s v="https://www.facebook.com/740460599475760/posts/1935447329977075/"/>
        <s v="https://www.facebook.com/172882636630076/posts/1012621895989475/"/>
        <s v="https://www.facebook.com/740460599475760/posts/1933552703499871/"/>
        <s v="https://www.facebook.com/740460599475760/posts/1921944611327347/"/>
        <s v="https://www.facebook.com/172882636630076/posts/1014471625804502/"/>
        <s v="https://www.facebook.com/740460599475760/posts/1924909847697490/"/>
        <s v="https://www.facebook.com/172882636630076/posts/1013251422593189/"/>
        <s v="https://www.facebook.com/740460599475760/posts/1967775646744243/"/>
        <s v="https://www.facebook.com/740460599475760/posts/1928446460677162/"/>
        <s v="https://www.facebook.com/740460599475760/posts/1930474490474359/"/>
        <s v="https://www.facebook.com/740460599475760/posts/1943968502458291/"/>
        <s v="https://www.facebook.com/740460599475760/posts/1921838101337998/"/>
        <s v="https://www.facebook.com/740460599475760/posts/1923459334509208/"/>
        <s v="https://www.facebook.com/740460599475760/posts/1905729416282200/"/>
        <s v="https://www.facebook.com/740460599475760/posts/1936441439877664/"/>
        <s v="https://www.facebook.com/740460599475760/posts/1943825175805957/"/>
        <s v="https://www.facebook.com/740460599475760/posts/1943971055791369/"/>
        <s v="https://www.facebook.com/740460599475760/posts/1964448330410308/"/>
        <s v="https://www.facebook.com/740460599475760/posts/1943171275871347/"/>
        <s v="https://www.facebook.com/740460599475760/posts/1905971419591333/"/>
        <s v="https://www.facebook.com/740460599475760/posts/1933489020172906/"/>
        <s v="https://www.facebook.com/freefireth/videos/3272605146348688/"/>
        <s v="https://www.facebook.com/740460599475760/posts/1967821676739640/"/>
        <s v="https://www.facebook.com/740460599475760/posts/1966795856842222/"/>
        <s v="https://www.facebook.com/740460599475760/posts/1967657196756088/"/>
        <s v="https://www.facebook.com/740460599475760/posts/1969321056589702/"/>
        <s v="https://www.facebook.com/740460599475760/posts/1905939169594558/"/>
        <s v="https://www.facebook.com/740460599475760/posts/1928430600678748/"/>
        <s v="https://www.facebook.com/740460599475760/posts/1949241151931026/"/>
        <s v="https://www.facebook.com/740460599475760/posts/1932019070319901/"/>
        <s v="https://www.facebook.com/740460599475760/posts/1963833767138431/"/>
        <s v="https://www.facebook.com/740460599475760/posts/1963836677138140/"/>
        <s v="https://www.facebook.com/740460599475760/posts/1967775140077627/"/>
        <s v="https://www.facebook.com/740460599475760/posts/1968403463348128/"/>
        <s v="https://www.facebook.com/740460599475760/posts/1926680174187124/"/>
        <s v="https://www.facebook.com/740460599475760/posts/1914729018715573/"/>
        <s v="https://www.facebook.com/740460599475760/posts/1963839930471148/"/>
        <s v="https://www.facebook.com/740460599475760/posts/1967618723426602/"/>
        <s v="https://www.facebook.com/740460599475760/posts/1911365515718590/"/>
        <s v="https://www.facebook.com/740460599475760/posts/1966958943492580/"/>
        <s v="https://www.facebook.com/740460599475760/posts/1913811978807277/"/>
        <s v="https://www.facebook.com/740460599475760/posts/1936446436543831/"/>
        <s v="https://www.facebook.com/740460599475760/posts/1963833210471820/"/>
        <s v="https://www.facebook.com/740460599475760/posts/1933425790179229/"/>
        <s v="https://www.facebook.com/172882636630076/posts/1004804416771223/"/>
        <s v="https://www.facebook.com/740460599475760/posts/1911244335730708/"/>
        <s v="https://www.facebook.com/740460599475760/posts/1943967959125012/"/>
        <s v="https://www.facebook.com/freefireth/videos/1017690712111095/"/>
        <s v="https://www.facebook.com/740460599475760/posts/1963557903832684/"/>
        <s v="https://www.facebook.com/740460599475760/posts/1943970059124802/"/>
        <s v="https://www.facebook.com/172882636630076/posts/987160195202312/"/>
        <s v="https://www.facebook.com/740460599475760/posts/1908168586038283/"/>
        <s v="https://www.facebook.com/740460599475760/posts/1905181179670357/"/>
        <s v="https://www.facebook.com/740460599475760/posts/1969269273261547/"/>
        <s v="https://www.facebook.com/740460599475760/posts/1932850766903398/"/>
        <s v="https://www.facebook.com/740460599475760/posts/1931244117064063/"/>
        <s v="https://www.facebook.com/740460599475760/posts/1951403998381408/"/>
        <s v="https://www.facebook.com/740460599475760/posts/1969123923276082/"/>
        <s v="https://www.facebook.com/740460599475760/posts/1928433627345112/"/>
        <s v="https://www.facebook.com/172882636630076/posts/1013823322535999/"/>
        <s v="https://www.facebook.com/740460599475760/posts/1935728093282332/"/>
        <s v="https://www.facebook.com/740460599475760/posts/1917113598477115/"/>
        <s v="https://www.facebook.com/740460599475760/posts/1921840288004446/"/>
        <s v="https://www.facebook.com/740460599475760/posts/1947015365486938/"/>
        <s v="https://www.facebook.com/740460599475760/posts/1964809903707484/"/>
        <s v="https://www.facebook.com/740460599475760/posts/1909625719225903/"/>
        <s v="https://www.facebook.com/740460599475760/posts/1905076383014170/"/>
        <s v="https://www.facebook.com/740460599475760/posts/1905076663014142/"/>
        <s v="https://www.facebook.com/740460599475760/posts/1932024120319396/"/>
        <s v="https://www.facebook.com/740460599475760/posts/1936327786555696/"/>
        <s v="https://www.facebook.com/740460599475760/posts/1946262388895569/"/>
        <s v="https://www.facebook.com/740460599475760/posts/1946790715509403/"/>
        <s v="https://www.facebook.com/740460599475760/posts/1968548526666955/"/>
        <s v="https://www.facebook.com/172882636630076/posts/1009575606294104/"/>
        <s v="https://www.facebook.com/740460599475760/posts/1948389112016230/"/>
        <s v="https://www.facebook.com/172882636630076/posts/1021798985071766/"/>
        <s v="https://www.facebook.com/740460599475760/posts/1911247305730411/"/>
        <s v="https://www.facebook.com/740460599475760/posts/1921843774670764/"/>
        <s v="https://www.facebook.com/740460599475760/posts/1936200256568449/"/>
        <s v="https://www.facebook.com/740460599475760/posts/1947622975426177/"/>
        <s v="https://www.facebook.com/740460599475760/posts/1909602242561584/"/>
        <s v="https://www.facebook.com/740460599475760/posts/1921818054673336/"/>
        <s v="https://www.facebook.com/740460599475760/posts/1928356114019530/"/>
        <s v="https://www.facebook.com/freefireth/videos/1269931843454044/"/>
        <s v="https://www.facebook.com/740460599475760/posts/1947017738820034/"/>
        <s v="https://www.facebook.com/740460599475760/posts/1925619187626556/"/>
        <s v="https://www.facebook.com/740460599475760/posts/1928427537345721/"/>
        <s v="https://www.facebook.com/740460599475760/posts/1949234531931688/"/>
        <s v="https://www.facebook.com/740460599475760/posts/1910471942474614/"/>
        <s v="https://www.facebook.com/740460599475760/posts/1911244862397322/"/>
        <s v="https://www.facebook.com/740460599475760/posts/1917063811815427/"/>
        <s v="https://www.facebook.com/740460599475760/posts/1920915854763556/"/>
        <s v="https://www.facebook.com/740460599475760/posts/1921831148005360/"/>
        <s v="https://www.facebook.com/740460599475760/posts/1926627490859059/"/>
        <s v="https://www.facebook.com/740460599475760/posts/1933473546841120/"/>
        <s v="https://www.facebook.com/740460599475760/posts/1911625359025939/"/>
        <s v="https://www.facebook.com/740460599475760/posts/1936326133222528/"/>
        <s v="https://www.facebook.com/740460599475760/posts/1921843044670837/"/>
        <s v="https://www.facebook.com/740460599475760/posts/1932852616903213/"/>
        <s v="https://www.facebook.com/740460599475760/posts/1947019415486533/"/>
        <s v="https://www.facebook.com/740460599475760/posts/1949233491931792/"/>
        <s v="https://www.facebook.com/740460599475760/posts/1943902472464894/"/>
        <s v="https://www.facebook.com/740460599475760/posts/1963787453809729/"/>
        <s v="https://www.facebook.com/740460599475760/posts/1921183174736824/"/>
        <s v="https://www.facebook.com/740460599475760/posts/1935564853298656/"/>
        <s v="https://www.facebook.com/740460599475760/posts/1967776100077531/"/>
        <s v="https://www.facebook.com/740460599475760/posts/1921837141338094/"/>
        <s v="https://www.facebook.com/740460599475760/posts/1949044658617342/"/>
        <s v="https://www.facebook.com/740460599475760/posts/1914643625390779/"/>
        <s v="https://www.facebook.com/740460599475760/posts/1937055576482917/"/>
        <s v="https://www.facebook.com/freefireth/videos/4347917948653797/"/>
        <s v="https://www.facebook.com/740460599475760/posts/1947673822087759/"/>
        <s v="https://www.facebook.com/740460599475760/posts/1944013139120494/"/>
        <s v="https://www.facebook.com/740460599475760/posts/1908796339308841/"/>
        <s v="https://www.facebook.com/740460599475760/posts/1948391182016023/"/>
        <s v="https://www.facebook.com/740460599475760/posts/1968551743333300/"/>
        <s v="https://www.facebook.com/740460599475760/posts/1937028466485628/"/>
        <s v="https://www.facebook.com/740460599475760/posts/1921844304670711/"/>
        <s v="https://www.facebook.com/740460599475760/posts/1932005006987974/"/>
        <s v="https://www.facebook.com/freefireth/videos/901966987347375/"/>
        <s v="https://www.facebook.com/740460599475760/posts/1963789357142872/"/>
        <s v="https://www.facebook.com/740460599475760/posts/1968512446670563/"/>
        <s v="https://www.facebook.com/172882636630076/posts/1007589999825998/"/>
        <s v="https://www.facebook.com/740460599475760/posts/1926629087525566/"/>
        <s v="https://www.facebook.com/740460599475760/posts/1946261052229036/"/>
        <s v="https://www.facebook.com/740460599475760/posts/1917073385147803/"/>
        <s v="https://www.facebook.com/740460599475760/posts/1943172792537862/"/>
        <s v="https://www.facebook.com/740460599475760/posts/1940855049436303/"/>
        <s v="https://www.facebook.com/740460599475760/posts/1967777143410760/"/>
        <s v="https://www.facebook.com/740460599475760/posts/1925741547614320/"/>
        <s v="https://www.facebook.com/740460599475760/posts/1946861385502336/"/>
        <s v="https://www.facebook.com/740460599475760/posts/1927511477437327/"/>
        <s v="https://www.facebook.com/740460599475760/posts/1937027923152349/"/>
        <s v="https://www.facebook.com/740460599475760/posts/1937030689818739/"/>
        <s v="https://www.facebook.com/740460599475760/posts/1941486246039850/"/>
        <s v="https://www.facebook.com/740460599475760/posts/1963788033809671/"/>
        <s v="https://www.facebook.com/740460599475760/posts/1946247932230348/"/>
        <s v="https://www.facebook.com/740460599475760/posts/1917067105148431/"/>
        <s v="https://www.facebook.com/740460599475760/posts/1937032936485181/"/>
        <s v="https://www.facebook.com/740460599475760/posts/1943173239204484/"/>
        <s v="https://www.facebook.com/740460599475760/posts/1947016335486841/"/>
        <s v="https://www.facebook.com/740460599475760/posts/1949239088597899/"/>
        <s v="https://www.facebook.com/740460599475760/posts/1917065585148583/"/>
        <s v="https://www.facebook.com/740460599475760/posts/1928423800679428/"/>
        <s v="https://www.facebook.com/740460599475760/posts/1940854602769681/"/>
        <s v="https://www.facebook.com/740460599475760/posts/1963789900476151/"/>
        <s v="https://www.facebook.com/740460599475760/posts/1916236491898159/"/>
        <s v="https://www.facebook.com/740460599475760/posts/1937027513152390/"/>
        <s v="https://www.facebook.com/740460599475760/posts/1937029113152230/"/>
        <s v="https://www.facebook.com/740460599475760/posts/1928424837345991/"/>
        <s v="https://www.facebook.com/740460599475760/posts/1930818393773302/"/>
        <s v="https://www.facebook.com/740460599475760/posts/1966941793494295/"/>
        <s v="https://www.facebook.com/740460599475760/posts/1968551040000037/"/>
        <s v="https://www.facebook.com/172882636630076/posts/1008790769705921/"/>
        <s v="https://www.facebook.com/740460599475760/posts/1928425317345943/"/>
        <s v="https://www.facebook.com/740460599475760/posts/1926628300858978/"/>
        <s v="https://www.facebook.com/740460599475760/posts/1932009396987535/"/>
        <s v="https://www.facebook.com/740460599475760/posts/1910576212464187/"/>
        <s v="https://www.facebook.com/740460599475760/posts/1921827931339015/"/>
        <s v="https://www.facebook.com/740460599475760/posts/1911250759063399/"/>
        <s v="https://www.facebook.com/740460599475760/posts/1927470357441439/"/>
        <s v="https://www.facebook.com/740460599475760/posts/1928431267345348/"/>
        <s v="https://www.facebook.com/740460599475760/posts/1932017340320074/"/>
        <s v="https://www.facebook.com/740460599475760/posts/1913642725490869/"/>
        <s v="https://www.facebook.com/740460599475760/posts/1963790573809417/"/>
        <s v="https://www.facebook.com/740460599475760/posts/1921839284671213/"/>
        <s v="https://www.facebook.com/740460599475760/posts/1932849380236870/"/>
        <s v="https://www.facebook.com/740460599475760/posts/1933474060174402/"/>
        <s v="https://www.facebook.com/172882636630076/posts/995475351037463/"/>
        <s v="https://www.facebook.com/740460599475760/posts/1947713838750424/"/>
        <s v="https://www.facebook.com/740460599475760/posts/1968546566667151/"/>
        <s v="https://www.facebook.com/740460599475760/posts/1921842081337600/"/>
        <s v="https://www.facebook.com/172882636630076/posts/989524938299171/"/>
        <s v="https://www.facebook.com/172882636630076/posts/1005613603356971/"/>
        <s v="https://www.facebook.com/740460599475760/posts/1910465929141882/"/>
        <s v="https://www.facebook.com/740460599475760/posts/1936337043221437/"/>
        <s v="https://www.facebook.com/740460599475760/posts/1968547556667052/"/>
        <s v="https://www.facebook.com/740460599475760/posts/1909427849245690/"/>
        <s v="https://www.facebook.com/740460599475760/posts/1964072870447854/"/>
        <s v="https://www.facebook.com/740460599475760/posts/1914641738724301/"/>
        <s v="https://www.facebook.com/740460599475760/posts/1943970605791414/"/>
        <s v="https://www.facebook.com/740460599475760/posts/1910441942477614/"/>
        <s v="https://www.facebook.com/740460599475760/posts/1926468667541608/"/>
        <s v="https://www.facebook.com/740460599475760/posts/1963277000527441/"/>
        <s v="https://www.facebook.com/172882636630076/posts/977708739480791/"/>
        <s v="https://www.facebook.com/740460599475760/posts/1908703655984776/"/>
        <s v="https://www.facebook.com/740460599475760/posts/1917063088482166/"/>
        <s v="https://www.facebook.com/740460599475760/posts/1926689657519509/"/>
        <s v="https://www.facebook.com/740460599475760/posts/1949238361931305/"/>
        <s v="https://www.facebook.com/740460599475760/posts/1936318723223269/"/>
        <s v="https://www.facebook.com/740460599475760/posts/1914733125381829/"/>
        <s v="https://www.facebook.com/740460599475760/posts/1921852924669849/"/>
        <s v="https://www.facebook.com/740460599475760/posts/1966951500159991/"/>
        <s v="https://www.facebook.com/740460599475760/posts/1938554809666327/"/>
        <s v="https://www.facebook.com/740460599475760/posts/1910351379153337/"/>
        <s v="https://www.facebook.com/740460599475760/posts/1917261255129016/"/>
        <s v="https://www.facebook.com/740460599475760/posts/1925742604280881/"/>
        <s v="https://www.facebook.com/740460599475760/posts/1913812335473908/"/>
        <s v="https://www.facebook.com/740460599475760/posts/1911524132369395/"/>
        <s v="https://www.facebook.com/172882636630076/posts/1010234416228223/"/>
        <s v="https://www.facebook.com/740460599475760/posts/1935555239966284/"/>
        <s v="https://www.facebook.com/740460599475760/posts/1924094991112309/"/>
        <s v="https://www.facebook.com/740460599475760/posts/1925738904281251/"/>
        <s v="https://www.facebook.com/172882636630076/posts/1020042835247381/"/>
        <s v="https://www.facebook.com/172882636630076/posts/1016474115604253/"/>
        <s v="https://www.facebook.com/172882636630076/posts/995567364361595/"/>
        <s v="https://www.facebook.com/172882636630076/posts/1016987565552908/"/>
        <s v="https://www.facebook.com/172882636630076/posts/987509225167409/"/>
        <s v="https://www.facebook.com/172882636630076/posts/982020615716270/"/>
        <s v="https://www.facebook.com/740460599475760/posts/1913161612205647/"/>
        <s v="https://www.facebook.com/172882636630076/posts/999276717323993/"/>
        <s v="https://www.facebook.com/740460599475760/posts/1911245445730597/"/>
        <s v="https://www.facebook.com/740460599475760/posts/1951271898394618/"/>
        <s v="https://www.facebook.com/172882636630076/posts/1018676585384006/"/>
        <s v="https://www.facebook.com/740460599475760/posts/1928120204043121/"/>
        <s v="https://www.facebook.com/172882636630076/posts/1017542245497440/"/>
        <s v="https://www.facebook.com/740460599475760/posts/1917064441815364/"/>
        <s v="https://www.facebook.com/172882636630076/posts/979679202617078/"/>
        <s v="https://www.facebook.com/172882636630076/posts/1013333265918338/"/>
        <s v="https://www.facebook.com/740460599475760/posts/1905065849681890/"/>
        <s v="https://www.facebook.com/740460599475760/posts/1905068203014988/"/>
        <s v="https://www.facebook.com/740460599475760/posts/1910557712466037/"/>
        <s v="https://www.facebook.com/740460599475760/posts/1943028985885576/"/>
        <s v="https://www.facebook.com/freefireth/videos/447029496861849/"/>
        <s v="https://www.facebook.com/172882636630076/posts/991272001457798/"/>
        <s v="https://www.facebook.com/freefireth/videos/282532207073795/"/>
        <s v="https://www.facebook.com/172882636630076/posts/981491159102549/"/>
        <s v="https://www.facebook.com/172882636630076/posts/988271731757825/"/>
        <s v="https://www.facebook.com/172882636630076/posts/977798096138522/"/>
        <s v="https://www.facebook.com/172882636630076/posts/1016596568925341/"/>
        <s v="https://www.facebook.com/172882636630076/posts/973689799882685/"/>
        <s v="https://www.facebook.com/740460599475760/posts/1938461969675611/"/>
        <s v="https://www.facebook.com/172882636630076/posts/977696136148718/"/>
        <s v="https://www.facebook.com/172882636630076/posts/980958539155811/"/>
        <s v="https://www.facebook.com/172882636630076/posts/1023840101534321/"/>
        <s v="https://www.facebook.com/740460599475760/posts/1918050318383443/"/>
        <s v="https://www.facebook.com/740460599475760/posts/1917028241818984/"/>
        <s v="https://www.facebook.com/172882636630076/posts/1004261323492199/"/>
        <s v="https://www.facebook.com/172882636630076/posts/982061412378857/"/>
        <s v="https://www.facebook.com/740460599475760/posts/1933548783500263/"/>
        <s v="https://www.facebook.com/172882636630076/posts/1004171890167809/"/>
        <s v="https://www.facebook.com/740460599475760/posts/1908404846014657/"/>
        <s v="https://www.facebook.com/740460599475760/posts/1946818968839911/"/>
        <s v="https://www.facebook.com/740460599475760/posts/1947013265487148/"/>
        <s v="https://www.facebook.com/172882636630076/posts/973096053275393/"/>
        <s v="https://www.facebook.com/172882636630076/posts/982779412307057/"/>
        <s v="https://www.facebook.com/740460599475760/posts/1928451200676688/"/>
        <s v="https://www.facebook.com/172882636630076/posts/972880253296973/"/>
        <s v="https://www.facebook.com/172882636630076/posts/980953712489627/"/>
        <s v="https://www.facebook.com/172882636630076/posts/1008135323104799/"/>
        <s v="https://www.facebook.com/172882636630076/posts/1020646178520380/"/>
        <s v="https://www.facebook.com/172882636630076/posts/990554618196203/"/>
        <s v="https://www.facebook.com/740460599475760/posts/1910533969135078/"/>
        <s v="https://www.facebook.com/740460599475760/posts/1914640848724390/"/>
        <s v="https://www.facebook.com/740460599475760/posts/1943020629219745/"/>
        <s v="https://www.facebook.com/740460599475760/posts/1933545816833893/"/>
        <s v="https://www.facebook.com/172882636630076/posts/970669680184697/"/>
        <s v="https://www.facebook.com/740460599475760/posts/1963760730479068/"/>
        <s v="https://www.facebook.com/172882636630076/posts/977895402795458/"/>
        <s v="https://www.facebook.com/pubg.battlegrounds.th/videos/941368270062200/"/>
        <s v="https://www.facebook.com/740460599475760/posts/1949240285264446/"/>
        <s v="https://www.facebook.com/740460599475760/posts/1914765935378548/"/>
        <s v="https://www.facebook.com/172882636630076/posts/973674283217570/"/>
        <s v="https://www.facebook.com/172882636630076/posts/1012606602657671/"/>
        <s v="https://www.facebook.com/740460599475760/posts/1917117195143422/"/>
        <s v="https://www.facebook.com/172882636630076/posts/991250004793331/"/>
        <s v="https://www.facebook.com/172882636630076/posts/996102694308062/"/>
        <s v="https://www.facebook.com/740460599475760/posts/1914615942060214/"/>
        <s v="https://www.facebook.com/172882636630076/posts/974893623095636/"/>
        <s v="https://www.facebook.com/172882636630076/posts/986959085222423/"/>
        <s v="https://www.facebook.com/172882636630076/posts/1023704381547893/"/>
        <s v="https://www.facebook.com/172882636630076/posts/1020555818529416/"/>
        <s v="https://www.facebook.com/172882636630076/posts/992549451330053/"/>
        <s v="https://www.facebook.com/172882636630076/posts/974253753159623/"/>
        <s v="https://www.facebook.com/740460599475760/posts/1941531746035300/"/>
        <s v="https://www.facebook.com/172882636630076/posts/1013318095919855/"/>
        <s v="https://www.facebook.com/172882636630076/posts/1017506038834394/"/>
        <s v="https://www.facebook.com/172882636630076/posts/987063738545291/"/>
        <s v="https://www.facebook.com/172882636630076/posts/1003122253606106/"/>
        <s v="https://www.facebook.com/740460599475760/posts/1919656528222822/"/>
        <s v="https://www.facebook.com/172882636630076/posts/990130271571971/"/>
        <s v="https://www.facebook.com/pubg.battlegrounds.th/videos/401104991611623/"/>
        <s v="https://www.facebook.com/172882636630076/posts/1020158005235864/"/>
        <s v="https://www.facebook.com/172882636630076/posts/973652123219786/"/>
        <s v="https://www.facebook.com/172882636630076/posts/972919619959703/"/>
        <s v="https://www.facebook.com/172882636630076/posts/974967039754961/"/>
        <s v="https://www.facebook.com/172882636630076/posts/982766825641649/"/>
        <s v="https://www.facebook.com/172882636630076/posts/992517154666616/"/>
        <s v="https://www.facebook.com/172882636630076/posts/1020635191854812/"/>
        <s v="https://www.facebook.com/172882636630076/posts/994303424487989/"/>
        <s v="https://www.facebook.com/740460599475760/posts/1923251744529967/"/>
        <s v="https://www.facebook.com/740460599475760/posts/1921992781322530/"/>
        <s v="https://www.facebook.com/172882636630076/posts/974324759819189/"/>
        <s v="https://www.facebook.com/740460599475760/posts/1954317724756702/"/>
        <s v="https://www.facebook.com/172882636630076/posts/974981129753552/"/>
        <s v="https://www.facebook.com/172882636630076/posts/1014537342464597/"/>
        <s v="https://www.facebook.com/740460599475760/posts/1922714304583711/"/>
        <s v="https://www.facebook.com/172882636630076/posts/1008791016372563/"/>
        <s v="https://www.facebook.com/172882636630076/posts/976362902948708/"/>
        <s v="https://www.facebook.com/740460599475760/posts/1913537378834737/"/>
        <s v="https://www.facebook.com/172882636630076/posts/1005758736675791/"/>
        <s v="https://www.facebook.com/172882636630076/posts/1005813916670273/"/>
        <s v="https://www.facebook.com/172882636630076/posts/1009374452980886/"/>
        <s v="https://www.facebook.com/172882636630076/posts/1010225402895791/"/>
        <s v="https://www.facebook.com/172882636630076/posts/1010219899563008/"/>
        <s v="https://www.facebook.com/172882636630076/posts/1018687355382929/"/>
        <s v="https://www.facebook.com/740460599475760/posts/1922684047920070/"/>
        <s v="https://www.facebook.com/172882636630076/posts/1020152101903121/"/>
        <s v="https://www.facebook.com/172882636630076/posts/1017030578881940/"/>
        <s v="https://www.facebook.com/172882636630076/posts/1014949152423416/"/>
        <s v="https://www.facebook.com/172882636630076/posts/976953709556294/"/>
        <s v="https://www.facebook.com/172882636630076/posts/1020170918567906/"/>
        <s v="https://www.facebook.com/740460599475760/posts/1948421818679626/"/>
        <s v="https://www.facebook.com/740460599475760/posts/1919541568234318/"/>
        <s v="https://www.facebook.com/740460599475760/posts/1919542078234267/"/>
        <s v="https://www.facebook.com/172882636630076/posts/973095346608797/"/>
        <s v="https://www.facebook.com/172882636630076/posts/971543223430676/"/>
        <s v="https://www.facebook.com/172882636630076/posts/970945460157119/"/>
        <s v="https://www.facebook.com/740460599475760/posts/1913685608819914/"/>
        <s v="https://www.facebook.com/172882636630076/posts/1003683373549994/"/>
        <s v="https://www.facebook.com/172882636630076/posts/971000823484916/"/>
        <s v="https://www.facebook.com/740460599475760/posts/1921988727989602/"/>
        <s v="https://www.facebook.com/172882636630076/posts/970942463490752/"/>
        <s v="https://www.facebook.com/740460599475760/posts/1920949781426830/"/>
        <s v="https://www.facebook.com/172882636630076/posts/1023655268219471/"/>
        <s v="https://www.facebook.com/740460599475760/posts/1935583059963502/"/>
        <s v="https://www.facebook.com/172882636630076/posts/982696852315313/"/>
        <s v="https://www.facebook.com/172882636630076/posts/996049987646666/"/>
        <s v="https://www.facebook.com/740460599475760/posts/1933766253478516/"/>
        <s v="https://www.facebook.com/740460599475760/posts/1922737251248083/"/>
        <s v="https://www.facebook.com/172882636630076/posts/1005700296681635/"/>
        <s v="https://www.facebook.com/740460599475760/posts/1946073798914428/"/>
        <s v="https://www.facebook.com/pubg.battlegrounds.th/videos/943157496307517/"/>
        <s v="https://www.facebook.com/172882636630076/posts/975672303017768/"/>
        <s v="https://www.facebook.com/172882636630076/posts/998503534067978/"/>
        <s v="https://www.facebook.com/172882636630076/posts/1017489112169420/"/>
        <s v="https://www.facebook.com/740460599475760/posts/1946179912237150/"/>
        <s v="https://www.facebook.com/172882636630076/posts/975060066412325/"/>
        <s v="https://www.facebook.com/172882636630076/posts/974385706479761/"/>
        <s v="https://www.facebook.com/172882636630076/posts/998530390731959/"/>
        <s v="https://www.facebook.com/740460599475760/posts/1905162739672201/"/>
        <s v="https://www.facebook.com/740460599475760/posts/1914639852057823/"/>
        <s v="https://www.facebook.com/740460599475760/posts/1917094281812380/"/>
        <s v="https://www.facebook.com/740460599475760/posts/1925663274288814/"/>
        <s v="https://www.facebook.com/740460599475760/posts/1920381241483684/"/>
        <s v="https://www.facebook.com/740460599475760/posts/1962250917296716/"/>
        <s v="https://www.facebook.com/740460599475760/posts/1942317042623437/"/>
        <s v="https://www.facebook.com/172882636630076/posts/975724409679224/"/>
        <s v="https://www.facebook.com/740460599475760/posts/1925661867622288/"/>
        <s v="https://www.facebook.com/740460599475760/posts/1916023201919488/"/>
        <s v="https://www.facebook.com/740460599475760/posts/1966884233500051/"/>
        <s v="https://www.facebook.com/740460599475760/posts/1958524954335979/"/>
        <s v="https://www.facebook.com/740460599475760/posts/1958525884335886/"/>
        <s v="https://www.facebook.com/740460599475760/posts/1966950776826730/"/>
        <s v="https://www.facebook.com/172882636630076/posts/991329311452067/"/>
        <s v="https://www.facebook.com/172882636630076/posts/993086827942982/"/>
        <s v="https://www.facebook.com/172882636630076/posts/999185517333113/"/>
        <s v="https://www.facebook.com/172882636630076/posts/997945124123819/"/>
        <s v="https://www.facebook.com/pubg.battlegrounds.th/videos/625073651855177/"/>
        <s v="https://www.facebook.com/740460599475760/posts/1947520292103112/"/>
        <s v="https://www.facebook.com/740460599475760/posts/1940979659423842/"/>
        <s v="https://www.facebook.com/740460599475760/posts/1947591738762634/"/>
        <s v="https://www.facebook.com/740460599475760/posts/1941444886043986/"/>
        <s v="https://www.facebook.com/740460599475760/posts/1957749637746844/"/>
        <s v="https://www.facebook.com/740460599475760/posts/1968550000000141/"/>
        <s v="https://www.facebook.com/pubg.battlegrounds.th/videos/874280446610068/"/>
        <s v="https://www.facebook.com/pubg.battlegrounds.th/videos/287173213277608/"/>
        <s v="https://www.facebook.com/pubg.battlegrounds.th/videos/403992904533768/"/>
        <s v="https://www.facebook.com/pubg.battlegrounds.th/videos/699373684355247/"/>
        <s v="https://www.facebook.com/pubg.battlegrounds.th/videos/424186866092505/"/>
        <s v="https://www.facebook.com/pubg.battlegrounds.th/videos/266636538744720/"/>
        <s v="https://www.facebook.com/pubg.battlegrounds.th/videos/240826381288570/"/>
        <s v="https://www.facebook.com/740460599475760/posts/1931154987072976/"/>
        <s v="https://www.facebook.com/740460599475760/posts/1932661716922303/"/>
        <s v="https://www.facebook.com/172882636630076/posts/990526674865664/"/>
        <s v="https://www.facebook.com/172882636630076/posts/1014469522471379/"/>
        <s v="https://www.facebook.com/pubg.battlegrounds.th/videos/587002365858520/"/>
        <s v="https://www.facebook.com/172882636630076/posts/998456574072674/"/>
        <s v="https://www.facebook.com/172882636630076/posts/986268008624864/"/>
        <s v="https://www.facebook.com/172882636630076/posts/999121967339468/"/>
        <s v="https://www.facebook.com/172882636630076/posts/996665127585152/"/>
        <s v="https://www.facebook.com/740460599475760/posts/1911249899063485/"/>
        <s v="https://www.facebook.com/740460599475760/posts/1917068655148276/"/>
        <s v="https://www.facebook.com/740460599475760/posts/1911247819063693/"/>
        <s v="https://www.facebook.com/172882636630076/posts/999260497325615/"/>
        <s v="https://www.facebook.com/172882636630076/posts/973550876563244/"/>
        <s v="https://www.facebook.com/172882636630076/posts/997901074128224/"/>
        <s v="https://www.facebook.com/172882636630076/posts/999096604008671/"/>
        <s v="https://www.facebook.com/172882636630076/posts/1000466597205005/"/>
        <s v="https://www.facebook.com/172882636630076/posts/999091954009136/"/>
        <s v="https://www.facebook.com/172882636630076/posts/994927227758942/"/>
        <s v="https://www.facebook.com/172882636630076/posts/999696490615349/"/>
        <s v="https://www.facebook.com/172882636630076/posts/999871137264551/"/>
        <s v="https://www.facebook.com/172882636630076/posts/999088734009458/"/>
        <s v="https://www.facebook.com/172882636630076/posts/999281797323485/"/>
        <s v="https://www.facebook.com/172882636630076/posts/997263320858666/"/>
        <s v="https://www.facebook.com/172882636630076/posts/1001808150404183/"/>
        <s v="https://www.facebook.com/172882636630076/posts/974353596482972/"/>
        <s v="https://www.facebook.com/172882636630076/posts/1018778448707153/"/>
        <s v="https://www.facebook.com/172882636630076/posts/994557011129297/"/>
        <s v="https://www.facebook.com/172882636630076/posts/1019350951983236/"/>
        <s v="https://www.facebook.com/740460599475760/posts/1921114361410372/"/>
        <s v="https://www.facebook.com/172882636630076/posts/1018340555417609/"/>
        <s v="https://www.facebook.com/172882636630076/posts/1002338103684521/"/>
        <s v="https://www.facebook.com/172882636630076/posts/1019943645257300/"/>
        <s v="https://www.facebook.com/172882636630076/posts/999859547265710/"/>
        <s v="https://www.facebook.com/172882636630076/posts/1000440563874275/"/>
        <s v="https://www.facebook.com/172882636630076/posts/1007592689825729/"/>
        <s v="https://www.facebook.com/172882636630076/posts/1018820962036235/"/>
        <s v="https://www.facebook.com/172882636630076/posts/1000447847206880/"/>
        <s v="https://www.facebook.com/172882636630076/posts/1018981242020207/"/>
        <s v="https://www.facebook.com/172882636630076/posts/969476276970704/"/>
        <s v="https://www.facebook.com/172882636630076/posts/1018844178700580/"/>
        <s v="https://www.facebook.com/172882636630076/posts/1002995990285399/"/>
        <s v="https://www.facebook.com/172882636630076/posts/1005935756658089/"/>
        <s v="https://www.facebook.com/172882636630076/posts/1019983768586621/"/>
        <s v="https://www.facebook.com/172882636630076/posts/1002358573682474/"/>
        <s v="https://www.facebook.com/172882636630076/posts/1007623696489295/"/>
        <s v="https://www.facebook.com/172882636630076/posts/970284500223215/"/>
        <s v="https://www.facebook.com/172882636630076/posts/1019558645295800/"/>
        <s v="https://www.facebook.com/172882636630076/posts/1012700112648320/"/>
        <s v="https://www.facebook.com/172882636630076/posts/972150376703294/"/>
        <s v="https://www.facebook.com/172882636630076/posts/1003660933552238/"/>
        <s v="https://www.facebook.com/172882636630076/posts/1007219633196368/"/>
        <s v="https://www.facebook.com/172882636630076/posts/1017834152134916/"/>
        <s v="https://www.facebook.com/172882636630076/posts/1018144412103890/"/>
        <s v="https://www.facebook.com/172882636630076/posts/1017105642207767/"/>
        <s v="https://www.facebook.com/172882636630076/posts/972161813368817/"/>
        <s v="https://www.facebook.com/172882636630076/posts/1007813089803689/"/>
        <s v="https://www.facebook.com/172882636630076/posts/1000417933876538/"/>
        <s v="https://www.facebook.com/172882636630076/posts/1000369933881338/"/>
        <s v="https://www.facebook.com/172882636630076/posts/1011017489483249/"/>
        <s v="https://www.facebook.com/172882636630076/posts/1016029862315345/"/>
        <s v="https://www.facebook.com/172882636630076/posts/1001291520455846/"/>
        <s v="https://www.facebook.com/172882636630076/posts/1000429033875428/"/>
        <s v="https://www.facebook.com/172882636630076/posts/1001572340427764/"/>
        <s v="https://www.facebook.com/172882636630076/posts/1001924903725841/"/>
        <s v="https://www.facebook.com/172882636630076/posts/1010255829559415/"/>
        <s v="https://www.facebook.com/172882636630076/posts/1015878822330449/"/>
        <s v="https://www.facebook.com/172882636630076/posts/1005926013325730/"/>
        <s v="https://www.facebook.com/172882636630076/posts/1005921279992870/"/>
        <s v="https://www.facebook.com/172882636630076/posts/1017589345492730/"/>
        <s v="https://www.facebook.com/172882636630076/posts/1001283097123355/"/>
        <s v="https://www.facebook.com/172882636630076/posts/1014187265832938/"/>
        <s v="https://www.facebook.com/172882636630076/posts/1014939492424382/"/>
        <s v="https://www.facebook.com/172882636630076/posts/1014938215757843/"/>
        <s v="https://www.facebook.com/172882636630076/posts/1005877146663950/"/>
        <s v="https://www.facebook.com/172882636630076/posts/1002650746986590/"/>
        <s v="https://www.facebook.com/172882636630076/posts/1006587349926263/"/>
        <s v="https://www.facebook.com/172882636630076/posts/1014653392452992/"/>
        <s v="https://www.facebook.com/172882636630076/posts/1010515446200120/"/>
        <s v="https://www.facebook.com/172882636630076/posts/1011030879481910/"/>
        <s v="https://www.facebook.com/172882636630076/posts/1010510302867301/"/>
        <s v="https://www.facebook.com/172882636630076/posts/1014168805834784/"/>
        <s v="https://www.facebook.com/172882636630076/posts/1015898692328462/"/>
        <s v="https://www.facebook.com/172882636630076/posts/1001915433726788/"/>
        <s v="https://www.facebook.com/172882636630076/posts/1014090272509304/"/>
        <s v="https://www.facebook.com/172882636630076/posts/1016094915642173/"/>
        <s v="https://www.facebook.com/172882636630076/posts/1015450285706636/"/>
        <s v="https://www.facebook.com/172882636630076/posts/1012891612629170/"/>
        <s v="https://www.facebook.com/172882636630076/posts/1011462816105383/"/>
        <s v="https://www.facebook.com/172882636630076/posts/1009768216274843/"/>
        <s v="https://www.facebook.com/172882636630076/posts/1008768976374767/"/>
        <s v="https://www.facebook.com/172882636630076/posts/1011606189424379/"/>
        <s v="https://www.facebook.com/172882636630076/posts/1013909035860761/"/>
        <s v="https://www.facebook.com/172882636630076/posts/1001062310478767/"/>
        <s v="https://www.facebook.com/172882636630076/posts/1013266309258367/"/>
        <s v="https://www.facebook.com/172882636630076/posts/1006579676593697/"/>
        <s v="https://www.facebook.com/172882636630076/posts/1008169273101404/"/>
        <s v="https://www.facebook.com/172882636630076/posts/1008328726418792/"/>
        <s v="https://www.facebook.com/172882636630076/posts/1012243712693960/"/>
        <s v="https://www.facebook.com/172882636630076/posts/1001741087077556/"/>
        <s v="https://www.facebook.com/172882636630076/posts/1003626886888976/"/>
        <s v="https://www.facebook.com/172882636630076/posts/1013947185856946/"/>
        <s v="https://www.facebook.com/172882636630076/posts/1007177663200565/"/>
        <s v="https://www.facebook.com/172882636630076/posts/1005493426702322/"/>
        <s v="https://www.facebook.com/172882636630076/posts/1003126920272306/"/>
        <s v="https://www.facebook.com/172882636630076/posts/1008780796373585/"/>
        <s v="https://www.facebook.com/172882636630076/posts/1004216456830019/"/>
        <s v="https://www.facebook.com/172882636630076/posts/1004861883432143/"/>
        <s v="https://www.facebook.com/172882636630076/posts/1004514486800216/"/>
        <s v="https://www.facebook.com/172882636630076/posts/1009398206311844/"/>
        <s v="https://www.facebook.com/172882636630076/posts/1012283736023291/"/>
        <s v="https://www.facebook.com/172882636630076/posts/1003860053532326/"/>
        <s v="https://www.facebook.com/172882636630076/posts/1013544389230559/"/>
        <s v="https://www.facebook.com/172882636630076/posts/1009036856347979/"/>
        <s v="https://www.facebook.com/172882636630076/posts/1004897060095292/"/>
        <s v="https://www.facebook.com/172882636630076/posts/1005123576739307/"/>
        <s v="https://www.facebook.com/172882636630076/posts/1008401143078217/"/>
        <s v="https://www.facebook.com/172882636630076/posts/1004509010134097/"/>
        <s v="https://www.facebook.com/172882636630076/posts/1003059263612405/"/>
        <s v="https://www.facebook.com/172882636630076/posts/1005134566738208/"/>
        <s v="https://www.facebook.com/172882636630076/posts/1008795433038788/"/>
        <s v="https://www.facebook.com/172882636630076/posts/1008454713072860/"/>
        <s v="https://www.facebook.com/172882636630076/posts/1007863359798662/"/>
        <s v="https://www.facebook.com/172882636630076/posts/1007561479828850/"/>
        <s v="https://www.facebook.com/172882636630076/posts/1004930273425304/"/>
        <s v="https://www.facebook.com/172882636630076/posts/1010142522904079/"/>
      </sharedItems>
    </cacheField>
    <cacheField name="Posts" numFmtId="0">
      <sharedItems containsSemiMixedTypes="0" containsString="0" containsNumber="1" containsInteger="1">
        <n v="1.0"/>
      </sharedItems>
    </cacheField>
    <cacheField name="Likes" numFmtId="0">
      <sharedItems containsSemiMixedTypes="0" containsString="0" containsNumber="1" containsInteger="1">
        <n v="12622.0"/>
        <n v="1108.0"/>
        <n v="677.0"/>
        <n v="1231.0"/>
        <n v="5157.0"/>
        <n v="395.0"/>
        <n v="1168.0"/>
        <n v="277.0"/>
        <n v="353.0"/>
        <n v="247.0"/>
        <n v="105.0"/>
        <n v="32.0"/>
        <n v="1238.0"/>
        <n v="925.0"/>
        <n v="697.0"/>
        <n v="224.0"/>
        <n v="1969.0"/>
        <n v="76.0"/>
        <n v="826.0"/>
        <n v="1029.0"/>
        <n v="820.0"/>
        <n v="1614.0"/>
        <n v="465.0"/>
        <n v="405.0"/>
        <n v="1963.0"/>
        <n v="4054.0"/>
        <n v="880.0"/>
        <n v="135.0"/>
        <n v="726.0"/>
        <n v="1083.0"/>
        <n v="1575.0"/>
        <n v="9498.0"/>
        <n v="1040.0"/>
        <n v="509.0"/>
        <n v="1550.0"/>
        <n v="549.0"/>
        <n v="2439.0"/>
        <n v="702.0"/>
        <n v="1098.0"/>
        <n v="225.0"/>
        <n v="70.0"/>
        <n v="2197.0"/>
        <n v="451.0"/>
        <n v="185.0"/>
        <n v="8407.0"/>
        <n v="947.0"/>
        <n v="2055.0"/>
        <n v="854.0"/>
        <n v="794.0"/>
        <n v="11967.0"/>
        <n v="59.0"/>
        <n v="4811.0"/>
        <n v="2568.0"/>
        <n v="733.0"/>
        <n v="1696.0"/>
        <n v="301.0"/>
        <n v="12386.0"/>
        <n v="345.0"/>
        <n v="6709.0"/>
        <n v="11134.0"/>
        <n v="843.0"/>
        <n v="1699.0"/>
        <n v="1345.0"/>
        <n v="472.0"/>
        <n v="828.0"/>
        <n v="7115.0"/>
        <n v="2498.0"/>
        <n v="381.0"/>
        <n v="496.0"/>
        <n v="4180.0"/>
        <n v="387.0"/>
        <n v="1016.0"/>
        <n v="283.0"/>
        <n v="267.0"/>
        <n v="273.0"/>
        <n v="1552.0"/>
        <n v="411.0"/>
        <n v="14512.0"/>
        <n v="11045.0"/>
        <n v="9181.0"/>
        <n v="7511.0"/>
        <n v="4414.0"/>
        <n v="1810.0"/>
        <n v="1325.0"/>
        <n v="705.0"/>
        <n v="10626.0"/>
        <n v="1743.0"/>
        <n v="1195.0"/>
        <n v="622.0"/>
        <n v="3357.0"/>
        <n v="5441.0"/>
        <n v="602.0"/>
        <n v="270.0"/>
        <n v="390.0"/>
        <n v="857.0"/>
        <n v="954.0"/>
        <n v="324.0"/>
        <n v="629.0"/>
        <n v="1519.0"/>
        <n v="628.0"/>
        <n v="1651.0"/>
        <n v="1218.0"/>
        <n v="402.0"/>
        <n v="6584.0"/>
        <n v="297.0"/>
        <n v="6390.0"/>
        <n v="612.0"/>
        <n v="4176.0"/>
        <n v="569.0"/>
        <n v="7509.0"/>
        <n v="1368.0"/>
        <n v="521.0"/>
        <n v="6012.0"/>
        <n v="414.0"/>
        <n v="1163.0"/>
        <n v="68.0"/>
        <n v="163.0"/>
        <n v="1889.0"/>
        <n v="4452.0"/>
        <n v="8986.0"/>
        <n v="751.0"/>
        <n v="4476.0"/>
        <n v="257.0"/>
        <n v="663.0"/>
        <n v="40.0"/>
        <n v="836.0"/>
        <n v="542.0"/>
        <n v="8428.0"/>
        <n v="1062.0"/>
        <n v="10702.0"/>
        <n v="1933.0"/>
        <n v="6600.0"/>
        <n v="280.0"/>
        <n v="14943.0"/>
        <n v="1186.0"/>
        <n v="2116.0"/>
        <n v="10052.0"/>
        <n v="5541.0"/>
        <n v="16298.0"/>
        <n v="10631.0"/>
        <n v="985.0"/>
        <n v="2092.0"/>
        <n v="3477.0"/>
        <n v="8871.0"/>
        <n v="150.0"/>
        <n v="748.0"/>
        <n v="10799.0"/>
        <n v="11059.0"/>
        <n v="4975.0"/>
        <n v="3354.0"/>
        <n v="235.0"/>
        <n v="8665.0"/>
        <n v="1532.0"/>
        <n v="5762.0"/>
        <n v="8241.0"/>
        <n v="9730.0"/>
        <n v="11502.0"/>
        <n v="3704.0"/>
        <n v="3184.0"/>
        <n v="416.0"/>
        <n v="7918.0"/>
        <n v="522.0"/>
        <n v="8279.0"/>
        <n v="5631.0"/>
        <n v="10863.0"/>
        <n v="8577.0"/>
        <n v="1582.0"/>
        <n v="10112.0"/>
        <n v="558.0"/>
        <n v="8784.0"/>
        <n v="317.0"/>
        <n v="134.0"/>
        <n v="4532.0"/>
        <n v="11220.0"/>
        <n v="7331.0"/>
        <n v="9743.0"/>
        <n v="5814.0"/>
        <n v="6966.0"/>
        <n v="10507.0"/>
        <n v="256.0"/>
        <n v="4109.0"/>
        <n v="11049.0"/>
        <n v="1658.0"/>
        <n v="6250.0"/>
        <n v="8296.0"/>
        <n v="803.0"/>
        <n v="9253.0"/>
        <n v="616.0"/>
        <n v="10079.0"/>
        <n v="9359.0"/>
        <n v="11971.0"/>
        <n v="1070.0"/>
        <n v="1185.0"/>
        <n v="7945.0"/>
        <n v="9349.0"/>
        <n v="1514.0"/>
        <n v="475.0"/>
        <n v="8995.0"/>
        <n v="2216.0"/>
        <n v="7636.0"/>
        <n v="8227.0"/>
        <n v="12209.0"/>
        <n v="991.0"/>
        <n v="961.0"/>
        <n v="8367.0"/>
        <n v="9629.0"/>
        <n v="184.0"/>
        <n v="383.0"/>
        <n v="2083.0"/>
        <n v="1300.0"/>
        <n v="1104.0"/>
        <n v="7330.0"/>
        <n v="370.0"/>
        <n v="10575.0"/>
        <n v="1508.0"/>
        <n v="7929.0"/>
        <n v="7098.0"/>
        <n v="303.0"/>
        <n v="462.0"/>
        <n v="2773.0"/>
        <n v="291.0"/>
        <n v="172.0"/>
        <n v="95.0"/>
        <n v="9297.0"/>
        <n v="5681.0"/>
        <n v="909.0"/>
        <n v="1201.0"/>
        <n v="170.0"/>
        <n v="832.0"/>
        <n v="12250.0"/>
        <n v="2795.0"/>
        <n v="580.0"/>
        <n v="238.0"/>
        <n v="1826.0"/>
        <n v="788.0"/>
        <n v="4871.0"/>
        <n v="735.0"/>
        <n v="1088.0"/>
        <n v="2372.0"/>
        <n v="6797.0"/>
        <n v="13410.0"/>
        <n v="11976.0"/>
        <n v="729.0"/>
        <n v="969.0"/>
        <n v="871.0"/>
        <n v="264.0"/>
        <n v="126.0"/>
        <n v="6512.0"/>
        <n v="372.0"/>
        <n v="1986.0"/>
        <n v="1050.0"/>
        <n v="1663.0"/>
        <n v="436.0"/>
        <n v="90.0"/>
        <n v="4064.0"/>
        <n v="124.0"/>
        <n v="687.0"/>
        <n v="162.0"/>
        <n v="4033.0"/>
        <n v="738.0"/>
        <n v="112.0"/>
        <n v="374.0"/>
        <n v="139.0"/>
        <n v="765.0"/>
        <n v="278.0"/>
        <n v="284.0"/>
        <n v="347.0"/>
        <n v="241.0"/>
        <n v="308.0"/>
        <n v="914.0"/>
        <n v="344.0"/>
        <n v="110.0"/>
        <n v="151.0"/>
        <n v="61.0"/>
        <n v="1831.0"/>
        <n v="1196.0"/>
        <n v="571.0"/>
        <n v="94.0"/>
        <n v="121.0"/>
        <n v="234.0"/>
        <n v="274.0"/>
        <n v="197.0"/>
        <n v="91.0"/>
        <n v="526.0"/>
        <n v="378.0"/>
        <n v="269.0"/>
        <n v="20183.0"/>
        <n v="22476.0"/>
        <n v="1271.0"/>
        <n v="1389.0"/>
        <n v="1228.0"/>
        <n v="218.0"/>
        <n v="103.0"/>
        <n v="156.0"/>
        <n v="75.0"/>
        <n v="195.0"/>
        <n v="174.0"/>
        <n v="527.0"/>
        <n v="539.0"/>
        <n v="108.0"/>
        <n v="21816.0"/>
        <n v="382.0"/>
        <n v="461.0"/>
        <n v="7416.0"/>
        <n v="2400.0"/>
        <n v="1139.0"/>
        <n v="106.0"/>
        <n v="577.0"/>
        <n v="478.0"/>
        <n v="611.0"/>
        <n v="444.0"/>
        <n v="141.0"/>
        <n v="5307.0"/>
        <n v="261.0"/>
        <n v="180.0"/>
        <n v="133.0"/>
        <n v="169.0"/>
        <n v="227.0"/>
        <n v="85.0"/>
        <n v="517.0"/>
        <n v="1052.0"/>
        <n v="74.0"/>
        <n v="584.0"/>
        <n v="512.0"/>
        <n v="1545.0"/>
        <n v="2988.0"/>
        <n v="1913.0"/>
        <n v="276.0"/>
        <n v="145.0"/>
        <n v="325.0"/>
        <n v="876.0"/>
        <n v="456.0"/>
        <n v="60.0"/>
        <n v="348.0"/>
        <n v="840.0"/>
        <n v="481.0"/>
        <n v="179.0"/>
        <n v="366.0"/>
        <n v="81.0"/>
        <n v="310.0"/>
        <n v="28705.0"/>
        <n v="233.0"/>
        <n v="566.0"/>
        <n v="1579.0"/>
        <n v="2934.0"/>
        <n v="678.0"/>
        <n v="417.0"/>
        <n v="281.0"/>
        <n v="482.0"/>
        <n v="4684.0"/>
        <n v="10675.0"/>
        <n v="229.0"/>
        <n v="2952.0"/>
        <n v="319.0"/>
        <n v="1034.0"/>
        <n v="239.0"/>
        <n v="1472.0"/>
        <n v="329.0"/>
        <n v="489.0"/>
        <n v="658.0"/>
        <n v="201.0"/>
        <n v="8603.0"/>
        <n v="1450.0"/>
        <n v="1089.0"/>
        <n v="1049.0"/>
        <n v="96.0"/>
        <n v="255.0"/>
        <n v="93.0"/>
        <n v="63.0"/>
        <n v="307.0"/>
        <n v="226.0"/>
        <n v="158.0"/>
        <n v="186.0"/>
        <n v="190.0"/>
        <n v="447.0"/>
        <n v="39.0"/>
        <n v="157.0"/>
        <n v="852.0"/>
        <n v="177.0"/>
        <n v="206.0"/>
        <n v="1252.0"/>
        <n v="655.0"/>
        <n v="931.0"/>
        <n v="493.0"/>
        <n v="1306.0"/>
        <n v="1327.0"/>
        <n v="208.0"/>
        <n v="219.0"/>
        <n v="479.0"/>
        <n v="203.0"/>
        <n v="7253.0"/>
        <n v="4518.0"/>
        <n v="959.0"/>
        <n v="731.0"/>
        <n v="1103.0"/>
        <n v="591.0"/>
        <n v="665.0"/>
        <n v="675.0"/>
        <n v="210.0"/>
        <n v="2273.0"/>
        <n v="341.0"/>
        <n v="501.0"/>
        <n v="422.0"/>
        <n v="1179.0"/>
        <n v="2390.0"/>
        <n v="322.0"/>
        <n v="3652.0"/>
        <n v="1285.0"/>
        <n v="1534.0"/>
        <n v="2032.0"/>
        <n v="250.0"/>
        <n v="2476.0"/>
        <n v="1193.0"/>
        <n v="223.0"/>
        <n v="1181.0"/>
        <n v="1106.0"/>
        <n v="311.0"/>
        <n v="1661.0"/>
        <n v="821.0"/>
        <n v="2917.0"/>
        <n v="5022.0"/>
        <n v="963.0"/>
        <n v="1602.0"/>
        <n v="262.0"/>
        <n v="4950.0"/>
        <n v="1483.0"/>
        <n v="5988.0"/>
        <n v="1439.0"/>
        <n v="2469.0"/>
        <n v="2460.0"/>
        <n v="3332.0"/>
        <n v="956.0"/>
        <n v="1091.0"/>
        <n v="426.0"/>
        <n v="1048.0"/>
        <n v="45.0"/>
        <n v="2465.0"/>
        <n v="893.0"/>
        <n v="987.0"/>
        <n v="2495.0"/>
        <n v="1247.0"/>
        <n v="929.0"/>
        <n v="1843.0"/>
        <n v="2002.0"/>
        <n v="1237.0"/>
        <n v="1111.0"/>
        <n v="952.0"/>
        <n v="1948.0"/>
        <n v="899.0"/>
        <n v="1156.0"/>
        <n v="962.0"/>
        <n v="958.0"/>
        <n v="2017.0"/>
        <n v="2992.0"/>
        <n v="974.0"/>
        <n v="1058.0"/>
        <n v="589.0"/>
        <n v="1115.0"/>
        <n v="1816.0"/>
        <n v="1407.0"/>
        <n v="1720.0"/>
        <n v="491.0"/>
        <n v="691.0"/>
        <n v="1323.0"/>
        <n v="1509.0"/>
        <n v="175.0"/>
        <n v="1212.0"/>
        <n v="3700.0"/>
        <n v="1449.0"/>
        <n v="646.0"/>
        <n v="668.0"/>
        <n v="56.0"/>
        <n v="1044.0"/>
        <n v="630.0"/>
        <n v="1730.0"/>
        <n v="295.0"/>
        <n v="797.0"/>
        <n v="507.0"/>
        <n v="3924.0"/>
        <n v="404.0"/>
        <n v="599.0"/>
        <n v="1269.0"/>
        <n v="1340.0"/>
        <n v="926.0"/>
        <n v="918.0"/>
        <n v="1870.0"/>
        <n v="563.0"/>
        <n v="607.0"/>
        <n v="767.0"/>
        <n v="1988.0"/>
        <n v="943.0"/>
        <n v="706.0"/>
        <n v="5051.0"/>
        <n v="1589.0"/>
        <n v="1296.0"/>
        <n v="1904.0"/>
        <n v="3457.0"/>
        <n v="562.0"/>
        <n v="438.0"/>
        <n v="128.0"/>
      </sharedItems>
    </cacheField>
    <cacheField name="Reactions" numFmtId="0">
      <sharedItems containsSemiMixedTypes="0" containsString="0" containsNumber="1" containsInteger="1">
        <n v="18460.0"/>
        <n v="1150.0"/>
        <n v="735.0"/>
        <n v="1273.0"/>
        <n v="5473.0"/>
        <n v="407.0"/>
        <n v="1272.0"/>
        <n v="288.0"/>
        <n v="359.0"/>
        <n v="253.0"/>
        <n v="107.0"/>
        <n v="33.0"/>
        <n v="1984.0"/>
        <n v="1080.0"/>
        <n v="733.0"/>
        <n v="227.0"/>
        <n v="2168.0"/>
        <n v="76.0"/>
        <n v="896.0"/>
        <n v="1180.0"/>
        <n v="885.0"/>
        <n v="1673.0"/>
        <n v="606.0"/>
        <n v="424.0"/>
        <n v="2195.0"/>
        <n v="4573.0"/>
        <n v="916.0"/>
        <n v="137.0"/>
        <n v="734.0"/>
        <n v="1219.0"/>
        <n v="1638.0"/>
        <n v="15325.0"/>
        <n v="1136.0"/>
        <n v="569.0"/>
        <n v="1777.0"/>
        <n v="584.0"/>
        <n v="2970.0"/>
        <n v="721.0"/>
        <n v="1184.0"/>
        <n v="247.0"/>
        <n v="70.0"/>
        <n v="53009.0"/>
        <n v="540.0"/>
        <n v="211.0"/>
        <n v="9394.0"/>
        <n v="1031.0"/>
        <n v="938.0"/>
        <n v="827.0"/>
        <n v="14102.0"/>
        <n v="59.0"/>
        <n v="4876.0"/>
        <n v="3448.0"/>
        <n v="890.0"/>
        <n v="2014.0"/>
        <n v="363.0"/>
        <n v="14789.0"/>
        <n v="374.0"/>
        <n v="7011.0"/>
        <n v="11404.0"/>
        <n v="875.0"/>
        <n v="2117.0"/>
        <n v="1368.0"/>
        <n v="587.0"/>
        <n v="7205.0"/>
        <n v="2784.0"/>
        <n v="414.0"/>
        <n v="519.0"/>
        <n v="6864.0"/>
        <n v="512.0"/>
        <n v="1068.0"/>
        <n v="286.0"/>
        <n v="274.0"/>
        <n v="277.0"/>
        <n v="1630.0"/>
        <n v="432.0"/>
        <n v="16546.0"/>
        <n v="19545.0"/>
        <n v="9361.0"/>
        <n v="8344.0"/>
        <n v="4541.0"/>
        <n v="1877.0"/>
        <n v="1551.0"/>
        <n v="784.0"/>
        <n v="12701.0"/>
        <n v="1918.0"/>
        <n v="1313.0"/>
        <n v="650.0"/>
        <n v="3392.0"/>
        <n v="5862.0"/>
        <n v="634.0"/>
        <n v="292.0"/>
        <n v="393.0"/>
        <n v="893.0"/>
        <n v="991.0"/>
        <n v="437.0"/>
        <n v="682.0"/>
        <n v="1572.0"/>
        <n v="643.0"/>
        <n v="1703.0"/>
        <n v="1390.0"/>
        <n v="445.0"/>
        <n v="6781.0"/>
        <n v="308.0"/>
        <n v="6697.0"/>
        <n v="665.0"/>
        <n v="4768.0"/>
        <n v="573.0"/>
        <n v="7823.0"/>
        <n v="1446.0"/>
        <n v="538.0"/>
        <n v="6072.0"/>
        <n v="1275.0"/>
        <n v="73.0"/>
        <n v="167.0"/>
        <n v="1972.0"/>
        <n v="4501.0"/>
        <n v="9774.0"/>
        <n v="782.0"/>
        <n v="4845.0"/>
        <n v="262.0"/>
        <n v="693.0"/>
        <n v="41.0"/>
        <n v="849.0"/>
        <n v="577.0"/>
        <n v="11918.0"/>
        <n v="1103.0"/>
        <n v="10975.0"/>
        <n v="2223.0"/>
        <n v="8430.0"/>
        <n v="306.0"/>
        <n v="18450.0"/>
        <n v="1389.0"/>
        <n v="2257.0"/>
        <n v="10346.0"/>
        <n v="7315.0"/>
        <n v="16657.0"/>
        <n v="10871.0"/>
        <n v="1126.0"/>
        <n v="2360.0"/>
        <n v="3862.0"/>
        <n v="8958.0"/>
        <n v="155.0"/>
        <n v="930.0"/>
        <n v="11054.0"/>
        <n v="11291.0"/>
        <n v="6632.0"/>
        <n v="3910.0"/>
        <n v="264.0"/>
        <n v="10329.0"/>
        <n v="6547.0"/>
        <n v="8562.0"/>
        <n v="10113.0"/>
        <n v="12318.0"/>
        <n v="4535.0"/>
        <n v="3703.0"/>
        <n v="543.0"/>
        <n v="8076.0"/>
        <n v="551.0"/>
        <n v="8433.0"/>
        <n v="5755.0"/>
        <n v="11260.0"/>
        <n v="8646.0"/>
        <n v="1753.0"/>
        <n v="10343.0"/>
        <n v="807.0"/>
        <n v="8943.0"/>
        <n v="320.0"/>
        <n v="145.0"/>
        <n v="4642.0"/>
        <n v="11920.0"/>
        <n v="7504.0"/>
        <n v="9856.0"/>
        <n v="5904.0"/>
        <n v="7158.0"/>
        <n v="11103.0"/>
        <n v="279.0"/>
        <n v="4685.0"/>
        <n v="11293.0"/>
        <n v="1697.0"/>
        <n v="6316.0"/>
        <n v="9179.0"/>
        <n v="918.0"/>
        <n v="9539.0"/>
        <n v="658.0"/>
        <n v="10213.0"/>
        <n v="9555.0"/>
        <n v="12771.0"/>
        <n v="1344.0"/>
        <n v="1232.0"/>
        <n v="8104.0"/>
        <n v="9464.0"/>
        <n v="1809.0"/>
        <n v="489.0"/>
        <n v="9098.0"/>
        <n v="7763.0"/>
        <n v="8334.0"/>
        <n v="12962.0"/>
        <n v="1025.0"/>
        <n v="1045.0"/>
        <n v="9479.0"/>
        <n v="10367.0"/>
        <n v="204.0"/>
        <n v="396.0"/>
        <n v="2125.0"/>
        <n v="1522.0"/>
        <n v="1256.0"/>
        <n v="7398.0"/>
        <n v="384.0"/>
        <n v="10721.0"/>
        <n v="1782.0"/>
        <n v="8023.0"/>
        <n v="7167.0"/>
        <n v="307.0"/>
        <n v="528.0"/>
        <n v="3058.0"/>
        <n v="310.0"/>
        <n v="176.0"/>
        <n v="97.0"/>
        <n v="9814.0"/>
        <n v="5778.0"/>
        <n v="1012.0"/>
        <n v="174.0"/>
        <n v="966.0"/>
        <n v="13785.0"/>
        <n v="3687.0"/>
        <n v="605.0"/>
        <n v="187.0"/>
        <n v="242.0"/>
        <n v="2226.0"/>
        <n v="847.0"/>
        <n v="451.0"/>
        <n v="5157.0"/>
        <n v="774.0"/>
        <n v="1209.0"/>
        <n v="3185.0"/>
        <n v="6937.0"/>
        <n v="13941.0"/>
        <n v="16483.0"/>
        <n v="840.0"/>
        <n v="1096.0"/>
        <n v="911.0"/>
        <n v="270.0"/>
        <n v="129.0"/>
        <n v="7216.0"/>
        <n v="395.0"/>
        <n v="2684.0"/>
        <n v="1091.0"/>
        <n v="2001.0"/>
        <n v="450.0"/>
        <n v="93.0"/>
        <n v="4392.0"/>
        <n v="126.0"/>
        <n v="778.0"/>
        <n v="164.0"/>
        <n v="4594.0"/>
        <n v="779.0"/>
        <n v="115.0"/>
        <n v="490.0"/>
        <n v="142.0"/>
        <n v="883.0"/>
        <n v="282.0"/>
        <n v="170.0"/>
        <n v="291.0"/>
        <n v="271.0"/>
        <n v="412.0"/>
        <n v="265.0"/>
        <n v="449.0"/>
        <n v="386.0"/>
        <n v="111.0"/>
        <n v="439.0"/>
        <n v="152.0"/>
        <n v="61.0"/>
        <n v="1872.0"/>
        <n v="1432.0"/>
        <n v="96.0"/>
        <n v="249.0"/>
        <n v="300.0"/>
        <n v="199.0"/>
        <n v="92.0"/>
        <n v="554.0"/>
        <n v="381.0"/>
        <n v="301.0"/>
        <n v="20868.0"/>
        <n v="22980.0"/>
        <n v="1321.0"/>
        <n v="1459.0"/>
        <n v="1372.0"/>
        <n v="225.0"/>
        <n v="106.0"/>
        <n v="161.0"/>
        <n v="200.0"/>
        <n v="195.0"/>
        <n v="1775.0"/>
        <n v="638.0"/>
        <n v="555.0"/>
        <n v="109.0"/>
        <n v="22184.0"/>
        <n v="389.0"/>
        <n v="493.0"/>
        <n v="9090.0"/>
        <n v="2740.0"/>
        <n v="1164.0"/>
        <n v="678.0"/>
        <n v="484.0"/>
        <n v="623.0"/>
        <n v="523.0"/>
        <n v="5448.0"/>
        <n v="263.0"/>
        <n v="136.0"/>
        <n v="268.0"/>
        <n v="224.0"/>
        <n v="173.0"/>
        <n v="231.0"/>
        <n v="88.0"/>
        <n v="1317.0"/>
        <n v="387.0"/>
        <n v="549.0"/>
        <n v="1066.0"/>
        <n v="642.0"/>
        <n v="74.0"/>
        <n v="597.0"/>
        <n v="518.0"/>
        <n v="1570.0"/>
        <n v="3060.0"/>
        <n v="2142.0"/>
        <n v="311.0"/>
        <n v="148.0"/>
        <n v="332.0"/>
        <n v="465.0"/>
        <n v="906.0"/>
        <n v="60.0"/>
        <n v="147.0"/>
        <n v="377.0"/>
        <n v="872.0"/>
        <n v="494.0"/>
        <n v="182.0"/>
        <n v="81.0"/>
        <n v="349.0"/>
        <n v="28953.0"/>
        <n v="238.0"/>
        <n v="583.0"/>
        <n v="1613.0"/>
        <n v="2992.0"/>
        <n v="747.0"/>
        <n v="506.0"/>
        <n v="305.0"/>
        <n v="165.0"/>
        <n v="483.0"/>
        <n v="5203.0"/>
        <n v="11193.0"/>
        <n v="3015.0"/>
        <n v="347.0"/>
        <n v="1049.0"/>
        <n v="1552.0"/>
        <n v="592.0"/>
        <n v="334.0"/>
        <n v="504.0"/>
        <n v="771.0"/>
        <n v="203.0"/>
        <n v="9301.0"/>
        <n v="1724.0"/>
        <n v="1108.0"/>
        <n v="1061.0"/>
        <n v="99.0"/>
        <n v="63.0"/>
        <n v="316.0"/>
        <n v="234.0"/>
        <n v="162.0"/>
        <n v="178.0"/>
        <n v="191.0"/>
        <n v="194.0"/>
        <n v="39.0"/>
        <n v="163.0"/>
        <n v="901.0"/>
        <n v="180.0"/>
        <n v="218.0"/>
        <n v="1332.0"/>
        <n v="661.0"/>
        <n v="943.0"/>
        <n v="501.0"/>
        <n v="1324.0"/>
        <n v="1740.0"/>
        <n v="214.0"/>
        <n v="228.0"/>
        <n v="496.0"/>
        <n v="212.0"/>
        <n v="7680.0"/>
        <n v="4546.0"/>
        <n v="1289.0"/>
        <n v="975.0"/>
        <n v="1558.0"/>
        <n v="843.0"/>
        <n v="817.0"/>
        <n v="1323.0"/>
        <n v="261.0"/>
        <n v="2313.0"/>
        <n v="350.0"/>
        <n v="686.0"/>
        <n v="1204.0"/>
        <n v="2429.0"/>
        <n v="324.0"/>
        <n v="4714.0"/>
        <n v="1589.0"/>
        <n v="2063.0"/>
        <n v="250.0"/>
        <n v="2529.0"/>
        <n v="1261.0"/>
        <n v="1208.0"/>
        <n v="612.0"/>
        <n v="315.0"/>
        <n v="1885.0"/>
        <n v="2995.0"/>
        <n v="5572.0"/>
        <n v="1259.0"/>
        <n v="979.0"/>
        <n v="1623.0"/>
        <n v="5662.0"/>
        <n v="1504.0"/>
        <n v="6579.0"/>
        <n v="355.0"/>
        <n v="1467.0"/>
        <n v="3021.0"/>
        <n v="2600.0"/>
        <n v="3418.0"/>
        <n v="961.0"/>
        <n v="1111.0"/>
        <n v="435.0"/>
        <n v="1058.0"/>
        <n v="46.0"/>
        <n v="2758.0"/>
        <n v="895.0"/>
        <n v="77.0"/>
        <n v="1113.0"/>
        <n v="2552.0"/>
        <n v="937.0"/>
        <n v="1874.0"/>
        <n v="2043.0"/>
        <n v="1257.0"/>
        <n v="1132.0"/>
        <n v="971.0"/>
        <n v="2087.0"/>
        <n v="1074.0"/>
        <n v="1054.0"/>
        <n v="983.0"/>
        <n v="2067.0"/>
        <n v="3112.0"/>
        <n v="986.0"/>
        <n v="598.0"/>
        <n v="1142.0"/>
        <n v="1917.0"/>
        <n v="1465.0"/>
        <n v="171.0"/>
        <n v="1749.0"/>
        <n v="499.0"/>
        <n v="698.0"/>
        <n v="1355.0"/>
        <n v="1560.0"/>
        <n v="1281.0"/>
        <n v="4145.0"/>
        <n v="648.0"/>
        <n v="669.0"/>
        <n v="56.0"/>
        <n v="905.0"/>
        <n v="342.0"/>
        <n v="1060.0"/>
        <n v="647.0"/>
        <n v="1758.0"/>
        <n v="298.0"/>
        <n v="803.0"/>
        <n v="4396.0"/>
        <n v="409.0"/>
        <n v="1305.0"/>
        <n v="1443.0"/>
        <n v="935.0"/>
        <n v="1912.0"/>
        <n v="633.0"/>
        <n v="788.0"/>
        <n v="2059.0"/>
        <n v="468.0"/>
        <n v="945.0"/>
        <n v="1264.0"/>
        <n v="713.0"/>
        <n v="696.0"/>
        <n v="5893.0"/>
        <n v="1682.0"/>
        <n v="1199.0"/>
        <n v="1309.0"/>
        <n v="2053.0"/>
        <n v="3520.0"/>
        <n v="135.0"/>
        <n v="190.0"/>
        <n v="572.0"/>
      </sharedItems>
    </cacheField>
    <cacheField name="Comments" numFmtId="0">
      <sharedItems containsSemiMixedTypes="0" containsString="0" containsNumber="1" containsInteger="1">
        <n v="2083.0"/>
        <n v="105.0"/>
        <n v="46.0"/>
        <n v="60.0"/>
        <n v="351.0"/>
        <n v="26.0"/>
        <n v="92.0"/>
        <n v="65.0"/>
        <n v="4.0"/>
        <n v="3.0"/>
        <n v="0.0"/>
        <n v="1427.0"/>
        <n v="240.0"/>
        <n v="40.0"/>
        <n v="1.0"/>
        <n v="158.0"/>
        <n v="147.0"/>
        <n v="73.0"/>
        <n v="250.0"/>
        <n v="271.0"/>
        <n v="35.0"/>
        <n v="116.0"/>
        <n v="710.0"/>
        <n v="187.0"/>
        <n v="23.0"/>
        <n v="140.0"/>
        <n v="261.0"/>
        <n v="4257.0"/>
        <n v="37.0"/>
        <n v="42.0"/>
        <n v="113.0"/>
        <n v="52.0"/>
        <n v="131.0"/>
        <n v="64.0"/>
        <n v="10.0"/>
        <n v="2479.0"/>
        <n v="765.0"/>
        <n v="45.0"/>
        <n v="150.0"/>
        <n v="69.0"/>
        <n v="108.0"/>
        <n v="2562.0"/>
        <n v="49.0"/>
        <n v="397.0"/>
        <n v="159.0"/>
        <n v="143.0"/>
        <n v="1307.0"/>
        <n v="36.0"/>
        <n v="297.0"/>
        <n v="58.0"/>
        <n v="130.0"/>
        <n v="87.0"/>
        <n v="39.0"/>
        <n v="115.0"/>
        <n v="212.0"/>
        <n v="7.0"/>
        <n v="55.0"/>
        <n v="197.0"/>
        <n v="306.0"/>
        <n v="78.0"/>
        <n v="17.0"/>
        <n v="30.0"/>
        <n v="331.0"/>
        <n v="82.0"/>
        <n v="1305.0"/>
        <n v="370.0"/>
        <n v="223.0"/>
        <n v="821.0"/>
        <n v="70.0"/>
        <n v="83.0"/>
        <n v="77.0"/>
        <n v="81.0"/>
        <n v="74.0"/>
        <n v="320.0"/>
        <n v="194.0"/>
        <n v="59.0"/>
        <n v="54.0"/>
        <n v="315.0"/>
        <n v="67.0"/>
        <n v="16.0"/>
        <n v="90.0"/>
        <n v="305.0"/>
        <n v="34.0"/>
        <n v="253.0"/>
        <n v="2.0"/>
        <n v="152.0"/>
        <n v="137.0"/>
        <n v="13.0"/>
        <n v="167.0"/>
        <n v="178.0"/>
        <n v="343.0"/>
        <n v="14.0"/>
        <n v="295.0"/>
        <n v="209.0"/>
        <n v="57.0"/>
        <n v="47.0"/>
        <n v="9.0"/>
        <n v="62.0"/>
        <n v="128.0"/>
        <n v="402.0"/>
        <n v="735.0"/>
        <n v="61.0"/>
        <n v="2440.0"/>
        <n v="63.0"/>
        <n v="706.0"/>
        <n v="97.0"/>
        <n v="191.0"/>
        <n v="2686.0"/>
        <n v="107.0"/>
        <n v="350.0"/>
        <n v="997.0"/>
        <n v="358.0"/>
        <n v="523.0"/>
        <n v="172.0"/>
        <n v="246.0"/>
        <n v="136.0"/>
        <n v="68.0"/>
        <n v="554.0"/>
        <n v="330.0"/>
        <n v="2014.0"/>
        <n v="623.0"/>
        <n v="786.0"/>
        <n v="196.0"/>
        <n v="120.0"/>
        <n v="237.0"/>
        <n v="296.0"/>
        <n v="661.0"/>
        <n v="995.0"/>
        <n v="339.0"/>
        <n v="264.0"/>
        <n v="21.0"/>
        <n v="141.0"/>
        <n v="404.0"/>
        <n v="129.0"/>
        <n v="236.0"/>
        <n v="227.0"/>
        <n v="646.0"/>
        <n v="176.0"/>
        <n v="18.0"/>
        <n v="100.0"/>
        <n v="574.0"/>
        <n v="228.0"/>
        <n v="48.0"/>
        <n v="72.0"/>
        <n v="71.0"/>
        <n v="547.0"/>
        <n v="32.0"/>
        <n v="322.0"/>
        <n v="27.0"/>
        <n v="280.0"/>
        <n v="139.0"/>
        <n v="262.0"/>
        <n v="204.0"/>
        <n v="182.0"/>
        <n v="161.0"/>
        <n v="272.0"/>
        <n v="273.0"/>
        <n v="50.0"/>
        <n v="390.0"/>
        <n v="451.0"/>
        <n v="31.0"/>
        <n v="771.0"/>
        <n v="539.0"/>
        <n v="6.0"/>
        <n v="43.0"/>
        <n v="109.0"/>
        <n v="286.0"/>
        <n v="249.0"/>
        <n v="96.0"/>
        <n v="185.0"/>
        <n v="239.0"/>
        <n v="135.0"/>
        <n v="106.0"/>
        <n v="386.0"/>
        <n v="298.0"/>
        <n v="193.0"/>
        <n v="19.0"/>
        <n v="110.0"/>
        <n v="1871.0"/>
        <n v="471.0"/>
        <n v="8.0"/>
        <n v="319.0"/>
        <n v="149.0"/>
        <n v="84.0"/>
        <n v="91.0"/>
        <n v="597.0"/>
        <n v="217.0"/>
        <n v="654.0"/>
        <n v="242.0"/>
        <n v="121.0"/>
        <n v="146.0"/>
        <n v="311.0"/>
        <n v="15.0"/>
        <n v="20.0"/>
        <n v="5.0"/>
        <n v="11.0"/>
        <n v="234.0"/>
        <n v="24.0"/>
        <n v="104.0"/>
        <n v="41.0"/>
        <n v="201.0"/>
        <n v="44.0"/>
        <n v="75.0"/>
        <n v="279.0"/>
        <n v="154.0"/>
        <n v="285.0"/>
        <n v="1337.0"/>
        <n v="210.0"/>
        <n v="174.0"/>
        <n v="29.0"/>
        <n v="222.0"/>
        <n v="1187.0"/>
        <n v="260.0"/>
        <n v="25.0"/>
        <n v="51.0"/>
        <n v="28.0"/>
        <n v="619.0"/>
        <n v="56.0"/>
        <n v="33.0"/>
        <n v="742.0"/>
        <n v="724.0"/>
        <n v="919.0"/>
        <n v="347.0"/>
        <n v="717.0"/>
        <n v="317.0"/>
        <n v="312.0"/>
        <n v="412.0"/>
        <n v="760.0"/>
        <n v="220.0"/>
        <n v="985.0"/>
        <n v="157.0"/>
        <n v="53.0"/>
        <n v="647.0"/>
        <n v="12.0"/>
        <n v="22.0"/>
      </sharedItems>
    </cacheField>
    <cacheField name="Post shares" numFmtId="0">
      <sharedItems containsString="0" containsBlank="1" containsNumber="1" containsInteger="1">
        <n v="219.0"/>
        <n v="50.0"/>
        <n v="12.0"/>
        <n v="7.0"/>
        <n v="14.0"/>
        <m/>
        <n v="2.0"/>
        <n v="243.0"/>
        <n v="59.0"/>
        <n v="111.0"/>
        <n v="3.0"/>
        <n v="90.0"/>
        <n v="1.0"/>
        <n v="40.0"/>
        <n v="65.0"/>
        <n v="17.0"/>
        <n v="54.0"/>
        <n v="51.0"/>
        <n v="723.0"/>
        <n v="18.0"/>
        <n v="62.0"/>
        <n v="75.0"/>
        <n v="28.0"/>
        <n v="1884.0"/>
        <n v="20.0"/>
        <n v="24.0"/>
        <n v="36.0"/>
        <n v="13.0"/>
        <n v="72.0"/>
        <n v="10.0"/>
        <n v="30.0"/>
        <n v="269.0"/>
        <n v="405.0"/>
        <n v="27.0"/>
        <n v="86.0"/>
        <n v="42.0"/>
        <n v="287.0"/>
        <n v="122.0"/>
        <n v="306.0"/>
        <n v="78.0"/>
        <n v="23.0"/>
        <n v="357.0"/>
        <n v="16.0"/>
        <n v="76.0"/>
        <n v="11.0"/>
        <n v="246.0"/>
        <n v="21.0"/>
        <n v="166.0"/>
        <n v="39.0"/>
        <n v="170.0"/>
        <n v="22.0"/>
        <n v="428.0"/>
        <n v="91.0"/>
        <n v="6.0"/>
        <n v="555.0"/>
        <n v="97.0"/>
        <n v="257.0"/>
        <n v="44.0"/>
        <n v="38.0"/>
        <n v="338.0"/>
        <n v="49.0"/>
        <n v="26.0"/>
        <n v="69.0"/>
        <n v="29.0"/>
        <n v="56.0"/>
        <n v="93.0"/>
        <n v="35.0"/>
        <n v="256.0"/>
        <n v="41.0"/>
        <n v="100.0"/>
        <n v="5.0"/>
        <n v="53.0"/>
        <n v="43.0"/>
        <n v="125.0"/>
        <n v="15.0"/>
        <n v="658.0"/>
        <n v="2028.0"/>
        <n v="102.0"/>
        <n v="77.0"/>
        <n v="326.0"/>
        <n v="2666.0"/>
        <n v="99.0"/>
        <n v="45.0"/>
        <n v="545.0"/>
        <n v="162.0"/>
        <n v="146.0"/>
        <n v="84.0"/>
        <n v="214.0"/>
        <n v="48.0"/>
        <n v="153.0"/>
        <n v="81.0"/>
        <n v="1129.0"/>
        <n v="461.0"/>
        <n v="215.0"/>
        <n v="307.0"/>
        <n v="88.0"/>
        <n v="137.0"/>
        <n v="635.0"/>
        <n v="183.0"/>
        <n v="132.0"/>
        <n v="67.0"/>
        <n v="32.0"/>
        <n v="109.0"/>
        <n v="131.0"/>
        <n v="71.0"/>
        <n v="4.0"/>
        <n v="25.0"/>
        <n v="217.0"/>
        <n v="2895.0"/>
        <n v="96.0"/>
        <n v="231.0"/>
        <n v="83.0"/>
        <n v="154.0"/>
        <n v="33.0"/>
        <n v="150.0"/>
        <n v="248.0"/>
        <n v="108.0"/>
        <n v="169.0"/>
        <n v="193.0"/>
        <n v="52.0"/>
        <n v="92.0"/>
        <n v="142.0"/>
        <n v="281.0"/>
        <n v="159.0"/>
        <n v="124.0"/>
        <n v="31.0"/>
        <n v="94.0"/>
        <n v="589.0"/>
        <n v="244.0"/>
        <n v="939.0"/>
        <n v="189.0"/>
        <n v="455.0"/>
        <n v="60.0"/>
        <n v="184.0"/>
        <n v="8.0"/>
        <n v="9.0"/>
        <n v="114.0"/>
        <n v="222.0"/>
        <n v="61.0"/>
        <n v="79.0"/>
        <n v="46.0"/>
        <n v="652.0"/>
        <n v="254.0"/>
        <n v="157.0"/>
        <n v="514.0"/>
        <n v="58.0"/>
        <n v="187.0"/>
        <n v="437.0"/>
        <n v="57.0"/>
        <n v="387.0"/>
        <n v="130.0"/>
        <n v="55.0"/>
        <n v="194.0"/>
        <n v="19.0"/>
        <n v="173.0"/>
        <n v="268.0"/>
        <n v="247.0"/>
        <n v="145.0"/>
        <n v="113.0"/>
        <n v="192.0"/>
        <n v="98.0"/>
        <n v="177.0"/>
        <n v="110.0"/>
        <n v="216.0"/>
        <n v="211.0"/>
        <n v="478.0"/>
        <n v="283.0"/>
        <n v="539.0"/>
        <n v="395.0"/>
        <n v="104.0"/>
        <n v="112.0"/>
        <n v="123.0"/>
        <n v="34.0"/>
        <n v="367.0"/>
        <n v="359.0"/>
        <n v="95.0"/>
        <n v="294.0"/>
        <n v="532.0"/>
        <n v="1026.0"/>
      </sharedItems>
    </cacheField>
    <cacheField name="Likes per post" numFmtId="0">
      <sharedItems containsSemiMixedTypes="0" containsString="0" containsNumber="1" containsInteger="1">
        <n v="12622.0"/>
        <n v="1108.0"/>
        <n v="677.0"/>
        <n v="1231.0"/>
        <n v="5157.0"/>
        <n v="395.0"/>
        <n v="1168.0"/>
        <n v="277.0"/>
        <n v="353.0"/>
        <n v="247.0"/>
        <n v="105.0"/>
        <n v="32.0"/>
        <n v="1238.0"/>
        <n v="925.0"/>
        <n v="697.0"/>
        <n v="224.0"/>
        <n v="1969.0"/>
        <n v="76.0"/>
        <n v="826.0"/>
        <n v="1029.0"/>
        <n v="820.0"/>
        <n v="1614.0"/>
        <n v="465.0"/>
        <n v="405.0"/>
        <n v="1963.0"/>
        <n v="4054.0"/>
        <n v="880.0"/>
        <n v="135.0"/>
        <n v="726.0"/>
        <n v="1083.0"/>
        <n v="1575.0"/>
        <n v="9498.0"/>
        <n v="1040.0"/>
        <n v="509.0"/>
        <n v="1550.0"/>
        <n v="549.0"/>
        <n v="2439.0"/>
        <n v="702.0"/>
        <n v="1098.0"/>
        <n v="225.0"/>
        <n v="70.0"/>
        <n v="2197.0"/>
        <n v="451.0"/>
        <n v="185.0"/>
        <n v="8407.0"/>
        <n v="947.0"/>
        <n v="2055.0"/>
        <n v="854.0"/>
        <n v="794.0"/>
        <n v="11967.0"/>
        <n v="59.0"/>
        <n v="4811.0"/>
        <n v="2568.0"/>
        <n v="733.0"/>
        <n v="1696.0"/>
        <n v="301.0"/>
        <n v="12386.0"/>
        <n v="345.0"/>
        <n v="6709.0"/>
        <n v="11134.0"/>
        <n v="843.0"/>
        <n v="1699.0"/>
        <n v="1345.0"/>
        <n v="472.0"/>
        <n v="828.0"/>
        <n v="7115.0"/>
        <n v="2498.0"/>
        <n v="381.0"/>
        <n v="496.0"/>
        <n v="4180.0"/>
        <n v="387.0"/>
        <n v="1016.0"/>
        <n v="283.0"/>
        <n v="267.0"/>
        <n v="273.0"/>
        <n v="1552.0"/>
        <n v="411.0"/>
        <n v="14512.0"/>
        <n v="11045.0"/>
        <n v="9181.0"/>
        <n v="7511.0"/>
        <n v="4414.0"/>
        <n v="1810.0"/>
        <n v="1325.0"/>
        <n v="705.0"/>
        <n v="10626.0"/>
        <n v="1743.0"/>
        <n v="1195.0"/>
        <n v="622.0"/>
        <n v="3357.0"/>
        <n v="5441.0"/>
        <n v="602.0"/>
        <n v="270.0"/>
        <n v="390.0"/>
        <n v="857.0"/>
        <n v="954.0"/>
        <n v="324.0"/>
        <n v="629.0"/>
        <n v="1519.0"/>
        <n v="628.0"/>
        <n v="1651.0"/>
        <n v="1218.0"/>
        <n v="402.0"/>
        <n v="6584.0"/>
        <n v="297.0"/>
        <n v="6390.0"/>
        <n v="612.0"/>
        <n v="4176.0"/>
        <n v="569.0"/>
        <n v="7509.0"/>
        <n v="1368.0"/>
        <n v="521.0"/>
        <n v="6012.0"/>
        <n v="414.0"/>
        <n v="1163.0"/>
        <n v="68.0"/>
        <n v="163.0"/>
        <n v="1889.0"/>
        <n v="4452.0"/>
        <n v="8986.0"/>
        <n v="751.0"/>
        <n v="4476.0"/>
        <n v="257.0"/>
        <n v="663.0"/>
        <n v="40.0"/>
        <n v="836.0"/>
        <n v="542.0"/>
        <n v="8428.0"/>
        <n v="1062.0"/>
        <n v="10702.0"/>
        <n v="1933.0"/>
        <n v="6600.0"/>
        <n v="280.0"/>
        <n v="14943.0"/>
        <n v="1186.0"/>
        <n v="2116.0"/>
        <n v="10052.0"/>
        <n v="5541.0"/>
        <n v="16298.0"/>
        <n v="10631.0"/>
        <n v="985.0"/>
        <n v="2092.0"/>
        <n v="3477.0"/>
        <n v="8871.0"/>
        <n v="150.0"/>
        <n v="748.0"/>
        <n v="10799.0"/>
        <n v="11059.0"/>
        <n v="4975.0"/>
        <n v="3354.0"/>
        <n v="235.0"/>
        <n v="8665.0"/>
        <n v="1532.0"/>
        <n v="5762.0"/>
        <n v="8241.0"/>
        <n v="9730.0"/>
        <n v="11502.0"/>
        <n v="3704.0"/>
        <n v="3184.0"/>
        <n v="416.0"/>
        <n v="7918.0"/>
        <n v="522.0"/>
        <n v="8279.0"/>
        <n v="5631.0"/>
        <n v="10863.0"/>
        <n v="8577.0"/>
        <n v="1582.0"/>
        <n v="10112.0"/>
        <n v="558.0"/>
        <n v="8784.0"/>
        <n v="317.0"/>
        <n v="134.0"/>
        <n v="4532.0"/>
        <n v="11220.0"/>
        <n v="7331.0"/>
        <n v="9743.0"/>
        <n v="5814.0"/>
        <n v="6966.0"/>
        <n v="10507.0"/>
        <n v="256.0"/>
        <n v="4109.0"/>
        <n v="11049.0"/>
        <n v="1658.0"/>
        <n v="6250.0"/>
        <n v="8296.0"/>
        <n v="803.0"/>
        <n v="9253.0"/>
        <n v="616.0"/>
        <n v="10079.0"/>
        <n v="9359.0"/>
        <n v="11971.0"/>
        <n v="1070.0"/>
        <n v="1185.0"/>
        <n v="7945.0"/>
        <n v="9349.0"/>
        <n v="1514.0"/>
        <n v="475.0"/>
        <n v="8995.0"/>
        <n v="2216.0"/>
        <n v="7636.0"/>
        <n v="8227.0"/>
        <n v="12209.0"/>
        <n v="991.0"/>
        <n v="961.0"/>
        <n v="8367.0"/>
        <n v="9629.0"/>
        <n v="184.0"/>
        <n v="383.0"/>
        <n v="2083.0"/>
        <n v="1300.0"/>
        <n v="1104.0"/>
        <n v="7330.0"/>
        <n v="370.0"/>
        <n v="10575.0"/>
        <n v="1508.0"/>
        <n v="7929.0"/>
        <n v="7098.0"/>
        <n v="303.0"/>
        <n v="462.0"/>
        <n v="2773.0"/>
        <n v="291.0"/>
        <n v="172.0"/>
        <n v="95.0"/>
        <n v="9297.0"/>
        <n v="5681.0"/>
        <n v="909.0"/>
        <n v="1201.0"/>
        <n v="170.0"/>
        <n v="832.0"/>
        <n v="12250.0"/>
        <n v="2795.0"/>
        <n v="580.0"/>
        <n v="238.0"/>
        <n v="1826.0"/>
        <n v="788.0"/>
        <n v="4871.0"/>
        <n v="735.0"/>
        <n v="1088.0"/>
        <n v="2372.0"/>
        <n v="6797.0"/>
        <n v="13410.0"/>
        <n v="11976.0"/>
        <n v="729.0"/>
        <n v="969.0"/>
        <n v="871.0"/>
        <n v="264.0"/>
        <n v="126.0"/>
        <n v="6512.0"/>
        <n v="372.0"/>
        <n v="1986.0"/>
        <n v="1050.0"/>
        <n v="1663.0"/>
        <n v="436.0"/>
        <n v="90.0"/>
        <n v="4064.0"/>
        <n v="124.0"/>
        <n v="687.0"/>
        <n v="162.0"/>
        <n v="4033.0"/>
        <n v="738.0"/>
        <n v="112.0"/>
        <n v="374.0"/>
        <n v="139.0"/>
        <n v="765.0"/>
        <n v="278.0"/>
        <n v="284.0"/>
        <n v="347.0"/>
        <n v="241.0"/>
        <n v="308.0"/>
        <n v="914.0"/>
        <n v="344.0"/>
        <n v="110.0"/>
        <n v="151.0"/>
        <n v="61.0"/>
        <n v="1831.0"/>
        <n v="1196.0"/>
        <n v="571.0"/>
        <n v="94.0"/>
        <n v="121.0"/>
        <n v="234.0"/>
        <n v="274.0"/>
        <n v="197.0"/>
        <n v="91.0"/>
        <n v="526.0"/>
        <n v="378.0"/>
        <n v="269.0"/>
        <n v="20183.0"/>
        <n v="22476.0"/>
        <n v="1271.0"/>
        <n v="1389.0"/>
        <n v="1228.0"/>
        <n v="218.0"/>
        <n v="103.0"/>
        <n v="156.0"/>
        <n v="75.0"/>
        <n v="195.0"/>
        <n v="174.0"/>
        <n v="527.0"/>
        <n v="539.0"/>
        <n v="108.0"/>
        <n v="21816.0"/>
        <n v="382.0"/>
        <n v="461.0"/>
        <n v="7416.0"/>
        <n v="2400.0"/>
        <n v="1139.0"/>
        <n v="106.0"/>
        <n v="577.0"/>
        <n v="478.0"/>
        <n v="611.0"/>
        <n v="444.0"/>
        <n v="141.0"/>
        <n v="5307.0"/>
        <n v="261.0"/>
        <n v="180.0"/>
        <n v="133.0"/>
        <n v="169.0"/>
        <n v="227.0"/>
        <n v="85.0"/>
        <n v="517.0"/>
        <n v="1052.0"/>
        <n v="74.0"/>
        <n v="584.0"/>
        <n v="512.0"/>
        <n v="1545.0"/>
        <n v="2988.0"/>
        <n v="1913.0"/>
        <n v="276.0"/>
        <n v="145.0"/>
        <n v="325.0"/>
        <n v="876.0"/>
        <n v="456.0"/>
        <n v="60.0"/>
        <n v="348.0"/>
        <n v="840.0"/>
        <n v="481.0"/>
        <n v="179.0"/>
        <n v="366.0"/>
        <n v="81.0"/>
        <n v="310.0"/>
        <n v="28705.0"/>
        <n v="233.0"/>
        <n v="566.0"/>
        <n v="1579.0"/>
        <n v="2934.0"/>
        <n v="678.0"/>
        <n v="417.0"/>
        <n v="281.0"/>
        <n v="482.0"/>
        <n v="4684.0"/>
        <n v="10675.0"/>
        <n v="229.0"/>
        <n v="2952.0"/>
        <n v="319.0"/>
        <n v="1034.0"/>
        <n v="239.0"/>
        <n v="1472.0"/>
        <n v="329.0"/>
        <n v="489.0"/>
        <n v="658.0"/>
        <n v="201.0"/>
        <n v="8603.0"/>
        <n v="1450.0"/>
        <n v="1089.0"/>
        <n v="1049.0"/>
        <n v="96.0"/>
        <n v="255.0"/>
        <n v="93.0"/>
        <n v="63.0"/>
        <n v="307.0"/>
        <n v="226.0"/>
        <n v="158.0"/>
        <n v="186.0"/>
        <n v="190.0"/>
        <n v="447.0"/>
        <n v="39.0"/>
        <n v="157.0"/>
        <n v="852.0"/>
        <n v="177.0"/>
        <n v="206.0"/>
        <n v="1252.0"/>
        <n v="655.0"/>
        <n v="931.0"/>
        <n v="493.0"/>
        <n v="1306.0"/>
        <n v="1327.0"/>
        <n v="208.0"/>
        <n v="219.0"/>
        <n v="479.0"/>
        <n v="203.0"/>
        <n v="7253.0"/>
        <n v="4518.0"/>
        <n v="959.0"/>
        <n v="731.0"/>
        <n v="1103.0"/>
        <n v="591.0"/>
        <n v="665.0"/>
        <n v="675.0"/>
        <n v="210.0"/>
        <n v="2273.0"/>
        <n v="341.0"/>
        <n v="501.0"/>
        <n v="422.0"/>
        <n v="1179.0"/>
        <n v="2390.0"/>
        <n v="322.0"/>
        <n v="3652.0"/>
        <n v="1285.0"/>
        <n v="1534.0"/>
        <n v="2032.0"/>
        <n v="250.0"/>
        <n v="2476.0"/>
        <n v="1193.0"/>
        <n v="223.0"/>
        <n v="1181.0"/>
        <n v="1106.0"/>
        <n v="311.0"/>
        <n v="1661.0"/>
        <n v="821.0"/>
        <n v="2917.0"/>
        <n v="5022.0"/>
        <n v="963.0"/>
        <n v="1602.0"/>
        <n v="262.0"/>
        <n v="4950.0"/>
        <n v="1483.0"/>
        <n v="5988.0"/>
        <n v="1439.0"/>
        <n v="2469.0"/>
        <n v="2460.0"/>
        <n v="3332.0"/>
        <n v="956.0"/>
        <n v="1091.0"/>
        <n v="426.0"/>
        <n v="1048.0"/>
        <n v="45.0"/>
        <n v="2465.0"/>
        <n v="893.0"/>
        <n v="987.0"/>
        <n v="2495.0"/>
        <n v="1247.0"/>
        <n v="929.0"/>
        <n v="1843.0"/>
        <n v="2002.0"/>
        <n v="1237.0"/>
        <n v="1111.0"/>
        <n v="952.0"/>
        <n v="1948.0"/>
        <n v="899.0"/>
        <n v="1156.0"/>
        <n v="962.0"/>
        <n v="958.0"/>
        <n v="2017.0"/>
        <n v="2992.0"/>
        <n v="974.0"/>
        <n v="1058.0"/>
        <n v="589.0"/>
        <n v="1115.0"/>
        <n v="1816.0"/>
        <n v="1407.0"/>
        <n v="1720.0"/>
        <n v="491.0"/>
        <n v="691.0"/>
        <n v="1323.0"/>
        <n v="1509.0"/>
        <n v="175.0"/>
        <n v="1212.0"/>
        <n v="3700.0"/>
        <n v="1449.0"/>
        <n v="646.0"/>
        <n v="668.0"/>
        <n v="56.0"/>
        <n v="1044.0"/>
        <n v="630.0"/>
        <n v="1730.0"/>
        <n v="295.0"/>
        <n v="797.0"/>
        <n v="507.0"/>
        <n v="3924.0"/>
        <n v="404.0"/>
        <n v="599.0"/>
        <n v="1269.0"/>
        <n v="1340.0"/>
        <n v="926.0"/>
        <n v="918.0"/>
        <n v="1870.0"/>
        <n v="563.0"/>
        <n v="607.0"/>
        <n v="767.0"/>
        <n v="1988.0"/>
        <n v="943.0"/>
        <n v="706.0"/>
        <n v="5051.0"/>
        <n v="1589.0"/>
        <n v="1296.0"/>
        <n v="1904.0"/>
        <n v="3457.0"/>
        <n v="562.0"/>
        <n v="438.0"/>
        <n v="128.0"/>
      </sharedItems>
    </cacheField>
    <cacheField name="FB_Page" numFmtId="0">
      <sharedItems>
        <s v="FreeFire"/>
        <s v="PUB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A1:B12" firstHeaderRow="0" firstDataRow="1" firstDataCol="0"/>
  <pivotFields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Creat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Name (Profile)" compact="0" outline="0" multipleItemSelectionAllowed="1" showAll="0">
      <items>
        <item x="0"/>
        <item x="1"/>
        <item t="default"/>
      </items>
    </pivotField>
    <pivotField name="Pos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 type" compact="0" outline="0" multipleItemSelectionAllowed="1" showAll="0">
      <items>
        <item x="0"/>
        <item x="1"/>
        <item x="2"/>
        <item x="3"/>
        <item t="default"/>
      </items>
    </pivotField>
    <pivotField name="Content type" axis="axisRow" compact="0" outline="0" multipleItemSelectionAllowed="1" showAll="0" sortType="ascending">
      <items>
        <item x="9"/>
        <item x="8"/>
        <item x="2"/>
        <item x="6"/>
        <item x="1"/>
        <item x="0"/>
        <item x="3"/>
        <item x="5"/>
        <item x="7"/>
        <item x="4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Link to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s" compact="0" outline="0" multipleItemSelectionAllowed="1" showAll="0">
      <items>
        <item x="0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e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Post 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Likes pe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B_Page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SUM of Post shares" fld="12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A18:D21" firstHeaderRow="0" firstDataRow="2" firstDataCol="0"/>
  <pivotFields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Creat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Name (Profile)" axis="axisRow" compact="0" outline="0" multipleItemSelectionAllowed="1" showAll="0" sortType="ascending">
      <items>
        <item x="0"/>
        <item x="1"/>
        <item t="default"/>
      </items>
    </pivotField>
    <pivotField name="Pos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 type" compact="0" outline="0" multipleItemSelectionAllowed="1" showAll="0">
      <items>
        <item x="0"/>
        <item x="1"/>
        <item x="2"/>
        <item x="3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Link to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s" compact="0" outline="0" multipleItemSelectionAllowed="1" showAll="0">
      <items>
        <item x="0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eac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Comm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Post 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Likes pe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B_Page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-2"/>
  </colFields>
  <dataFields>
    <dataField name="Reactions" fld="10" baseField="0"/>
    <dataField name="Comments" fld="11" baseField="0"/>
    <dataField name="Post shares" fld="12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compact="0" compactData="0">
  <location ref="A26:B113" firstHeaderRow="0" firstDataRow="1" firstDataCol="0"/>
  <pivotFields>
    <pivotField name="Created date" axis="axisRow" compact="0" numFmtId="164" outline="0" multipleItemSelectionAllowed="1" showAll="0" sortType="ascending">
      <items>
        <item x="44"/>
        <item x="78"/>
        <item x="14"/>
        <item x="24"/>
        <item x="36"/>
        <item x="22"/>
        <item x="58"/>
        <item x="26"/>
        <item x="19"/>
        <item x="29"/>
        <item x="0"/>
        <item x="1"/>
        <item x="52"/>
        <item x="2"/>
        <item x="25"/>
        <item x="64"/>
        <item x="72"/>
        <item x="79"/>
        <item x="70"/>
        <item x="65"/>
        <item x="62"/>
        <item x="66"/>
        <item x="39"/>
        <item x="61"/>
        <item x="40"/>
        <item x="63"/>
        <item x="7"/>
        <item x="51"/>
        <item x="3"/>
        <item x="42"/>
        <item x="32"/>
        <item x="43"/>
        <item x="55"/>
        <item x="8"/>
        <item x="4"/>
        <item x="54"/>
        <item x="35"/>
        <item x="11"/>
        <item x="37"/>
        <item x="45"/>
        <item x="53"/>
        <item x="10"/>
        <item x="34"/>
        <item x="68"/>
        <item x="69"/>
        <item x="5"/>
        <item x="71"/>
        <item x="82"/>
        <item x="47"/>
        <item x="46"/>
        <item x="30"/>
        <item x="33"/>
        <item x="13"/>
        <item x="59"/>
        <item x="57"/>
        <item x="17"/>
        <item x="6"/>
        <item x="67"/>
        <item x="21"/>
        <item x="50"/>
        <item x="12"/>
        <item x="73"/>
        <item x="60"/>
        <item x="74"/>
        <item x="31"/>
        <item x="85"/>
        <item x="83"/>
        <item x="38"/>
        <item x="15"/>
        <item x="56"/>
        <item x="9"/>
        <item x="81"/>
        <item x="84"/>
        <item x="75"/>
        <item x="76"/>
        <item x="77"/>
        <item x="16"/>
        <item x="28"/>
        <item x="18"/>
        <item x="20"/>
        <item x="48"/>
        <item x="23"/>
        <item x="41"/>
        <item x="49"/>
        <item x="27"/>
        <item x="80"/>
        <item t="default"/>
      </items>
    </pivotField>
    <pivotField name="Creat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Name (Profile)" compact="0" outline="0" multipleItemSelectionAllowed="1" showAll="0">
      <items>
        <item x="0"/>
        <item x="1"/>
        <item t="default"/>
      </items>
    </pivotField>
    <pivotField name="Pos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 type" compact="0" outline="0" multipleItemSelectionAllowed="1" showAll="0">
      <items>
        <item x="0"/>
        <item x="1"/>
        <item x="2"/>
        <item x="3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Link to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s" compact="0" outline="0" multipleItemSelectionAllowed="1" showAll="0">
      <items>
        <item x="0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e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Post 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Likes pe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B_Page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COUNTA of Post ID" fld="3" subtotal="count" baseField="0"/>
  </dataFields>
</pivotTableDefinition>
</file>

<file path=xl/pivotTables/pivotTable4.xml><?xml version="1.0" encoding="utf-8"?>
<pivotTableDefinition xmlns="http://schemas.openxmlformats.org/spreadsheetml/2006/main" name="Dashboard 4" cacheId="0" dataCaption="" compact="0" compactData="0">
  <location ref="D58:F61" firstHeaderRow="0" firstDataRow="2" firstDataCol="0"/>
  <pivotFields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Created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Name (Profile)" axis="axisRow" compact="0" outline="0" multipleItemSelectionAllowed="1" showAll="0" sortType="ascending">
      <items>
        <item x="0"/>
        <item x="1"/>
        <item t="default"/>
      </items>
    </pivotField>
    <pivotField name="Pos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 type" compact="0" outline="0" multipleItemSelectionAllowed="1" showAll="0">
      <items>
        <item x="0"/>
        <item x="1"/>
        <item x="2"/>
        <item x="3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Link to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Posts" compact="0" outline="0" multipleItemSelectionAllowed="1" showAll="0">
      <items>
        <item x="0"/>
        <item t="default"/>
      </items>
    </pivotField>
    <pivotField name="Lik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e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Post 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Likes per 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B_Page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-2"/>
  </colFields>
  <dataFields>
    <dataField name="MAX of Likes" fld="9" subtotal="max" baseField="0"/>
    <dataField name="AVERAGE of Likes" fld="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740460599475760/posts/1947016335486841/" TargetMode="External"/><Relationship Id="rId194" Type="http://schemas.openxmlformats.org/officeDocument/2006/relationships/hyperlink" Target="https://www.facebook.com/740460599475760/posts/1940854602769681/" TargetMode="External"/><Relationship Id="rId193" Type="http://schemas.openxmlformats.org/officeDocument/2006/relationships/hyperlink" Target="https://www.facebook.com/740460599475760/posts/1928423800679428/" TargetMode="External"/><Relationship Id="rId192" Type="http://schemas.openxmlformats.org/officeDocument/2006/relationships/hyperlink" Target="https://www.facebook.com/740460599475760/posts/1917065585148583/" TargetMode="External"/><Relationship Id="rId191" Type="http://schemas.openxmlformats.org/officeDocument/2006/relationships/hyperlink" Target="https://www.facebook.com/740460599475760/posts/1949239088597899/" TargetMode="External"/><Relationship Id="rId187" Type="http://schemas.openxmlformats.org/officeDocument/2006/relationships/hyperlink" Target="https://www.facebook.com/740460599475760/posts/1917067105148431/" TargetMode="External"/><Relationship Id="rId186" Type="http://schemas.openxmlformats.org/officeDocument/2006/relationships/hyperlink" Target="https://www.facebook.com/740460599475760/posts/1946247932230348/" TargetMode="External"/><Relationship Id="rId185" Type="http://schemas.openxmlformats.org/officeDocument/2006/relationships/hyperlink" Target="https://www.facebook.com/740460599475760/posts/1963788033809671/" TargetMode="External"/><Relationship Id="rId184" Type="http://schemas.openxmlformats.org/officeDocument/2006/relationships/hyperlink" Target="https://www.facebook.com/740460599475760/posts/1941486246039850/" TargetMode="External"/><Relationship Id="rId189" Type="http://schemas.openxmlformats.org/officeDocument/2006/relationships/hyperlink" Target="https://www.facebook.com/740460599475760/posts/1943173239204484/" TargetMode="External"/><Relationship Id="rId188" Type="http://schemas.openxmlformats.org/officeDocument/2006/relationships/hyperlink" Target="https://www.facebook.com/740460599475760/posts/1937032936485181/" TargetMode="External"/><Relationship Id="rId183" Type="http://schemas.openxmlformats.org/officeDocument/2006/relationships/hyperlink" Target="https://www.facebook.com/740460599475760/posts/1937030689818739/" TargetMode="External"/><Relationship Id="rId182" Type="http://schemas.openxmlformats.org/officeDocument/2006/relationships/hyperlink" Target="https://www.facebook.com/740460599475760/posts/1937027923152349/" TargetMode="External"/><Relationship Id="rId181" Type="http://schemas.openxmlformats.org/officeDocument/2006/relationships/hyperlink" Target="https://www.facebook.com/740460599475760/posts/1927511477437327/" TargetMode="External"/><Relationship Id="rId180" Type="http://schemas.openxmlformats.org/officeDocument/2006/relationships/hyperlink" Target="https://www.facebook.com/740460599475760/posts/1946861385502336/" TargetMode="External"/><Relationship Id="rId176" Type="http://schemas.openxmlformats.org/officeDocument/2006/relationships/hyperlink" Target="https://www.facebook.com/740460599475760/posts/1943172792537862/" TargetMode="External"/><Relationship Id="rId297" Type="http://schemas.openxmlformats.org/officeDocument/2006/relationships/hyperlink" Target="https://www.facebook.com/172882636630076/posts/972880253296973/" TargetMode="External"/><Relationship Id="rId175" Type="http://schemas.openxmlformats.org/officeDocument/2006/relationships/hyperlink" Target="https://www.facebook.com/740460599475760/posts/1917073385147803/" TargetMode="External"/><Relationship Id="rId296" Type="http://schemas.openxmlformats.org/officeDocument/2006/relationships/hyperlink" Target="https://www.facebook.com/740460599475760/posts/1928451200676688/" TargetMode="External"/><Relationship Id="rId174" Type="http://schemas.openxmlformats.org/officeDocument/2006/relationships/hyperlink" Target="https://www.facebook.com/740460599475760/posts/1946261052229036/" TargetMode="External"/><Relationship Id="rId295" Type="http://schemas.openxmlformats.org/officeDocument/2006/relationships/hyperlink" Target="https://www.facebook.com/172882636630076/posts/982779412307057/" TargetMode="External"/><Relationship Id="rId173" Type="http://schemas.openxmlformats.org/officeDocument/2006/relationships/hyperlink" Target="https://www.facebook.com/740460599475760/posts/1926629087525566/" TargetMode="External"/><Relationship Id="rId294" Type="http://schemas.openxmlformats.org/officeDocument/2006/relationships/hyperlink" Target="https://www.facebook.com/172882636630076/posts/973096053275393/" TargetMode="External"/><Relationship Id="rId179" Type="http://schemas.openxmlformats.org/officeDocument/2006/relationships/hyperlink" Target="https://www.facebook.com/740460599475760/posts/1925741547614320/" TargetMode="External"/><Relationship Id="rId178" Type="http://schemas.openxmlformats.org/officeDocument/2006/relationships/hyperlink" Target="https://www.facebook.com/740460599475760/posts/1967777143410760/" TargetMode="External"/><Relationship Id="rId299" Type="http://schemas.openxmlformats.org/officeDocument/2006/relationships/hyperlink" Target="https://www.facebook.com/172882636630076/posts/1008135323104799/" TargetMode="External"/><Relationship Id="rId177" Type="http://schemas.openxmlformats.org/officeDocument/2006/relationships/hyperlink" Target="https://www.facebook.com/740460599475760/posts/1940855049436303/" TargetMode="External"/><Relationship Id="rId298" Type="http://schemas.openxmlformats.org/officeDocument/2006/relationships/hyperlink" Target="https://www.facebook.com/172882636630076/posts/980953712489627/" TargetMode="External"/><Relationship Id="rId198" Type="http://schemas.openxmlformats.org/officeDocument/2006/relationships/hyperlink" Target="https://www.facebook.com/740460599475760/posts/1937029113152230/" TargetMode="External"/><Relationship Id="rId197" Type="http://schemas.openxmlformats.org/officeDocument/2006/relationships/hyperlink" Target="https://www.facebook.com/740460599475760/posts/1937027513152390/" TargetMode="External"/><Relationship Id="rId196" Type="http://schemas.openxmlformats.org/officeDocument/2006/relationships/hyperlink" Target="https://www.facebook.com/740460599475760/posts/1916236491898159/" TargetMode="External"/><Relationship Id="rId195" Type="http://schemas.openxmlformats.org/officeDocument/2006/relationships/hyperlink" Target="https://www.facebook.com/740460599475760/posts/1963789900476151/" TargetMode="External"/><Relationship Id="rId199" Type="http://schemas.openxmlformats.org/officeDocument/2006/relationships/hyperlink" Target="https://www.facebook.com/740460599475760/posts/1928424837345991/" TargetMode="External"/><Relationship Id="rId150" Type="http://schemas.openxmlformats.org/officeDocument/2006/relationships/hyperlink" Target="https://www.facebook.com/740460599475760/posts/1949233491931792/" TargetMode="External"/><Relationship Id="rId271" Type="http://schemas.openxmlformats.org/officeDocument/2006/relationships/hyperlink" Target="https://www.facebook.com/740460599475760/posts/1910557712466037/" TargetMode="External"/><Relationship Id="rId392" Type="http://schemas.openxmlformats.org/officeDocument/2006/relationships/hyperlink" Target="https://www.facebook.com/740460599475760/posts/1917094281812380/" TargetMode="External"/><Relationship Id="rId270" Type="http://schemas.openxmlformats.org/officeDocument/2006/relationships/hyperlink" Target="https://www.facebook.com/740460599475760/posts/1905068203014988/" TargetMode="External"/><Relationship Id="rId391" Type="http://schemas.openxmlformats.org/officeDocument/2006/relationships/hyperlink" Target="https://www.facebook.com/740460599475760/posts/1914639852057823/" TargetMode="External"/><Relationship Id="rId390" Type="http://schemas.openxmlformats.org/officeDocument/2006/relationships/hyperlink" Target="https://www.facebook.com/740460599475760/posts/1905162739672201/" TargetMode="External"/><Relationship Id="rId1" Type="http://schemas.openxmlformats.org/officeDocument/2006/relationships/hyperlink" Target="https://www.facebook.com/740460599475760/posts/1913522198836255/?substory_index=1" TargetMode="External"/><Relationship Id="rId2" Type="http://schemas.openxmlformats.org/officeDocument/2006/relationships/hyperlink" Target="https://www.facebook.com/740460599475760/posts/1914580795397062/" TargetMode="External"/><Relationship Id="rId3" Type="http://schemas.openxmlformats.org/officeDocument/2006/relationships/hyperlink" Target="https://www.facebook.com/740460599475760/posts/1916081251913683/" TargetMode="External"/><Relationship Id="rId149" Type="http://schemas.openxmlformats.org/officeDocument/2006/relationships/hyperlink" Target="https://www.facebook.com/740460599475760/posts/1947019415486533/" TargetMode="External"/><Relationship Id="rId4" Type="http://schemas.openxmlformats.org/officeDocument/2006/relationships/hyperlink" Target="https://www.facebook.com/740460599475760/posts/1927797234075418/" TargetMode="External"/><Relationship Id="rId148" Type="http://schemas.openxmlformats.org/officeDocument/2006/relationships/hyperlink" Target="https://www.facebook.com/740460599475760/posts/1932852616903213/" TargetMode="External"/><Relationship Id="rId269" Type="http://schemas.openxmlformats.org/officeDocument/2006/relationships/hyperlink" Target="https://www.facebook.com/740460599475760/posts/1905065849681890/" TargetMode="External"/><Relationship Id="rId9" Type="http://schemas.openxmlformats.org/officeDocument/2006/relationships/hyperlink" Target="https://www.facebook.com/172882636630076/posts/987097465208585/" TargetMode="External"/><Relationship Id="rId143" Type="http://schemas.openxmlformats.org/officeDocument/2006/relationships/hyperlink" Target="https://www.facebook.com/740460599475760/posts/1926627490859059/" TargetMode="External"/><Relationship Id="rId264" Type="http://schemas.openxmlformats.org/officeDocument/2006/relationships/hyperlink" Target="https://www.facebook.com/740460599475760/posts/1928120204043121/" TargetMode="External"/><Relationship Id="rId385" Type="http://schemas.openxmlformats.org/officeDocument/2006/relationships/hyperlink" Target="https://www.facebook.com/172882636630076/posts/1017489112169420/" TargetMode="External"/><Relationship Id="rId142" Type="http://schemas.openxmlformats.org/officeDocument/2006/relationships/hyperlink" Target="https://www.facebook.com/740460599475760/posts/1921831148005360/" TargetMode="External"/><Relationship Id="rId263" Type="http://schemas.openxmlformats.org/officeDocument/2006/relationships/hyperlink" Target="https://www.facebook.com/172882636630076/posts/1018676585384006/" TargetMode="External"/><Relationship Id="rId384" Type="http://schemas.openxmlformats.org/officeDocument/2006/relationships/hyperlink" Target="https://www.facebook.com/172882636630076/posts/998503534067978/" TargetMode="External"/><Relationship Id="rId141" Type="http://schemas.openxmlformats.org/officeDocument/2006/relationships/hyperlink" Target="https://www.facebook.com/740460599475760/posts/1920915854763556/" TargetMode="External"/><Relationship Id="rId262" Type="http://schemas.openxmlformats.org/officeDocument/2006/relationships/hyperlink" Target="https://www.facebook.com/740460599475760/posts/1951271898394618/" TargetMode="External"/><Relationship Id="rId383" Type="http://schemas.openxmlformats.org/officeDocument/2006/relationships/hyperlink" Target="https://www.facebook.com/172882636630076/posts/975672303017768/" TargetMode="External"/><Relationship Id="rId140" Type="http://schemas.openxmlformats.org/officeDocument/2006/relationships/hyperlink" Target="https://www.facebook.com/740460599475760/posts/1917063811815427/" TargetMode="External"/><Relationship Id="rId261" Type="http://schemas.openxmlformats.org/officeDocument/2006/relationships/hyperlink" Target="https://www.facebook.com/740460599475760/posts/1911245445730597/" TargetMode="External"/><Relationship Id="rId382" Type="http://schemas.openxmlformats.org/officeDocument/2006/relationships/hyperlink" Target="https://www.facebook.com/pubg.battlegrounds.th/videos/943157496307517/" TargetMode="External"/><Relationship Id="rId5" Type="http://schemas.openxmlformats.org/officeDocument/2006/relationships/hyperlink" Target="https://www.facebook.com/740460599475760/posts/1927801720741636/?substory_index=0" TargetMode="External"/><Relationship Id="rId147" Type="http://schemas.openxmlformats.org/officeDocument/2006/relationships/hyperlink" Target="https://www.facebook.com/740460599475760/posts/1921843044670837/" TargetMode="External"/><Relationship Id="rId268" Type="http://schemas.openxmlformats.org/officeDocument/2006/relationships/hyperlink" Target="https://www.facebook.com/172882636630076/posts/1013333265918338/" TargetMode="External"/><Relationship Id="rId389" Type="http://schemas.openxmlformats.org/officeDocument/2006/relationships/hyperlink" Target="https://www.facebook.com/172882636630076/posts/998530390731959/" TargetMode="External"/><Relationship Id="rId6" Type="http://schemas.openxmlformats.org/officeDocument/2006/relationships/hyperlink" Target="https://www.facebook.com/740460599475760/posts/1932721116916363/" TargetMode="External"/><Relationship Id="rId146" Type="http://schemas.openxmlformats.org/officeDocument/2006/relationships/hyperlink" Target="https://www.facebook.com/740460599475760/posts/1936326133222528/" TargetMode="External"/><Relationship Id="rId267" Type="http://schemas.openxmlformats.org/officeDocument/2006/relationships/hyperlink" Target="https://www.facebook.com/172882636630076/posts/979679202617078/" TargetMode="External"/><Relationship Id="rId388" Type="http://schemas.openxmlformats.org/officeDocument/2006/relationships/hyperlink" Target="https://www.facebook.com/172882636630076/posts/974385706479761/" TargetMode="External"/><Relationship Id="rId7" Type="http://schemas.openxmlformats.org/officeDocument/2006/relationships/hyperlink" Target="https://www.facebook.com/740460599475760/posts/1940827519439056/" TargetMode="External"/><Relationship Id="rId145" Type="http://schemas.openxmlformats.org/officeDocument/2006/relationships/hyperlink" Target="https://www.facebook.com/740460599475760/posts/1911625359025939/" TargetMode="External"/><Relationship Id="rId266" Type="http://schemas.openxmlformats.org/officeDocument/2006/relationships/hyperlink" Target="https://www.facebook.com/740460599475760/posts/1917064441815364/" TargetMode="External"/><Relationship Id="rId387" Type="http://schemas.openxmlformats.org/officeDocument/2006/relationships/hyperlink" Target="https://www.facebook.com/172882636630076/posts/975060066412325/" TargetMode="External"/><Relationship Id="rId8" Type="http://schemas.openxmlformats.org/officeDocument/2006/relationships/hyperlink" Target="https://www.facebook.com/740460599475760/posts/1949208095267665/" TargetMode="External"/><Relationship Id="rId144" Type="http://schemas.openxmlformats.org/officeDocument/2006/relationships/hyperlink" Target="https://www.facebook.com/740460599475760/posts/1933473546841120/" TargetMode="External"/><Relationship Id="rId265" Type="http://schemas.openxmlformats.org/officeDocument/2006/relationships/hyperlink" Target="https://www.facebook.com/172882636630076/posts/1017542245497440/" TargetMode="External"/><Relationship Id="rId386" Type="http://schemas.openxmlformats.org/officeDocument/2006/relationships/hyperlink" Target="https://www.facebook.com/740460599475760/posts/1946179912237150/" TargetMode="External"/><Relationship Id="rId260" Type="http://schemas.openxmlformats.org/officeDocument/2006/relationships/hyperlink" Target="https://www.facebook.com/172882636630076/posts/999276717323993/" TargetMode="External"/><Relationship Id="rId381" Type="http://schemas.openxmlformats.org/officeDocument/2006/relationships/hyperlink" Target="https://www.facebook.com/740460599475760/posts/1946073798914428/" TargetMode="External"/><Relationship Id="rId380" Type="http://schemas.openxmlformats.org/officeDocument/2006/relationships/hyperlink" Target="https://www.facebook.com/172882636630076/posts/1005700296681635/" TargetMode="External"/><Relationship Id="rId139" Type="http://schemas.openxmlformats.org/officeDocument/2006/relationships/hyperlink" Target="https://www.facebook.com/740460599475760/posts/1911244862397322/" TargetMode="External"/><Relationship Id="rId138" Type="http://schemas.openxmlformats.org/officeDocument/2006/relationships/hyperlink" Target="https://www.facebook.com/740460599475760/posts/1910471942474614/" TargetMode="External"/><Relationship Id="rId259" Type="http://schemas.openxmlformats.org/officeDocument/2006/relationships/hyperlink" Target="https://www.facebook.com/740460599475760/posts/1913161612205647/" TargetMode="External"/><Relationship Id="rId137" Type="http://schemas.openxmlformats.org/officeDocument/2006/relationships/hyperlink" Target="https://www.facebook.com/740460599475760/posts/1949234531931688/" TargetMode="External"/><Relationship Id="rId258" Type="http://schemas.openxmlformats.org/officeDocument/2006/relationships/hyperlink" Target="https://www.facebook.com/172882636630076/posts/982020615716270/" TargetMode="External"/><Relationship Id="rId379" Type="http://schemas.openxmlformats.org/officeDocument/2006/relationships/hyperlink" Target="https://www.facebook.com/740460599475760/posts/1922737251248083/" TargetMode="External"/><Relationship Id="rId132" Type="http://schemas.openxmlformats.org/officeDocument/2006/relationships/hyperlink" Target="https://www.facebook.com/740460599475760/posts/1928356114019530/" TargetMode="External"/><Relationship Id="rId253" Type="http://schemas.openxmlformats.org/officeDocument/2006/relationships/hyperlink" Target="https://www.facebook.com/172882636630076/posts/1020042835247381/" TargetMode="External"/><Relationship Id="rId374" Type="http://schemas.openxmlformats.org/officeDocument/2006/relationships/hyperlink" Target="https://www.facebook.com/172882636630076/posts/1023655268219471/" TargetMode="External"/><Relationship Id="rId495" Type="http://schemas.openxmlformats.org/officeDocument/2006/relationships/hyperlink" Target="https://www.facebook.com/172882636630076/posts/1014938215757843/" TargetMode="External"/><Relationship Id="rId131" Type="http://schemas.openxmlformats.org/officeDocument/2006/relationships/hyperlink" Target="https://www.facebook.com/740460599475760/posts/1921818054673336/" TargetMode="External"/><Relationship Id="rId252" Type="http://schemas.openxmlformats.org/officeDocument/2006/relationships/hyperlink" Target="https://www.facebook.com/740460599475760/posts/1925738904281251/" TargetMode="External"/><Relationship Id="rId373" Type="http://schemas.openxmlformats.org/officeDocument/2006/relationships/hyperlink" Target="https://www.facebook.com/740460599475760/posts/1920949781426830/" TargetMode="External"/><Relationship Id="rId494" Type="http://schemas.openxmlformats.org/officeDocument/2006/relationships/hyperlink" Target="https://www.facebook.com/172882636630076/posts/1014939492424382/" TargetMode="External"/><Relationship Id="rId130" Type="http://schemas.openxmlformats.org/officeDocument/2006/relationships/hyperlink" Target="https://www.facebook.com/740460599475760/posts/1909602242561584/" TargetMode="External"/><Relationship Id="rId251" Type="http://schemas.openxmlformats.org/officeDocument/2006/relationships/hyperlink" Target="https://www.facebook.com/740460599475760/posts/1924094991112309/" TargetMode="External"/><Relationship Id="rId372" Type="http://schemas.openxmlformats.org/officeDocument/2006/relationships/hyperlink" Target="https://www.facebook.com/172882636630076/posts/970942463490752/" TargetMode="External"/><Relationship Id="rId493" Type="http://schemas.openxmlformats.org/officeDocument/2006/relationships/hyperlink" Target="https://www.facebook.com/172882636630076/posts/1014187265832938/" TargetMode="External"/><Relationship Id="rId250" Type="http://schemas.openxmlformats.org/officeDocument/2006/relationships/hyperlink" Target="https://www.facebook.com/740460599475760/posts/1935555239966284/" TargetMode="External"/><Relationship Id="rId371" Type="http://schemas.openxmlformats.org/officeDocument/2006/relationships/hyperlink" Target="https://www.facebook.com/740460599475760/posts/1921988727989602/" TargetMode="External"/><Relationship Id="rId492" Type="http://schemas.openxmlformats.org/officeDocument/2006/relationships/hyperlink" Target="https://www.facebook.com/172882636630076/posts/1001283097123355/" TargetMode="External"/><Relationship Id="rId136" Type="http://schemas.openxmlformats.org/officeDocument/2006/relationships/hyperlink" Target="https://www.facebook.com/740460599475760/posts/1928427537345721/" TargetMode="External"/><Relationship Id="rId257" Type="http://schemas.openxmlformats.org/officeDocument/2006/relationships/hyperlink" Target="https://www.facebook.com/172882636630076/posts/987509225167409/" TargetMode="External"/><Relationship Id="rId378" Type="http://schemas.openxmlformats.org/officeDocument/2006/relationships/hyperlink" Target="https://www.facebook.com/740460599475760/posts/1933766253478516/" TargetMode="External"/><Relationship Id="rId499" Type="http://schemas.openxmlformats.org/officeDocument/2006/relationships/hyperlink" Target="https://www.facebook.com/172882636630076/posts/1014653392452992/" TargetMode="External"/><Relationship Id="rId135" Type="http://schemas.openxmlformats.org/officeDocument/2006/relationships/hyperlink" Target="https://www.facebook.com/740460599475760/posts/1925619187626556/" TargetMode="External"/><Relationship Id="rId256" Type="http://schemas.openxmlformats.org/officeDocument/2006/relationships/hyperlink" Target="https://www.facebook.com/172882636630076/posts/1016987565552908/" TargetMode="External"/><Relationship Id="rId377" Type="http://schemas.openxmlformats.org/officeDocument/2006/relationships/hyperlink" Target="https://www.facebook.com/172882636630076/posts/996049987646666/" TargetMode="External"/><Relationship Id="rId498" Type="http://schemas.openxmlformats.org/officeDocument/2006/relationships/hyperlink" Target="https://www.facebook.com/172882636630076/posts/1006587349926263/" TargetMode="External"/><Relationship Id="rId134" Type="http://schemas.openxmlformats.org/officeDocument/2006/relationships/hyperlink" Target="https://www.facebook.com/740460599475760/posts/1947017738820034/" TargetMode="External"/><Relationship Id="rId255" Type="http://schemas.openxmlformats.org/officeDocument/2006/relationships/hyperlink" Target="https://www.facebook.com/172882636630076/posts/995567364361595/" TargetMode="External"/><Relationship Id="rId376" Type="http://schemas.openxmlformats.org/officeDocument/2006/relationships/hyperlink" Target="https://www.facebook.com/172882636630076/posts/982696852315313/" TargetMode="External"/><Relationship Id="rId497" Type="http://schemas.openxmlformats.org/officeDocument/2006/relationships/hyperlink" Target="https://www.facebook.com/172882636630076/posts/1002650746986590/" TargetMode="External"/><Relationship Id="rId133" Type="http://schemas.openxmlformats.org/officeDocument/2006/relationships/hyperlink" Target="https://www.facebook.com/freefireth/videos/1269931843454044/" TargetMode="External"/><Relationship Id="rId254" Type="http://schemas.openxmlformats.org/officeDocument/2006/relationships/hyperlink" Target="https://www.facebook.com/172882636630076/posts/1016474115604253/" TargetMode="External"/><Relationship Id="rId375" Type="http://schemas.openxmlformats.org/officeDocument/2006/relationships/hyperlink" Target="https://www.facebook.com/740460599475760/posts/1935583059963502/" TargetMode="External"/><Relationship Id="rId496" Type="http://schemas.openxmlformats.org/officeDocument/2006/relationships/hyperlink" Target="https://www.facebook.com/172882636630076/posts/1005877146663950/" TargetMode="External"/><Relationship Id="rId172" Type="http://schemas.openxmlformats.org/officeDocument/2006/relationships/hyperlink" Target="https://www.facebook.com/172882636630076/posts/1007589999825998/" TargetMode="External"/><Relationship Id="rId293" Type="http://schemas.openxmlformats.org/officeDocument/2006/relationships/hyperlink" Target="https://www.facebook.com/740460599475760/posts/1947013265487148/" TargetMode="External"/><Relationship Id="rId171" Type="http://schemas.openxmlformats.org/officeDocument/2006/relationships/hyperlink" Target="https://www.facebook.com/740460599475760/posts/1968512446670563/" TargetMode="External"/><Relationship Id="rId292" Type="http://schemas.openxmlformats.org/officeDocument/2006/relationships/hyperlink" Target="https://www.facebook.com/740460599475760/posts/1946818968839911/" TargetMode="External"/><Relationship Id="rId170" Type="http://schemas.openxmlformats.org/officeDocument/2006/relationships/hyperlink" Target="https://www.facebook.com/740460599475760/posts/1963789357142872/" TargetMode="External"/><Relationship Id="rId291" Type="http://schemas.openxmlformats.org/officeDocument/2006/relationships/hyperlink" Target="https://www.facebook.com/740460599475760/posts/1908404846014657/" TargetMode="External"/><Relationship Id="rId290" Type="http://schemas.openxmlformats.org/officeDocument/2006/relationships/hyperlink" Target="https://www.facebook.com/172882636630076/posts/1004171890167809/" TargetMode="External"/><Relationship Id="rId165" Type="http://schemas.openxmlformats.org/officeDocument/2006/relationships/hyperlink" Target="https://www.facebook.com/740460599475760/posts/1968551743333300/" TargetMode="External"/><Relationship Id="rId286" Type="http://schemas.openxmlformats.org/officeDocument/2006/relationships/hyperlink" Target="https://www.facebook.com/740460599475760/posts/1917028241818984/" TargetMode="External"/><Relationship Id="rId164" Type="http://schemas.openxmlformats.org/officeDocument/2006/relationships/hyperlink" Target="https://www.facebook.com/740460599475760/posts/1948391182016023/" TargetMode="External"/><Relationship Id="rId285" Type="http://schemas.openxmlformats.org/officeDocument/2006/relationships/hyperlink" Target="https://www.facebook.com/740460599475760/posts/1918050318383443/" TargetMode="External"/><Relationship Id="rId163" Type="http://schemas.openxmlformats.org/officeDocument/2006/relationships/hyperlink" Target="https://www.facebook.com/740460599475760/posts/1908796339308841/" TargetMode="External"/><Relationship Id="rId284" Type="http://schemas.openxmlformats.org/officeDocument/2006/relationships/hyperlink" Target="https://www.facebook.com/172882636630076/posts/1023840101534321/" TargetMode="External"/><Relationship Id="rId162" Type="http://schemas.openxmlformats.org/officeDocument/2006/relationships/hyperlink" Target="https://www.facebook.com/740460599475760/posts/1944013139120494/" TargetMode="External"/><Relationship Id="rId283" Type="http://schemas.openxmlformats.org/officeDocument/2006/relationships/hyperlink" Target="https://www.facebook.com/172882636630076/posts/980958539155811/" TargetMode="External"/><Relationship Id="rId169" Type="http://schemas.openxmlformats.org/officeDocument/2006/relationships/hyperlink" Target="https://www.facebook.com/freefireth/videos/901966987347375/" TargetMode="External"/><Relationship Id="rId168" Type="http://schemas.openxmlformats.org/officeDocument/2006/relationships/hyperlink" Target="https://www.facebook.com/740460599475760/posts/1932005006987974/" TargetMode="External"/><Relationship Id="rId289" Type="http://schemas.openxmlformats.org/officeDocument/2006/relationships/hyperlink" Target="https://www.facebook.com/740460599475760/posts/1933548783500263/" TargetMode="External"/><Relationship Id="rId167" Type="http://schemas.openxmlformats.org/officeDocument/2006/relationships/hyperlink" Target="https://www.facebook.com/740460599475760/posts/1921844304670711/" TargetMode="External"/><Relationship Id="rId288" Type="http://schemas.openxmlformats.org/officeDocument/2006/relationships/hyperlink" Target="https://www.facebook.com/172882636630076/posts/982061412378857/" TargetMode="External"/><Relationship Id="rId166" Type="http://schemas.openxmlformats.org/officeDocument/2006/relationships/hyperlink" Target="https://www.facebook.com/740460599475760/posts/1937028466485628/" TargetMode="External"/><Relationship Id="rId287" Type="http://schemas.openxmlformats.org/officeDocument/2006/relationships/hyperlink" Target="https://www.facebook.com/172882636630076/posts/1004261323492199/" TargetMode="External"/><Relationship Id="rId161" Type="http://schemas.openxmlformats.org/officeDocument/2006/relationships/hyperlink" Target="https://www.facebook.com/740460599475760/posts/1947673822087759/" TargetMode="External"/><Relationship Id="rId282" Type="http://schemas.openxmlformats.org/officeDocument/2006/relationships/hyperlink" Target="https://www.facebook.com/172882636630076/posts/977696136148718/" TargetMode="External"/><Relationship Id="rId160" Type="http://schemas.openxmlformats.org/officeDocument/2006/relationships/hyperlink" Target="https://www.facebook.com/freefireth/videos/4347917948653797/" TargetMode="External"/><Relationship Id="rId281" Type="http://schemas.openxmlformats.org/officeDocument/2006/relationships/hyperlink" Target="https://www.facebook.com/740460599475760/posts/1938461969675611/" TargetMode="External"/><Relationship Id="rId280" Type="http://schemas.openxmlformats.org/officeDocument/2006/relationships/hyperlink" Target="https://www.facebook.com/172882636630076/posts/973689799882685/" TargetMode="External"/><Relationship Id="rId159" Type="http://schemas.openxmlformats.org/officeDocument/2006/relationships/hyperlink" Target="https://www.facebook.com/740460599475760/posts/1937055576482917/" TargetMode="External"/><Relationship Id="rId154" Type="http://schemas.openxmlformats.org/officeDocument/2006/relationships/hyperlink" Target="https://www.facebook.com/740460599475760/posts/1935564853298656/" TargetMode="External"/><Relationship Id="rId275" Type="http://schemas.openxmlformats.org/officeDocument/2006/relationships/hyperlink" Target="https://www.facebook.com/freefireth/videos/282532207073795/" TargetMode="External"/><Relationship Id="rId396" Type="http://schemas.openxmlformats.org/officeDocument/2006/relationships/hyperlink" Target="https://www.facebook.com/740460599475760/posts/1942317042623437/" TargetMode="External"/><Relationship Id="rId153" Type="http://schemas.openxmlformats.org/officeDocument/2006/relationships/hyperlink" Target="https://www.facebook.com/740460599475760/posts/1921183174736824/" TargetMode="External"/><Relationship Id="rId274" Type="http://schemas.openxmlformats.org/officeDocument/2006/relationships/hyperlink" Target="https://www.facebook.com/172882636630076/posts/991272001457798/" TargetMode="External"/><Relationship Id="rId395" Type="http://schemas.openxmlformats.org/officeDocument/2006/relationships/hyperlink" Target="https://www.facebook.com/740460599475760/posts/1962250917296716/" TargetMode="External"/><Relationship Id="rId152" Type="http://schemas.openxmlformats.org/officeDocument/2006/relationships/hyperlink" Target="https://www.facebook.com/740460599475760/posts/1963787453809729/" TargetMode="External"/><Relationship Id="rId273" Type="http://schemas.openxmlformats.org/officeDocument/2006/relationships/hyperlink" Target="https://www.facebook.com/freefireth/videos/447029496861849/" TargetMode="External"/><Relationship Id="rId394" Type="http://schemas.openxmlformats.org/officeDocument/2006/relationships/hyperlink" Target="https://www.facebook.com/740460599475760/posts/1920381241483684/" TargetMode="External"/><Relationship Id="rId151" Type="http://schemas.openxmlformats.org/officeDocument/2006/relationships/hyperlink" Target="https://www.facebook.com/740460599475760/posts/1943902472464894/" TargetMode="External"/><Relationship Id="rId272" Type="http://schemas.openxmlformats.org/officeDocument/2006/relationships/hyperlink" Target="https://www.facebook.com/740460599475760/posts/1943028985885576/" TargetMode="External"/><Relationship Id="rId393" Type="http://schemas.openxmlformats.org/officeDocument/2006/relationships/hyperlink" Target="https://www.facebook.com/740460599475760/posts/1925663274288814/" TargetMode="External"/><Relationship Id="rId158" Type="http://schemas.openxmlformats.org/officeDocument/2006/relationships/hyperlink" Target="https://www.facebook.com/740460599475760/posts/1914643625390779/" TargetMode="External"/><Relationship Id="rId279" Type="http://schemas.openxmlformats.org/officeDocument/2006/relationships/hyperlink" Target="https://www.facebook.com/172882636630076/posts/1016596568925341/" TargetMode="External"/><Relationship Id="rId157" Type="http://schemas.openxmlformats.org/officeDocument/2006/relationships/hyperlink" Target="https://www.facebook.com/740460599475760/posts/1949044658617342/" TargetMode="External"/><Relationship Id="rId278" Type="http://schemas.openxmlformats.org/officeDocument/2006/relationships/hyperlink" Target="https://www.facebook.com/172882636630076/posts/977798096138522/" TargetMode="External"/><Relationship Id="rId399" Type="http://schemas.openxmlformats.org/officeDocument/2006/relationships/hyperlink" Target="https://www.facebook.com/740460599475760/posts/1916023201919488/" TargetMode="External"/><Relationship Id="rId156" Type="http://schemas.openxmlformats.org/officeDocument/2006/relationships/hyperlink" Target="https://www.facebook.com/740460599475760/posts/1921837141338094/" TargetMode="External"/><Relationship Id="rId277" Type="http://schemas.openxmlformats.org/officeDocument/2006/relationships/hyperlink" Target="https://www.facebook.com/172882636630076/posts/988271731757825/" TargetMode="External"/><Relationship Id="rId398" Type="http://schemas.openxmlformats.org/officeDocument/2006/relationships/hyperlink" Target="https://www.facebook.com/740460599475760/posts/1925661867622288/" TargetMode="External"/><Relationship Id="rId155" Type="http://schemas.openxmlformats.org/officeDocument/2006/relationships/hyperlink" Target="https://www.facebook.com/740460599475760/posts/1967776100077531/" TargetMode="External"/><Relationship Id="rId276" Type="http://schemas.openxmlformats.org/officeDocument/2006/relationships/hyperlink" Target="https://www.facebook.com/172882636630076/posts/981491159102549/" TargetMode="External"/><Relationship Id="rId397" Type="http://schemas.openxmlformats.org/officeDocument/2006/relationships/hyperlink" Target="https://www.facebook.com/172882636630076/posts/975724409679224/" TargetMode="External"/><Relationship Id="rId40" Type="http://schemas.openxmlformats.org/officeDocument/2006/relationships/hyperlink" Target="https://www.facebook.com/740460599475760/posts/1944766482378493/" TargetMode="External"/><Relationship Id="rId42" Type="http://schemas.openxmlformats.org/officeDocument/2006/relationships/hyperlink" Target="https://www.facebook.com/740460599475760/posts/1928432400678568/" TargetMode="External"/><Relationship Id="rId41" Type="http://schemas.openxmlformats.org/officeDocument/2006/relationships/hyperlink" Target="https://www.facebook.com/172882636630076/posts/1010822766169388/" TargetMode="External"/><Relationship Id="rId44" Type="http://schemas.openxmlformats.org/officeDocument/2006/relationships/hyperlink" Target="https://www.facebook.com/172882636630076/posts/996848754233456/" TargetMode="External"/><Relationship Id="rId43" Type="http://schemas.openxmlformats.org/officeDocument/2006/relationships/hyperlink" Target="https://www.facebook.com/740460599475760/posts/1945472215641253/" TargetMode="External"/><Relationship Id="rId46" Type="http://schemas.openxmlformats.org/officeDocument/2006/relationships/hyperlink" Target="https://www.facebook.com/740460599475760/posts/1933467933508348/" TargetMode="External"/><Relationship Id="rId45" Type="http://schemas.openxmlformats.org/officeDocument/2006/relationships/hyperlink" Target="https://www.facebook.com/740460599475760/posts/1963822657139542/" TargetMode="External"/><Relationship Id="rId509" Type="http://schemas.openxmlformats.org/officeDocument/2006/relationships/hyperlink" Target="https://www.facebook.com/172882636630076/posts/1012891612629170/" TargetMode="External"/><Relationship Id="rId508" Type="http://schemas.openxmlformats.org/officeDocument/2006/relationships/hyperlink" Target="https://www.facebook.com/172882636630076/posts/1015450285706636/" TargetMode="External"/><Relationship Id="rId503" Type="http://schemas.openxmlformats.org/officeDocument/2006/relationships/hyperlink" Target="https://www.facebook.com/172882636630076/posts/1014168805834784/" TargetMode="External"/><Relationship Id="rId502" Type="http://schemas.openxmlformats.org/officeDocument/2006/relationships/hyperlink" Target="https://www.facebook.com/172882636630076/posts/1010510302867301/" TargetMode="External"/><Relationship Id="rId501" Type="http://schemas.openxmlformats.org/officeDocument/2006/relationships/hyperlink" Target="https://www.facebook.com/172882636630076/posts/1011030879481910/" TargetMode="External"/><Relationship Id="rId500" Type="http://schemas.openxmlformats.org/officeDocument/2006/relationships/hyperlink" Target="https://www.facebook.com/172882636630076/posts/1010515446200120/" TargetMode="External"/><Relationship Id="rId507" Type="http://schemas.openxmlformats.org/officeDocument/2006/relationships/hyperlink" Target="https://www.facebook.com/172882636630076/posts/1016094915642173/" TargetMode="External"/><Relationship Id="rId506" Type="http://schemas.openxmlformats.org/officeDocument/2006/relationships/hyperlink" Target="https://www.facebook.com/172882636630076/posts/1014090272509304/" TargetMode="External"/><Relationship Id="rId505" Type="http://schemas.openxmlformats.org/officeDocument/2006/relationships/hyperlink" Target="https://www.facebook.com/172882636630076/posts/1001915433726788/" TargetMode="External"/><Relationship Id="rId504" Type="http://schemas.openxmlformats.org/officeDocument/2006/relationships/hyperlink" Target="https://www.facebook.com/172882636630076/posts/1015898692328462/" TargetMode="External"/><Relationship Id="rId48" Type="http://schemas.openxmlformats.org/officeDocument/2006/relationships/hyperlink" Target="https://www.facebook.com/740460599475760/posts/1911360665719075/" TargetMode="External"/><Relationship Id="rId47" Type="http://schemas.openxmlformats.org/officeDocument/2006/relationships/hyperlink" Target="https://www.facebook.com/740460599475760/posts/1933463956842079/" TargetMode="External"/><Relationship Id="rId49" Type="http://schemas.openxmlformats.org/officeDocument/2006/relationships/hyperlink" Target="https://www.facebook.com/740460599475760/posts/1908306979357777/" TargetMode="External"/><Relationship Id="rId31" Type="http://schemas.openxmlformats.org/officeDocument/2006/relationships/hyperlink" Target="https://www.facebook.com/740460599475760/posts/1908168186038323/" TargetMode="External"/><Relationship Id="rId30" Type="http://schemas.openxmlformats.org/officeDocument/2006/relationships/hyperlink" Target="https://www.facebook.com/740460599475760/posts/1967695280085613/" TargetMode="External"/><Relationship Id="rId33" Type="http://schemas.openxmlformats.org/officeDocument/2006/relationships/hyperlink" Target="https://www.facebook.com/740460599475760/posts/1944019885786486/" TargetMode="External"/><Relationship Id="rId32" Type="http://schemas.openxmlformats.org/officeDocument/2006/relationships/hyperlink" Target="https://www.facebook.com/740460599475760/posts/1917008835154258/" TargetMode="External"/><Relationship Id="rId35" Type="http://schemas.openxmlformats.org/officeDocument/2006/relationships/hyperlink" Target="https://www.facebook.com/740460599475760/posts/1969128239942317/" TargetMode="External"/><Relationship Id="rId34" Type="http://schemas.openxmlformats.org/officeDocument/2006/relationships/hyperlink" Target="https://www.facebook.com/740460599475760/posts/1910342392487569/" TargetMode="External"/><Relationship Id="rId37" Type="http://schemas.openxmlformats.org/officeDocument/2006/relationships/hyperlink" Target="https://www.facebook.com/740460599475760/posts/1951423808379427/" TargetMode="External"/><Relationship Id="rId36" Type="http://schemas.openxmlformats.org/officeDocument/2006/relationships/hyperlink" Target="https://www.facebook.com/740460599475760/posts/1964456007076207/" TargetMode="External"/><Relationship Id="rId39" Type="http://schemas.openxmlformats.org/officeDocument/2006/relationships/hyperlink" Target="https://www.facebook.com/740460599475760/posts/1938587642996377/" TargetMode="External"/><Relationship Id="rId38" Type="http://schemas.openxmlformats.org/officeDocument/2006/relationships/hyperlink" Target="https://www.facebook.com/740460599475760/posts/1911245965730545/" TargetMode="External"/><Relationship Id="rId20" Type="http://schemas.openxmlformats.org/officeDocument/2006/relationships/hyperlink" Target="https://www.facebook.com/740460599475760/posts/1947695698752238/" TargetMode="External"/><Relationship Id="rId22" Type="http://schemas.openxmlformats.org/officeDocument/2006/relationships/hyperlink" Target="https://www.facebook.com/740460599475760/posts/1911243259064149/" TargetMode="External"/><Relationship Id="rId21" Type="http://schemas.openxmlformats.org/officeDocument/2006/relationships/hyperlink" Target="https://www.facebook.com/740460599475760/posts/1963827217139086/" TargetMode="External"/><Relationship Id="rId24" Type="http://schemas.openxmlformats.org/officeDocument/2006/relationships/hyperlink" Target="https://www.facebook.com/740460599475760/posts/1963845677137240/" TargetMode="External"/><Relationship Id="rId23" Type="http://schemas.openxmlformats.org/officeDocument/2006/relationships/hyperlink" Target="https://www.facebook.com/freefireth/videos/295978249106529/" TargetMode="External"/><Relationship Id="rId409" Type="http://schemas.openxmlformats.org/officeDocument/2006/relationships/hyperlink" Target="https://www.facebook.com/740460599475760/posts/1947520292103112/" TargetMode="External"/><Relationship Id="rId404" Type="http://schemas.openxmlformats.org/officeDocument/2006/relationships/hyperlink" Target="https://www.facebook.com/172882636630076/posts/991329311452067/" TargetMode="External"/><Relationship Id="rId525" Type="http://schemas.openxmlformats.org/officeDocument/2006/relationships/hyperlink" Target="https://www.facebook.com/172882636630076/posts/1005493426702322/" TargetMode="External"/><Relationship Id="rId403" Type="http://schemas.openxmlformats.org/officeDocument/2006/relationships/hyperlink" Target="https://www.facebook.com/740460599475760/posts/1966950776826730/" TargetMode="External"/><Relationship Id="rId524" Type="http://schemas.openxmlformats.org/officeDocument/2006/relationships/hyperlink" Target="https://www.facebook.com/172882636630076/posts/1007177663200565/" TargetMode="External"/><Relationship Id="rId402" Type="http://schemas.openxmlformats.org/officeDocument/2006/relationships/hyperlink" Target="https://www.facebook.com/740460599475760/posts/1958525884335886/" TargetMode="External"/><Relationship Id="rId523" Type="http://schemas.openxmlformats.org/officeDocument/2006/relationships/hyperlink" Target="https://www.facebook.com/172882636630076/posts/1013947185856946/" TargetMode="External"/><Relationship Id="rId401" Type="http://schemas.openxmlformats.org/officeDocument/2006/relationships/hyperlink" Target="https://www.facebook.com/740460599475760/posts/1958524954335979/" TargetMode="External"/><Relationship Id="rId522" Type="http://schemas.openxmlformats.org/officeDocument/2006/relationships/hyperlink" Target="https://www.facebook.com/172882636630076/posts/1003626886888976/" TargetMode="External"/><Relationship Id="rId408" Type="http://schemas.openxmlformats.org/officeDocument/2006/relationships/hyperlink" Target="https://www.facebook.com/pubg.battlegrounds.th/videos/625073651855177/" TargetMode="External"/><Relationship Id="rId529" Type="http://schemas.openxmlformats.org/officeDocument/2006/relationships/hyperlink" Target="https://www.facebook.com/172882636630076/posts/1004861883432143/" TargetMode="External"/><Relationship Id="rId407" Type="http://schemas.openxmlformats.org/officeDocument/2006/relationships/hyperlink" Target="https://www.facebook.com/172882636630076/posts/997945124123819/" TargetMode="External"/><Relationship Id="rId528" Type="http://schemas.openxmlformats.org/officeDocument/2006/relationships/hyperlink" Target="https://www.facebook.com/172882636630076/posts/1004216456830019/" TargetMode="External"/><Relationship Id="rId406" Type="http://schemas.openxmlformats.org/officeDocument/2006/relationships/hyperlink" Target="https://www.facebook.com/172882636630076/posts/999185517333113/" TargetMode="External"/><Relationship Id="rId527" Type="http://schemas.openxmlformats.org/officeDocument/2006/relationships/hyperlink" Target="https://www.facebook.com/172882636630076/posts/1008780796373585/" TargetMode="External"/><Relationship Id="rId405" Type="http://schemas.openxmlformats.org/officeDocument/2006/relationships/hyperlink" Target="https://www.facebook.com/172882636630076/posts/993086827942982/" TargetMode="External"/><Relationship Id="rId526" Type="http://schemas.openxmlformats.org/officeDocument/2006/relationships/hyperlink" Target="https://www.facebook.com/172882636630076/posts/1003126920272306/" TargetMode="External"/><Relationship Id="rId26" Type="http://schemas.openxmlformats.org/officeDocument/2006/relationships/hyperlink" Target="https://www.facebook.com/740460599475760/posts/1908796782642130/" TargetMode="External"/><Relationship Id="rId25" Type="http://schemas.openxmlformats.org/officeDocument/2006/relationships/hyperlink" Target="https://www.facebook.com/740460599475760/posts/1949254281929713/" TargetMode="External"/><Relationship Id="rId28" Type="http://schemas.openxmlformats.org/officeDocument/2006/relationships/hyperlink" Target="https://www.facebook.com/172882636630076/posts/1021170775134587/" TargetMode="External"/><Relationship Id="rId27" Type="http://schemas.openxmlformats.org/officeDocument/2006/relationships/hyperlink" Target="https://www.facebook.com/740460599475760/posts/1908797172642091/" TargetMode="External"/><Relationship Id="rId400" Type="http://schemas.openxmlformats.org/officeDocument/2006/relationships/hyperlink" Target="https://www.facebook.com/740460599475760/posts/1966884233500051/" TargetMode="External"/><Relationship Id="rId521" Type="http://schemas.openxmlformats.org/officeDocument/2006/relationships/hyperlink" Target="https://www.facebook.com/172882636630076/posts/1001741087077556/" TargetMode="External"/><Relationship Id="rId29" Type="http://schemas.openxmlformats.org/officeDocument/2006/relationships/hyperlink" Target="https://www.facebook.com/740460599475760/posts/1911243639064111/" TargetMode="External"/><Relationship Id="rId520" Type="http://schemas.openxmlformats.org/officeDocument/2006/relationships/hyperlink" Target="https://www.facebook.com/172882636630076/posts/1012243712693960/" TargetMode="External"/><Relationship Id="rId11" Type="http://schemas.openxmlformats.org/officeDocument/2006/relationships/hyperlink" Target="https://www.facebook.com/172882636630076/posts/1014482262470105/" TargetMode="External"/><Relationship Id="rId10" Type="http://schemas.openxmlformats.org/officeDocument/2006/relationships/hyperlink" Target="https://www.facebook.com/172882636630076/posts/991318428119822/" TargetMode="External"/><Relationship Id="rId13" Type="http://schemas.openxmlformats.org/officeDocument/2006/relationships/hyperlink" Target="https://www.facebook.com/freefireth/videos/4546634405427841/" TargetMode="External"/><Relationship Id="rId12" Type="http://schemas.openxmlformats.org/officeDocument/2006/relationships/hyperlink" Target="https://www.facebook.com/172882636630076/posts/1014489645802700/" TargetMode="External"/><Relationship Id="rId519" Type="http://schemas.openxmlformats.org/officeDocument/2006/relationships/hyperlink" Target="https://www.facebook.com/172882636630076/posts/1008328726418792/" TargetMode="External"/><Relationship Id="rId514" Type="http://schemas.openxmlformats.org/officeDocument/2006/relationships/hyperlink" Target="https://www.facebook.com/172882636630076/posts/1013909035860761/" TargetMode="External"/><Relationship Id="rId513" Type="http://schemas.openxmlformats.org/officeDocument/2006/relationships/hyperlink" Target="https://www.facebook.com/172882636630076/posts/1011606189424379/" TargetMode="External"/><Relationship Id="rId512" Type="http://schemas.openxmlformats.org/officeDocument/2006/relationships/hyperlink" Target="https://www.facebook.com/172882636630076/posts/1008768976374767/" TargetMode="External"/><Relationship Id="rId511" Type="http://schemas.openxmlformats.org/officeDocument/2006/relationships/hyperlink" Target="https://www.facebook.com/172882636630076/posts/1009768216274843/" TargetMode="External"/><Relationship Id="rId518" Type="http://schemas.openxmlformats.org/officeDocument/2006/relationships/hyperlink" Target="https://www.facebook.com/172882636630076/posts/1008169273101404/" TargetMode="External"/><Relationship Id="rId517" Type="http://schemas.openxmlformats.org/officeDocument/2006/relationships/hyperlink" Target="https://www.facebook.com/172882636630076/posts/1006579676593697/" TargetMode="External"/><Relationship Id="rId516" Type="http://schemas.openxmlformats.org/officeDocument/2006/relationships/hyperlink" Target="https://www.facebook.com/172882636630076/posts/1013266309258367/" TargetMode="External"/><Relationship Id="rId515" Type="http://schemas.openxmlformats.org/officeDocument/2006/relationships/hyperlink" Target="https://www.facebook.com/172882636630076/posts/1001062310478767/" TargetMode="External"/><Relationship Id="rId15" Type="http://schemas.openxmlformats.org/officeDocument/2006/relationships/hyperlink" Target="https://www.facebook.com/740460599475760/posts/1951513731703768/" TargetMode="External"/><Relationship Id="rId14" Type="http://schemas.openxmlformats.org/officeDocument/2006/relationships/hyperlink" Target="https://www.facebook.com/freefireth/videos/306128691099558/" TargetMode="External"/><Relationship Id="rId17" Type="http://schemas.openxmlformats.org/officeDocument/2006/relationships/hyperlink" Target="https://www.facebook.com/740460599475760/posts/1905962889592186/" TargetMode="External"/><Relationship Id="rId16" Type="http://schemas.openxmlformats.org/officeDocument/2006/relationships/hyperlink" Target="https://www.facebook.com/172882636630076/posts/1003205673597764/" TargetMode="External"/><Relationship Id="rId19" Type="http://schemas.openxmlformats.org/officeDocument/2006/relationships/hyperlink" Target="https://www.facebook.com/740460599475760/posts/1963778730477268/" TargetMode="External"/><Relationship Id="rId510" Type="http://schemas.openxmlformats.org/officeDocument/2006/relationships/hyperlink" Target="https://www.facebook.com/172882636630076/posts/1011462816105383/" TargetMode="External"/><Relationship Id="rId18" Type="http://schemas.openxmlformats.org/officeDocument/2006/relationships/hyperlink" Target="https://www.facebook.com/172882636630076/posts/1013230399261958/" TargetMode="External"/><Relationship Id="rId84" Type="http://schemas.openxmlformats.org/officeDocument/2006/relationships/hyperlink" Target="https://www.facebook.com/740460599475760/posts/1926680174187124/" TargetMode="External"/><Relationship Id="rId83" Type="http://schemas.openxmlformats.org/officeDocument/2006/relationships/hyperlink" Target="https://www.facebook.com/740460599475760/posts/1968403463348128/" TargetMode="External"/><Relationship Id="rId86" Type="http://schemas.openxmlformats.org/officeDocument/2006/relationships/hyperlink" Target="https://www.facebook.com/740460599475760/posts/1963839930471148/" TargetMode="External"/><Relationship Id="rId85" Type="http://schemas.openxmlformats.org/officeDocument/2006/relationships/hyperlink" Target="https://www.facebook.com/740460599475760/posts/1914729018715573/" TargetMode="External"/><Relationship Id="rId88" Type="http://schemas.openxmlformats.org/officeDocument/2006/relationships/hyperlink" Target="https://www.facebook.com/740460599475760/posts/1911365515718590/" TargetMode="External"/><Relationship Id="rId87" Type="http://schemas.openxmlformats.org/officeDocument/2006/relationships/hyperlink" Target="https://www.facebook.com/740460599475760/posts/1967618723426602/" TargetMode="External"/><Relationship Id="rId89" Type="http://schemas.openxmlformats.org/officeDocument/2006/relationships/hyperlink" Target="https://www.facebook.com/740460599475760/posts/1966958943492580/" TargetMode="External"/><Relationship Id="rId80" Type="http://schemas.openxmlformats.org/officeDocument/2006/relationships/hyperlink" Target="https://www.facebook.com/740460599475760/posts/1963833767138431/" TargetMode="External"/><Relationship Id="rId82" Type="http://schemas.openxmlformats.org/officeDocument/2006/relationships/hyperlink" Target="https://www.facebook.com/740460599475760/posts/1967775140077627/" TargetMode="External"/><Relationship Id="rId81" Type="http://schemas.openxmlformats.org/officeDocument/2006/relationships/hyperlink" Target="https://www.facebook.com/740460599475760/posts/1963836677138140/" TargetMode="External"/><Relationship Id="rId73" Type="http://schemas.openxmlformats.org/officeDocument/2006/relationships/hyperlink" Target="https://www.facebook.com/740460599475760/posts/1966795856842222/" TargetMode="External"/><Relationship Id="rId72" Type="http://schemas.openxmlformats.org/officeDocument/2006/relationships/hyperlink" Target="https://www.facebook.com/740460599475760/posts/1967821676739640/" TargetMode="External"/><Relationship Id="rId75" Type="http://schemas.openxmlformats.org/officeDocument/2006/relationships/hyperlink" Target="https://www.facebook.com/740460599475760/posts/1969321056589702/" TargetMode="External"/><Relationship Id="rId74" Type="http://schemas.openxmlformats.org/officeDocument/2006/relationships/hyperlink" Target="https://www.facebook.com/740460599475760/posts/1967657196756088/" TargetMode="External"/><Relationship Id="rId77" Type="http://schemas.openxmlformats.org/officeDocument/2006/relationships/hyperlink" Target="https://www.facebook.com/740460599475760/posts/1928430600678748/" TargetMode="External"/><Relationship Id="rId76" Type="http://schemas.openxmlformats.org/officeDocument/2006/relationships/hyperlink" Target="https://www.facebook.com/740460599475760/posts/1905939169594558/" TargetMode="External"/><Relationship Id="rId79" Type="http://schemas.openxmlformats.org/officeDocument/2006/relationships/hyperlink" Target="https://www.facebook.com/740460599475760/posts/1932019070319901/" TargetMode="External"/><Relationship Id="rId78" Type="http://schemas.openxmlformats.org/officeDocument/2006/relationships/hyperlink" Target="https://www.facebook.com/740460599475760/posts/1949241151931026/" TargetMode="External"/><Relationship Id="rId71" Type="http://schemas.openxmlformats.org/officeDocument/2006/relationships/hyperlink" Target="https://www.facebook.com/freefireth/videos/3272605146348688/" TargetMode="External"/><Relationship Id="rId70" Type="http://schemas.openxmlformats.org/officeDocument/2006/relationships/hyperlink" Target="https://www.facebook.com/740460599475760/posts/1933489020172906/" TargetMode="External"/><Relationship Id="rId62" Type="http://schemas.openxmlformats.org/officeDocument/2006/relationships/hyperlink" Target="https://www.facebook.com/740460599475760/posts/1923459334509208/" TargetMode="External"/><Relationship Id="rId61" Type="http://schemas.openxmlformats.org/officeDocument/2006/relationships/hyperlink" Target="https://www.facebook.com/740460599475760/posts/1921838101337998/" TargetMode="External"/><Relationship Id="rId64" Type="http://schemas.openxmlformats.org/officeDocument/2006/relationships/hyperlink" Target="https://www.facebook.com/740460599475760/posts/1936441439877664/" TargetMode="External"/><Relationship Id="rId63" Type="http://schemas.openxmlformats.org/officeDocument/2006/relationships/hyperlink" Target="https://www.facebook.com/740460599475760/posts/1905729416282200/" TargetMode="External"/><Relationship Id="rId66" Type="http://schemas.openxmlformats.org/officeDocument/2006/relationships/hyperlink" Target="https://www.facebook.com/740460599475760/posts/1943971055791369/" TargetMode="External"/><Relationship Id="rId65" Type="http://schemas.openxmlformats.org/officeDocument/2006/relationships/hyperlink" Target="https://www.facebook.com/740460599475760/posts/1943825175805957/" TargetMode="External"/><Relationship Id="rId68" Type="http://schemas.openxmlformats.org/officeDocument/2006/relationships/hyperlink" Target="https://www.facebook.com/740460599475760/posts/1943171275871347/" TargetMode="External"/><Relationship Id="rId67" Type="http://schemas.openxmlformats.org/officeDocument/2006/relationships/hyperlink" Target="https://www.facebook.com/740460599475760/posts/1964448330410308/" TargetMode="External"/><Relationship Id="rId60" Type="http://schemas.openxmlformats.org/officeDocument/2006/relationships/hyperlink" Target="https://www.facebook.com/740460599475760/posts/1943968502458291/" TargetMode="External"/><Relationship Id="rId69" Type="http://schemas.openxmlformats.org/officeDocument/2006/relationships/hyperlink" Target="https://www.facebook.com/740460599475760/posts/1905971419591333/" TargetMode="External"/><Relationship Id="rId51" Type="http://schemas.openxmlformats.org/officeDocument/2006/relationships/hyperlink" Target="https://www.facebook.com/172882636630076/posts/1012621895989475/" TargetMode="External"/><Relationship Id="rId50" Type="http://schemas.openxmlformats.org/officeDocument/2006/relationships/hyperlink" Target="https://www.facebook.com/740460599475760/posts/1935447329977075/" TargetMode="External"/><Relationship Id="rId53" Type="http://schemas.openxmlformats.org/officeDocument/2006/relationships/hyperlink" Target="https://www.facebook.com/740460599475760/posts/1921944611327347/" TargetMode="External"/><Relationship Id="rId52" Type="http://schemas.openxmlformats.org/officeDocument/2006/relationships/hyperlink" Target="https://www.facebook.com/740460599475760/posts/1933552703499871/" TargetMode="External"/><Relationship Id="rId55" Type="http://schemas.openxmlformats.org/officeDocument/2006/relationships/hyperlink" Target="https://www.facebook.com/740460599475760/posts/1924909847697490/" TargetMode="External"/><Relationship Id="rId54" Type="http://schemas.openxmlformats.org/officeDocument/2006/relationships/hyperlink" Target="https://www.facebook.com/172882636630076/posts/1014471625804502/" TargetMode="External"/><Relationship Id="rId57" Type="http://schemas.openxmlformats.org/officeDocument/2006/relationships/hyperlink" Target="https://www.facebook.com/740460599475760/posts/1967775646744243/" TargetMode="External"/><Relationship Id="rId56" Type="http://schemas.openxmlformats.org/officeDocument/2006/relationships/hyperlink" Target="https://www.facebook.com/172882636630076/posts/1013251422593189/" TargetMode="External"/><Relationship Id="rId59" Type="http://schemas.openxmlformats.org/officeDocument/2006/relationships/hyperlink" Target="https://www.facebook.com/740460599475760/posts/1930474490474359/" TargetMode="External"/><Relationship Id="rId58" Type="http://schemas.openxmlformats.org/officeDocument/2006/relationships/hyperlink" Target="https://www.facebook.com/740460599475760/posts/1928446460677162/" TargetMode="External"/><Relationship Id="rId107" Type="http://schemas.openxmlformats.org/officeDocument/2006/relationships/hyperlink" Target="https://www.facebook.com/740460599475760/posts/1969123923276082/" TargetMode="External"/><Relationship Id="rId228" Type="http://schemas.openxmlformats.org/officeDocument/2006/relationships/hyperlink" Target="https://www.facebook.com/740460599475760/posts/1964072870447854/" TargetMode="External"/><Relationship Id="rId349" Type="http://schemas.openxmlformats.org/officeDocument/2006/relationships/hyperlink" Target="https://www.facebook.com/740460599475760/posts/1913537378834737/" TargetMode="External"/><Relationship Id="rId106" Type="http://schemas.openxmlformats.org/officeDocument/2006/relationships/hyperlink" Target="https://www.facebook.com/740460599475760/posts/1951403998381408/" TargetMode="External"/><Relationship Id="rId227" Type="http://schemas.openxmlformats.org/officeDocument/2006/relationships/hyperlink" Target="https://www.facebook.com/740460599475760/posts/1909427849245690/" TargetMode="External"/><Relationship Id="rId348" Type="http://schemas.openxmlformats.org/officeDocument/2006/relationships/hyperlink" Target="https://www.facebook.com/172882636630076/posts/976362902948708/" TargetMode="External"/><Relationship Id="rId469" Type="http://schemas.openxmlformats.org/officeDocument/2006/relationships/hyperlink" Target="https://www.facebook.com/172882636630076/posts/1019558645295800/" TargetMode="External"/><Relationship Id="rId105" Type="http://schemas.openxmlformats.org/officeDocument/2006/relationships/hyperlink" Target="https://www.facebook.com/740460599475760/posts/1931244117064063/" TargetMode="External"/><Relationship Id="rId226" Type="http://schemas.openxmlformats.org/officeDocument/2006/relationships/hyperlink" Target="https://www.facebook.com/740460599475760/posts/1968547556667052/" TargetMode="External"/><Relationship Id="rId347" Type="http://schemas.openxmlformats.org/officeDocument/2006/relationships/hyperlink" Target="https://www.facebook.com/172882636630076/posts/1008791016372563/" TargetMode="External"/><Relationship Id="rId468" Type="http://schemas.openxmlformats.org/officeDocument/2006/relationships/hyperlink" Target="https://www.facebook.com/172882636630076/posts/970284500223215/" TargetMode="External"/><Relationship Id="rId104" Type="http://schemas.openxmlformats.org/officeDocument/2006/relationships/hyperlink" Target="https://www.facebook.com/740460599475760/posts/1932850766903398/" TargetMode="External"/><Relationship Id="rId225" Type="http://schemas.openxmlformats.org/officeDocument/2006/relationships/hyperlink" Target="https://www.facebook.com/740460599475760/posts/1936337043221437/" TargetMode="External"/><Relationship Id="rId346" Type="http://schemas.openxmlformats.org/officeDocument/2006/relationships/hyperlink" Target="https://www.facebook.com/740460599475760/posts/1922714304583711/" TargetMode="External"/><Relationship Id="rId467" Type="http://schemas.openxmlformats.org/officeDocument/2006/relationships/hyperlink" Target="https://www.facebook.com/172882636630076/posts/1007623696489295/" TargetMode="External"/><Relationship Id="rId109" Type="http://schemas.openxmlformats.org/officeDocument/2006/relationships/hyperlink" Target="https://www.facebook.com/172882636630076/posts/1013823322535999/" TargetMode="External"/><Relationship Id="rId108" Type="http://schemas.openxmlformats.org/officeDocument/2006/relationships/hyperlink" Target="https://www.facebook.com/740460599475760/posts/1928433627345112/" TargetMode="External"/><Relationship Id="rId229" Type="http://schemas.openxmlformats.org/officeDocument/2006/relationships/hyperlink" Target="https://www.facebook.com/740460599475760/posts/1914641738724301/" TargetMode="External"/><Relationship Id="rId220" Type="http://schemas.openxmlformats.org/officeDocument/2006/relationships/hyperlink" Target="https://www.facebook.com/740460599475760/posts/1968546566667151/" TargetMode="External"/><Relationship Id="rId341" Type="http://schemas.openxmlformats.org/officeDocument/2006/relationships/hyperlink" Target="https://www.facebook.com/740460599475760/posts/1921992781322530/" TargetMode="External"/><Relationship Id="rId462" Type="http://schemas.openxmlformats.org/officeDocument/2006/relationships/hyperlink" Target="https://www.facebook.com/172882636630076/posts/1018844178700580/" TargetMode="External"/><Relationship Id="rId340" Type="http://schemas.openxmlformats.org/officeDocument/2006/relationships/hyperlink" Target="https://www.facebook.com/740460599475760/posts/1923251744529967/" TargetMode="External"/><Relationship Id="rId461" Type="http://schemas.openxmlformats.org/officeDocument/2006/relationships/hyperlink" Target="https://www.facebook.com/172882636630076/posts/969476276970704/" TargetMode="External"/><Relationship Id="rId460" Type="http://schemas.openxmlformats.org/officeDocument/2006/relationships/hyperlink" Target="https://www.facebook.com/172882636630076/posts/1018981242020207/" TargetMode="External"/><Relationship Id="rId103" Type="http://schemas.openxmlformats.org/officeDocument/2006/relationships/hyperlink" Target="https://www.facebook.com/740460599475760/posts/1969269273261547/" TargetMode="External"/><Relationship Id="rId224" Type="http://schemas.openxmlformats.org/officeDocument/2006/relationships/hyperlink" Target="https://www.facebook.com/740460599475760/posts/1910465929141882/" TargetMode="External"/><Relationship Id="rId345" Type="http://schemas.openxmlformats.org/officeDocument/2006/relationships/hyperlink" Target="https://www.facebook.com/172882636630076/posts/1014537342464597/" TargetMode="External"/><Relationship Id="rId466" Type="http://schemas.openxmlformats.org/officeDocument/2006/relationships/hyperlink" Target="https://www.facebook.com/172882636630076/posts/1002358573682474/" TargetMode="External"/><Relationship Id="rId102" Type="http://schemas.openxmlformats.org/officeDocument/2006/relationships/hyperlink" Target="https://www.facebook.com/740460599475760/posts/1905181179670357/" TargetMode="External"/><Relationship Id="rId223" Type="http://schemas.openxmlformats.org/officeDocument/2006/relationships/hyperlink" Target="https://www.facebook.com/172882636630076/posts/1005613603356971/" TargetMode="External"/><Relationship Id="rId344" Type="http://schemas.openxmlformats.org/officeDocument/2006/relationships/hyperlink" Target="https://www.facebook.com/172882636630076/posts/974981129753552/" TargetMode="External"/><Relationship Id="rId465" Type="http://schemas.openxmlformats.org/officeDocument/2006/relationships/hyperlink" Target="https://www.facebook.com/172882636630076/posts/1019983768586621/" TargetMode="External"/><Relationship Id="rId101" Type="http://schemas.openxmlformats.org/officeDocument/2006/relationships/hyperlink" Target="https://www.facebook.com/740460599475760/posts/1908168586038283/" TargetMode="External"/><Relationship Id="rId222" Type="http://schemas.openxmlformats.org/officeDocument/2006/relationships/hyperlink" Target="https://www.facebook.com/172882636630076/posts/989524938299171/" TargetMode="External"/><Relationship Id="rId343" Type="http://schemas.openxmlformats.org/officeDocument/2006/relationships/hyperlink" Target="https://www.facebook.com/740460599475760/posts/1954317724756702/" TargetMode="External"/><Relationship Id="rId464" Type="http://schemas.openxmlformats.org/officeDocument/2006/relationships/hyperlink" Target="https://www.facebook.com/172882636630076/posts/1005935756658089/" TargetMode="External"/><Relationship Id="rId100" Type="http://schemas.openxmlformats.org/officeDocument/2006/relationships/hyperlink" Target="https://www.facebook.com/172882636630076/posts/987160195202312/" TargetMode="External"/><Relationship Id="rId221" Type="http://schemas.openxmlformats.org/officeDocument/2006/relationships/hyperlink" Target="https://www.facebook.com/740460599475760/posts/1921842081337600/" TargetMode="External"/><Relationship Id="rId342" Type="http://schemas.openxmlformats.org/officeDocument/2006/relationships/hyperlink" Target="https://www.facebook.com/172882636630076/posts/974324759819189/" TargetMode="External"/><Relationship Id="rId463" Type="http://schemas.openxmlformats.org/officeDocument/2006/relationships/hyperlink" Target="https://www.facebook.com/172882636630076/posts/1002995990285399/" TargetMode="External"/><Relationship Id="rId217" Type="http://schemas.openxmlformats.org/officeDocument/2006/relationships/hyperlink" Target="https://www.facebook.com/740460599475760/posts/1933474060174402/" TargetMode="External"/><Relationship Id="rId338" Type="http://schemas.openxmlformats.org/officeDocument/2006/relationships/hyperlink" Target="https://www.facebook.com/172882636630076/posts/1020635191854812/" TargetMode="External"/><Relationship Id="rId459" Type="http://schemas.openxmlformats.org/officeDocument/2006/relationships/hyperlink" Target="https://www.facebook.com/172882636630076/posts/1000447847206880/" TargetMode="External"/><Relationship Id="rId216" Type="http://schemas.openxmlformats.org/officeDocument/2006/relationships/hyperlink" Target="https://www.facebook.com/740460599475760/posts/1932849380236870/" TargetMode="External"/><Relationship Id="rId337" Type="http://schemas.openxmlformats.org/officeDocument/2006/relationships/hyperlink" Target="https://www.facebook.com/172882636630076/posts/992517154666616/" TargetMode="External"/><Relationship Id="rId458" Type="http://schemas.openxmlformats.org/officeDocument/2006/relationships/hyperlink" Target="https://www.facebook.com/172882636630076/posts/1018820962036235/" TargetMode="External"/><Relationship Id="rId215" Type="http://schemas.openxmlformats.org/officeDocument/2006/relationships/hyperlink" Target="https://www.facebook.com/740460599475760/posts/1921839284671213/" TargetMode="External"/><Relationship Id="rId336" Type="http://schemas.openxmlformats.org/officeDocument/2006/relationships/hyperlink" Target="https://www.facebook.com/172882636630076/posts/982766825641649/" TargetMode="External"/><Relationship Id="rId457" Type="http://schemas.openxmlformats.org/officeDocument/2006/relationships/hyperlink" Target="https://www.facebook.com/172882636630076/posts/1007592689825729/" TargetMode="External"/><Relationship Id="rId214" Type="http://schemas.openxmlformats.org/officeDocument/2006/relationships/hyperlink" Target="https://www.facebook.com/740460599475760/posts/1963790573809417/" TargetMode="External"/><Relationship Id="rId335" Type="http://schemas.openxmlformats.org/officeDocument/2006/relationships/hyperlink" Target="https://www.facebook.com/172882636630076/posts/974967039754961/" TargetMode="External"/><Relationship Id="rId456" Type="http://schemas.openxmlformats.org/officeDocument/2006/relationships/hyperlink" Target="https://www.facebook.com/172882636630076/posts/1000440563874275/" TargetMode="External"/><Relationship Id="rId219" Type="http://schemas.openxmlformats.org/officeDocument/2006/relationships/hyperlink" Target="https://www.facebook.com/740460599475760/posts/1947713838750424/" TargetMode="External"/><Relationship Id="rId218" Type="http://schemas.openxmlformats.org/officeDocument/2006/relationships/hyperlink" Target="https://www.facebook.com/172882636630076/posts/995475351037463/" TargetMode="External"/><Relationship Id="rId339" Type="http://schemas.openxmlformats.org/officeDocument/2006/relationships/hyperlink" Target="https://www.facebook.com/172882636630076/posts/994303424487989/" TargetMode="External"/><Relationship Id="rId330" Type="http://schemas.openxmlformats.org/officeDocument/2006/relationships/hyperlink" Target="https://www.facebook.com/172882636630076/posts/990130271571971/" TargetMode="External"/><Relationship Id="rId451" Type="http://schemas.openxmlformats.org/officeDocument/2006/relationships/hyperlink" Target="https://www.facebook.com/740460599475760/posts/1921114361410372/" TargetMode="External"/><Relationship Id="rId450" Type="http://schemas.openxmlformats.org/officeDocument/2006/relationships/hyperlink" Target="https://www.facebook.com/172882636630076/posts/1019350951983236/" TargetMode="External"/><Relationship Id="rId213" Type="http://schemas.openxmlformats.org/officeDocument/2006/relationships/hyperlink" Target="https://www.facebook.com/740460599475760/posts/1913642725490869/" TargetMode="External"/><Relationship Id="rId334" Type="http://schemas.openxmlformats.org/officeDocument/2006/relationships/hyperlink" Target="https://www.facebook.com/172882636630076/posts/972919619959703/" TargetMode="External"/><Relationship Id="rId455" Type="http://schemas.openxmlformats.org/officeDocument/2006/relationships/hyperlink" Target="https://www.facebook.com/172882636630076/posts/999859547265710/" TargetMode="External"/><Relationship Id="rId212" Type="http://schemas.openxmlformats.org/officeDocument/2006/relationships/hyperlink" Target="https://www.facebook.com/740460599475760/posts/1932017340320074/" TargetMode="External"/><Relationship Id="rId333" Type="http://schemas.openxmlformats.org/officeDocument/2006/relationships/hyperlink" Target="https://www.facebook.com/172882636630076/posts/973652123219786/" TargetMode="External"/><Relationship Id="rId454" Type="http://schemas.openxmlformats.org/officeDocument/2006/relationships/hyperlink" Target="https://www.facebook.com/172882636630076/posts/1019943645257300/" TargetMode="External"/><Relationship Id="rId211" Type="http://schemas.openxmlformats.org/officeDocument/2006/relationships/hyperlink" Target="https://www.facebook.com/740460599475760/posts/1928431267345348/" TargetMode="External"/><Relationship Id="rId332" Type="http://schemas.openxmlformats.org/officeDocument/2006/relationships/hyperlink" Target="https://www.facebook.com/172882636630076/posts/1020158005235864/" TargetMode="External"/><Relationship Id="rId453" Type="http://schemas.openxmlformats.org/officeDocument/2006/relationships/hyperlink" Target="https://www.facebook.com/172882636630076/posts/1002338103684521/" TargetMode="External"/><Relationship Id="rId210" Type="http://schemas.openxmlformats.org/officeDocument/2006/relationships/hyperlink" Target="https://www.facebook.com/740460599475760/posts/1927470357441439/" TargetMode="External"/><Relationship Id="rId331" Type="http://schemas.openxmlformats.org/officeDocument/2006/relationships/hyperlink" Target="https://www.facebook.com/pubg.battlegrounds.th/videos/401104991611623/" TargetMode="External"/><Relationship Id="rId452" Type="http://schemas.openxmlformats.org/officeDocument/2006/relationships/hyperlink" Target="https://www.facebook.com/172882636630076/posts/1018340555417609/" TargetMode="External"/><Relationship Id="rId370" Type="http://schemas.openxmlformats.org/officeDocument/2006/relationships/hyperlink" Target="https://www.facebook.com/172882636630076/posts/971000823484916/" TargetMode="External"/><Relationship Id="rId491" Type="http://schemas.openxmlformats.org/officeDocument/2006/relationships/hyperlink" Target="https://www.facebook.com/172882636630076/posts/1017589345492730/" TargetMode="External"/><Relationship Id="rId490" Type="http://schemas.openxmlformats.org/officeDocument/2006/relationships/hyperlink" Target="https://www.facebook.com/172882636630076/posts/1005921279992870/" TargetMode="External"/><Relationship Id="rId129" Type="http://schemas.openxmlformats.org/officeDocument/2006/relationships/hyperlink" Target="https://www.facebook.com/740460599475760/posts/1947622975426177/" TargetMode="External"/><Relationship Id="rId128" Type="http://schemas.openxmlformats.org/officeDocument/2006/relationships/hyperlink" Target="https://www.facebook.com/740460599475760/posts/1936200256568449/" TargetMode="External"/><Relationship Id="rId249" Type="http://schemas.openxmlformats.org/officeDocument/2006/relationships/hyperlink" Target="https://www.facebook.com/172882636630076/posts/1010234416228223/" TargetMode="External"/><Relationship Id="rId127" Type="http://schemas.openxmlformats.org/officeDocument/2006/relationships/hyperlink" Target="https://www.facebook.com/740460599475760/posts/1921843774670764/" TargetMode="External"/><Relationship Id="rId248" Type="http://schemas.openxmlformats.org/officeDocument/2006/relationships/hyperlink" Target="https://www.facebook.com/740460599475760/posts/1911524132369395/" TargetMode="External"/><Relationship Id="rId369" Type="http://schemas.openxmlformats.org/officeDocument/2006/relationships/hyperlink" Target="https://www.facebook.com/172882636630076/posts/1003683373549994/" TargetMode="External"/><Relationship Id="rId126" Type="http://schemas.openxmlformats.org/officeDocument/2006/relationships/hyperlink" Target="https://www.facebook.com/740460599475760/posts/1911247305730411/" TargetMode="External"/><Relationship Id="rId247" Type="http://schemas.openxmlformats.org/officeDocument/2006/relationships/hyperlink" Target="https://www.facebook.com/740460599475760/posts/1913812335473908/" TargetMode="External"/><Relationship Id="rId368" Type="http://schemas.openxmlformats.org/officeDocument/2006/relationships/hyperlink" Target="https://www.facebook.com/740460599475760/posts/1913685608819914/" TargetMode="External"/><Relationship Id="rId489" Type="http://schemas.openxmlformats.org/officeDocument/2006/relationships/hyperlink" Target="https://www.facebook.com/172882636630076/posts/1005926013325730/" TargetMode="External"/><Relationship Id="rId121" Type="http://schemas.openxmlformats.org/officeDocument/2006/relationships/hyperlink" Target="https://www.facebook.com/740460599475760/posts/1946790715509403/" TargetMode="External"/><Relationship Id="rId242" Type="http://schemas.openxmlformats.org/officeDocument/2006/relationships/hyperlink" Target="https://www.facebook.com/740460599475760/posts/1966951500159991/" TargetMode="External"/><Relationship Id="rId363" Type="http://schemas.openxmlformats.org/officeDocument/2006/relationships/hyperlink" Target="https://www.facebook.com/740460599475760/posts/1919541568234318/" TargetMode="External"/><Relationship Id="rId484" Type="http://schemas.openxmlformats.org/officeDocument/2006/relationships/hyperlink" Target="https://www.facebook.com/172882636630076/posts/1000429033875428/" TargetMode="External"/><Relationship Id="rId120" Type="http://schemas.openxmlformats.org/officeDocument/2006/relationships/hyperlink" Target="https://www.facebook.com/740460599475760/posts/1946262388895569/" TargetMode="External"/><Relationship Id="rId241" Type="http://schemas.openxmlformats.org/officeDocument/2006/relationships/hyperlink" Target="https://www.facebook.com/740460599475760/posts/1921852924669849/" TargetMode="External"/><Relationship Id="rId362" Type="http://schemas.openxmlformats.org/officeDocument/2006/relationships/hyperlink" Target="https://www.facebook.com/740460599475760/posts/1948421818679626/" TargetMode="External"/><Relationship Id="rId483" Type="http://schemas.openxmlformats.org/officeDocument/2006/relationships/hyperlink" Target="https://www.facebook.com/172882636630076/posts/1001291520455846/" TargetMode="External"/><Relationship Id="rId240" Type="http://schemas.openxmlformats.org/officeDocument/2006/relationships/hyperlink" Target="https://www.facebook.com/740460599475760/posts/1914733125381829/" TargetMode="External"/><Relationship Id="rId361" Type="http://schemas.openxmlformats.org/officeDocument/2006/relationships/hyperlink" Target="https://www.facebook.com/172882636630076/posts/1020170918567906/" TargetMode="External"/><Relationship Id="rId482" Type="http://schemas.openxmlformats.org/officeDocument/2006/relationships/hyperlink" Target="https://www.facebook.com/172882636630076/posts/1016029862315345/" TargetMode="External"/><Relationship Id="rId360" Type="http://schemas.openxmlformats.org/officeDocument/2006/relationships/hyperlink" Target="https://www.facebook.com/172882636630076/posts/976953709556294/" TargetMode="External"/><Relationship Id="rId481" Type="http://schemas.openxmlformats.org/officeDocument/2006/relationships/hyperlink" Target="https://www.facebook.com/172882636630076/posts/1011017489483249/" TargetMode="External"/><Relationship Id="rId125" Type="http://schemas.openxmlformats.org/officeDocument/2006/relationships/hyperlink" Target="https://www.facebook.com/172882636630076/posts/1021798985071766/" TargetMode="External"/><Relationship Id="rId246" Type="http://schemas.openxmlformats.org/officeDocument/2006/relationships/hyperlink" Target="https://www.facebook.com/740460599475760/posts/1925742604280881/" TargetMode="External"/><Relationship Id="rId367" Type="http://schemas.openxmlformats.org/officeDocument/2006/relationships/hyperlink" Target="https://www.facebook.com/172882636630076/posts/970945460157119/" TargetMode="External"/><Relationship Id="rId488" Type="http://schemas.openxmlformats.org/officeDocument/2006/relationships/hyperlink" Target="https://www.facebook.com/172882636630076/posts/1015878822330449/" TargetMode="External"/><Relationship Id="rId124" Type="http://schemas.openxmlformats.org/officeDocument/2006/relationships/hyperlink" Target="https://www.facebook.com/740460599475760/posts/1948389112016230/" TargetMode="External"/><Relationship Id="rId245" Type="http://schemas.openxmlformats.org/officeDocument/2006/relationships/hyperlink" Target="https://www.facebook.com/740460599475760/posts/1917261255129016/" TargetMode="External"/><Relationship Id="rId366" Type="http://schemas.openxmlformats.org/officeDocument/2006/relationships/hyperlink" Target="https://www.facebook.com/172882636630076/posts/971543223430676/" TargetMode="External"/><Relationship Id="rId487" Type="http://schemas.openxmlformats.org/officeDocument/2006/relationships/hyperlink" Target="https://www.facebook.com/172882636630076/posts/1010255829559415/" TargetMode="External"/><Relationship Id="rId123" Type="http://schemas.openxmlformats.org/officeDocument/2006/relationships/hyperlink" Target="https://www.facebook.com/172882636630076/posts/1009575606294104/" TargetMode="External"/><Relationship Id="rId244" Type="http://schemas.openxmlformats.org/officeDocument/2006/relationships/hyperlink" Target="https://www.facebook.com/740460599475760/posts/1910351379153337/" TargetMode="External"/><Relationship Id="rId365" Type="http://schemas.openxmlformats.org/officeDocument/2006/relationships/hyperlink" Target="https://www.facebook.com/172882636630076/posts/973095346608797/" TargetMode="External"/><Relationship Id="rId486" Type="http://schemas.openxmlformats.org/officeDocument/2006/relationships/hyperlink" Target="https://www.facebook.com/172882636630076/posts/1001924903725841/" TargetMode="External"/><Relationship Id="rId122" Type="http://schemas.openxmlformats.org/officeDocument/2006/relationships/hyperlink" Target="https://www.facebook.com/740460599475760/posts/1968548526666955/" TargetMode="External"/><Relationship Id="rId243" Type="http://schemas.openxmlformats.org/officeDocument/2006/relationships/hyperlink" Target="https://www.facebook.com/740460599475760/posts/1938554809666327/" TargetMode="External"/><Relationship Id="rId364" Type="http://schemas.openxmlformats.org/officeDocument/2006/relationships/hyperlink" Target="https://www.facebook.com/740460599475760/posts/1919542078234267/" TargetMode="External"/><Relationship Id="rId485" Type="http://schemas.openxmlformats.org/officeDocument/2006/relationships/hyperlink" Target="https://www.facebook.com/172882636630076/posts/1001572340427764/" TargetMode="External"/><Relationship Id="rId95" Type="http://schemas.openxmlformats.org/officeDocument/2006/relationships/hyperlink" Target="https://www.facebook.com/740460599475760/posts/1911244335730708/" TargetMode="External"/><Relationship Id="rId94" Type="http://schemas.openxmlformats.org/officeDocument/2006/relationships/hyperlink" Target="https://www.facebook.com/172882636630076/posts/1004804416771223/" TargetMode="External"/><Relationship Id="rId97" Type="http://schemas.openxmlformats.org/officeDocument/2006/relationships/hyperlink" Target="https://www.facebook.com/freefireth/videos/1017690712111095/" TargetMode="External"/><Relationship Id="rId96" Type="http://schemas.openxmlformats.org/officeDocument/2006/relationships/hyperlink" Target="https://www.facebook.com/740460599475760/posts/1943967959125012/" TargetMode="External"/><Relationship Id="rId99" Type="http://schemas.openxmlformats.org/officeDocument/2006/relationships/hyperlink" Target="https://www.facebook.com/740460599475760/posts/1943970059124802/" TargetMode="External"/><Relationship Id="rId480" Type="http://schemas.openxmlformats.org/officeDocument/2006/relationships/hyperlink" Target="https://www.facebook.com/172882636630076/posts/1000369933881338/" TargetMode="External"/><Relationship Id="rId98" Type="http://schemas.openxmlformats.org/officeDocument/2006/relationships/hyperlink" Target="https://www.facebook.com/740460599475760/posts/1963557903832684/" TargetMode="External"/><Relationship Id="rId91" Type="http://schemas.openxmlformats.org/officeDocument/2006/relationships/hyperlink" Target="https://www.facebook.com/740460599475760/posts/1936446436543831/" TargetMode="External"/><Relationship Id="rId90" Type="http://schemas.openxmlformats.org/officeDocument/2006/relationships/hyperlink" Target="https://www.facebook.com/740460599475760/posts/1913811978807277/" TargetMode="External"/><Relationship Id="rId93" Type="http://schemas.openxmlformats.org/officeDocument/2006/relationships/hyperlink" Target="https://www.facebook.com/740460599475760/posts/1933425790179229/" TargetMode="External"/><Relationship Id="rId92" Type="http://schemas.openxmlformats.org/officeDocument/2006/relationships/hyperlink" Target="https://www.facebook.com/740460599475760/posts/1963833210471820/" TargetMode="External"/><Relationship Id="rId118" Type="http://schemas.openxmlformats.org/officeDocument/2006/relationships/hyperlink" Target="https://www.facebook.com/740460599475760/posts/1932024120319396/" TargetMode="External"/><Relationship Id="rId239" Type="http://schemas.openxmlformats.org/officeDocument/2006/relationships/hyperlink" Target="https://www.facebook.com/740460599475760/posts/1936318723223269/" TargetMode="External"/><Relationship Id="rId117" Type="http://schemas.openxmlformats.org/officeDocument/2006/relationships/hyperlink" Target="https://www.facebook.com/740460599475760/posts/1905076663014142/" TargetMode="External"/><Relationship Id="rId238" Type="http://schemas.openxmlformats.org/officeDocument/2006/relationships/hyperlink" Target="https://www.facebook.com/740460599475760/posts/1949238361931305/" TargetMode="External"/><Relationship Id="rId359" Type="http://schemas.openxmlformats.org/officeDocument/2006/relationships/hyperlink" Target="https://www.facebook.com/172882636630076/posts/1014949152423416/" TargetMode="External"/><Relationship Id="rId116" Type="http://schemas.openxmlformats.org/officeDocument/2006/relationships/hyperlink" Target="https://www.facebook.com/740460599475760/posts/1905076383014170/" TargetMode="External"/><Relationship Id="rId237" Type="http://schemas.openxmlformats.org/officeDocument/2006/relationships/hyperlink" Target="https://www.facebook.com/740460599475760/posts/1926689657519509/" TargetMode="External"/><Relationship Id="rId358" Type="http://schemas.openxmlformats.org/officeDocument/2006/relationships/hyperlink" Target="https://www.facebook.com/172882636630076/posts/1017030578881940/" TargetMode="External"/><Relationship Id="rId479" Type="http://schemas.openxmlformats.org/officeDocument/2006/relationships/hyperlink" Target="https://www.facebook.com/172882636630076/posts/1000417933876538/" TargetMode="External"/><Relationship Id="rId115" Type="http://schemas.openxmlformats.org/officeDocument/2006/relationships/hyperlink" Target="https://www.facebook.com/740460599475760/posts/1909625719225903/" TargetMode="External"/><Relationship Id="rId236" Type="http://schemas.openxmlformats.org/officeDocument/2006/relationships/hyperlink" Target="https://www.facebook.com/740460599475760/posts/1917063088482166/" TargetMode="External"/><Relationship Id="rId357" Type="http://schemas.openxmlformats.org/officeDocument/2006/relationships/hyperlink" Target="https://www.facebook.com/172882636630076/posts/1020152101903121/" TargetMode="External"/><Relationship Id="rId478" Type="http://schemas.openxmlformats.org/officeDocument/2006/relationships/hyperlink" Target="https://www.facebook.com/172882636630076/posts/1007813089803689/" TargetMode="External"/><Relationship Id="rId119" Type="http://schemas.openxmlformats.org/officeDocument/2006/relationships/hyperlink" Target="https://www.facebook.com/740460599475760/posts/1936327786555696/" TargetMode="External"/><Relationship Id="rId110" Type="http://schemas.openxmlformats.org/officeDocument/2006/relationships/hyperlink" Target="https://www.facebook.com/740460599475760/posts/1935728093282332/" TargetMode="External"/><Relationship Id="rId231" Type="http://schemas.openxmlformats.org/officeDocument/2006/relationships/hyperlink" Target="https://www.facebook.com/740460599475760/posts/1910441942477614/" TargetMode="External"/><Relationship Id="rId352" Type="http://schemas.openxmlformats.org/officeDocument/2006/relationships/hyperlink" Target="https://www.facebook.com/172882636630076/posts/1009374452980886/" TargetMode="External"/><Relationship Id="rId473" Type="http://schemas.openxmlformats.org/officeDocument/2006/relationships/hyperlink" Target="https://www.facebook.com/172882636630076/posts/1007219633196368/" TargetMode="External"/><Relationship Id="rId230" Type="http://schemas.openxmlformats.org/officeDocument/2006/relationships/hyperlink" Target="https://www.facebook.com/740460599475760/posts/1943970605791414/" TargetMode="External"/><Relationship Id="rId351" Type="http://schemas.openxmlformats.org/officeDocument/2006/relationships/hyperlink" Target="https://www.facebook.com/172882636630076/posts/1005813916670273/" TargetMode="External"/><Relationship Id="rId472" Type="http://schemas.openxmlformats.org/officeDocument/2006/relationships/hyperlink" Target="https://www.facebook.com/172882636630076/posts/1003660933552238/" TargetMode="External"/><Relationship Id="rId350" Type="http://schemas.openxmlformats.org/officeDocument/2006/relationships/hyperlink" Target="https://www.facebook.com/172882636630076/posts/1005758736675791/" TargetMode="External"/><Relationship Id="rId471" Type="http://schemas.openxmlformats.org/officeDocument/2006/relationships/hyperlink" Target="https://www.facebook.com/172882636630076/posts/972150376703294/" TargetMode="External"/><Relationship Id="rId470" Type="http://schemas.openxmlformats.org/officeDocument/2006/relationships/hyperlink" Target="https://www.facebook.com/172882636630076/posts/1012700112648320/" TargetMode="External"/><Relationship Id="rId114" Type="http://schemas.openxmlformats.org/officeDocument/2006/relationships/hyperlink" Target="https://www.facebook.com/740460599475760/posts/1964809903707484/" TargetMode="External"/><Relationship Id="rId235" Type="http://schemas.openxmlformats.org/officeDocument/2006/relationships/hyperlink" Target="https://www.facebook.com/740460599475760/posts/1908703655984776/" TargetMode="External"/><Relationship Id="rId356" Type="http://schemas.openxmlformats.org/officeDocument/2006/relationships/hyperlink" Target="https://www.facebook.com/740460599475760/posts/1922684047920070/" TargetMode="External"/><Relationship Id="rId477" Type="http://schemas.openxmlformats.org/officeDocument/2006/relationships/hyperlink" Target="https://www.facebook.com/172882636630076/posts/972161813368817/" TargetMode="External"/><Relationship Id="rId113" Type="http://schemas.openxmlformats.org/officeDocument/2006/relationships/hyperlink" Target="https://www.facebook.com/740460599475760/posts/1947015365486938/" TargetMode="External"/><Relationship Id="rId234" Type="http://schemas.openxmlformats.org/officeDocument/2006/relationships/hyperlink" Target="https://www.facebook.com/172882636630076/posts/977708739480791/" TargetMode="External"/><Relationship Id="rId355" Type="http://schemas.openxmlformats.org/officeDocument/2006/relationships/hyperlink" Target="https://www.facebook.com/172882636630076/posts/1018687355382929/" TargetMode="External"/><Relationship Id="rId476" Type="http://schemas.openxmlformats.org/officeDocument/2006/relationships/hyperlink" Target="https://www.facebook.com/172882636630076/posts/1017105642207767/" TargetMode="External"/><Relationship Id="rId112" Type="http://schemas.openxmlformats.org/officeDocument/2006/relationships/hyperlink" Target="https://www.facebook.com/740460599475760/posts/1921840288004446/" TargetMode="External"/><Relationship Id="rId233" Type="http://schemas.openxmlformats.org/officeDocument/2006/relationships/hyperlink" Target="https://www.facebook.com/740460599475760/posts/1963277000527441/" TargetMode="External"/><Relationship Id="rId354" Type="http://schemas.openxmlformats.org/officeDocument/2006/relationships/hyperlink" Target="https://www.facebook.com/172882636630076/posts/1010219899563008/" TargetMode="External"/><Relationship Id="rId475" Type="http://schemas.openxmlformats.org/officeDocument/2006/relationships/hyperlink" Target="https://www.facebook.com/172882636630076/posts/1018144412103890/" TargetMode="External"/><Relationship Id="rId111" Type="http://schemas.openxmlformats.org/officeDocument/2006/relationships/hyperlink" Target="https://www.facebook.com/740460599475760/posts/1917113598477115/" TargetMode="External"/><Relationship Id="rId232" Type="http://schemas.openxmlformats.org/officeDocument/2006/relationships/hyperlink" Target="https://www.facebook.com/740460599475760/posts/1926468667541608/" TargetMode="External"/><Relationship Id="rId353" Type="http://schemas.openxmlformats.org/officeDocument/2006/relationships/hyperlink" Target="https://www.facebook.com/172882636630076/posts/1010225402895791/" TargetMode="External"/><Relationship Id="rId474" Type="http://schemas.openxmlformats.org/officeDocument/2006/relationships/hyperlink" Target="https://www.facebook.com/172882636630076/posts/1017834152134916/" TargetMode="External"/><Relationship Id="rId305" Type="http://schemas.openxmlformats.org/officeDocument/2006/relationships/hyperlink" Target="https://www.facebook.com/740460599475760/posts/1933545816833893/" TargetMode="External"/><Relationship Id="rId426" Type="http://schemas.openxmlformats.org/officeDocument/2006/relationships/hyperlink" Target="https://www.facebook.com/pubg.battlegrounds.th/videos/587002365858520/" TargetMode="External"/><Relationship Id="rId547" Type="http://schemas.openxmlformats.org/officeDocument/2006/relationships/hyperlink" Target="https://www.facebook.com/172882636630076/posts/1010142522904079/" TargetMode="External"/><Relationship Id="rId304" Type="http://schemas.openxmlformats.org/officeDocument/2006/relationships/hyperlink" Target="https://www.facebook.com/740460599475760/posts/1943020629219745/" TargetMode="External"/><Relationship Id="rId425" Type="http://schemas.openxmlformats.org/officeDocument/2006/relationships/hyperlink" Target="https://www.facebook.com/172882636630076/posts/1014469522471379/" TargetMode="External"/><Relationship Id="rId546" Type="http://schemas.openxmlformats.org/officeDocument/2006/relationships/hyperlink" Target="https://www.facebook.com/172882636630076/posts/1004930273425304/" TargetMode="External"/><Relationship Id="rId303" Type="http://schemas.openxmlformats.org/officeDocument/2006/relationships/hyperlink" Target="https://www.facebook.com/740460599475760/posts/1914640848724390/" TargetMode="External"/><Relationship Id="rId424" Type="http://schemas.openxmlformats.org/officeDocument/2006/relationships/hyperlink" Target="https://www.facebook.com/172882636630076/posts/990526674865664/" TargetMode="External"/><Relationship Id="rId545" Type="http://schemas.openxmlformats.org/officeDocument/2006/relationships/hyperlink" Target="https://www.facebook.com/172882636630076/posts/1007561479828850/" TargetMode="External"/><Relationship Id="rId302" Type="http://schemas.openxmlformats.org/officeDocument/2006/relationships/hyperlink" Target="https://www.facebook.com/740460599475760/posts/1910533969135078/" TargetMode="External"/><Relationship Id="rId423" Type="http://schemas.openxmlformats.org/officeDocument/2006/relationships/hyperlink" Target="https://www.facebook.com/740460599475760/posts/1932661716922303/" TargetMode="External"/><Relationship Id="rId544" Type="http://schemas.openxmlformats.org/officeDocument/2006/relationships/hyperlink" Target="https://www.facebook.com/172882636630076/posts/1007863359798662/" TargetMode="External"/><Relationship Id="rId309" Type="http://schemas.openxmlformats.org/officeDocument/2006/relationships/hyperlink" Target="https://www.facebook.com/pubg.battlegrounds.th/videos/941368270062200/" TargetMode="External"/><Relationship Id="rId308" Type="http://schemas.openxmlformats.org/officeDocument/2006/relationships/hyperlink" Target="https://www.facebook.com/172882636630076/posts/977895402795458/" TargetMode="External"/><Relationship Id="rId429" Type="http://schemas.openxmlformats.org/officeDocument/2006/relationships/hyperlink" Target="https://www.facebook.com/172882636630076/posts/999121967339468/" TargetMode="External"/><Relationship Id="rId307" Type="http://schemas.openxmlformats.org/officeDocument/2006/relationships/hyperlink" Target="https://www.facebook.com/740460599475760/posts/1963760730479068/" TargetMode="External"/><Relationship Id="rId428" Type="http://schemas.openxmlformats.org/officeDocument/2006/relationships/hyperlink" Target="https://www.facebook.com/172882636630076/posts/986268008624864/" TargetMode="External"/><Relationship Id="rId306" Type="http://schemas.openxmlformats.org/officeDocument/2006/relationships/hyperlink" Target="https://www.facebook.com/172882636630076/posts/970669680184697/" TargetMode="External"/><Relationship Id="rId427" Type="http://schemas.openxmlformats.org/officeDocument/2006/relationships/hyperlink" Target="https://www.facebook.com/172882636630076/posts/998456574072674/" TargetMode="External"/><Relationship Id="rId548" Type="http://schemas.openxmlformats.org/officeDocument/2006/relationships/drawing" Target="../drawings/drawing2.xml"/><Relationship Id="rId301" Type="http://schemas.openxmlformats.org/officeDocument/2006/relationships/hyperlink" Target="https://www.facebook.com/172882636630076/posts/990554618196203/" TargetMode="External"/><Relationship Id="rId422" Type="http://schemas.openxmlformats.org/officeDocument/2006/relationships/hyperlink" Target="https://www.facebook.com/740460599475760/posts/1931154987072976/" TargetMode="External"/><Relationship Id="rId543" Type="http://schemas.openxmlformats.org/officeDocument/2006/relationships/hyperlink" Target="https://www.facebook.com/172882636630076/posts/1008454713072860/" TargetMode="External"/><Relationship Id="rId300" Type="http://schemas.openxmlformats.org/officeDocument/2006/relationships/hyperlink" Target="https://www.facebook.com/172882636630076/posts/1020646178520380/" TargetMode="External"/><Relationship Id="rId421" Type="http://schemas.openxmlformats.org/officeDocument/2006/relationships/hyperlink" Target="https://www.facebook.com/pubg.battlegrounds.th/videos/240826381288570/" TargetMode="External"/><Relationship Id="rId542" Type="http://schemas.openxmlformats.org/officeDocument/2006/relationships/hyperlink" Target="https://www.facebook.com/172882636630076/posts/1008795433038788/" TargetMode="External"/><Relationship Id="rId420" Type="http://schemas.openxmlformats.org/officeDocument/2006/relationships/hyperlink" Target="https://www.facebook.com/pubg.battlegrounds.th/videos/266636538744720/" TargetMode="External"/><Relationship Id="rId541" Type="http://schemas.openxmlformats.org/officeDocument/2006/relationships/hyperlink" Target="https://www.facebook.com/172882636630076/posts/1005134566738208/" TargetMode="External"/><Relationship Id="rId540" Type="http://schemas.openxmlformats.org/officeDocument/2006/relationships/hyperlink" Target="https://www.facebook.com/172882636630076/posts/1003059263612405/" TargetMode="External"/><Relationship Id="rId415" Type="http://schemas.openxmlformats.org/officeDocument/2006/relationships/hyperlink" Target="https://www.facebook.com/pubg.battlegrounds.th/videos/874280446610068/" TargetMode="External"/><Relationship Id="rId536" Type="http://schemas.openxmlformats.org/officeDocument/2006/relationships/hyperlink" Target="https://www.facebook.com/172882636630076/posts/1004897060095292/" TargetMode="External"/><Relationship Id="rId414" Type="http://schemas.openxmlformats.org/officeDocument/2006/relationships/hyperlink" Target="https://www.facebook.com/740460599475760/posts/1968550000000141/" TargetMode="External"/><Relationship Id="rId535" Type="http://schemas.openxmlformats.org/officeDocument/2006/relationships/hyperlink" Target="https://www.facebook.com/172882636630076/posts/1009036856347979/" TargetMode="External"/><Relationship Id="rId413" Type="http://schemas.openxmlformats.org/officeDocument/2006/relationships/hyperlink" Target="https://www.facebook.com/740460599475760/posts/1957749637746844/" TargetMode="External"/><Relationship Id="rId534" Type="http://schemas.openxmlformats.org/officeDocument/2006/relationships/hyperlink" Target="https://www.facebook.com/172882636630076/posts/1013544389230559/" TargetMode="External"/><Relationship Id="rId412" Type="http://schemas.openxmlformats.org/officeDocument/2006/relationships/hyperlink" Target="https://www.facebook.com/740460599475760/posts/1941444886043986/" TargetMode="External"/><Relationship Id="rId533" Type="http://schemas.openxmlformats.org/officeDocument/2006/relationships/hyperlink" Target="https://www.facebook.com/172882636630076/posts/1003860053532326/" TargetMode="External"/><Relationship Id="rId419" Type="http://schemas.openxmlformats.org/officeDocument/2006/relationships/hyperlink" Target="https://www.facebook.com/pubg.battlegrounds.th/videos/424186866092505/" TargetMode="External"/><Relationship Id="rId418" Type="http://schemas.openxmlformats.org/officeDocument/2006/relationships/hyperlink" Target="https://www.facebook.com/pubg.battlegrounds.th/videos/699373684355247/" TargetMode="External"/><Relationship Id="rId539" Type="http://schemas.openxmlformats.org/officeDocument/2006/relationships/hyperlink" Target="https://www.facebook.com/172882636630076/posts/1004509010134097/" TargetMode="External"/><Relationship Id="rId417" Type="http://schemas.openxmlformats.org/officeDocument/2006/relationships/hyperlink" Target="https://www.facebook.com/pubg.battlegrounds.th/videos/403992904533768/" TargetMode="External"/><Relationship Id="rId538" Type="http://schemas.openxmlformats.org/officeDocument/2006/relationships/hyperlink" Target="https://www.facebook.com/172882636630076/posts/1008401143078217/" TargetMode="External"/><Relationship Id="rId416" Type="http://schemas.openxmlformats.org/officeDocument/2006/relationships/hyperlink" Target="https://www.facebook.com/pubg.battlegrounds.th/videos/287173213277608/" TargetMode="External"/><Relationship Id="rId537" Type="http://schemas.openxmlformats.org/officeDocument/2006/relationships/hyperlink" Target="https://www.facebook.com/172882636630076/posts/1005123576739307/" TargetMode="External"/><Relationship Id="rId411" Type="http://schemas.openxmlformats.org/officeDocument/2006/relationships/hyperlink" Target="https://www.facebook.com/740460599475760/posts/1947591738762634/" TargetMode="External"/><Relationship Id="rId532" Type="http://schemas.openxmlformats.org/officeDocument/2006/relationships/hyperlink" Target="https://www.facebook.com/172882636630076/posts/1012283736023291/" TargetMode="External"/><Relationship Id="rId410" Type="http://schemas.openxmlformats.org/officeDocument/2006/relationships/hyperlink" Target="https://www.facebook.com/740460599475760/posts/1940979659423842/" TargetMode="External"/><Relationship Id="rId531" Type="http://schemas.openxmlformats.org/officeDocument/2006/relationships/hyperlink" Target="https://www.facebook.com/172882636630076/posts/1009398206311844/" TargetMode="External"/><Relationship Id="rId530" Type="http://schemas.openxmlformats.org/officeDocument/2006/relationships/hyperlink" Target="https://www.facebook.com/172882636630076/posts/1004514486800216/" TargetMode="External"/><Relationship Id="rId206" Type="http://schemas.openxmlformats.org/officeDocument/2006/relationships/hyperlink" Target="https://www.facebook.com/740460599475760/posts/1932009396987535/" TargetMode="External"/><Relationship Id="rId327" Type="http://schemas.openxmlformats.org/officeDocument/2006/relationships/hyperlink" Target="https://www.facebook.com/172882636630076/posts/987063738545291/" TargetMode="External"/><Relationship Id="rId448" Type="http://schemas.openxmlformats.org/officeDocument/2006/relationships/hyperlink" Target="https://www.facebook.com/172882636630076/posts/1018778448707153/" TargetMode="External"/><Relationship Id="rId205" Type="http://schemas.openxmlformats.org/officeDocument/2006/relationships/hyperlink" Target="https://www.facebook.com/740460599475760/posts/1926628300858978/" TargetMode="External"/><Relationship Id="rId326" Type="http://schemas.openxmlformats.org/officeDocument/2006/relationships/hyperlink" Target="https://www.facebook.com/172882636630076/posts/1017506038834394/" TargetMode="External"/><Relationship Id="rId447" Type="http://schemas.openxmlformats.org/officeDocument/2006/relationships/hyperlink" Target="https://www.facebook.com/172882636630076/posts/974353596482972/" TargetMode="External"/><Relationship Id="rId204" Type="http://schemas.openxmlformats.org/officeDocument/2006/relationships/hyperlink" Target="https://www.facebook.com/740460599475760/posts/1928425317345943/" TargetMode="External"/><Relationship Id="rId325" Type="http://schemas.openxmlformats.org/officeDocument/2006/relationships/hyperlink" Target="https://www.facebook.com/172882636630076/posts/1013318095919855/" TargetMode="External"/><Relationship Id="rId446" Type="http://schemas.openxmlformats.org/officeDocument/2006/relationships/hyperlink" Target="https://www.facebook.com/172882636630076/posts/1001808150404183/" TargetMode="External"/><Relationship Id="rId203" Type="http://schemas.openxmlformats.org/officeDocument/2006/relationships/hyperlink" Target="https://www.facebook.com/172882636630076/posts/1008790769705921/" TargetMode="External"/><Relationship Id="rId324" Type="http://schemas.openxmlformats.org/officeDocument/2006/relationships/hyperlink" Target="https://www.facebook.com/740460599475760/posts/1941531746035300/" TargetMode="External"/><Relationship Id="rId445" Type="http://schemas.openxmlformats.org/officeDocument/2006/relationships/hyperlink" Target="https://www.facebook.com/172882636630076/posts/997263320858666/" TargetMode="External"/><Relationship Id="rId209" Type="http://schemas.openxmlformats.org/officeDocument/2006/relationships/hyperlink" Target="https://www.facebook.com/740460599475760/posts/1911250759063399/" TargetMode="External"/><Relationship Id="rId208" Type="http://schemas.openxmlformats.org/officeDocument/2006/relationships/hyperlink" Target="https://www.facebook.com/740460599475760/posts/1921827931339015/" TargetMode="External"/><Relationship Id="rId329" Type="http://schemas.openxmlformats.org/officeDocument/2006/relationships/hyperlink" Target="https://www.facebook.com/740460599475760/posts/1919656528222822/" TargetMode="External"/><Relationship Id="rId207" Type="http://schemas.openxmlformats.org/officeDocument/2006/relationships/hyperlink" Target="https://www.facebook.com/740460599475760/posts/1910576212464187/" TargetMode="External"/><Relationship Id="rId328" Type="http://schemas.openxmlformats.org/officeDocument/2006/relationships/hyperlink" Target="https://www.facebook.com/172882636630076/posts/1003122253606106/" TargetMode="External"/><Relationship Id="rId449" Type="http://schemas.openxmlformats.org/officeDocument/2006/relationships/hyperlink" Target="https://www.facebook.com/172882636630076/posts/994557011129297/" TargetMode="External"/><Relationship Id="rId440" Type="http://schemas.openxmlformats.org/officeDocument/2006/relationships/hyperlink" Target="https://www.facebook.com/172882636630076/posts/994927227758942/" TargetMode="External"/><Relationship Id="rId202" Type="http://schemas.openxmlformats.org/officeDocument/2006/relationships/hyperlink" Target="https://www.facebook.com/740460599475760/posts/1968551040000037/" TargetMode="External"/><Relationship Id="rId323" Type="http://schemas.openxmlformats.org/officeDocument/2006/relationships/hyperlink" Target="https://www.facebook.com/172882636630076/posts/974253753159623/" TargetMode="External"/><Relationship Id="rId444" Type="http://schemas.openxmlformats.org/officeDocument/2006/relationships/hyperlink" Target="https://www.facebook.com/172882636630076/posts/999281797323485/" TargetMode="External"/><Relationship Id="rId201" Type="http://schemas.openxmlformats.org/officeDocument/2006/relationships/hyperlink" Target="https://www.facebook.com/740460599475760/posts/1966941793494295/" TargetMode="External"/><Relationship Id="rId322" Type="http://schemas.openxmlformats.org/officeDocument/2006/relationships/hyperlink" Target="https://www.facebook.com/172882636630076/posts/992549451330053/" TargetMode="External"/><Relationship Id="rId443" Type="http://schemas.openxmlformats.org/officeDocument/2006/relationships/hyperlink" Target="https://www.facebook.com/172882636630076/posts/999088734009458/" TargetMode="External"/><Relationship Id="rId200" Type="http://schemas.openxmlformats.org/officeDocument/2006/relationships/hyperlink" Target="https://www.facebook.com/740460599475760/posts/1930818393773302/" TargetMode="External"/><Relationship Id="rId321" Type="http://schemas.openxmlformats.org/officeDocument/2006/relationships/hyperlink" Target="https://www.facebook.com/172882636630076/posts/1020555818529416/" TargetMode="External"/><Relationship Id="rId442" Type="http://schemas.openxmlformats.org/officeDocument/2006/relationships/hyperlink" Target="https://www.facebook.com/172882636630076/posts/999871137264551/" TargetMode="External"/><Relationship Id="rId320" Type="http://schemas.openxmlformats.org/officeDocument/2006/relationships/hyperlink" Target="https://www.facebook.com/172882636630076/posts/1023704381547893/" TargetMode="External"/><Relationship Id="rId441" Type="http://schemas.openxmlformats.org/officeDocument/2006/relationships/hyperlink" Target="https://www.facebook.com/172882636630076/posts/999696490615349/" TargetMode="External"/><Relationship Id="rId316" Type="http://schemas.openxmlformats.org/officeDocument/2006/relationships/hyperlink" Target="https://www.facebook.com/172882636630076/posts/996102694308062/" TargetMode="External"/><Relationship Id="rId437" Type="http://schemas.openxmlformats.org/officeDocument/2006/relationships/hyperlink" Target="https://www.facebook.com/172882636630076/posts/999096604008671/" TargetMode="External"/><Relationship Id="rId315" Type="http://schemas.openxmlformats.org/officeDocument/2006/relationships/hyperlink" Target="https://www.facebook.com/172882636630076/posts/991250004793331/" TargetMode="External"/><Relationship Id="rId436" Type="http://schemas.openxmlformats.org/officeDocument/2006/relationships/hyperlink" Target="https://www.facebook.com/172882636630076/posts/997901074128224/" TargetMode="External"/><Relationship Id="rId314" Type="http://schemas.openxmlformats.org/officeDocument/2006/relationships/hyperlink" Target="https://www.facebook.com/740460599475760/posts/1917117195143422/" TargetMode="External"/><Relationship Id="rId435" Type="http://schemas.openxmlformats.org/officeDocument/2006/relationships/hyperlink" Target="https://www.facebook.com/172882636630076/posts/973550876563244/" TargetMode="External"/><Relationship Id="rId313" Type="http://schemas.openxmlformats.org/officeDocument/2006/relationships/hyperlink" Target="https://www.facebook.com/172882636630076/posts/1012606602657671/" TargetMode="External"/><Relationship Id="rId434" Type="http://schemas.openxmlformats.org/officeDocument/2006/relationships/hyperlink" Target="https://www.facebook.com/172882636630076/posts/999260497325615/" TargetMode="External"/><Relationship Id="rId319" Type="http://schemas.openxmlformats.org/officeDocument/2006/relationships/hyperlink" Target="https://www.facebook.com/172882636630076/posts/986959085222423/" TargetMode="External"/><Relationship Id="rId318" Type="http://schemas.openxmlformats.org/officeDocument/2006/relationships/hyperlink" Target="https://www.facebook.com/172882636630076/posts/974893623095636/" TargetMode="External"/><Relationship Id="rId439" Type="http://schemas.openxmlformats.org/officeDocument/2006/relationships/hyperlink" Target="https://www.facebook.com/172882636630076/posts/999091954009136/" TargetMode="External"/><Relationship Id="rId317" Type="http://schemas.openxmlformats.org/officeDocument/2006/relationships/hyperlink" Target="https://www.facebook.com/740460599475760/posts/1914615942060214/" TargetMode="External"/><Relationship Id="rId438" Type="http://schemas.openxmlformats.org/officeDocument/2006/relationships/hyperlink" Target="https://www.facebook.com/172882636630076/posts/1000466597205005/" TargetMode="External"/><Relationship Id="rId312" Type="http://schemas.openxmlformats.org/officeDocument/2006/relationships/hyperlink" Target="https://www.facebook.com/172882636630076/posts/973674283217570/" TargetMode="External"/><Relationship Id="rId433" Type="http://schemas.openxmlformats.org/officeDocument/2006/relationships/hyperlink" Target="https://www.facebook.com/740460599475760/posts/1911247819063693/" TargetMode="External"/><Relationship Id="rId311" Type="http://schemas.openxmlformats.org/officeDocument/2006/relationships/hyperlink" Target="https://www.facebook.com/740460599475760/posts/1914765935378548/" TargetMode="External"/><Relationship Id="rId432" Type="http://schemas.openxmlformats.org/officeDocument/2006/relationships/hyperlink" Target="https://www.facebook.com/740460599475760/posts/1917068655148276/" TargetMode="External"/><Relationship Id="rId310" Type="http://schemas.openxmlformats.org/officeDocument/2006/relationships/hyperlink" Target="https://www.facebook.com/740460599475760/posts/1949240285264446/" TargetMode="External"/><Relationship Id="rId431" Type="http://schemas.openxmlformats.org/officeDocument/2006/relationships/hyperlink" Target="https://www.facebook.com/740460599475760/posts/1911249899063485/" TargetMode="External"/><Relationship Id="rId430" Type="http://schemas.openxmlformats.org/officeDocument/2006/relationships/hyperlink" Target="https://www.facebook.com/172882636630076/posts/996665127585152/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740460599475760/posts/1941531746035300/" TargetMode="External"/><Relationship Id="rId194" Type="http://schemas.openxmlformats.org/officeDocument/2006/relationships/hyperlink" Target="https://www.facebook.com/740460599475760/posts/1943028985885576/" TargetMode="External"/><Relationship Id="rId193" Type="http://schemas.openxmlformats.org/officeDocument/2006/relationships/hyperlink" Target="https://www.facebook.com/740460599475760/posts/1943171275871347/" TargetMode="External"/><Relationship Id="rId192" Type="http://schemas.openxmlformats.org/officeDocument/2006/relationships/hyperlink" Target="https://www.facebook.com/740460599475760/posts/1942317042623437/" TargetMode="External"/><Relationship Id="rId191" Type="http://schemas.openxmlformats.org/officeDocument/2006/relationships/hyperlink" Target="https://www.facebook.com/740460599475760/posts/1940979659423842/" TargetMode="External"/><Relationship Id="rId187" Type="http://schemas.openxmlformats.org/officeDocument/2006/relationships/hyperlink" Target="https://www.facebook.com/740460599475760/posts/1940854602769681/" TargetMode="External"/><Relationship Id="rId186" Type="http://schemas.openxmlformats.org/officeDocument/2006/relationships/hyperlink" Target="https://www.facebook.com/740460599475760/posts/1940827519439056/" TargetMode="External"/><Relationship Id="rId185" Type="http://schemas.openxmlformats.org/officeDocument/2006/relationships/hyperlink" Target="https://www.facebook.com/740460599475760/posts/1938587642996377/" TargetMode="External"/><Relationship Id="rId184" Type="http://schemas.openxmlformats.org/officeDocument/2006/relationships/hyperlink" Target="https://www.facebook.com/freefireth/videos/901966987347375/" TargetMode="External"/><Relationship Id="rId189" Type="http://schemas.openxmlformats.org/officeDocument/2006/relationships/hyperlink" Target="https://www.facebook.com/740460599475760/posts/1941486246039850/" TargetMode="External"/><Relationship Id="rId188" Type="http://schemas.openxmlformats.org/officeDocument/2006/relationships/hyperlink" Target="https://www.facebook.com/740460599475760/posts/1940855049436303/" TargetMode="External"/><Relationship Id="rId183" Type="http://schemas.openxmlformats.org/officeDocument/2006/relationships/hyperlink" Target="https://www.facebook.com/740460599475760/posts/1938554809666327/" TargetMode="External"/><Relationship Id="rId182" Type="http://schemas.openxmlformats.org/officeDocument/2006/relationships/hyperlink" Target="https://www.facebook.com/740460599475760/posts/1938461969675611/" TargetMode="External"/><Relationship Id="rId181" Type="http://schemas.openxmlformats.org/officeDocument/2006/relationships/hyperlink" Target="https://www.facebook.com/740460599475760/posts/1937055576482917/" TargetMode="External"/><Relationship Id="rId180" Type="http://schemas.openxmlformats.org/officeDocument/2006/relationships/hyperlink" Target="https://www.facebook.com/740460599475760/posts/1937029113152230/" TargetMode="External"/><Relationship Id="rId176" Type="http://schemas.openxmlformats.org/officeDocument/2006/relationships/hyperlink" Target="https://www.facebook.com/740460599475760/posts/1937030689818739/" TargetMode="External"/><Relationship Id="rId297" Type="http://schemas.openxmlformats.org/officeDocument/2006/relationships/hyperlink" Target="https://www.facebook.com/740460599475760/posts/1969269273261547/" TargetMode="External"/><Relationship Id="rId175" Type="http://schemas.openxmlformats.org/officeDocument/2006/relationships/hyperlink" Target="https://www.facebook.com/740460599475760/posts/1937032936485181/" TargetMode="External"/><Relationship Id="rId296" Type="http://schemas.openxmlformats.org/officeDocument/2006/relationships/hyperlink" Target="https://www.facebook.com/740460599475760/posts/1969321056589702/" TargetMode="External"/><Relationship Id="rId174" Type="http://schemas.openxmlformats.org/officeDocument/2006/relationships/hyperlink" Target="https://www.facebook.com/740460599475760/posts/1936337043221437/" TargetMode="External"/><Relationship Id="rId295" Type="http://schemas.openxmlformats.org/officeDocument/2006/relationships/hyperlink" Target="https://www.facebook.com/740460599475760/posts/1969123923276082/" TargetMode="External"/><Relationship Id="rId173" Type="http://schemas.openxmlformats.org/officeDocument/2006/relationships/hyperlink" Target="https://www.facebook.com/freefireth/videos/4546634405427841/" TargetMode="External"/><Relationship Id="rId294" Type="http://schemas.openxmlformats.org/officeDocument/2006/relationships/hyperlink" Target="https://www.facebook.com/740460599475760/posts/1968550000000141/" TargetMode="External"/><Relationship Id="rId179" Type="http://schemas.openxmlformats.org/officeDocument/2006/relationships/hyperlink" Target="https://www.facebook.com/740460599475760/posts/1937028466485628/" TargetMode="External"/><Relationship Id="rId178" Type="http://schemas.openxmlformats.org/officeDocument/2006/relationships/hyperlink" Target="https://www.facebook.com/740460599475760/posts/1937027923152349/" TargetMode="External"/><Relationship Id="rId299" Type="http://schemas.openxmlformats.org/officeDocument/2006/relationships/hyperlink" Target="https://www.facebook.com/740460599475760/posts/1968551743333300/" TargetMode="External"/><Relationship Id="rId177" Type="http://schemas.openxmlformats.org/officeDocument/2006/relationships/hyperlink" Target="https://www.facebook.com/740460599475760/posts/1937027513152390/" TargetMode="External"/><Relationship Id="rId298" Type="http://schemas.openxmlformats.org/officeDocument/2006/relationships/hyperlink" Target="https://www.facebook.com/740460599475760/posts/1968551040000037/" TargetMode="External"/><Relationship Id="rId198" Type="http://schemas.openxmlformats.org/officeDocument/2006/relationships/hyperlink" Target="https://www.facebook.com/740460599475760/posts/1943902472464894/" TargetMode="External"/><Relationship Id="rId197" Type="http://schemas.openxmlformats.org/officeDocument/2006/relationships/hyperlink" Target="https://www.facebook.com/740460599475760/posts/1943173239204484/" TargetMode="External"/><Relationship Id="rId196" Type="http://schemas.openxmlformats.org/officeDocument/2006/relationships/hyperlink" Target="https://www.facebook.com/740460599475760/posts/1943825175805957/" TargetMode="External"/><Relationship Id="rId195" Type="http://schemas.openxmlformats.org/officeDocument/2006/relationships/hyperlink" Target="https://www.facebook.com/740460599475760/posts/1943172792537862/" TargetMode="External"/><Relationship Id="rId199" Type="http://schemas.openxmlformats.org/officeDocument/2006/relationships/hyperlink" Target="https://www.facebook.com/740460599475760/posts/1943020629219745/" TargetMode="External"/><Relationship Id="rId150" Type="http://schemas.openxmlformats.org/officeDocument/2006/relationships/hyperlink" Target="https://www.facebook.com/740460599475760/posts/1932852616903213/" TargetMode="External"/><Relationship Id="rId271" Type="http://schemas.openxmlformats.org/officeDocument/2006/relationships/hyperlink" Target="https://www.facebook.com/740460599475760/posts/1963833767138431/" TargetMode="External"/><Relationship Id="rId270" Type="http://schemas.openxmlformats.org/officeDocument/2006/relationships/hyperlink" Target="https://www.facebook.com/freefireth/videos/4347917948653797/" TargetMode="External"/><Relationship Id="rId1" Type="http://schemas.openxmlformats.org/officeDocument/2006/relationships/hyperlink" Target="https://www.facebook.com/740460599475760/posts/1905181179670357/" TargetMode="External"/><Relationship Id="rId2" Type="http://schemas.openxmlformats.org/officeDocument/2006/relationships/hyperlink" Target="https://www.facebook.com/740460599475760/posts/1905065849681890/" TargetMode="External"/><Relationship Id="rId3" Type="http://schemas.openxmlformats.org/officeDocument/2006/relationships/hyperlink" Target="https://www.facebook.com/740460599475760/posts/1905729416282200/" TargetMode="External"/><Relationship Id="rId149" Type="http://schemas.openxmlformats.org/officeDocument/2006/relationships/hyperlink" Target="https://www.facebook.com/740460599475760/posts/1933425790179229/" TargetMode="External"/><Relationship Id="rId4" Type="http://schemas.openxmlformats.org/officeDocument/2006/relationships/hyperlink" Target="https://www.facebook.com/740460599475760/posts/1905068203014988/" TargetMode="External"/><Relationship Id="rId148" Type="http://schemas.openxmlformats.org/officeDocument/2006/relationships/hyperlink" Target="https://www.facebook.com/740460599475760/posts/1932850766903398/" TargetMode="External"/><Relationship Id="rId269" Type="http://schemas.openxmlformats.org/officeDocument/2006/relationships/hyperlink" Target="https://www.facebook.com/740460599475760/posts/1964809903707484/" TargetMode="External"/><Relationship Id="rId9" Type="http://schemas.openxmlformats.org/officeDocument/2006/relationships/hyperlink" Target="https://www.facebook.com/740460599475760/posts/1905162739672201/" TargetMode="External"/><Relationship Id="rId143" Type="http://schemas.openxmlformats.org/officeDocument/2006/relationships/hyperlink" Target="https://www.facebook.com/740460599475760/posts/1932017340320074/" TargetMode="External"/><Relationship Id="rId264" Type="http://schemas.openxmlformats.org/officeDocument/2006/relationships/hyperlink" Target="https://www.facebook.com/740460599475760/posts/1963790573809417/" TargetMode="External"/><Relationship Id="rId142" Type="http://schemas.openxmlformats.org/officeDocument/2006/relationships/hyperlink" Target="https://www.facebook.com/740460599475760/posts/1932009396987535/" TargetMode="External"/><Relationship Id="rId263" Type="http://schemas.openxmlformats.org/officeDocument/2006/relationships/hyperlink" Target="https://www.facebook.com/freefireth/videos/295978249106529/" TargetMode="External"/><Relationship Id="rId141" Type="http://schemas.openxmlformats.org/officeDocument/2006/relationships/hyperlink" Target="https://www.facebook.com/740460599475760/posts/1932005006987974/" TargetMode="External"/><Relationship Id="rId262" Type="http://schemas.openxmlformats.org/officeDocument/2006/relationships/hyperlink" Target="https://www.facebook.com/740460599475760/posts/1963833210471820/" TargetMode="External"/><Relationship Id="rId140" Type="http://schemas.openxmlformats.org/officeDocument/2006/relationships/hyperlink" Target="https://www.facebook.com/740460599475760/posts/1931154987072976/" TargetMode="External"/><Relationship Id="rId261" Type="http://schemas.openxmlformats.org/officeDocument/2006/relationships/hyperlink" Target="https://www.facebook.com/740460599475760/posts/1958525884335886/" TargetMode="External"/><Relationship Id="rId5" Type="http://schemas.openxmlformats.org/officeDocument/2006/relationships/hyperlink" Target="https://www.facebook.com/740460599475760/posts/1905939169594558/" TargetMode="External"/><Relationship Id="rId147" Type="http://schemas.openxmlformats.org/officeDocument/2006/relationships/hyperlink" Target="https://www.facebook.com/740460599475760/posts/1932849380236870/" TargetMode="External"/><Relationship Id="rId268" Type="http://schemas.openxmlformats.org/officeDocument/2006/relationships/hyperlink" Target="https://www.facebook.com/740460599475760/posts/1963839930471148/" TargetMode="External"/><Relationship Id="rId6" Type="http://schemas.openxmlformats.org/officeDocument/2006/relationships/hyperlink" Target="https://www.facebook.com/740460599475760/posts/1905076383014170/" TargetMode="External"/><Relationship Id="rId146" Type="http://schemas.openxmlformats.org/officeDocument/2006/relationships/hyperlink" Target="https://www.facebook.com/740460599475760/posts/1932024120319396/" TargetMode="External"/><Relationship Id="rId267" Type="http://schemas.openxmlformats.org/officeDocument/2006/relationships/hyperlink" Target="https://www.facebook.com/740460599475760/posts/1954317724756702/" TargetMode="External"/><Relationship Id="rId7" Type="http://schemas.openxmlformats.org/officeDocument/2006/relationships/hyperlink" Target="https://www.facebook.com/740460599475760/posts/1905076663014142/" TargetMode="External"/><Relationship Id="rId145" Type="http://schemas.openxmlformats.org/officeDocument/2006/relationships/hyperlink" Target="https://www.facebook.com/740460599475760/posts/1932019070319901/" TargetMode="External"/><Relationship Id="rId266" Type="http://schemas.openxmlformats.org/officeDocument/2006/relationships/hyperlink" Target="https://www.facebook.com/740460599475760/posts/1963822657139542/" TargetMode="External"/><Relationship Id="rId8" Type="http://schemas.openxmlformats.org/officeDocument/2006/relationships/hyperlink" Target="https://www.facebook.com/740460599475760/posts/1905962889592186/" TargetMode="External"/><Relationship Id="rId144" Type="http://schemas.openxmlformats.org/officeDocument/2006/relationships/hyperlink" Target="https://www.facebook.com/740460599475760/posts/1932721116916363/" TargetMode="External"/><Relationship Id="rId265" Type="http://schemas.openxmlformats.org/officeDocument/2006/relationships/hyperlink" Target="https://www.facebook.com/740460599475760/posts/1963845677137240/" TargetMode="External"/><Relationship Id="rId260" Type="http://schemas.openxmlformats.org/officeDocument/2006/relationships/hyperlink" Target="https://www.facebook.com/740460599475760/posts/1957749637746844/" TargetMode="External"/><Relationship Id="rId139" Type="http://schemas.openxmlformats.org/officeDocument/2006/relationships/hyperlink" Target="https://www.facebook.com/740460599475760/posts/1931244117064063/" TargetMode="External"/><Relationship Id="rId138" Type="http://schemas.openxmlformats.org/officeDocument/2006/relationships/hyperlink" Target="https://www.facebook.com/740460599475760/posts/1930818393773302/" TargetMode="External"/><Relationship Id="rId259" Type="http://schemas.openxmlformats.org/officeDocument/2006/relationships/hyperlink" Target="https://www.facebook.com/740460599475760/posts/1963827217139086/" TargetMode="External"/><Relationship Id="rId137" Type="http://schemas.openxmlformats.org/officeDocument/2006/relationships/hyperlink" Target="https://www.facebook.com/740460599475760/posts/1930474490474359/" TargetMode="External"/><Relationship Id="rId258" Type="http://schemas.openxmlformats.org/officeDocument/2006/relationships/hyperlink" Target="https://www.facebook.com/740460599475760/posts/1963789900476151/" TargetMode="External"/><Relationship Id="rId132" Type="http://schemas.openxmlformats.org/officeDocument/2006/relationships/hyperlink" Target="https://www.facebook.com/740460599475760/posts/1925661867622288/" TargetMode="External"/><Relationship Id="rId253" Type="http://schemas.openxmlformats.org/officeDocument/2006/relationships/hyperlink" Target="https://www.facebook.com/740460599475760/posts/1964448330410308/" TargetMode="External"/><Relationship Id="rId131" Type="http://schemas.openxmlformats.org/officeDocument/2006/relationships/hyperlink" Target="https://www.facebook.com/740460599475760/posts/1928431267345348/" TargetMode="External"/><Relationship Id="rId252" Type="http://schemas.openxmlformats.org/officeDocument/2006/relationships/hyperlink" Target="https://www.facebook.com/740460599475760/posts/1963788033809671/" TargetMode="External"/><Relationship Id="rId130" Type="http://schemas.openxmlformats.org/officeDocument/2006/relationships/hyperlink" Target="https://www.facebook.com/740460599475760/posts/1928120204043121/" TargetMode="External"/><Relationship Id="rId251" Type="http://schemas.openxmlformats.org/officeDocument/2006/relationships/hyperlink" Target="https://www.facebook.com/740460599475760/posts/1963787453809729/" TargetMode="External"/><Relationship Id="rId250" Type="http://schemas.openxmlformats.org/officeDocument/2006/relationships/hyperlink" Target="https://www.facebook.com/740460599475760/posts/1958524954335979/" TargetMode="External"/><Relationship Id="rId136" Type="http://schemas.openxmlformats.org/officeDocument/2006/relationships/hyperlink" Target="https://www.facebook.com/freefireth/videos/1269931843454044/" TargetMode="External"/><Relationship Id="rId257" Type="http://schemas.openxmlformats.org/officeDocument/2006/relationships/hyperlink" Target="https://www.facebook.com/740460599475760/posts/1963789357142872/" TargetMode="External"/><Relationship Id="rId135" Type="http://schemas.openxmlformats.org/officeDocument/2006/relationships/hyperlink" Target="https://www.facebook.com/740460599475760/posts/1928433627345112/" TargetMode="External"/><Relationship Id="rId256" Type="http://schemas.openxmlformats.org/officeDocument/2006/relationships/hyperlink" Target="https://www.facebook.com/freefireth/videos/1017690712111095/" TargetMode="External"/><Relationship Id="rId134" Type="http://schemas.openxmlformats.org/officeDocument/2006/relationships/hyperlink" Target="https://www.facebook.com/740460599475760/posts/1928432400678568/" TargetMode="External"/><Relationship Id="rId255" Type="http://schemas.openxmlformats.org/officeDocument/2006/relationships/hyperlink" Target="https://www.facebook.com/740460599475760/posts/1964072870447854/" TargetMode="External"/><Relationship Id="rId133" Type="http://schemas.openxmlformats.org/officeDocument/2006/relationships/hyperlink" Target="https://www.facebook.com/freefireth/videos/282532207073795/" TargetMode="External"/><Relationship Id="rId254" Type="http://schemas.openxmlformats.org/officeDocument/2006/relationships/hyperlink" Target="https://www.facebook.com/740460599475760/posts/1964456007076207/" TargetMode="External"/><Relationship Id="rId172" Type="http://schemas.openxmlformats.org/officeDocument/2006/relationships/hyperlink" Target="https://www.facebook.com/740460599475760/posts/1936326133222528/" TargetMode="External"/><Relationship Id="rId293" Type="http://schemas.openxmlformats.org/officeDocument/2006/relationships/hyperlink" Target="https://www.facebook.com/740460599475760/posts/1968548526666955/" TargetMode="External"/><Relationship Id="rId171" Type="http://schemas.openxmlformats.org/officeDocument/2006/relationships/hyperlink" Target="https://www.facebook.com/740460599475760/posts/1936327786555696/" TargetMode="External"/><Relationship Id="rId292" Type="http://schemas.openxmlformats.org/officeDocument/2006/relationships/hyperlink" Target="https://www.facebook.com/740460599475760/posts/1966884233500051/" TargetMode="External"/><Relationship Id="rId170" Type="http://schemas.openxmlformats.org/officeDocument/2006/relationships/hyperlink" Target="https://www.facebook.com/740460599475760/posts/1936318723223269/" TargetMode="External"/><Relationship Id="rId291" Type="http://schemas.openxmlformats.org/officeDocument/2006/relationships/hyperlink" Target="https://www.facebook.com/740460599475760/posts/1968547556667052/" TargetMode="External"/><Relationship Id="rId290" Type="http://schemas.openxmlformats.org/officeDocument/2006/relationships/hyperlink" Target="https://www.facebook.com/740460599475760/posts/1968546566667151/" TargetMode="External"/><Relationship Id="rId165" Type="http://schemas.openxmlformats.org/officeDocument/2006/relationships/hyperlink" Target="https://www.facebook.com/740460599475760/posts/1935728093282332/" TargetMode="External"/><Relationship Id="rId286" Type="http://schemas.openxmlformats.org/officeDocument/2006/relationships/hyperlink" Target="https://www.facebook.com/740460599475760/posts/1968403463348128/" TargetMode="External"/><Relationship Id="rId164" Type="http://schemas.openxmlformats.org/officeDocument/2006/relationships/hyperlink" Target="https://www.facebook.com/740460599475760/posts/1935583059963502/" TargetMode="External"/><Relationship Id="rId285" Type="http://schemas.openxmlformats.org/officeDocument/2006/relationships/hyperlink" Target="https://www.facebook.com/740460599475760/posts/1967776100077531/" TargetMode="External"/><Relationship Id="rId163" Type="http://schemas.openxmlformats.org/officeDocument/2006/relationships/hyperlink" Target="https://www.facebook.com/740460599475760/posts/1935564853298656/" TargetMode="External"/><Relationship Id="rId284" Type="http://schemas.openxmlformats.org/officeDocument/2006/relationships/hyperlink" Target="https://www.facebook.com/740460599475760/posts/1967775646744243/" TargetMode="External"/><Relationship Id="rId162" Type="http://schemas.openxmlformats.org/officeDocument/2006/relationships/hyperlink" Target="https://www.facebook.com/740460599475760/posts/1935555239966284/" TargetMode="External"/><Relationship Id="rId283" Type="http://schemas.openxmlformats.org/officeDocument/2006/relationships/hyperlink" Target="https://www.facebook.com/740460599475760/posts/1967775140077627/" TargetMode="External"/><Relationship Id="rId169" Type="http://schemas.openxmlformats.org/officeDocument/2006/relationships/hyperlink" Target="https://www.facebook.com/740460599475760/posts/1936446436543831/" TargetMode="External"/><Relationship Id="rId168" Type="http://schemas.openxmlformats.org/officeDocument/2006/relationships/hyperlink" Target="https://www.facebook.com/740460599475760/posts/1933548783500263/" TargetMode="External"/><Relationship Id="rId289" Type="http://schemas.openxmlformats.org/officeDocument/2006/relationships/hyperlink" Target="https://www.facebook.com/740460599475760/posts/1968512446670563/" TargetMode="External"/><Relationship Id="rId167" Type="http://schemas.openxmlformats.org/officeDocument/2006/relationships/hyperlink" Target="https://www.facebook.com/740460599475760/posts/1936441439877664/" TargetMode="External"/><Relationship Id="rId288" Type="http://schemas.openxmlformats.org/officeDocument/2006/relationships/hyperlink" Target="https://www.facebook.com/740460599475760/posts/1967821676739640/" TargetMode="External"/><Relationship Id="rId166" Type="http://schemas.openxmlformats.org/officeDocument/2006/relationships/hyperlink" Target="https://www.facebook.com/740460599475760/posts/1936200256568449/" TargetMode="External"/><Relationship Id="rId287" Type="http://schemas.openxmlformats.org/officeDocument/2006/relationships/hyperlink" Target="https://www.facebook.com/740460599475760/posts/1967777143410760/" TargetMode="External"/><Relationship Id="rId161" Type="http://schemas.openxmlformats.org/officeDocument/2006/relationships/hyperlink" Target="https://www.facebook.com/740460599475760/posts/1933545816833893/" TargetMode="External"/><Relationship Id="rId282" Type="http://schemas.openxmlformats.org/officeDocument/2006/relationships/hyperlink" Target="https://www.facebook.com/740460599475760/posts/1967657196756088/" TargetMode="External"/><Relationship Id="rId160" Type="http://schemas.openxmlformats.org/officeDocument/2006/relationships/hyperlink" Target="https://www.facebook.com/740460599475760/posts/1933474060174402/" TargetMode="External"/><Relationship Id="rId281" Type="http://schemas.openxmlformats.org/officeDocument/2006/relationships/hyperlink" Target="https://www.facebook.com/740460599475760/posts/1967695280085613/" TargetMode="External"/><Relationship Id="rId280" Type="http://schemas.openxmlformats.org/officeDocument/2006/relationships/hyperlink" Target="https://www.facebook.com/740460599475760/posts/1967618723426602/" TargetMode="External"/><Relationship Id="rId159" Type="http://schemas.openxmlformats.org/officeDocument/2006/relationships/hyperlink" Target="https://www.facebook.com/740460599475760/posts/1935447329977075/" TargetMode="External"/><Relationship Id="rId154" Type="http://schemas.openxmlformats.org/officeDocument/2006/relationships/hyperlink" Target="https://www.facebook.com/740460599475760/posts/1933463956842079/" TargetMode="External"/><Relationship Id="rId275" Type="http://schemas.openxmlformats.org/officeDocument/2006/relationships/hyperlink" Target="https://www.facebook.com/freefireth/videos/3272605146348688/" TargetMode="External"/><Relationship Id="rId153" Type="http://schemas.openxmlformats.org/officeDocument/2006/relationships/hyperlink" Target="https://www.facebook.com/740460599475760/posts/1933552703499871/" TargetMode="External"/><Relationship Id="rId274" Type="http://schemas.openxmlformats.org/officeDocument/2006/relationships/hyperlink" Target="https://www.facebook.com/740460599475760/posts/1966795856842222/" TargetMode="External"/><Relationship Id="rId152" Type="http://schemas.openxmlformats.org/officeDocument/2006/relationships/hyperlink" Target="https://www.facebook.com/740460599475760/posts/1932661716922303/" TargetMode="External"/><Relationship Id="rId273" Type="http://schemas.openxmlformats.org/officeDocument/2006/relationships/hyperlink" Target="https://www.facebook.com/740460599475760/posts/1963836677138140/" TargetMode="External"/><Relationship Id="rId151" Type="http://schemas.openxmlformats.org/officeDocument/2006/relationships/hyperlink" Target="https://www.facebook.com/740460599475760/posts/1933489020172906/" TargetMode="External"/><Relationship Id="rId272" Type="http://schemas.openxmlformats.org/officeDocument/2006/relationships/hyperlink" Target="https://www.facebook.com/740460599475760/posts/1962250917296716/" TargetMode="External"/><Relationship Id="rId158" Type="http://schemas.openxmlformats.org/officeDocument/2006/relationships/hyperlink" Target="https://www.facebook.com/740460599475760/posts/1933473546841120/" TargetMode="External"/><Relationship Id="rId279" Type="http://schemas.openxmlformats.org/officeDocument/2006/relationships/hyperlink" Target="https://www.facebook.com/740460599475760/posts/1966950776826730/" TargetMode="External"/><Relationship Id="rId157" Type="http://schemas.openxmlformats.org/officeDocument/2006/relationships/hyperlink" Target="https://www.facebook.com/freefireth/videos/306128691099558/" TargetMode="External"/><Relationship Id="rId278" Type="http://schemas.openxmlformats.org/officeDocument/2006/relationships/hyperlink" Target="https://www.facebook.com/740460599475760/posts/1966951500159991/" TargetMode="External"/><Relationship Id="rId156" Type="http://schemas.openxmlformats.org/officeDocument/2006/relationships/hyperlink" Target="https://www.facebook.com/740460599475760/posts/1933467933508348/" TargetMode="External"/><Relationship Id="rId277" Type="http://schemas.openxmlformats.org/officeDocument/2006/relationships/hyperlink" Target="https://www.facebook.com/740460599475760/posts/1966941793494295/" TargetMode="External"/><Relationship Id="rId155" Type="http://schemas.openxmlformats.org/officeDocument/2006/relationships/hyperlink" Target="https://www.facebook.com/740460599475760/posts/1933766253478516/" TargetMode="External"/><Relationship Id="rId276" Type="http://schemas.openxmlformats.org/officeDocument/2006/relationships/hyperlink" Target="https://www.facebook.com/740460599475760/posts/1966958943492580/" TargetMode="External"/><Relationship Id="rId40" Type="http://schemas.openxmlformats.org/officeDocument/2006/relationships/hyperlink" Target="https://www.facebook.com/740460599475760/posts/1911247305730411/" TargetMode="External"/><Relationship Id="rId42" Type="http://schemas.openxmlformats.org/officeDocument/2006/relationships/hyperlink" Target="https://www.facebook.com/740460599475760/posts/1913161612205647/" TargetMode="External"/><Relationship Id="rId41" Type="http://schemas.openxmlformats.org/officeDocument/2006/relationships/hyperlink" Target="https://www.facebook.com/740460599475760/posts/1911247819063693/" TargetMode="External"/><Relationship Id="rId44" Type="http://schemas.openxmlformats.org/officeDocument/2006/relationships/hyperlink" Target="https://www.facebook.com/740460599475760/posts/1913522198836255/?substory_index=1" TargetMode="External"/><Relationship Id="rId43" Type="http://schemas.openxmlformats.org/officeDocument/2006/relationships/hyperlink" Target="https://www.facebook.com/740460599475760/posts/1911249899063485/" TargetMode="External"/><Relationship Id="rId46" Type="http://schemas.openxmlformats.org/officeDocument/2006/relationships/hyperlink" Target="https://www.facebook.com/740460599475760/posts/1913537378834737/" TargetMode="External"/><Relationship Id="rId45" Type="http://schemas.openxmlformats.org/officeDocument/2006/relationships/hyperlink" Target="https://www.facebook.com/740460599475760/posts/1913685608819914/" TargetMode="External"/><Relationship Id="rId48" Type="http://schemas.openxmlformats.org/officeDocument/2006/relationships/hyperlink" Target="https://www.facebook.com/740460599475760/posts/1913642725490869/" TargetMode="External"/><Relationship Id="rId47" Type="http://schemas.openxmlformats.org/officeDocument/2006/relationships/hyperlink" Target="https://www.facebook.com/740460599475760/posts/1911250759063399/" TargetMode="External"/><Relationship Id="rId49" Type="http://schemas.openxmlformats.org/officeDocument/2006/relationships/hyperlink" Target="https://www.facebook.com/740460599475760/posts/1913811978807277/" TargetMode="External"/><Relationship Id="rId31" Type="http://schemas.openxmlformats.org/officeDocument/2006/relationships/hyperlink" Target="https://www.facebook.com/740460599475760/posts/1911360665719075/" TargetMode="External"/><Relationship Id="rId30" Type="http://schemas.openxmlformats.org/officeDocument/2006/relationships/hyperlink" Target="https://www.facebook.com/740460599475760/posts/1911243259064149/" TargetMode="External"/><Relationship Id="rId33" Type="http://schemas.openxmlformats.org/officeDocument/2006/relationships/hyperlink" Target="https://www.facebook.com/740460599475760/posts/1911524132369395/" TargetMode="External"/><Relationship Id="rId32" Type="http://schemas.openxmlformats.org/officeDocument/2006/relationships/hyperlink" Target="https://www.facebook.com/740460599475760/posts/1911243639064111/" TargetMode="External"/><Relationship Id="rId35" Type="http://schemas.openxmlformats.org/officeDocument/2006/relationships/hyperlink" Target="https://www.facebook.com/740460599475760/posts/1911365515718590/" TargetMode="External"/><Relationship Id="rId34" Type="http://schemas.openxmlformats.org/officeDocument/2006/relationships/hyperlink" Target="https://www.facebook.com/740460599475760/posts/1911244335730708/" TargetMode="External"/><Relationship Id="rId37" Type="http://schemas.openxmlformats.org/officeDocument/2006/relationships/hyperlink" Target="https://www.facebook.com/740460599475760/posts/1911244862397322/" TargetMode="External"/><Relationship Id="rId36" Type="http://schemas.openxmlformats.org/officeDocument/2006/relationships/hyperlink" Target="https://www.facebook.com/740460599475760/posts/1911625359025939/" TargetMode="External"/><Relationship Id="rId39" Type="http://schemas.openxmlformats.org/officeDocument/2006/relationships/hyperlink" Target="https://www.facebook.com/740460599475760/posts/1911245965730545/" TargetMode="External"/><Relationship Id="rId38" Type="http://schemas.openxmlformats.org/officeDocument/2006/relationships/hyperlink" Target="https://www.facebook.com/740460599475760/posts/1911245445730597/" TargetMode="External"/><Relationship Id="rId20" Type="http://schemas.openxmlformats.org/officeDocument/2006/relationships/hyperlink" Target="https://www.facebook.com/740460599475760/posts/1909602242561584/" TargetMode="External"/><Relationship Id="rId22" Type="http://schemas.openxmlformats.org/officeDocument/2006/relationships/hyperlink" Target="https://www.facebook.com/740460599475760/posts/1910441942477614/" TargetMode="External"/><Relationship Id="rId21" Type="http://schemas.openxmlformats.org/officeDocument/2006/relationships/hyperlink" Target="https://www.facebook.com/740460599475760/posts/1909625719225903/" TargetMode="External"/><Relationship Id="rId24" Type="http://schemas.openxmlformats.org/officeDocument/2006/relationships/hyperlink" Target="https://www.facebook.com/740460599475760/posts/1910576212464187/" TargetMode="External"/><Relationship Id="rId23" Type="http://schemas.openxmlformats.org/officeDocument/2006/relationships/hyperlink" Target="https://www.facebook.com/740460599475760/posts/1910533969135078/" TargetMode="External"/><Relationship Id="rId26" Type="http://schemas.openxmlformats.org/officeDocument/2006/relationships/hyperlink" Target="https://www.facebook.com/740460599475760/posts/1910471942474614/" TargetMode="External"/><Relationship Id="rId25" Type="http://schemas.openxmlformats.org/officeDocument/2006/relationships/hyperlink" Target="https://www.facebook.com/740460599475760/posts/1910465929141882/" TargetMode="External"/><Relationship Id="rId28" Type="http://schemas.openxmlformats.org/officeDocument/2006/relationships/hyperlink" Target="https://www.facebook.com/740460599475760/posts/1910557712466037/" TargetMode="External"/><Relationship Id="rId27" Type="http://schemas.openxmlformats.org/officeDocument/2006/relationships/hyperlink" Target="https://www.facebook.com/740460599475760/posts/1910342392487569/" TargetMode="External"/><Relationship Id="rId29" Type="http://schemas.openxmlformats.org/officeDocument/2006/relationships/hyperlink" Target="https://www.facebook.com/740460599475760/posts/1910351379153337/" TargetMode="External"/><Relationship Id="rId11" Type="http://schemas.openxmlformats.org/officeDocument/2006/relationships/hyperlink" Target="https://www.facebook.com/740460599475760/posts/1908168186038323/" TargetMode="External"/><Relationship Id="rId10" Type="http://schemas.openxmlformats.org/officeDocument/2006/relationships/hyperlink" Target="https://www.facebook.com/740460599475760/posts/1905971419591333/" TargetMode="External"/><Relationship Id="rId13" Type="http://schemas.openxmlformats.org/officeDocument/2006/relationships/hyperlink" Target="https://www.facebook.com/740460599475760/posts/1908404846014657/" TargetMode="External"/><Relationship Id="rId12" Type="http://schemas.openxmlformats.org/officeDocument/2006/relationships/hyperlink" Target="https://www.facebook.com/740460599475760/posts/1908168586038283/" TargetMode="External"/><Relationship Id="rId15" Type="http://schemas.openxmlformats.org/officeDocument/2006/relationships/hyperlink" Target="https://www.facebook.com/740460599475760/posts/1908306979357777/" TargetMode="External"/><Relationship Id="rId14" Type="http://schemas.openxmlformats.org/officeDocument/2006/relationships/hyperlink" Target="https://www.facebook.com/740460599475760/posts/1908703655984776/" TargetMode="External"/><Relationship Id="rId17" Type="http://schemas.openxmlformats.org/officeDocument/2006/relationships/hyperlink" Target="https://www.facebook.com/740460599475760/posts/1909427849245690/" TargetMode="External"/><Relationship Id="rId16" Type="http://schemas.openxmlformats.org/officeDocument/2006/relationships/hyperlink" Target="https://www.facebook.com/740460599475760/posts/1908796339308841/" TargetMode="External"/><Relationship Id="rId19" Type="http://schemas.openxmlformats.org/officeDocument/2006/relationships/hyperlink" Target="https://www.facebook.com/740460599475760/posts/1908797172642091/" TargetMode="External"/><Relationship Id="rId18" Type="http://schemas.openxmlformats.org/officeDocument/2006/relationships/hyperlink" Target="https://www.facebook.com/740460599475760/posts/1908796782642130/" TargetMode="External"/><Relationship Id="rId84" Type="http://schemas.openxmlformats.org/officeDocument/2006/relationships/hyperlink" Target="https://www.facebook.com/740460599475760/posts/1921183174736824/" TargetMode="External"/><Relationship Id="rId83" Type="http://schemas.openxmlformats.org/officeDocument/2006/relationships/hyperlink" Target="https://www.facebook.com/740460599475760/posts/1921114361410372/" TargetMode="External"/><Relationship Id="rId86" Type="http://schemas.openxmlformats.org/officeDocument/2006/relationships/hyperlink" Target="https://www.facebook.com/740460599475760/posts/1921852924669849/" TargetMode="External"/><Relationship Id="rId85" Type="http://schemas.openxmlformats.org/officeDocument/2006/relationships/hyperlink" Target="https://www.facebook.com/740460599475760/posts/1921818054673336/" TargetMode="External"/><Relationship Id="rId88" Type="http://schemas.openxmlformats.org/officeDocument/2006/relationships/hyperlink" Target="https://www.facebook.com/740460599475760/posts/1921831148005360/" TargetMode="External"/><Relationship Id="rId87" Type="http://schemas.openxmlformats.org/officeDocument/2006/relationships/hyperlink" Target="https://www.facebook.com/740460599475760/posts/1921827931339015/" TargetMode="External"/><Relationship Id="rId89" Type="http://schemas.openxmlformats.org/officeDocument/2006/relationships/hyperlink" Target="https://www.facebook.com/740460599475760/posts/1921988727989602/" TargetMode="External"/><Relationship Id="rId80" Type="http://schemas.openxmlformats.org/officeDocument/2006/relationships/hyperlink" Target="https://www.facebook.com/740460599475760/posts/1920949781426830/" TargetMode="External"/><Relationship Id="rId82" Type="http://schemas.openxmlformats.org/officeDocument/2006/relationships/hyperlink" Target="https://www.facebook.com/740460599475760/posts/1920381241483684/" TargetMode="External"/><Relationship Id="rId81" Type="http://schemas.openxmlformats.org/officeDocument/2006/relationships/hyperlink" Target="https://www.facebook.com/740460599475760/posts/1919542078234267/" TargetMode="External"/><Relationship Id="rId73" Type="http://schemas.openxmlformats.org/officeDocument/2006/relationships/hyperlink" Target="https://www.facebook.com/740460599475760/posts/1918050318383443/" TargetMode="External"/><Relationship Id="rId72" Type="http://schemas.openxmlformats.org/officeDocument/2006/relationships/hyperlink" Target="https://www.facebook.com/740460599475760/posts/1917094281812380/" TargetMode="External"/><Relationship Id="rId75" Type="http://schemas.openxmlformats.org/officeDocument/2006/relationships/hyperlink" Target="https://www.facebook.com/740460599475760/posts/1917068655148276/" TargetMode="External"/><Relationship Id="rId74" Type="http://schemas.openxmlformats.org/officeDocument/2006/relationships/hyperlink" Target="https://www.facebook.com/740460599475760/posts/1917117195143422/" TargetMode="External"/><Relationship Id="rId77" Type="http://schemas.openxmlformats.org/officeDocument/2006/relationships/hyperlink" Target="https://www.facebook.com/740460599475760/posts/1917073385147803/" TargetMode="External"/><Relationship Id="rId76" Type="http://schemas.openxmlformats.org/officeDocument/2006/relationships/hyperlink" Target="https://www.facebook.com/740460599475760/posts/1919656528222822/" TargetMode="External"/><Relationship Id="rId79" Type="http://schemas.openxmlformats.org/officeDocument/2006/relationships/hyperlink" Target="https://www.facebook.com/740460599475760/posts/1920915854763556/" TargetMode="External"/><Relationship Id="rId78" Type="http://schemas.openxmlformats.org/officeDocument/2006/relationships/hyperlink" Target="https://www.facebook.com/740460599475760/posts/1919541568234318/" TargetMode="External"/><Relationship Id="rId71" Type="http://schemas.openxmlformats.org/officeDocument/2006/relationships/hyperlink" Target="https://www.facebook.com/740460599475760/posts/1917067105148431/" TargetMode="External"/><Relationship Id="rId70" Type="http://schemas.openxmlformats.org/officeDocument/2006/relationships/hyperlink" Target="https://www.facebook.com/740460599475760/posts/1917261255129016/" TargetMode="External"/><Relationship Id="rId62" Type="http://schemas.openxmlformats.org/officeDocument/2006/relationships/hyperlink" Target="https://www.facebook.com/740460599475760/posts/1916236491898159/" TargetMode="External"/><Relationship Id="rId61" Type="http://schemas.openxmlformats.org/officeDocument/2006/relationships/hyperlink" Target="https://www.facebook.com/740460599475760/posts/1916023201919488/" TargetMode="External"/><Relationship Id="rId64" Type="http://schemas.openxmlformats.org/officeDocument/2006/relationships/hyperlink" Target="https://www.facebook.com/740460599475760/posts/1917008835154258/" TargetMode="External"/><Relationship Id="rId63" Type="http://schemas.openxmlformats.org/officeDocument/2006/relationships/hyperlink" Target="https://www.facebook.com/740460599475760/posts/1917113598477115/" TargetMode="External"/><Relationship Id="rId66" Type="http://schemas.openxmlformats.org/officeDocument/2006/relationships/hyperlink" Target="https://www.facebook.com/740460599475760/posts/1917063088482166/" TargetMode="External"/><Relationship Id="rId65" Type="http://schemas.openxmlformats.org/officeDocument/2006/relationships/hyperlink" Target="https://www.facebook.com/740460599475760/posts/1917028241818984/" TargetMode="External"/><Relationship Id="rId68" Type="http://schemas.openxmlformats.org/officeDocument/2006/relationships/hyperlink" Target="https://www.facebook.com/740460599475760/posts/1917064441815364/" TargetMode="External"/><Relationship Id="rId67" Type="http://schemas.openxmlformats.org/officeDocument/2006/relationships/hyperlink" Target="https://www.facebook.com/740460599475760/posts/1917063811815427/" TargetMode="External"/><Relationship Id="rId60" Type="http://schemas.openxmlformats.org/officeDocument/2006/relationships/hyperlink" Target="https://www.facebook.com/740460599475760/posts/1914643625390779/" TargetMode="External"/><Relationship Id="rId69" Type="http://schemas.openxmlformats.org/officeDocument/2006/relationships/hyperlink" Target="https://www.facebook.com/740460599475760/posts/1917065585148583/" TargetMode="External"/><Relationship Id="rId51" Type="http://schemas.openxmlformats.org/officeDocument/2006/relationships/hyperlink" Target="https://www.facebook.com/740460599475760/posts/1914615942060214/" TargetMode="External"/><Relationship Id="rId50" Type="http://schemas.openxmlformats.org/officeDocument/2006/relationships/hyperlink" Target="https://www.facebook.com/740460599475760/posts/1914580795397062/" TargetMode="External"/><Relationship Id="rId53" Type="http://schemas.openxmlformats.org/officeDocument/2006/relationships/hyperlink" Target="https://www.facebook.com/740460599475760/posts/1914640848724390/" TargetMode="External"/><Relationship Id="rId52" Type="http://schemas.openxmlformats.org/officeDocument/2006/relationships/hyperlink" Target="https://www.facebook.com/740460599475760/posts/1913812335473908/" TargetMode="External"/><Relationship Id="rId55" Type="http://schemas.openxmlformats.org/officeDocument/2006/relationships/hyperlink" Target="https://www.facebook.com/740460599475760/posts/1914765935378548/" TargetMode="External"/><Relationship Id="rId54" Type="http://schemas.openxmlformats.org/officeDocument/2006/relationships/hyperlink" Target="https://www.facebook.com/740460599475760/posts/1914639852057823/" TargetMode="External"/><Relationship Id="rId57" Type="http://schemas.openxmlformats.org/officeDocument/2006/relationships/hyperlink" Target="https://www.facebook.com/740460599475760/posts/1914641738724301/" TargetMode="External"/><Relationship Id="rId56" Type="http://schemas.openxmlformats.org/officeDocument/2006/relationships/hyperlink" Target="https://www.facebook.com/740460599475760/posts/1914729018715573/" TargetMode="External"/><Relationship Id="rId59" Type="http://schemas.openxmlformats.org/officeDocument/2006/relationships/hyperlink" Target="https://www.facebook.com/740460599475760/posts/1916081251913683/" TargetMode="External"/><Relationship Id="rId58" Type="http://schemas.openxmlformats.org/officeDocument/2006/relationships/hyperlink" Target="https://www.facebook.com/740460599475760/posts/1914733125381829/" TargetMode="External"/><Relationship Id="rId107" Type="http://schemas.openxmlformats.org/officeDocument/2006/relationships/hyperlink" Target="https://www.facebook.com/740460599475760/posts/1925619187626556/" TargetMode="External"/><Relationship Id="rId228" Type="http://schemas.openxmlformats.org/officeDocument/2006/relationships/hyperlink" Target="https://www.facebook.com/740460599475760/posts/1948391182016023/" TargetMode="External"/><Relationship Id="rId106" Type="http://schemas.openxmlformats.org/officeDocument/2006/relationships/hyperlink" Target="https://www.facebook.com/740460599475760/posts/1924909847697490/" TargetMode="External"/><Relationship Id="rId227" Type="http://schemas.openxmlformats.org/officeDocument/2006/relationships/hyperlink" Target="https://www.facebook.com/740460599475760/posts/1947673822087759/" TargetMode="External"/><Relationship Id="rId105" Type="http://schemas.openxmlformats.org/officeDocument/2006/relationships/hyperlink" Target="https://www.facebook.com/740460599475760/posts/1921844304670711/" TargetMode="External"/><Relationship Id="rId226" Type="http://schemas.openxmlformats.org/officeDocument/2006/relationships/hyperlink" Target="https://www.facebook.com/740460599475760/posts/1947622975426177/" TargetMode="External"/><Relationship Id="rId104" Type="http://schemas.openxmlformats.org/officeDocument/2006/relationships/hyperlink" Target="https://www.facebook.com/740460599475760/posts/1924094991112309/" TargetMode="External"/><Relationship Id="rId225" Type="http://schemas.openxmlformats.org/officeDocument/2006/relationships/hyperlink" Target="https://www.facebook.com/740460599475760/posts/1947695698752238/" TargetMode="External"/><Relationship Id="rId109" Type="http://schemas.openxmlformats.org/officeDocument/2006/relationships/hyperlink" Target="https://www.facebook.com/740460599475760/posts/1925742604280881/" TargetMode="External"/><Relationship Id="rId108" Type="http://schemas.openxmlformats.org/officeDocument/2006/relationships/hyperlink" Target="https://www.facebook.com/740460599475760/posts/1925741547614320/" TargetMode="External"/><Relationship Id="rId229" Type="http://schemas.openxmlformats.org/officeDocument/2006/relationships/hyperlink" Target="https://www.facebook.com/740460599475760/posts/1949208095267665/" TargetMode="External"/><Relationship Id="rId220" Type="http://schemas.openxmlformats.org/officeDocument/2006/relationships/hyperlink" Target="https://www.facebook.com/740460599475760/posts/1946179912237150/" TargetMode="External"/><Relationship Id="rId103" Type="http://schemas.openxmlformats.org/officeDocument/2006/relationships/hyperlink" Target="https://www.facebook.com/740460599475760/posts/1921842081337600/" TargetMode="External"/><Relationship Id="rId224" Type="http://schemas.openxmlformats.org/officeDocument/2006/relationships/hyperlink" Target="https://www.facebook.com/740460599475760/posts/1948389112016230/" TargetMode="External"/><Relationship Id="rId102" Type="http://schemas.openxmlformats.org/officeDocument/2006/relationships/hyperlink" Target="https://www.facebook.com/740460599475760/posts/1921843774670764/" TargetMode="External"/><Relationship Id="rId223" Type="http://schemas.openxmlformats.org/officeDocument/2006/relationships/hyperlink" Target="https://www.facebook.com/740460599475760/posts/1947520292103112/" TargetMode="External"/><Relationship Id="rId101" Type="http://schemas.openxmlformats.org/officeDocument/2006/relationships/hyperlink" Target="https://www.facebook.com/740460599475760/posts/1921843044670837/" TargetMode="External"/><Relationship Id="rId222" Type="http://schemas.openxmlformats.org/officeDocument/2006/relationships/hyperlink" Target="https://www.facebook.com/740460599475760/posts/1947713838750424/" TargetMode="External"/><Relationship Id="rId100" Type="http://schemas.openxmlformats.org/officeDocument/2006/relationships/hyperlink" Target="https://www.facebook.com/740460599475760/posts/1921992781322530/" TargetMode="External"/><Relationship Id="rId221" Type="http://schemas.openxmlformats.org/officeDocument/2006/relationships/hyperlink" Target="https://www.facebook.com/740460599475760/posts/1947019415486533/" TargetMode="External"/><Relationship Id="rId217" Type="http://schemas.openxmlformats.org/officeDocument/2006/relationships/hyperlink" Target="https://www.facebook.com/740460599475760/posts/1947015365486938/" TargetMode="External"/><Relationship Id="rId216" Type="http://schemas.openxmlformats.org/officeDocument/2006/relationships/hyperlink" Target="https://www.facebook.com/740460599475760/posts/1946818968839911/" TargetMode="External"/><Relationship Id="rId215" Type="http://schemas.openxmlformats.org/officeDocument/2006/relationships/hyperlink" Target="https://www.facebook.com/740460599475760/posts/1946861385502336/" TargetMode="External"/><Relationship Id="rId214" Type="http://schemas.openxmlformats.org/officeDocument/2006/relationships/hyperlink" Target="https://www.facebook.com/740460599475760/posts/1946790715509403/" TargetMode="External"/><Relationship Id="rId219" Type="http://schemas.openxmlformats.org/officeDocument/2006/relationships/hyperlink" Target="https://www.facebook.com/740460599475760/posts/1947017738820034/" TargetMode="External"/><Relationship Id="rId218" Type="http://schemas.openxmlformats.org/officeDocument/2006/relationships/hyperlink" Target="https://www.facebook.com/740460599475760/posts/1947016335486841/" TargetMode="External"/><Relationship Id="rId213" Type="http://schemas.openxmlformats.org/officeDocument/2006/relationships/hyperlink" Target="https://www.facebook.com/740460599475760/posts/1946262388895569/" TargetMode="External"/><Relationship Id="rId212" Type="http://schemas.openxmlformats.org/officeDocument/2006/relationships/hyperlink" Target="https://www.facebook.com/740460599475760/posts/1946261052229036/" TargetMode="External"/><Relationship Id="rId211" Type="http://schemas.openxmlformats.org/officeDocument/2006/relationships/hyperlink" Target="https://www.facebook.com/740460599475760/posts/1946247932230348/" TargetMode="External"/><Relationship Id="rId210" Type="http://schemas.openxmlformats.org/officeDocument/2006/relationships/hyperlink" Target="https://www.facebook.com/740460599475760/posts/1946073798914428/" TargetMode="External"/><Relationship Id="rId129" Type="http://schemas.openxmlformats.org/officeDocument/2006/relationships/hyperlink" Target="https://www.facebook.com/740460599475760/posts/1928446460677162/" TargetMode="External"/><Relationship Id="rId128" Type="http://schemas.openxmlformats.org/officeDocument/2006/relationships/hyperlink" Target="https://www.facebook.com/740460599475760/posts/1928430600678748/" TargetMode="External"/><Relationship Id="rId249" Type="http://schemas.openxmlformats.org/officeDocument/2006/relationships/hyperlink" Target="https://www.facebook.com/740460599475760/posts/1963760730479068/" TargetMode="External"/><Relationship Id="rId127" Type="http://schemas.openxmlformats.org/officeDocument/2006/relationships/hyperlink" Target="https://www.facebook.com/740460599475760/posts/1928427537345721/" TargetMode="External"/><Relationship Id="rId248" Type="http://schemas.openxmlformats.org/officeDocument/2006/relationships/hyperlink" Target="https://www.facebook.com/freefireth/videos/447029496861849/" TargetMode="External"/><Relationship Id="rId126" Type="http://schemas.openxmlformats.org/officeDocument/2006/relationships/hyperlink" Target="https://www.facebook.com/740460599475760/posts/1928451200676688/" TargetMode="External"/><Relationship Id="rId247" Type="http://schemas.openxmlformats.org/officeDocument/2006/relationships/hyperlink" Target="https://www.facebook.com/740460599475760/posts/1963277000527441/" TargetMode="External"/><Relationship Id="rId121" Type="http://schemas.openxmlformats.org/officeDocument/2006/relationships/hyperlink" Target="https://www.facebook.com/740460599475760/posts/1925663274288814/" TargetMode="External"/><Relationship Id="rId242" Type="http://schemas.openxmlformats.org/officeDocument/2006/relationships/hyperlink" Target="https://www.facebook.com/740460599475760/posts/1951403998381408/" TargetMode="External"/><Relationship Id="rId120" Type="http://schemas.openxmlformats.org/officeDocument/2006/relationships/hyperlink" Target="https://www.facebook.com/740460599475760/posts/1927470357441439/" TargetMode="External"/><Relationship Id="rId241" Type="http://schemas.openxmlformats.org/officeDocument/2006/relationships/hyperlink" Target="https://www.facebook.com/740460599475760/posts/1951271898394618/" TargetMode="External"/><Relationship Id="rId240" Type="http://schemas.openxmlformats.org/officeDocument/2006/relationships/hyperlink" Target="https://www.facebook.com/740460599475760/posts/1949241151931026/" TargetMode="External"/><Relationship Id="rId125" Type="http://schemas.openxmlformats.org/officeDocument/2006/relationships/hyperlink" Target="https://www.facebook.com/740460599475760/posts/1928425317345943/" TargetMode="External"/><Relationship Id="rId246" Type="http://schemas.openxmlformats.org/officeDocument/2006/relationships/hyperlink" Target="https://www.facebook.com/740460599475760/posts/1963778730477268/" TargetMode="External"/><Relationship Id="rId124" Type="http://schemas.openxmlformats.org/officeDocument/2006/relationships/hyperlink" Target="https://www.facebook.com/740460599475760/posts/1928424837345991/" TargetMode="External"/><Relationship Id="rId245" Type="http://schemas.openxmlformats.org/officeDocument/2006/relationships/hyperlink" Target="https://www.facebook.com/740460599475760/posts/1963557903832684/" TargetMode="External"/><Relationship Id="rId123" Type="http://schemas.openxmlformats.org/officeDocument/2006/relationships/hyperlink" Target="https://www.facebook.com/740460599475760/posts/1928423800679428/" TargetMode="External"/><Relationship Id="rId244" Type="http://schemas.openxmlformats.org/officeDocument/2006/relationships/hyperlink" Target="https://www.facebook.com/740460599475760/posts/1951423808379427/" TargetMode="External"/><Relationship Id="rId122" Type="http://schemas.openxmlformats.org/officeDocument/2006/relationships/hyperlink" Target="https://www.facebook.com/740460599475760/posts/1928356114019530/" TargetMode="External"/><Relationship Id="rId243" Type="http://schemas.openxmlformats.org/officeDocument/2006/relationships/hyperlink" Target="https://www.facebook.com/740460599475760/posts/1951513731703768/" TargetMode="External"/><Relationship Id="rId95" Type="http://schemas.openxmlformats.org/officeDocument/2006/relationships/hyperlink" Target="https://www.facebook.com/740460599475760/posts/1922737251248083/" TargetMode="External"/><Relationship Id="rId94" Type="http://schemas.openxmlformats.org/officeDocument/2006/relationships/hyperlink" Target="https://www.facebook.com/740460599475760/posts/1921839284671213/" TargetMode="External"/><Relationship Id="rId97" Type="http://schemas.openxmlformats.org/officeDocument/2006/relationships/hyperlink" Target="https://www.facebook.com/740460599475760/posts/1923251744529967/" TargetMode="External"/><Relationship Id="rId96" Type="http://schemas.openxmlformats.org/officeDocument/2006/relationships/hyperlink" Target="https://www.facebook.com/740460599475760/posts/1922714304583711/" TargetMode="External"/><Relationship Id="rId99" Type="http://schemas.openxmlformats.org/officeDocument/2006/relationships/hyperlink" Target="https://www.facebook.com/740460599475760/posts/1921840288004446/" TargetMode="External"/><Relationship Id="rId98" Type="http://schemas.openxmlformats.org/officeDocument/2006/relationships/hyperlink" Target="https://www.facebook.com/740460599475760/posts/1923459334509208/" TargetMode="External"/><Relationship Id="rId91" Type="http://schemas.openxmlformats.org/officeDocument/2006/relationships/hyperlink" Target="https://www.facebook.com/740460599475760/posts/1921944611327347/" TargetMode="External"/><Relationship Id="rId90" Type="http://schemas.openxmlformats.org/officeDocument/2006/relationships/hyperlink" Target="https://www.facebook.com/740460599475760/posts/1922684047920070/" TargetMode="External"/><Relationship Id="rId93" Type="http://schemas.openxmlformats.org/officeDocument/2006/relationships/hyperlink" Target="https://www.facebook.com/740460599475760/posts/1921838101337998/" TargetMode="External"/><Relationship Id="rId92" Type="http://schemas.openxmlformats.org/officeDocument/2006/relationships/hyperlink" Target="https://www.facebook.com/740460599475760/posts/1921837141338094/" TargetMode="External"/><Relationship Id="rId118" Type="http://schemas.openxmlformats.org/officeDocument/2006/relationships/hyperlink" Target="https://www.facebook.com/740460599475760/posts/1927797234075418/" TargetMode="External"/><Relationship Id="rId239" Type="http://schemas.openxmlformats.org/officeDocument/2006/relationships/hyperlink" Target="https://www.facebook.com/740460599475760/posts/1949254281929713/" TargetMode="External"/><Relationship Id="rId117" Type="http://schemas.openxmlformats.org/officeDocument/2006/relationships/hyperlink" Target="https://www.facebook.com/740460599475760/posts/1926689657519509/" TargetMode="External"/><Relationship Id="rId238" Type="http://schemas.openxmlformats.org/officeDocument/2006/relationships/hyperlink" Target="https://www.facebook.com/740460599475760/posts/1948421818679626/" TargetMode="External"/><Relationship Id="rId116" Type="http://schemas.openxmlformats.org/officeDocument/2006/relationships/hyperlink" Target="https://www.facebook.com/740460599475760/posts/1926680174187124/" TargetMode="External"/><Relationship Id="rId237" Type="http://schemas.openxmlformats.org/officeDocument/2006/relationships/hyperlink" Target="https://www.facebook.com/740460599475760/posts/1949239088597899/" TargetMode="External"/><Relationship Id="rId115" Type="http://schemas.openxmlformats.org/officeDocument/2006/relationships/hyperlink" Target="https://www.facebook.com/740460599475760/posts/1927511477437327/" TargetMode="External"/><Relationship Id="rId236" Type="http://schemas.openxmlformats.org/officeDocument/2006/relationships/hyperlink" Target="https://www.facebook.com/740460599475760/posts/1949240285264446/" TargetMode="External"/><Relationship Id="rId119" Type="http://schemas.openxmlformats.org/officeDocument/2006/relationships/hyperlink" Target="https://www.facebook.com/740460599475760/posts/1927801720741636/?substory_index=0" TargetMode="External"/><Relationship Id="rId110" Type="http://schemas.openxmlformats.org/officeDocument/2006/relationships/hyperlink" Target="https://www.facebook.com/740460599475760/posts/1925738904281251/" TargetMode="External"/><Relationship Id="rId231" Type="http://schemas.openxmlformats.org/officeDocument/2006/relationships/hyperlink" Target="https://www.facebook.com/740460599475760/posts/1949044658617342/" TargetMode="External"/><Relationship Id="rId230" Type="http://schemas.openxmlformats.org/officeDocument/2006/relationships/hyperlink" Target="https://www.facebook.com/740460599475760/posts/1947013265487148/" TargetMode="External"/><Relationship Id="rId114" Type="http://schemas.openxmlformats.org/officeDocument/2006/relationships/hyperlink" Target="https://www.facebook.com/740460599475760/posts/1926629087525566/" TargetMode="External"/><Relationship Id="rId235" Type="http://schemas.openxmlformats.org/officeDocument/2006/relationships/hyperlink" Target="https://www.facebook.com/740460599475760/posts/1947591738762634/" TargetMode="External"/><Relationship Id="rId113" Type="http://schemas.openxmlformats.org/officeDocument/2006/relationships/hyperlink" Target="https://www.facebook.com/740460599475760/posts/1926628300858978/" TargetMode="External"/><Relationship Id="rId234" Type="http://schemas.openxmlformats.org/officeDocument/2006/relationships/hyperlink" Target="https://www.facebook.com/740460599475760/posts/1949234531931688/" TargetMode="External"/><Relationship Id="rId112" Type="http://schemas.openxmlformats.org/officeDocument/2006/relationships/hyperlink" Target="https://www.facebook.com/740460599475760/posts/1926627490859059/" TargetMode="External"/><Relationship Id="rId233" Type="http://schemas.openxmlformats.org/officeDocument/2006/relationships/hyperlink" Target="https://www.facebook.com/740460599475760/posts/1949238361931305/" TargetMode="External"/><Relationship Id="rId111" Type="http://schemas.openxmlformats.org/officeDocument/2006/relationships/hyperlink" Target="https://www.facebook.com/740460599475760/posts/1926468667541608/" TargetMode="External"/><Relationship Id="rId232" Type="http://schemas.openxmlformats.org/officeDocument/2006/relationships/hyperlink" Target="https://www.facebook.com/740460599475760/posts/1949233491931792/" TargetMode="External"/><Relationship Id="rId301" Type="http://schemas.openxmlformats.org/officeDocument/2006/relationships/drawing" Target="../drawings/drawing3.xml"/><Relationship Id="rId300" Type="http://schemas.openxmlformats.org/officeDocument/2006/relationships/hyperlink" Target="https://www.facebook.com/740460599475760/posts/1969128239942317/" TargetMode="External"/><Relationship Id="rId206" Type="http://schemas.openxmlformats.org/officeDocument/2006/relationships/hyperlink" Target="https://www.facebook.com/740460599475760/posts/1941444886043986/" TargetMode="External"/><Relationship Id="rId205" Type="http://schemas.openxmlformats.org/officeDocument/2006/relationships/hyperlink" Target="https://www.facebook.com/740460599475760/posts/1943970605791414/" TargetMode="External"/><Relationship Id="rId204" Type="http://schemas.openxmlformats.org/officeDocument/2006/relationships/hyperlink" Target="https://www.facebook.com/740460599475760/posts/1944013139120494/" TargetMode="External"/><Relationship Id="rId203" Type="http://schemas.openxmlformats.org/officeDocument/2006/relationships/hyperlink" Target="https://www.facebook.com/740460599475760/posts/1944766482378493/" TargetMode="External"/><Relationship Id="rId209" Type="http://schemas.openxmlformats.org/officeDocument/2006/relationships/hyperlink" Target="https://www.facebook.com/740460599475760/posts/1944019885786486/" TargetMode="External"/><Relationship Id="rId208" Type="http://schemas.openxmlformats.org/officeDocument/2006/relationships/hyperlink" Target="https://www.facebook.com/740460599475760/posts/1945472215641253/" TargetMode="External"/><Relationship Id="rId207" Type="http://schemas.openxmlformats.org/officeDocument/2006/relationships/hyperlink" Target="https://www.facebook.com/740460599475760/posts/1943971055791369/" TargetMode="External"/><Relationship Id="rId202" Type="http://schemas.openxmlformats.org/officeDocument/2006/relationships/hyperlink" Target="https://www.facebook.com/740460599475760/posts/1943970059124802/" TargetMode="External"/><Relationship Id="rId201" Type="http://schemas.openxmlformats.org/officeDocument/2006/relationships/hyperlink" Target="https://www.facebook.com/740460599475760/posts/1943968502458291/" TargetMode="External"/><Relationship Id="rId200" Type="http://schemas.openxmlformats.org/officeDocument/2006/relationships/hyperlink" Target="https://www.facebook.com/740460599475760/posts/1943967959125012/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172882636630076/posts/1013266309258367/" TargetMode="External"/><Relationship Id="rId194" Type="http://schemas.openxmlformats.org/officeDocument/2006/relationships/hyperlink" Target="https://www.facebook.com/172882636630076/posts/1013909035860761/" TargetMode="External"/><Relationship Id="rId193" Type="http://schemas.openxmlformats.org/officeDocument/2006/relationships/hyperlink" Target="https://www.facebook.com/172882636630076/posts/1013823322535999/" TargetMode="External"/><Relationship Id="rId192" Type="http://schemas.openxmlformats.org/officeDocument/2006/relationships/hyperlink" Target="https://www.facebook.com/172882636630076/posts/1013544389230559/" TargetMode="External"/><Relationship Id="rId191" Type="http://schemas.openxmlformats.org/officeDocument/2006/relationships/hyperlink" Target="https://www.facebook.com/172882636630076/posts/1013318095919855/" TargetMode="External"/><Relationship Id="rId187" Type="http://schemas.openxmlformats.org/officeDocument/2006/relationships/hyperlink" Target="https://www.facebook.com/172882636630076/posts/1012891612629170/" TargetMode="External"/><Relationship Id="rId186" Type="http://schemas.openxmlformats.org/officeDocument/2006/relationships/hyperlink" Target="https://www.facebook.com/172882636630076/posts/1012700112648320/" TargetMode="External"/><Relationship Id="rId185" Type="http://schemas.openxmlformats.org/officeDocument/2006/relationships/hyperlink" Target="https://www.facebook.com/172882636630076/posts/1012606602657671/" TargetMode="External"/><Relationship Id="rId184" Type="http://schemas.openxmlformats.org/officeDocument/2006/relationships/hyperlink" Target="https://www.facebook.com/172882636630076/posts/1012243712693960/" TargetMode="External"/><Relationship Id="rId189" Type="http://schemas.openxmlformats.org/officeDocument/2006/relationships/hyperlink" Target="https://www.facebook.com/172882636630076/posts/1013251422593189/" TargetMode="External"/><Relationship Id="rId188" Type="http://schemas.openxmlformats.org/officeDocument/2006/relationships/hyperlink" Target="https://www.facebook.com/172882636630076/posts/1013230399261958/" TargetMode="External"/><Relationship Id="rId183" Type="http://schemas.openxmlformats.org/officeDocument/2006/relationships/hyperlink" Target="https://www.facebook.com/172882636630076/posts/1012621895989475/" TargetMode="External"/><Relationship Id="rId182" Type="http://schemas.openxmlformats.org/officeDocument/2006/relationships/hyperlink" Target="https://www.facebook.com/172882636630076/posts/1012283736023291/" TargetMode="External"/><Relationship Id="rId181" Type="http://schemas.openxmlformats.org/officeDocument/2006/relationships/hyperlink" Target="https://www.facebook.com/172882636630076/posts/1011017489483249/" TargetMode="External"/><Relationship Id="rId180" Type="http://schemas.openxmlformats.org/officeDocument/2006/relationships/hyperlink" Target="https://www.facebook.com/172882636630076/posts/1011606189424379/" TargetMode="External"/><Relationship Id="rId176" Type="http://schemas.openxmlformats.org/officeDocument/2006/relationships/hyperlink" Target="https://www.facebook.com/172882636630076/posts/1010822766169388/" TargetMode="External"/><Relationship Id="rId175" Type="http://schemas.openxmlformats.org/officeDocument/2006/relationships/hyperlink" Target="https://www.facebook.com/172882636630076/posts/1010510302867301/" TargetMode="External"/><Relationship Id="rId174" Type="http://schemas.openxmlformats.org/officeDocument/2006/relationships/hyperlink" Target="https://www.facebook.com/172882636630076/posts/1010225402895791/" TargetMode="External"/><Relationship Id="rId173" Type="http://schemas.openxmlformats.org/officeDocument/2006/relationships/hyperlink" Target="https://www.facebook.com/172882636630076/posts/1010255829559415/" TargetMode="External"/><Relationship Id="rId179" Type="http://schemas.openxmlformats.org/officeDocument/2006/relationships/hyperlink" Target="https://www.facebook.com/172882636630076/posts/1011462816105383/" TargetMode="External"/><Relationship Id="rId178" Type="http://schemas.openxmlformats.org/officeDocument/2006/relationships/hyperlink" Target="https://www.facebook.com/172882636630076/posts/1010515446200120/" TargetMode="External"/><Relationship Id="rId177" Type="http://schemas.openxmlformats.org/officeDocument/2006/relationships/hyperlink" Target="https://www.facebook.com/172882636630076/posts/1011030879481910/" TargetMode="External"/><Relationship Id="rId198" Type="http://schemas.openxmlformats.org/officeDocument/2006/relationships/hyperlink" Target="https://www.facebook.com/172882636630076/posts/1014168805834784/" TargetMode="External"/><Relationship Id="rId197" Type="http://schemas.openxmlformats.org/officeDocument/2006/relationships/hyperlink" Target="https://www.facebook.com/172882636630076/posts/1014090272509304/" TargetMode="External"/><Relationship Id="rId196" Type="http://schemas.openxmlformats.org/officeDocument/2006/relationships/hyperlink" Target="https://www.facebook.com/172882636630076/posts/1013947185856946/" TargetMode="External"/><Relationship Id="rId195" Type="http://schemas.openxmlformats.org/officeDocument/2006/relationships/hyperlink" Target="https://www.facebook.com/172882636630076/posts/1013333265918338/" TargetMode="External"/><Relationship Id="rId199" Type="http://schemas.openxmlformats.org/officeDocument/2006/relationships/hyperlink" Target="https://www.facebook.com/172882636630076/posts/1014471625804502/" TargetMode="External"/><Relationship Id="rId150" Type="http://schemas.openxmlformats.org/officeDocument/2006/relationships/hyperlink" Target="https://www.facebook.com/172882636630076/posts/1007592689825729/" TargetMode="External"/><Relationship Id="rId1" Type="http://schemas.openxmlformats.org/officeDocument/2006/relationships/hyperlink" Target="https://www.facebook.com/172882636630076/posts/969476276970704/" TargetMode="External"/><Relationship Id="rId2" Type="http://schemas.openxmlformats.org/officeDocument/2006/relationships/hyperlink" Target="https://www.facebook.com/172882636630076/posts/970284500223215/" TargetMode="External"/><Relationship Id="rId3" Type="http://schemas.openxmlformats.org/officeDocument/2006/relationships/hyperlink" Target="https://www.facebook.com/172882636630076/posts/970669680184697/" TargetMode="External"/><Relationship Id="rId149" Type="http://schemas.openxmlformats.org/officeDocument/2006/relationships/hyperlink" Target="https://www.facebook.com/172882636630076/posts/1007589999825998/" TargetMode="External"/><Relationship Id="rId4" Type="http://schemas.openxmlformats.org/officeDocument/2006/relationships/hyperlink" Target="https://www.facebook.com/172882636630076/posts/970942463490752/" TargetMode="External"/><Relationship Id="rId148" Type="http://schemas.openxmlformats.org/officeDocument/2006/relationships/hyperlink" Target="https://www.facebook.com/172882636630076/posts/1007561479828850/" TargetMode="External"/><Relationship Id="rId9" Type="http://schemas.openxmlformats.org/officeDocument/2006/relationships/hyperlink" Target="https://www.facebook.com/pubg.battlegrounds.th/videos/941368270062200/" TargetMode="External"/><Relationship Id="rId143" Type="http://schemas.openxmlformats.org/officeDocument/2006/relationships/hyperlink" Target="https://www.facebook.com/172882636630076/posts/1006579676593697/" TargetMode="External"/><Relationship Id="rId142" Type="http://schemas.openxmlformats.org/officeDocument/2006/relationships/hyperlink" Target="https://www.facebook.com/172882636630076/posts/1005700296681635/" TargetMode="External"/><Relationship Id="rId141" Type="http://schemas.openxmlformats.org/officeDocument/2006/relationships/hyperlink" Target="https://www.facebook.com/172882636630076/posts/1005935756658089/" TargetMode="External"/><Relationship Id="rId140" Type="http://schemas.openxmlformats.org/officeDocument/2006/relationships/hyperlink" Target="https://www.facebook.com/172882636630076/posts/1005921279992870/" TargetMode="External"/><Relationship Id="rId5" Type="http://schemas.openxmlformats.org/officeDocument/2006/relationships/hyperlink" Target="https://www.facebook.com/172882636630076/posts/970945460157119/" TargetMode="External"/><Relationship Id="rId147" Type="http://schemas.openxmlformats.org/officeDocument/2006/relationships/hyperlink" Target="https://www.facebook.com/172882636630076/posts/1007219633196368/" TargetMode="External"/><Relationship Id="rId6" Type="http://schemas.openxmlformats.org/officeDocument/2006/relationships/hyperlink" Target="https://www.facebook.com/172882636630076/posts/971000823484916/" TargetMode="External"/><Relationship Id="rId146" Type="http://schemas.openxmlformats.org/officeDocument/2006/relationships/hyperlink" Target="https://www.facebook.com/172882636630076/posts/1007177663200565/" TargetMode="External"/><Relationship Id="rId7" Type="http://schemas.openxmlformats.org/officeDocument/2006/relationships/hyperlink" Target="https://www.facebook.com/pubg.battlegrounds.th/videos/401104991611623/" TargetMode="External"/><Relationship Id="rId145" Type="http://schemas.openxmlformats.org/officeDocument/2006/relationships/hyperlink" Target="https://www.facebook.com/172882636630076/posts/1005926013325730/" TargetMode="External"/><Relationship Id="rId8" Type="http://schemas.openxmlformats.org/officeDocument/2006/relationships/hyperlink" Target="https://www.facebook.com/172882636630076/posts/971543223430676/" TargetMode="External"/><Relationship Id="rId144" Type="http://schemas.openxmlformats.org/officeDocument/2006/relationships/hyperlink" Target="https://www.facebook.com/172882636630076/posts/1006587349926263/" TargetMode="External"/><Relationship Id="rId139" Type="http://schemas.openxmlformats.org/officeDocument/2006/relationships/hyperlink" Target="https://www.facebook.com/172882636630076/posts/1005813916670273/" TargetMode="External"/><Relationship Id="rId138" Type="http://schemas.openxmlformats.org/officeDocument/2006/relationships/hyperlink" Target="https://www.facebook.com/172882636630076/posts/1005877146663950/" TargetMode="External"/><Relationship Id="rId137" Type="http://schemas.openxmlformats.org/officeDocument/2006/relationships/hyperlink" Target="https://www.facebook.com/172882636630076/posts/1005758736675791/" TargetMode="External"/><Relationship Id="rId132" Type="http://schemas.openxmlformats.org/officeDocument/2006/relationships/hyperlink" Target="https://www.facebook.com/172882636630076/posts/1005123576739307/" TargetMode="External"/><Relationship Id="rId131" Type="http://schemas.openxmlformats.org/officeDocument/2006/relationships/hyperlink" Target="https://www.facebook.com/172882636630076/posts/1004897060095292/" TargetMode="External"/><Relationship Id="rId130" Type="http://schemas.openxmlformats.org/officeDocument/2006/relationships/hyperlink" Target="https://www.facebook.com/172882636630076/posts/1004804416771223/" TargetMode="External"/><Relationship Id="rId136" Type="http://schemas.openxmlformats.org/officeDocument/2006/relationships/hyperlink" Target="https://www.facebook.com/172882636630076/posts/1005613603356971/" TargetMode="External"/><Relationship Id="rId135" Type="http://schemas.openxmlformats.org/officeDocument/2006/relationships/hyperlink" Target="https://www.facebook.com/172882636630076/posts/1005493426702322/" TargetMode="External"/><Relationship Id="rId134" Type="http://schemas.openxmlformats.org/officeDocument/2006/relationships/hyperlink" Target="https://www.facebook.com/172882636630076/posts/1004930273425304/" TargetMode="External"/><Relationship Id="rId133" Type="http://schemas.openxmlformats.org/officeDocument/2006/relationships/hyperlink" Target="https://www.facebook.com/172882636630076/posts/1005134566738208/" TargetMode="External"/><Relationship Id="rId172" Type="http://schemas.openxmlformats.org/officeDocument/2006/relationships/hyperlink" Target="https://www.facebook.com/172882636630076/posts/1010234416228223/" TargetMode="External"/><Relationship Id="rId171" Type="http://schemas.openxmlformats.org/officeDocument/2006/relationships/hyperlink" Target="https://www.facebook.com/172882636630076/posts/1010219899563008/" TargetMode="External"/><Relationship Id="rId170" Type="http://schemas.openxmlformats.org/officeDocument/2006/relationships/hyperlink" Target="https://www.facebook.com/172882636630076/posts/1010142522904079/" TargetMode="External"/><Relationship Id="rId165" Type="http://schemas.openxmlformats.org/officeDocument/2006/relationships/hyperlink" Target="https://www.facebook.com/172882636630076/posts/1009036856347979/" TargetMode="External"/><Relationship Id="rId164" Type="http://schemas.openxmlformats.org/officeDocument/2006/relationships/hyperlink" Target="https://www.facebook.com/172882636630076/posts/1008780796373585/" TargetMode="External"/><Relationship Id="rId163" Type="http://schemas.openxmlformats.org/officeDocument/2006/relationships/hyperlink" Target="https://www.facebook.com/172882636630076/posts/1008790769705921/" TargetMode="External"/><Relationship Id="rId162" Type="http://schemas.openxmlformats.org/officeDocument/2006/relationships/hyperlink" Target="https://www.facebook.com/172882636630076/posts/1008795433038788/" TargetMode="External"/><Relationship Id="rId169" Type="http://schemas.openxmlformats.org/officeDocument/2006/relationships/hyperlink" Target="https://www.facebook.com/172882636630076/posts/1009768216274843/" TargetMode="External"/><Relationship Id="rId168" Type="http://schemas.openxmlformats.org/officeDocument/2006/relationships/hyperlink" Target="https://www.facebook.com/172882636630076/posts/1009575606294104/" TargetMode="External"/><Relationship Id="rId167" Type="http://schemas.openxmlformats.org/officeDocument/2006/relationships/hyperlink" Target="https://www.facebook.com/172882636630076/posts/1009398206311844/" TargetMode="External"/><Relationship Id="rId166" Type="http://schemas.openxmlformats.org/officeDocument/2006/relationships/hyperlink" Target="https://www.facebook.com/172882636630076/posts/1009374452980886/" TargetMode="External"/><Relationship Id="rId161" Type="http://schemas.openxmlformats.org/officeDocument/2006/relationships/hyperlink" Target="https://www.facebook.com/172882636630076/posts/1008791016372563/" TargetMode="External"/><Relationship Id="rId160" Type="http://schemas.openxmlformats.org/officeDocument/2006/relationships/hyperlink" Target="https://www.facebook.com/172882636630076/posts/1008768976374767/" TargetMode="External"/><Relationship Id="rId159" Type="http://schemas.openxmlformats.org/officeDocument/2006/relationships/hyperlink" Target="https://www.facebook.com/172882636630076/posts/1008454713072860/" TargetMode="External"/><Relationship Id="rId154" Type="http://schemas.openxmlformats.org/officeDocument/2006/relationships/hyperlink" Target="https://www.facebook.com/172882636630076/posts/1007863359798662/" TargetMode="External"/><Relationship Id="rId153" Type="http://schemas.openxmlformats.org/officeDocument/2006/relationships/hyperlink" Target="https://www.facebook.com/172882636630076/posts/1007813089803689/" TargetMode="External"/><Relationship Id="rId152" Type="http://schemas.openxmlformats.org/officeDocument/2006/relationships/hyperlink" Target="https://www.facebook.com/172882636630076/posts/1007623696489295/" TargetMode="External"/><Relationship Id="rId151" Type="http://schemas.openxmlformats.org/officeDocument/2006/relationships/hyperlink" Target="https://www.facebook.com/pubg.battlegrounds.th/videos/587002365858520/" TargetMode="External"/><Relationship Id="rId158" Type="http://schemas.openxmlformats.org/officeDocument/2006/relationships/hyperlink" Target="https://www.facebook.com/172882636630076/posts/1008135323104799/" TargetMode="External"/><Relationship Id="rId157" Type="http://schemas.openxmlformats.org/officeDocument/2006/relationships/hyperlink" Target="https://www.facebook.com/172882636630076/posts/1008401143078217/" TargetMode="External"/><Relationship Id="rId156" Type="http://schemas.openxmlformats.org/officeDocument/2006/relationships/hyperlink" Target="https://www.facebook.com/172882636630076/posts/1008328726418792/" TargetMode="External"/><Relationship Id="rId155" Type="http://schemas.openxmlformats.org/officeDocument/2006/relationships/hyperlink" Target="https://www.facebook.com/172882636630076/posts/1008169273101404/" TargetMode="External"/><Relationship Id="rId40" Type="http://schemas.openxmlformats.org/officeDocument/2006/relationships/hyperlink" Target="https://www.facebook.com/172882636630076/posts/982061412378857/" TargetMode="External"/><Relationship Id="rId42" Type="http://schemas.openxmlformats.org/officeDocument/2006/relationships/hyperlink" Target="https://www.facebook.com/172882636630076/posts/982696852315313/" TargetMode="External"/><Relationship Id="rId41" Type="http://schemas.openxmlformats.org/officeDocument/2006/relationships/hyperlink" Target="https://www.facebook.com/172882636630076/posts/982020615716270/" TargetMode="External"/><Relationship Id="rId44" Type="http://schemas.openxmlformats.org/officeDocument/2006/relationships/hyperlink" Target="https://www.facebook.com/172882636630076/posts/982779412307057/" TargetMode="External"/><Relationship Id="rId43" Type="http://schemas.openxmlformats.org/officeDocument/2006/relationships/hyperlink" Target="https://www.facebook.com/172882636630076/posts/982766825641649/" TargetMode="External"/><Relationship Id="rId46" Type="http://schemas.openxmlformats.org/officeDocument/2006/relationships/hyperlink" Target="https://www.facebook.com/172882636630076/posts/986959085222423/" TargetMode="External"/><Relationship Id="rId45" Type="http://schemas.openxmlformats.org/officeDocument/2006/relationships/hyperlink" Target="https://www.facebook.com/172882636630076/posts/986268008624864/" TargetMode="External"/><Relationship Id="rId48" Type="http://schemas.openxmlformats.org/officeDocument/2006/relationships/hyperlink" Target="https://www.facebook.com/172882636630076/posts/987097465208585/" TargetMode="External"/><Relationship Id="rId47" Type="http://schemas.openxmlformats.org/officeDocument/2006/relationships/hyperlink" Target="https://www.facebook.com/172882636630076/posts/987063738545291/" TargetMode="External"/><Relationship Id="rId49" Type="http://schemas.openxmlformats.org/officeDocument/2006/relationships/hyperlink" Target="https://www.facebook.com/172882636630076/posts/987160195202312/" TargetMode="External"/><Relationship Id="rId31" Type="http://schemas.openxmlformats.org/officeDocument/2006/relationships/hyperlink" Target="https://www.facebook.com/172882636630076/posts/976953709556294/" TargetMode="External"/><Relationship Id="rId30" Type="http://schemas.openxmlformats.org/officeDocument/2006/relationships/hyperlink" Target="https://www.facebook.com/172882636630076/posts/976362902948708/" TargetMode="External"/><Relationship Id="rId33" Type="http://schemas.openxmlformats.org/officeDocument/2006/relationships/hyperlink" Target="https://www.facebook.com/172882636630076/posts/977708739480791/" TargetMode="External"/><Relationship Id="rId32" Type="http://schemas.openxmlformats.org/officeDocument/2006/relationships/hyperlink" Target="https://www.facebook.com/172882636630076/posts/977696136148718/" TargetMode="External"/><Relationship Id="rId35" Type="http://schemas.openxmlformats.org/officeDocument/2006/relationships/hyperlink" Target="https://www.facebook.com/172882636630076/posts/977895402795458/" TargetMode="External"/><Relationship Id="rId34" Type="http://schemas.openxmlformats.org/officeDocument/2006/relationships/hyperlink" Target="https://www.facebook.com/172882636630076/posts/977798096138522/" TargetMode="External"/><Relationship Id="rId37" Type="http://schemas.openxmlformats.org/officeDocument/2006/relationships/hyperlink" Target="https://www.facebook.com/172882636630076/posts/980953712489627/" TargetMode="External"/><Relationship Id="rId36" Type="http://schemas.openxmlformats.org/officeDocument/2006/relationships/hyperlink" Target="https://www.facebook.com/172882636630076/posts/979679202617078/" TargetMode="External"/><Relationship Id="rId39" Type="http://schemas.openxmlformats.org/officeDocument/2006/relationships/hyperlink" Target="https://www.facebook.com/172882636630076/posts/981491159102549/" TargetMode="External"/><Relationship Id="rId38" Type="http://schemas.openxmlformats.org/officeDocument/2006/relationships/hyperlink" Target="https://www.facebook.com/172882636630076/posts/980958539155811/" TargetMode="External"/><Relationship Id="rId20" Type="http://schemas.openxmlformats.org/officeDocument/2006/relationships/hyperlink" Target="https://www.facebook.com/172882636630076/posts/974253753159623/" TargetMode="External"/><Relationship Id="rId22" Type="http://schemas.openxmlformats.org/officeDocument/2006/relationships/hyperlink" Target="https://www.facebook.com/172882636630076/posts/974353596482972/" TargetMode="External"/><Relationship Id="rId21" Type="http://schemas.openxmlformats.org/officeDocument/2006/relationships/hyperlink" Target="https://www.facebook.com/172882636630076/posts/974324759819189/" TargetMode="External"/><Relationship Id="rId24" Type="http://schemas.openxmlformats.org/officeDocument/2006/relationships/hyperlink" Target="https://www.facebook.com/172882636630076/posts/974893623095636/" TargetMode="External"/><Relationship Id="rId23" Type="http://schemas.openxmlformats.org/officeDocument/2006/relationships/hyperlink" Target="https://www.facebook.com/172882636630076/posts/974385706479761/" TargetMode="External"/><Relationship Id="rId26" Type="http://schemas.openxmlformats.org/officeDocument/2006/relationships/hyperlink" Target="https://www.facebook.com/172882636630076/posts/974981129753552/" TargetMode="External"/><Relationship Id="rId25" Type="http://schemas.openxmlformats.org/officeDocument/2006/relationships/hyperlink" Target="https://www.facebook.com/172882636630076/posts/974967039754961/" TargetMode="External"/><Relationship Id="rId28" Type="http://schemas.openxmlformats.org/officeDocument/2006/relationships/hyperlink" Target="https://www.facebook.com/172882636630076/posts/975672303017768/" TargetMode="External"/><Relationship Id="rId27" Type="http://schemas.openxmlformats.org/officeDocument/2006/relationships/hyperlink" Target="https://www.facebook.com/172882636630076/posts/975060066412325/" TargetMode="External"/><Relationship Id="rId29" Type="http://schemas.openxmlformats.org/officeDocument/2006/relationships/hyperlink" Target="https://www.facebook.com/172882636630076/posts/975724409679224/" TargetMode="External"/><Relationship Id="rId11" Type="http://schemas.openxmlformats.org/officeDocument/2006/relationships/hyperlink" Target="https://www.facebook.com/172882636630076/posts/972161813368817/" TargetMode="External"/><Relationship Id="rId10" Type="http://schemas.openxmlformats.org/officeDocument/2006/relationships/hyperlink" Target="https://www.facebook.com/172882636630076/posts/972150376703294/" TargetMode="External"/><Relationship Id="rId13" Type="http://schemas.openxmlformats.org/officeDocument/2006/relationships/hyperlink" Target="https://www.facebook.com/172882636630076/posts/973096053275393/" TargetMode="External"/><Relationship Id="rId12" Type="http://schemas.openxmlformats.org/officeDocument/2006/relationships/hyperlink" Target="https://www.facebook.com/172882636630076/posts/972919619959703/" TargetMode="External"/><Relationship Id="rId15" Type="http://schemas.openxmlformats.org/officeDocument/2006/relationships/hyperlink" Target="https://www.facebook.com/172882636630076/posts/972880253296973/" TargetMode="External"/><Relationship Id="rId14" Type="http://schemas.openxmlformats.org/officeDocument/2006/relationships/hyperlink" Target="https://www.facebook.com/172882636630076/posts/973095346608797/" TargetMode="External"/><Relationship Id="rId17" Type="http://schemas.openxmlformats.org/officeDocument/2006/relationships/hyperlink" Target="https://www.facebook.com/172882636630076/posts/973652123219786/" TargetMode="External"/><Relationship Id="rId16" Type="http://schemas.openxmlformats.org/officeDocument/2006/relationships/hyperlink" Target="https://www.facebook.com/172882636630076/posts/973550876563244/" TargetMode="External"/><Relationship Id="rId19" Type="http://schemas.openxmlformats.org/officeDocument/2006/relationships/hyperlink" Target="https://www.facebook.com/172882636630076/posts/973689799882685/" TargetMode="External"/><Relationship Id="rId18" Type="http://schemas.openxmlformats.org/officeDocument/2006/relationships/hyperlink" Target="https://www.facebook.com/172882636630076/posts/973674283217570/" TargetMode="External"/><Relationship Id="rId84" Type="http://schemas.openxmlformats.org/officeDocument/2006/relationships/hyperlink" Target="https://www.facebook.com/172882636630076/posts/998503534067978/" TargetMode="External"/><Relationship Id="rId83" Type="http://schemas.openxmlformats.org/officeDocument/2006/relationships/hyperlink" Target="https://www.facebook.com/172882636630076/posts/998456574072674/" TargetMode="External"/><Relationship Id="rId86" Type="http://schemas.openxmlformats.org/officeDocument/2006/relationships/hyperlink" Target="https://www.facebook.com/172882636630076/posts/998530390731959/" TargetMode="External"/><Relationship Id="rId85" Type="http://schemas.openxmlformats.org/officeDocument/2006/relationships/hyperlink" Target="https://www.facebook.com/pubg.battlegrounds.th/videos/943157496307517/" TargetMode="External"/><Relationship Id="rId88" Type="http://schemas.openxmlformats.org/officeDocument/2006/relationships/hyperlink" Target="https://www.facebook.com/172882636630076/posts/999121967339468/" TargetMode="External"/><Relationship Id="rId87" Type="http://schemas.openxmlformats.org/officeDocument/2006/relationships/hyperlink" Target="https://www.facebook.com/172882636630076/posts/999088734009458/" TargetMode="External"/><Relationship Id="rId89" Type="http://schemas.openxmlformats.org/officeDocument/2006/relationships/hyperlink" Target="https://www.facebook.com/172882636630076/posts/999185517333113/" TargetMode="External"/><Relationship Id="rId80" Type="http://schemas.openxmlformats.org/officeDocument/2006/relationships/hyperlink" Target="https://www.facebook.com/172882636630076/posts/997263320858666/" TargetMode="External"/><Relationship Id="rId82" Type="http://schemas.openxmlformats.org/officeDocument/2006/relationships/hyperlink" Target="https://www.facebook.com/172882636630076/posts/997945124123819/" TargetMode="External"/><Relationship Id="rId81" Type="http://schemas.openxmlformats.org/officeDocument/2006/relationships/hyperlink" Target="https://www.facebook.com/172882636630076/posts/997901074128224/" TargetMode="External"/><Relationship Id="rId73" Type="http://schemas.openxmlformats.org/officeDocument/2006/relationships/hyperlink" Target="https://www.facebook.com/172882636630076/posts/994927227758942/" TargetMode="External"/><Relationship Id="rId72" Type="http://schemas.openxmlformats.org/officeDocument/2006/relationships/hyperlink" Target="https://www.facebook.com/172882636630076/posts/994557011129297/" TargetMode="External"/><Relationship Id="rId75" Type="http://schemas.openxmlformats.org/officeDocument/2006/relationships/hyperlink" Target="https://www.facebook.com/172882636630076/posts/995567364361595/" TargetMode="External"/><Relationship Id="rId74" Type="http://schemas.openxmlformats.org/officeDocument/2006/relationships/hyperlink" Target="https://www.facebook.com/172882636630076/posts/995475351037463/" TargetMode="External"/><Relationship Id="rId77" Type="http://schemas.openxmlformats.org/officeDocument/2006/relationships/hyperlink" Target="https://www.facebook.com/172882636630076/posts/996102694308062/" TargetMode="External"/><Relationship Id="rId76" Type="http://schemas.openxmlformats.org/officeDocument/2006/relationships/hyperlink" Target="https://www.facebook.com/172882636630076/posts/996049987646666/" TargetMode="External"/><Relationship Id="rId79" Type="http://schemas.openxmlformats.org/officeDocument/2006/relationships/hyperlink" Target="https://www.facebook.com/172882636630076/posts/996848754233456/" TargetMode="External"/><Relationship Id="rId78" Type="http://schemas.openxmlformats.org/officeDocument/2006/relationships/hyperlink" Target="https://www.facebook.com/172882636630076/posts/996665127585152/" TargetMode="External"/><Relationship Id="rId71" Type="http://schemas.openxmlformats.org/officeDocument/2006/relationships/hyperlink" Target="https://www.facebook.com/172882636630076/posts/994303424487989/" TargetMode="External"/><Relationship Id="rId70" Type="http://schemas.openxmlformats.org/officeDocument/2006/relationships/hyperlink" Target="https://www.facebook.com/pubg.battlegrounds.th/videos/240826381288570/" TargetMode="External"/><Relationship Id="rId62" Type="http://schemas.openxmlformats.org/officeDocument/2006/relationships/hyperlink" Target="https://www.facebook.com/pubg.battlegrounds.th/videos/874280446610068/" TargetMode="External"/><Relationship Id="rId61" Type="http://schemas.openxmlformats.org/officeDocument/2006/relationships/hyperlink" Target="https://www.facebook.com/pubg.battlegrounds.th/videos/403992904533768/" TargetMode="External"/><Relationship Id="rId64" Type="http://schemas.openxmlformats.org/officeDocument/2006/relationships/hyperlink" Target="https://www.facebook.com/172882636630076/posts/992549451330053/" TargetMode="External"/><Relationship Id="rId63" Type="http://schemas.openxmlformats.org/officeDocument/2006/relationships/hyperlink" Target="https://www.facebook.com/172882636630076/posts/992517154666616/" TargetMode="External"/><Relationship Id="rId66" Type="http://schemas.openxmlformats.org/officeDocument/2006/relationships/hyperlink" Target="https://www.facebook.com/pubg.battlegrounds.th/videos/424186866092505/" TargetMode="External"/><Relationship Id="rId65" Type="http://schemas.openxmlformats.org/officeDocument/2006/relationships/hyperlink" Target="https://www.facebook.com/pubg.battlegrounds.th/videos/699373684355247/" TargetMode="External"/><Relationship Id="rId68" Type="http://schemas.openxmlformats.org/officeDocument/2006/relationships/hyperlink" Target="https://www.facebook.com/pubg.battlegrounds.th/videos/287173213277608/" TargetMode="External"/><Relationship Id="rId67" Type="http://schemas.openxmlformats.org/officeDocument/2006/relationships/hyperlink" Target="https://www.facebook.com/172882636630076/posts/993086827942982/" TargetMode="External"/><Relationship Id="rId60" Type="http://schemas.openxmlformats.org/officeDocument/2006/relationships/hyperlink" Target="https://www.facebook.com/172882636630076/posts/991272001457798/" TargetMode="External"/><Relationship Id="rId69" Type="http://schemas.openxmlformats.org/officeDocument/2006/relationships/hyperlink" Target="https://www.facebook.com/pubg.battlegrounds.th/videos/266636538744720/" TargetMode="External"/><Relationship Id="rId51" Type="http://schemas.openxmlformats.org/officeDocument/2006/relationships/hyperlink" Target="https://www.facebook.com/172882636630076/posts/988271731757825/" TargetMode="External"/><Relationship Id="rId50" Type="http://schemas.openxmlformats.org/officeDocument/2006/relationships/hyperlink" Target="https://www.facebook.com/172882636630076/posts/987509225167409/" TargetMode="External"/><Relationship Id="rId53" Type="http://schemas.openxmlformats.org/officeDocument/2006/relationships/hyperlink" Target="https://www.facebook.com/172882636630076/posts/990130271571971/" TargetMode="External"/><Relationship Id="rId52" Type="http://schemas.openxmlformats.org/officeDocument/2006/relationships/hyperlink" Target="https://www.facebook.com/172882636630076/posts/989524938299171/" TargetMode="External"/><Relationship Id="rId55" Type="http://schemas.openxmlformats.org/officeDocument/2006/relationships/hyperlink" Target="https://www.facebook.com/pubg.battlegrounds.th/videos/625073651855177/" TargetMode="External"/><Relationship Id="rId54" Type="http://schemas.openxmlformats.org/officeDocument/2006/relationships/hyperlink" Target="https://www.facebook.com/172882636630076/posts/990526674865664/" TargetMode="External"/><Relationship Id="rId57" Type="http://schemas.openxmlformats.org/officeDocument/2006/relationships/hyperlink" Target="https://www.facebook.com/172882636630076/posts/991318428119822/" TargetMode="External"/><Relationship Id="rId56" Type="http://schemas.openxmlformats.org/officeDocument/2006/relationships/hyperlink" Target="https://www.facebook.com/172882636630076/posts/990554618196203/" TargetMode="External"/><Relationship Id="rId59" Type="http://schemas.openxmlformats.org/officeDocument/2006/relationships/hyperlink" Target="https://www.facebook.com/172882636630076/posts/991250004793331/" TargetMode="External"/><Relationship Id="rId58" Type="http://schemas.openxmlformats.org/officeDocument/2006/relationships/hyperlink" Target="https://www.facebook.com/172882636630076/posts/991329311452067/" TargetMode="External"/><Relationship Id="rId107" Type="http://schemas.openxmlformats.org/officeDocument/2006/relationships/hyperlink" Target="https://www.facebook.com/172882636630076/posts/1001572340427764/" TargetMode="External"/><Relationship Id="rId228" Type="http://schemas.openxmlformats.org/officeDocument/2006/relationships/hyperlink" Target="https://www.facebook.com/172882636630076/posts/1018676585384006/" TargetMode="External"/><Relationship Id="rId106" Type="http://schemas.openxmlformats.org/officeDocument/2006/relationships/hyperlink" Target="https://www.facebook.com/172882636630076/posts/1001291520455846/" TargetMode="External"/><Relationship Id="rId227" Type="http://schemas.openxmlformats.org/officeDocument/2006/relationships/hyperlink" Target="https://www.facebook.com/172882636630076/posts/1018778448707153/" TargetMode="External"/><Relationship Id="rId105" Type="http://schemas.openxmlformats.org/officeDocument/2006/relationships/hyperlink" Target="https://www.facebook.com/172882636630076/posts/1001283097123355/" TargetMode="External"/><Relationship Id="rId226" Type="http://schemas.openxmlformats.org/officeDocument/2006/relationships/hyperlink" Target="https://www.facebook.com/172882636630076/posts/1018687355382929/" TargetMode="External"/><Relationship Id="rId104" Type="http://schemas.openxmlformats.org/officeDocument/2006/relationships/hyperlink" Target="https://www.facebook.com/172882636630076/posts/1001062310478767/" TargetMode="External"/><Relationship Id="rId225" Type="http://schemas.openxmlformats.org/officeDocument/2006/relationships/hyperlink" Target="https://www.facebook.com/172882636630076/posts/1018340555417609/" TargetMode="External"/><Relationship Id="rId109" Type="http://schemas.openxmlformats.org/officeDocument/2006/relationships/hyperlink" Target="https://www.facebook.com/172882636630076/posts/1001808150404183/" TargetMode="External"/><Relationship Id="rId108" Type="http://schemas.openxmlformats.org/officeDocument/2006/relationships/hyperlink" Target="https://www.facebook.com/172882636630076/posts/1001741087077556/" TargetMode="External"/><Relationship Id="rId229" Type="http://schemas.openxmlformats.org/officeDocument/2006/relationships/hyperlink" Target="https://www.facebook.com/172882636630076/posts/1018820962036235/" TargetMode="External"/><Relationship Id="rId220" Type="http://schemas.openxmlformats.org/officeDocument/2006/relationships/hyperlink" Target="https://www.facebook.com/172882636630076/posts/1017506038834394/" TargetMode="External"/><Relationship Id="rId103" Type="http://schemas.openxmlformats.org/officeDocument/2006/relationships/hyperlink" Target="https://www.facebook.com/172882636630076/posts/1000429033875428/" TargetMode="External"/><Relationship Id="rId224" Type="http://schemas.openxmlformats.org/officeDocument/2006/relationships/hyperlink" Target="https://www.facebook.com/172882636630076/posts/1018144412103890/" TargetMode="External"/><Relationship Id="rId102" Type="http://schemas.openxmlformats.org/officeDocument/2006/relationships/hyperlink" Target="https://www.facebook.com/172882636630076/posts/1000447847206880/" TargetMode="External"/><Relationship Id="rId223" Type="http://schemas.openxmlformats.org/officeDocument/2006/relationships/hyperlink" Target="https://www.facebook.com/172882636630076/posts/1017834152134916/" TargetMode="External"/><Relationship Id="rId101" Type="http://schemas.openxmlformats.org/officeDocument/2006/relationships/hyperlink" Target="https://www.facebook.com/172882636630076/posts/1000466597205005/" TargetMode="External"/><Relationship Id="rId222" Type="http://schemas.openxmlformats.org/officeDocument/2006/relationships/hyperlink" Target="https://www.facebook.com/172882636630076/posts/1017589345492730/" TargetMode="External"/><Relationship Id="rId100" Type="http://schemas.openxmlformats.org/officeDocument/2006/relationships/hyperlink" Target="https://www.facebook.com/172882636630076/posts/1000440563874275/" TargetMode="External"/><Relationship Id="rId221" Type="http://schemas.openxmlformats.org/officeDocument/2006/relationships/hyperlink" Target="https://www.facebook.com/172882636630076/posts/1017542245497440/" TargetMode="External"/><Relationship Id="rId217" Type="http://schemas.openxmlformats.org/officeDocument/2006/relationships/hyperlink" Target="https://www.facebook.com/172882636630076/posts/1017105642207767/" TargetMode="External"/><Relationship Id="rId216" Type="http://schemas.openxmlformats.org/officeDocument/2006/relationships/hyperlink" Target="https://www.facebook.com/172882636630076/posts/1017030578881940/" TargetMode="External"/><Relationship Id="rId215" Type="http://schemas.openxmlformats.org/officeDocument/2006/relationships/hyperlink" Target="https://www.facebook.com/172882636630076/posts/1016596568925341/" TargetMode="External"/><Relationship Id="rId214" Type="http://schemas.openxmlformats.org/officeDocument/2006/relationships/hyperlink" Target="https://www.facebook.com/172882636630076/posts/1016474115604253/" TargetMode="External"/><Relationship Id="rId219" Type="http://schemas.openxmlformats.org/officeDocument/2006/relationships/hyperlink" Target="https://www.facebook.com/172882636630076/posts/1017489112169420/" TargetMode="External"/><Relationship Id="rId218" Type="http://schemas.openxmlformats.org/officeDocument/2006/relationships/hyperlink" Target="https://www.facebook.com/172882636630076/posts/1016987565552908/" TargetMode="External"/><Relationship Id="rId213" Type="http://schemas.openxmlformats.org/officeDocument/2006/relationships/hyperlink" Target="https://www.facebook.com/172882636630076/posts/1016094915642173/" TargetMode="External"/><Relationship Id="rId212" Type="http://schemas.openxmlformats.org/officeDocument/2006/relationships/hyperlink" Target="https://www.facebook.com/172882636630076/posts/1016029862315345/" TargetMode="External"/><Relationship Id="rId211" Type="http://schemas.openxmlformats.org/officeDocument/2006/relationships/hyperlink" Target="https://www.facebook.com/172882636630076/posts/1015898692328462/" TargetMode="External"/><Relationship Id="rId210" Type="http://schemas.openxmlformats.org/officeDocument/2006/relationships/hyperlink" Target="https://www.facebook.com/172882636630076/posts/1015878822330449/" TargetMode="External"/><Relationship Id="rId129" Type="http://schemas.openxmlformats.org/officeDocument/2006/relationships/hyperlink" Target="https://www.facebook.com/172882636630076/posts/1004861883432143/" TargetMode="External"/><Relationship Id="rId128" Type="http://schemas.openxmlformats.org/officeDocument/2006/relationships/hyperlink" Target="https://www.facebook.com/172882636630076/posts/1004514486800216/" TargetMode="External"/><Relationship Id="rId127" Type="http://schemas.openxmlformats.org/officeDocument/2006/relationships/hyperlink" Target="https://www.facebook.com/172882636630076/posts/1004509010134097/" TargetMode="External"/><Relationship Id="rId248" Type="http://schemas.openxmlformats.org/officeDocument/2006/relationships/drawing" Target="../drawings/drawing4.xml"/><Relationship Id="rId126" Type="http://schemas.openxmlformats.org/officeDocument/2006/relationships/hyperlink" Target="https://www.facebook.com/172882636630076/posts/1004261323492199/" TargetMode="External"/><Relationship Id="rId247" Type="http://schemas.openxmlformats.org/officeDocument/2006/relationships/hyperlink" Target="https://www.facebook.com/172882636630076/posts/1023840101534321/" TargetMode="External"/><Relationship Id="rId121" Type="http://schemas.openxmlformats.org/officeDocument/2006/relationships/hyperlink" Target="https://www.facebook.com/172882636630076/posts/1003660933552238/" TargetMode="External"/><Relationship Id="rId242" Type="http://schemas.openxmlformats.org/officeDocument/2006/relationships/hyperlink" Target="https://www.facebook.com/172882636630076/posts/1020646178520380/" TargetMode="External"/><Relationship Id="rId120" Type="http://schemas.openxmlformats.org/officeDocument/2006/relationships/hyperlink" Target="https://www.facebook.com/172882636630076/posts/1003626886888976/" TargetMode="External"/><Relationship Id="rId241" Type="http://schemas.openxmlformats.org/officeDocument/2006/relationships/hyperlink" Target="https://www.facebook.com/172882636630076/posts/1020635191854812/" TargetMode="External"/><Relationship Id="rId240" Type="http://schemas.openxmlformats.org/officeDocument/2006/relationships/hyperlink" Target="https://www.facebook.com/172882636630076/posts/1020555818529416/" TargetMode="External"/><Relationship Id="rId125" Type="http://schemas.openxmlformats.org/officeDocument/2006/relationships/hyperlink" Target="https://www.facebook.com/172882636630076/posts/1004216456830019/" TargetMode="External"/><Relationship Id="rId246" Type="http://schemas.openxmlformats.org/officeDocument/2006/relationships/hyperlink" Target="https://www.facebook.com/172882636630076/posts/1023704381547893/" TargetMode="External"/><Relationship Id="rId124" Type="http://schemas.openxmlformats.org/officeDocument/2006/relationships/hyperlink" Target="https://www.facebook.com/172882636630076/posts/1004171890167809/" TargetMode="External"/><Relationship Id="rId245" Type="http://schemas.openxmlformats.org/officeDocument/2006/relationships/hyperlink" Target="https://www.facebook.com/172882636630076/posts/1023655268219471/" TargetMode="External"/><Relationship Id="rId123" Type="http://schemas.openxmlformats.org/officeDocument/2006/relationships/hyperlink" Target="https://www.facebook.com/172882636630076/posts/1003860053532326/" TargetMode="External"/><Relationship Id="rId244" Type="http://schemas.openxmlformats.org/officeDocument/2006/relationships/hyperlink" Target="https://www.facebook.com/172882636630076/posts/1021798985071766/" TargetMode="External"/><Relationship Id="rId122" Type="http://schemas.openxmlformats.org/officeDocument/2006/relationships/hyperlink" Target="https://www.facebook.com/172882636630076/posts/1003683373549994/" TargetMode="External"/><Relationship Id="rId243" Type="http://schemas.openxmlformats.org/officeDocument/2006/relationships/hyperlink" Target="https://www.facebook.com/172882636630076/posts/1021170775134587/" TargetMode="External"/><Relationship Id="rId95" Type="http://schemas.openxmlformats.org/officeDocument/2006/relationships/hyperlink" Target="https://www.facebook.com/172882636630076/posts/999859547265710/" TargetMode="External"/><Relationship Id="rId94" Type="http://schemas.openxmlformats.org/officeDocument/2006/relationships/hyperlink" Target="https://www.facebook.com/172882636630076/posts/999696490615349/" TargetMode="External"/><Relationship Id="rId97" Type="http://schemas.openxmlformats.org/officeDocument/2006/relationships/hyperlink" Target="https://www.facebook.com/172882636630076/posts/999871137264551/" TargetMode="External"/><Relationship Id="rId96" Type="http://schemas.openxmlformats.org/officeDocument/2006/relationships/hyperlink" Target="https://www.facebook.com/172882636630076/posts/999096604008671/" TargetMode="External"/><Relationship Id="rId99" Type="http://schemas.openxmlformats.org/officeDocument/2006/relationships/hyperlink" Target="https://www.facebook.com/172882636630076/posts/1000417933876538/" TargetMode="External"/><Relationship Id="rId98" Type="http://schemas.openxmlformats.org/officeDocument/2006/relationships/hyperlink" Target="https://www.facebook.com/172882636630076/posts/1000369933881338/" TargetMode="External"/><Relationship Id="rId91" Type="http://schemas.openxmlformats.org/officeDocument/2006/relationships/hyperlink" Target="https://www.facebook.com/172882636630076/posts/999276717323993/" TargetMode="External"/><Relationship Id="rId90" Type="http://schemas.openxmlformats.org/officeDocument/2006/relationships/hyperlink" Target="https://www.facebook.com/172882636630076/posts/999260497325615/" TargetMode="External"/><Relationship Id="rId93" Type="http://schemas.openxmlformats.org/officeDocument/2006/relationships/hyperlink" Target="https://www.facebook.com/172882636630076/posts/999091954009136/" TargetMode="External"/><Relationship Id="rId92" Type="http://schemas.openxmlformats.org/officeDocument/2006/relationships/hyperlink" Target="https://www.facebook.com/172882636630076/posts/999281797323485/" TargetMode="External"/><Relationship Id="rId118" Type="http://schemas.openxmlformats.org/officeDocument/2006/relationships/hyperlink" Target="https://www.facebook.com/172882636630076/posts/1003122253606106/" TargetMode="External"/><Relationship Id="rId239" Type="http://schemas.openxmlformats.org/officeDocument/2006/relationships/hyperlink" Target="https://www.facebook.com/172882636630076/posts/1020170918567906/" TargetMode="External"/><Relationship Id="rId117" Type="http://schemas.openxmlformats.org/officeDocument/2006/relationships/hyperlink" Target="https://www.facebook.com/172882636630076/posts/1003126920272306/" TargetMode="External"/><Relationship Id="rId238" Type="http://schemas.openxmlformats.org/officeDocument/2006/relationships/hyperlink" Target="https://www.facebook.com/172882636630076/posts/1020158005235864/" TargetMode="External"/><Relationship Id="rId116" Type="http://schemas.openxmlformats.org/officeDocument/2006/relationships/hyperlink" Target="https://www.facebook.com/172882636630076/posts/1003059263612405/" TargetMode="External"/><Relationship Id="rId237" Type="http://schemas.openxmlformats.org/officeDocument/2006/relationships/hyperlink" Target="https://www.facebook.com/172882636630076/posts/1020152101903121/" TargetMode="External"/><Relationship Id="rId115" Type="http://schemas.openxmlformats.org/officeDocument/2006/relationships/hyperlink" Target="https://www.facebook.com/172882636630076/posts/1002995990285399/" TargetMode="External"/><Relationship Id="rId236" Type="http://schemas.openxmlformats.org/officeDocument/2006/relationships/hyperlink" Target="https://www.facebook.com/172882636630076/posts/1020042835247381/" TargetMode="External"/><Relationship Id="rId119" Type="http://schemas.openxmlformats.org/officeDocument/2006/relationships/hyperlink" Target="https://www.facebook.com/172882636630076/posts/1003205673597764/" TargetMode="External"/><Relationship Id="rId110" Type="http://schemas.openxmlformats.org/officeDocument/2006/relationships/hyperlink" Target="https://www.facebook.com/172882636630076/posts/1001915433726788/" TargetMode="External"/><Relationship Id="rId231" Type="http://schemas.openxmlformats.org/officeDocument/2006/relationships/hyperlink" Target="https://www.facebook.com/172882636630076/posts/1018981242020207/" TargetMode="External"/><Relationship Id="rId230" Type="http://schemas.openxmlformats.org/officeDocument/2006/relationships/hyperlink" Target="https://www.facebook.com/172882636630076/posts/1018844178700580/" TargetMode="External"/><Relationship Id="rId114" Type="http://schemas.openxmlformats.org/officeDocument/2006/relationships/hyperlink" Target="https://www.facebook.com/172882636630076/posts/1002650746986590/" TargetMode="External"/><Relationship Id="rId235" Type="http://schemas.openxmlformats.org/officeDocument/2006/relationships/hyperlink" Target="https://www.facebook.com/172882636630076/posts/1019983768586621/" TargetMode="External"/><Relationship Id="rId113" Type="http://schemas.openxmlformats.org/officeDocument/2006/relationships/hyperlink" Target="https://www.facebook.com/172882636630076/posts/1002358573682474/" TargetMode="External"/><Relationship Id="rId234" Type="http://schemas.openxmlformats.org/officeDocument/2006/relationships/hyperlink" Target="https://www.facebook.com/172882636630076/posts/1019943645257300/" TargetMode="External"/><Relationship Id="rId112" Type="http://schemas.openxmlformats.org/officeDocument/2006/relationships/hyperlink" Target="https://www.facebook.com/172882636630076/posts/1002338103684521/" TargetMode="External"/><Relationship Id="rId233" Type="http://schemas.openxmlformats.org/officeDocument/2006/relationships/hyperlink" Target="https://www.facebook.com/172882636630076/posts/1019558645295800/" TargetMode="External"/><Relationship Id="rId111" Type="http://schemas.openxmlformats.org/officeDocument/2006/relationships/hyperlink" Target="https://www.facebook.com/172882636630076/posts/1001924903725841/" TargetMode="External"/><Relationship Id="rId232" Type="http://schemas.openxmlformats.org/officeDocument/2006/relationships/hyperlink" Target="https://www.facebook.com/172882636630076/posts/1019350951983236/" TargetMode="External"/><Relationship Id="rId206" Type="http://schemas.openxmlformats.org/officeDocument/2006/relationships/hyperlink" Target="https://www.facebook.com/172882636630076/posts/1014938215757843/" TargetMode="External"/><Relationship Id="rId205" Type="http://schemas.openxmlformats.org/officeDocument/2006/relationships/hyperlink" Target="https://www.facebook.com/172882636630076/posts/1014469522471379/" TargetMode="External"/><Relationship Id="rId204" Type="http://schemas.openxmlformats.org/officeDocument/2006/relationships/hyperlink" Target="https://www.facebook.com/172882636630076/posts/1014653392452992/" TargetMode="External"/><Relationship Id="rId203" Type="http://schemas.openxmlformats.org/officeDocument/2006/relationships/hyperlink" Target="https://www.facebook.com/172882636630076/posts/1014187265832938/" TargetMode="External"/><Relationship Id="rId209" Type="http://schemas.openxmlformats.org/officeDocument/2006/relationships/hyperlink" Target="https://www.facebook.com/172882636630076/posts/1014939492424382/" TargetMode="External"/><Relationship Id="rId208" Type="http://schemas.openxmlformats.org/officeDocument/2006/relationships/hyperlink" Target="https://www.facebook.com/172882636630076/posts/1015450285706636/" TargetMode="External"/><Relationship Id="rId207" Type="http://schemas.openxmlformats.org/officeDocument/2006/relationships/hyperlink" Target="https://www.facebook.com/172882636630076/posts/1014949152423416/" TargetMode="External"/><Relationship Id="rId202" Type="http://schemas.openxmlformats.org/officeDocument/2006/relationships/hyperlink" Target="https://www.facebook.com/172882636630076/posts/1014537342464597/" TargetMode="External"/><Relationship Id="rId201" Type="http://schemas.openxmlformats.org/officeDocument/2006/relationships/hyperlink" Target="https://www.facebook.com/172882636630076/posts/1014489645802700/" TargetMode="External"/><Relationship Id="rId200" Type="http://schemas.openxmlformats.org/officeDocument/2006/relationships/hyperlink" Target="https://www.facebook.com/172882636630076/posts/1014482262470105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 t="s">
        <v>7</v>
      </c>
      <c r="C10" s="5"/>
      <c r="D10" s="5"/>
      <c r="E10" s="5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7" max="7" width="61.25"/>
  </cols>
  <sheetData>
    <row r="1" ht="18.0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</row>
    <row r="2" ht="18.0" customHeight="1">
      <c r="A2" s="7">
        <v>44480.0</v>
      </c>
      <c r="B2" s="8">
        <v>44480.600625</v>
      </c>
      <c r="C2" s="6" t="s">
        <v>26</v>
      </c>
      <c r="D2" s="6" t="s">
        <v>27</v>
      </c>
      <c r="E2" s="6" t="s">
        <v>28</v>
      </c>
      <c r="F2" s="6" t="s">
        <v>29</v>
      </c>
      <c r="G2" s="6"/>
      <c r="H2" s="9" t="s">
        <v>30</v>
      </c>
      <c r="I2" s="10">
        <v>1.0</v>
      </c>
      <c r="J2" s="10">
        <v>12622.0</v>
      </c>
      <c r="K2" s="10">
        <v>18460.0</v>
      </c>
      <c r="L2" s="10">
        <v>2083.0</v>
      </c>
      <c r="M2" s="10">
        <v>219.0</v>
      </c>
      <c r="N2" s="10">
        <v>12622.0</v>
      </c>
      <c r="O2" s="6" t="s">
        <v>31</v>
      </c>
      <c r="P2" s="11">
        <f t="shared" ref="P2:P548" si="1">len(G2)</f>
        <v>0</v>
      </c>
      <c r="R2" s="11">
        <f>max(P2:P548)</f>
        <v>2270</v>
      </c>
    </row>
    <row r="3" ht="18.0" customHeight="1">
      <c r="A3" s="7">
        <v>44481.0</v>
      </c>
      <c r="B3" s="8">
        <v>44481.625023148146</v>
      </c>
      <c r="C3" s="6" t="s">
        <v>26</v>
      </c>
      <c r="D3" s="6" t="s">
        <v>32</v>
      </c>
      <c r="E3" s="6" t="s">
        <v>33</v>
      </c>
      <c r="F3" s="6" t="s">
        <v>34</v>
      </c>
      <c r="G3" s="6"/>
      <c r="H3" s="9" t="s">
        <v>35</v>
      </c>
      <c r="I3" s="10">
        <v>1.0</v>
      </c>
      <c r="J3" s="10">
        <v>1108.0</v>
      </c>
      <c r="K3" s="10">
        <v>1150.0</v>
      </c>
      <c r="L3" s="10">
        <v>105.0</v>
      </c>
      <c r="M3" s="10">
        <v>50.0</v>
      </c>
      <c r="N3" s="10">
        <v>1108.0</v>
      </c>
      <c r="O3" s="6" t="s">
        <v>31</v>
      </c>
      <c r="P3" s="11">
        <f t="shared" si="1"/>
        <v>0</v>
      </c>
      <c r="R3" s="11">
        <f>min(P2:P548)</f>
        <v>0</v>
      </c>
    </row>
    <row r="4" ht="18.0" customHeight="1">
      <c r="A4" s="7">
        <v>44483.0</v>
      </c>
      <c r="B4" s="8">
        <v>44483.54902777778</v>
      </c>
      <c r="C4" s="6" t="s">
        <v>26</v>
      </c>
      <c r="D4" s="6" t="s">
        <v>36</v>
      </c>
      <c r="E4" s="6" t="s">
        <v>28</v>
      </c>
      <c r="F4" s="6" t="s">
        <v>37</v>
      </c>
      <c r="G4" s="6"/>
      <c r="H4" s="9" t="s">
        <v>38</v>
      </c>
      <c r="I4" s="10">
        <v>1.0</v>
      </c>
      <c r="J4" s="10">
        <v>677.0</v>
      </c>
      <c r="K4" s="10">
        <v>735.0</v>
      </c>
      <c r="L4" s="10">
        <v>46.0</v>
      </c>
      <c r="M4" s="10">
        <v>12.0</v>
      </c>
      <c r="N4" s="10">
        <v>677.0</v>
      </c>
      <c r="O4" s="6" t="s">
        <v>31</v>
      </c>
      <c r="P4" s="11">
        <f t="shared" si="1"/>
        <v>0</v>
      </c>
    </row>
    <row r="5" ht="18.0" customHeight="1">
      <c r="A5" s="7">
        <v>44498.0</v>
      </c>
      <c r="B5" s="8">
        <v>44498.08259259259</v>
      </c>
      <c r="C5" s="6" t="s">
        <v>26</v>
      </c>
      <c r="D5" s="6" t="s">
        <v>39</v>
      </c>
      <c r="E5" s="6" t="s">
        <v>28</v>
      </c>
      <c r="F5" s="6" t="s">
        <v>37</v>
      </c>
      <c r="G5" s="6"/>
      <c r="H5" s="9" t="s">
        <v>40</v>
      </c>
      <c r="I5" s="10">
        <v>1.0</v>
      </c>
      <c r="J5" s="10">
        <v>1231.0</v>
      </c>
      <c r="K5" s="10">
        <v>1273.0</v>
      </c>
      <c r="L5" s="10">
        <v>60.0</v>
      </c>
      <c r="M5" s="10">
        <v>7.0</v>
      </c>
      <c r="N5" s="10">
        <v>1231.0</v>
      </c>
      <c r="O5" s="6" t="s">
        <v>31</v>
      </c>
      <c r="P5" s="11">
        <f t="shared" si="1"/>
        <v>0</v>
      </c>
    </row>
    <row r="6" ht="18.0" customHeight="1">
      <c r="A6" s="7">
        <v>44498.0</v>
      </c>
      <c r="B6" s="8">
        <v>44498.08773148148</v>
      </c>
      <c r="C6" s="6" t="s">
        <v>26</v>
      </c>
      <c r="D6" s="6" t="s">
        <v>41</v>
      </c>
      <c r="E6" s="6" t="s">
        <v>28</v>
      </c>
      <c r="F6" s="6" t="s">
        <v>29</v>
      </c>
      <c r="G6" s="6"/>
      <c r="H6" s="9" t="s">
        <v>42</v>
      </c>
      <c r="I6" s="10">
        <v>1.0</v>
      </c>
      <c r="J6" s="10">
        <v>5157.0</v>
      </c>
      <c r="K6" s="10">
        <v>5473.0</v>
      </c>
      <c r="L6" s="10">
        <v>351.0</v>
      </c>
      <c r="M6" s="10">
        <v>14.0</v>
      </c>
      <c r="N6" s="10">
        <v>5157.0</v>
      </c>
      <c r="O6" s="6" t="s">
        <v>31</v>
      </c>
      <c r="P6" s="11">
        <f t="shared" si="1"/>
        <v>0</v>
      </c>
    </row>
    <row r="7" ht="18.0" customHeight="1">
      <c r="A7" s="7">
        <v>44504.0</v>
      </c>
      <c r="B7" s="8">
        <v>44504.61809027778</v>
      </c>
      <c r="C7" s="6" t="s">
        <v>26</v>
      </c>
      <c r="D7" s="6" t="s">
        <v>43</v>
      </c>
      <c r="E7" s="6" t="s">
        <v>33</v>
      </c>
      <c r="F7" s="6" t="s">
        <v>44</v>
      </c>
      <c r="G7" s="6"/>
      <c r="H7" s="9" t="s">
        <v>45</v>
      </c>
      <c r="I7" s="10">
        <v>1.0</v>
      </c>
      <c r="J7" s="10">
        <v>395.0</v>
      </c>
      <c r="K7" s="10">
        <v>407.0</v>
      </c>
      <c r="L7" s="10">
        <v>26.0</v>
      </c>
      <c r="M7" s="10"/>
      <c r="N7" s="10">
        <v>395.0</v>
      </c>
      <c r="O7" s="6" t="s">
        <v>31</v>
      </c>
      <c r="P7" s="11">
        <f t="shared" si="1"/>
        <v>0</v>
      </c>
    </row>
    <row r="8" ht="18.0" customHeight="1">
      <c r="A8" s="7">
        <v>44515.0</v>
      </c>
      <c r="B8" s="8">
        <v>44515.709814814814</v>
      </c>
      <c r="C8" s="6" t="s">
        <v>26</v>
      </c>
      <c r="D8" s="6" t="s">
        <v>46</v>
      </c>
      <c r="E8" s="6" t="s">
        <v>28</v>
      </c>
      <c r="F8" s="6" t="s">
        <v>37</v>
      </c>
      <c r="G8" s="6"/>
      <c r="H8" s="9" t="s">
        <v>47</v>
      </c>
      <c r="I8" s="10">
        <v>1.0</v>
      </c>
      <c r="J8" s="10">
        <v>1168.0</v>
      </c>
      <c r="K8" s="10">
        <v>1272.0</v>
      </c>
      <c r="L8" s="10">
        <v>92.0</v>
      </c>
      <c r="M8" s="10">
        <v>12.0</v>
      </c>
      <c r="N8" s="10">
        <v>1168.0</v>
      </c>
      <c r="O8" s="6" t="s">
        <v>31</v>
      </c>
      <c r="P8" s="11">
        <f t="shared" si="1"/>
        <v>0</v>
      </c>
    </row>
    <row r="9" ht="18.0" customHeight="1">
      <c r="A9" s="7">
        <v>44526.0</v>
      </c>
      <c r="B9" s="8">
        <v>44526.702314814815</v>
      </c>
      <c r="C9" s="6" t="s">
        <v>26</v>
      </c>
      <c r="D9" s="6" t="s">
        <v>48</v>
      </c>
      <c r="E9" s="6" t="s">
        <v>33</v>
      </c>
      <c r="F9" s="6" t="s">
        <v>44</v>
      </c>
      <c r="G9" s="6"/>
      <c r="H9" s="9" t="s">
        <v>49</v>
      </c>
      <c r="I9" s="10">
        <v>1.0</v>
      </c>
      <c r="J9" s="10">
        <v>277.0</v>
      </c>
      <c r="K9" s="10">
        <v>288.0</v>
      </c>
      <c r="L9" s="10">
        <v>65.0</v>
      </c>
      <c r="M9" s="10"/>
      <c r="N9" s="10">
        <v>277.0</v>
      </c>
      <c r="O9" s="6" t="s">
        <v>31</v>
      </c>
      <c r="P9" s="11">
        <f t="shared" si="1"/>
        <v>0</v>
      </c>
    </row>
    <row r="10" ht="18.0" customHeight="1">
      <c r="A10" s="7">
        <v>44496.0</v>
      </c>
      <c r="B10" s="8">
        <v>44496.75682870371</v>
      </c>
      <c r="C10" s="6" t="s">
        <v>50</v>
      </c>
      <c r="D10" s="6" t="s">
        <v>51</v>
      </c>
      <c r="E10" s="6" t="s">
        <v>28</v>
      </c>
      <c r="F10" s="6" t="s">
        <v>37</v>
      </c>
      <c r="H10" s="9" t="s">
        <v>52</v>
      </c>
      <c r="I10" s="10">
        <v>1.0</v>
      </c>
      <c r="J10" s="10">
        <v>353.0</v>
      </c>
      <c r="K10" s="10">
        <v>359.0</v>
      </c>
      <c r="L10" s="10">
        <v>4.0</v>
      </c>
      <c r="M10" s="10">
        <v>2.0</v>
      </c>
      <c r="N10" s="10">
        <v>353.0</v>
      </c>
      <c r="O10" s="6" t="s">
        <v>53</v>
      </c>
      <c r="P10" s="11">
        <f t="shared" si="1"/>
        <v>0</v>
      </c>
    </row>
    <row r="11" ht="18.0" customHeight="1">
      <c r="A11" s="7">
        <v>44503.0</v>
      </c>
      <c r="B11" s="8">
        <v>44503.575844907406</v>
      </c>
      <c r="C11" s="6" t="s">
        <v>50</v>
      </c>
      <c r="D11" s="6" t="s">
        <v>54</v>
      </c>
      <c r="E11" s="6" t="s">
        <v>28</v>
      </c>
      <c r="F11" s="6" t="s">
        <v>37</v>
      </c>
      <c r="H11" s="9" t="s">
        <v>55</v>
      </c>
      <c r="I11" s="10">
        <v>1.0</v>
      </c>
      <c r="J11" s="10">
        <v>247.0</v>
      </c>
      <c r="K11" s="10">
        <v>253.0</v>
      </c>
      <c r="L11" s="10">
        <v>3.0</v>
      </c>
      <c r="M11" s="10">
        <v>2.0</v>
      </c>
      <c r="N11" s="10">
        <v>247.0</v>
      </c>
      <c r="O11" s="6" t="s">
        <v>53</v>
      </c>
      <c r="P11" s="11">
        <f t="shared" si="1"/>
        <v>0</v>
      </c>
    </row>
    <row r="12" ht="18.0" customHeight="1">
      <c r="A12" s="7">
        <v>44540.0</v>
      </c>
      <c r="B12" s="8">
        <v>44540.4103125</v>
      </c>
      <c r="C12" s="6" t="s">
        <v>50</v>
      </c>
      <c r="D12" s="6" t="s">
        <v>56</v>
      </c>
      <c r="E12" s="6" t="s">
        <v>28</v>
      </c>
      <c r="F12" s="6" t="s">
        <v>37</v>
      </c>
      <c r="H12" s="9" t="s">
        <v>57</v>
      </c>
      <c r="I12" s="10">
        <v>1.0</v>
      </c>
      <c r="J12" s="10">
        <v>105.0</v>
      </c>
      <c r="K12" s="10">
        <v>107.0</v>
      </c>
      <c r="L12" s="10">
        <v>0.0</v>
      </c>
      <c r="N12" s="10">
        <v>105.0</v>
      </c>
      <c r="O12" s="6" t="s">
        <v>53</v>
      </c>
      <c r="P12" s="11">
        <f t="shared" si="1"/>
        <v>0</v>
      </c>
    </row>
    <row r="13" ht="18.0" customHeight="1">
      <c r="A13" s="7">
        <v>44540.0</v>
      </c>
      <c r="B13" s="8">
        <v>44540.42261574074</v>
      </c>
      <c r="C13" s="6" t="s">
        <v>50</v>
      </c>
      <c r="D13" s="6" t="s">
        <v>58</v>
      </c>
      <c r="E13" s="6" t="s">
        <v>33</v>
      </c>
      <c r="F13" s="6" t="s">
        <v>44</v>
      </c>
      <c r="H13" s="9" t="s">
        <v>59</v>
      </c>
      <c r="I13" s="10">
        <v>1.0</v>
      </c>
      <c r="J13" s="10">
        <v>32.0</v>
      </c>
      <c r="K13" s="10">
        <v>33.0</v>
      </c>
      <c r="L13" s="10">
        <v>0.0</v>
      </c>
      <c r="N13" s="10">
        <v>32.0</v>
      </c>
      <c r="O13" s="6" t="s">
        <v>53</v>
      </c>
      <c r="P13" s="11">
        <f t="shared" si="1"/>
        <v>0</v>
      </c>
    </row>
    <row r="14" ht="18.0" customHeight="1">
      <c r="A14" s="7">
        <v>44511.0</v>
      </c>
      <c r="B14" s="8">
        <v>44511.55724537037</v>
      </c>
      <c r="C14" s="6" t="s">
        <v>26</v>
      </c>
      <c r="D14" s="6" t="s">
        <v>60</v>
      </c>
      <c r="E14" s="6" t="s">
        <v>61</v>
      </c>
      <c r="F14" s="6" t="s">
        <v>62</v>
      </c>
      <c r="G14" s="6" t="s">
        <v>63</v>
      </c>
      <c r="H14" s="9" t="s">
        <v>64</v>
      </c>
      <c r="I14" s="10">
        <v>1.0</v>
      </c>
      <c r="J14" s="10">
        <v>1238.0</v>
      </c>
      <c r="K14" s="10">
        <v>1984.0</v>
      </c>
      <c r="L14" s="10">
        <v>1427.0</v>
      </c>
      <c r="M14" s="10">
        <v>243.0</v>
      </c>
      <c r="N14" s="10">
        <v>1238.0</v>
      </c>
      <c r="O14" s="6" t="s">
        <v>31</v>
      </c>
      <c r="P14" s="11">
        <f t="shared" si="1"/>
        <v>41</v>
      </c>
    </row>
    <row r="15" ht="18.0" customHeight="1">
      <c r="A15" s="7">
        <v>44507.0</v>
      </c>
      <c r="B15" s="8">
        <v>44507.54523148148</v>
      </c>
      <c r="C15" s="6" t="s">
        <v>26</v>
      </c>
      <c r="D15" s="6" t="s">
        <v>65</v>
      </c>
      <c r="E15" s="6" t="s">
        <v>61</v>
      </c>
      <c r="F15" s="6" t="s">
        <v>62</v>
      </c>
      <c r="G15" s="6" t="s">
        <v>66</v>
      </c>
      <c r="H15" s="9" t="s">
        <v>67</v>
      </c>
      <c r="I15" s="10">
        <v>1.0</v>
      </c>
      <c r="J15" s="10">
        <v>925.0</v>
      </c>
      <c r="K15" s="10">
        <v>1080.0</v>
      </c>
      <c r="L15" s="10">
        <v>240.0</v>
      </c>
      <c r="M15" s="10">
        <v>59.0</v>
      </c>
      <c r="N15" s="10">
        <v>925.0</v>
      </c>
      <c r="O15" s="6" t="s">
        <v>31</v>
      </c>
      <c r="P15" s="11">
        <f t="shared" si="1"/>
        <v>75</v>
      </c>
    </row>
    <row r="16" ht="18.0" customHeight="1">
      <c r="A16" s="7">
        <v>44530.0</v>
      </c>
      <c r="B16" s="8">
        <v>44530.500023148146</v>
      </c>
      <c r="C16" s="6" t="s">
        <v>26</v>
      </c>
      <c r="D16" s="6" t="s">
        <v>68</v>
      </c>
      <c r="E16" s="6" t="s">
        <v>28</v>
      </c>
      <c r="F16" s="6" t="s">
        <v>34</v>
      </c>
      <c r="G16" s="6" t="s">
        <v>69</v>
      </c>
      <c r="H16" s="9" t="s">
        <v>70</v>
      </c>
      <c r="I16" s="10">
        <v>1.0</v>
      </c>
      <c r="J16" s="10">
        <v>697.0</v>
      </c>
      <c r="K16" s="10">
        <v>733.0</v>
      </c>
      <c r="L16" s="10">
        <v>40.0</v>
      </c>
      <c r="M16" s="10">
        <v>111.0</v>
      </c>
      <c r="N16" s="10">
        <v>697.0</v>
      </c>
      <c r="O16" s="6" t="s">
        <v>31</v>
      </c>
      <c r="P16" s="11">
        <f t="shared" si="1"/>
        <v>93</v>
      </c>
    </row>
    <row r="17" ht="18.0" customHeight="1">
      <c r="A17" s="7">
        <v>44522.0</v>
      </c>
      <c r="B17" s="8">
        <v>44522.842673611114</v>
      </c>
      <c r="C17" s="6" t="s">
        <v>50</v>
      </c>
      <c r="D17" s="6" t="s">
        <v>71</v>
      </c>
      <c r="E17" s="6" t="s">
        <v>72</v>
      </c>
      <c r="F17" s="6" t="s">
        <v>44</v>
      </c>
      <c r="G17" s="6" t="s">
        <v>73</v>
      </c>
      <c r="H17" s="9" t="s">
        <v>74</v>
      </c>
      <c r="I17" s="10">
        <v>1.0</v>
      </c>
      <c r="J17" s="10">
        <v>224.0</v>
      </c>
      <c r="K17" s="10">
        <v>227.0</v>
      </c>
      <c r="L17" s="10">
        <v>1.0</v>
      </c>
      <c r="M17" s="10">
        <v>3.0</v>
      </c>
      <c r="N17" s="10">
        <v>224.0</v>
      </c>
      <c r="O17" s="6" t="s">
        <v>53</v>
      </c>
      <c r="P17" s="11">
        <f t="shared" si="1"/>
        <v>93</v>
      </c>
    </row>
    <row r="18" ht="18.0" customHeight="1">
      <c r="A18" s="7">
        <v>44472.0</v>
      </c>
      <c r="B18" s="8">
        <v>44472.541712962964</v>
      </c>
      <c r="C18" s="6" t="s">
        <v>26</v>
      </c>
      <c r="D18" s="6" t="s">
        <v>75</v>
      </c>
      <c r="E18" s="6" t="s">
        <v>61</v>
      </c>
      <c r="F18" s="6" t="s">
        <v>76</v>
      </c>
      <c r="G18" s="6" t="s">
        <v>77</v>
      </c>
      <c r="H18" s="9" t="s">
        <v>78</v>
      </c>
      <c r="I18" s="10">
        <v>1.0</v>
      </c>
      <c r="J18" s="10">
        <v>1969.0</v>
      </c>
      <c r="K18" s="10">
        <v>2168.0</v>
      </c>
      <c r="L18" s="10">
        <v>158.0</v>
      </c>
      <c r="M18" s="10">
        <v>90.0</v>
      </c>
      <c r="N18" s="10">
        <v>1969.0</v>
      </c>
      <c r="O18" s="6" t="s">
        <v>31</v>
      </c>
      <c r="P18" s="11">
        <f t="shared" si="1"/>
        <v>107</v>
      </c>
    </row>
    <row r="19" ht="18.0" customHeight="1">
      <c r="A19" s="7">
        <v>44538.0</v>
      </c>
      <c r="B19" s="8">
        <v>44538.48168981481</v>
      </c>
      <c r="C19" s="6" t="s">
        <v>50</v>
      </c>
      <c r="D19" s="6" t="s">
        <v>79</v>
      </c>
      <c r="E19" s="6" t="s">
        <v>72</v>
      </c>
      <c r="F19" s="6" t="s">
        <v>44</v>
      </c>
      <c r="G19" s="6" t="s">
        <v>80</v>
      </c>
      <c r="H19" s="9" t="s">
        <v>81</v>
      </c>
      <c r="I19" s="10">
        <v>1.0</v>
      </c>
      <c r="J19" s="10">
        <v>76.0</v>
      </c>
      <c r="K19" s="10">
        <v>76.0</v>
      </c>
      <c r="L19" s="10">
        <v>0.0</v>
      </c>
      <c r="M19" s="10">
        <v>1.0</v>
      </c>
      <c r="N19" s="10">
        <v>76.0</v>
      </c>
      <c r="O19" s="6" t="s">
        <v>53</v>
      </c>
      <c r="P19" s="11">
        <f t="shared" si="1"/>
        <v>107</v>
      </c>
    </row>
    <row r="20" ht="18.0" customHeight="1">
      <c r="A20" s="7">
        <v>44546.0</v>
      </c>
      <c r="B20" s="8">
        <v>44546.66667824074</v>
      </c>
      <c r="C20" s="6" t="s">
        <v>26</v>
      </c>
      <c r="D20" s="6" t="s">
        <v>82</v>
      </c>
      <c r="E20" s="6" t="s">
        <v>61</v>
      </c>
      <c r="F20" s="6" t="s">
        <v>76</v>
      </c>
      <c r="G20" s="6" t="s">
        <v>83</v>
      </c>
      <c r="H20" s="9" t="s">
        <v>84</v>
      </c>
      <c r="I20" s="10">
        <v>1.0</v>
      </c>
      <c r="J20" s="10">
        <v>826.0</v>
      </c>
      <c r="K20" s="10">
        <v>896.0</v>
      </c>
      <c r="L20" s="10">
        <v>40.0</v>
      </c>
      <c r="M20" s="10">
        <v>40.0</v>
      </c>
      <c r="N20" s="10">
        <v>826.0</v>
      </c>
      <c r="O20" s="6" t="s">
        <v>31</v>
      </c>
      <c r="P20" s="11">
        <f t="shared" si="1"/>
        <v>110</v>
      </c>
    </row>
    <row r="21" ht="18.0" customHeight="1">
      <c r="A21" s="7">
        <v>44525.0</v>
      </c>
      <c r="B21" s="8">
        <v>44525.83341435185</v>
      </c>
      <c r="C21" s="6" t="s">
        <v>26</v>
      </c>
      <c r="D21" s="6" t="s">
        <v>85</v>
      </c>
      <c r="E21" s="6" t="s">
        <v>61</v>
      </c>
      <c r="F21" s="6" t="s">
        <v>62</v>
      </c>
      <c r="G21" s="6" t="s">
        <v>86</v>
      </c>
      <c r="H21" s="9" t="s">
        <v>87</v>
      </c>
      <c r="I21" s="10">
        <v>1.0</v>
      </c>
      <c r="J21" s="10">
        <v>1029.0</v>
      </c>
      <c r="K21" s="10">
        <v>1180.0</v>
      </c>
      <c r="L21" s="10">
        <v>147.0</v>
      </c>
      <c r="M21" s="10">
        <v>65.0</v>
      </c>
      <c r="N21" s="10">
        <v>1029.0</v>
      </c>
      <c r="O21" s="6" t="s">
        <v>31</v>
      </c>
      <c r="P21" s="11">
        <f t="shared" si="1"/>
        <v>116</v>
      </c>
    </row>
    <row r="22" ht="18.0" customHeight="1">
      <c r="A22" s="7">
        <v>44548.0</v>
      </c>
      <c r="B22" s="8">
        <v>44548.458344907405</v>
      </c>
      <c r="C22" s="6" t="s">
        <v>26</v>
      </c>
      <c r="D22" s="6" t="s">
        <v>88</v>
      </c>
      <c r="E22" s="6" t="s">
        <v>33</v>
      </c>
      <c r="F22" s="6" t="s">
        <v>89</v>
      </c>
      <c r="G22" s="6" t="s">
        <v>90</v>
      </c>
      <c r="H22" s="9" t="s">
        <v>91</v>
      </c>
      <c r="I22" s="10">
        <v>1.0</v>
      </c>
      <c r="J22" s="10">
        <v>820.0</v>
      </c>
      <c r="K22" s="10">
        <v>885.0</v>
      </c>
      <c r="L22" s="10">
        <v>73.0</v>
      </c>
      <c r="M22" s="10">
        <v>17.0</v>
      </c>
      <c r="N22" s="10">
        <v>820.0</v>
      </c>
      <c r="O22" s="6" t="s">
        <v>31</v>
      </c>
      <c r="P22" s="11">
        <f t="shared" si="1"/>
        <v>122</v>
      </c>
    </row>
    <row r="23" ht="18.0" customHeight="1">
      <c r="A23" s="7">
        <v>44478.0</v>
      </c>
      <c r="B23" s="8">
        <v>44478.375023148146</v>
      </c>
      <c r="C23" s="6" t="s">
        <v>26</v>
      </c>
      <c r="D23" s="6" t="s">
        <v>92</v>
      </c>
      <c r="E23" s="6" t="s">
        <v>28</v>
      </c>
      <c r="F23" s="6" t="s">
        <v>34</v>
      </c>
      <c r="G23" s="6" t="s">
        <v>93</v>
      </c>
      <c r="H23" s="9" t="s">
        <v>94</v>
      </c>
      <c r="I23" s="10">
        <v>1.0</v>
      </c>
      <c r="J23" s="10">
        <v>1614.0</v>
      </c>
      <c r="K23" s="10">
        <v>1673.0</v>
      </c>
      <c r="L23" s="10">
        <v>250.0</v>
      </c>
      <c r="M23" s="10">
        <v>54.0</v>
      </c>
      <c r="N23" s="10">
        <v>1614.0</v>
      </c>
      <c r="O23" s="6" t="s">
        <v>31</v>
      </c>
      <c r="P23" s="11">
        <f t="shared" si="1"/>
        <v>127</v>
      </c>
    </row>
    <row r="24" ht="18.0" customHeight="1">
      <c r="A24" s="7">
        <v>44548.0</v>
      </c>
      <c r="B24" s="8">
        <v>44548.77179398148</v>
      </c>
      <c r="C24" s="6" t="s">
        <v>26</v>
      </c>
      <c r="D24" s="6" t="s">
        <v>95</v>
      </c>
      <c r="E24" s="6" t="s">
        <v>61</v>
      </c>
      <c r="F24" s="6" t="s">
        <v>62</v>
      </c>
      <c r="G24" s="6" t="s">
        <v>96</v>
      </c>
      <c r="H24" s="9" t="s">
        <v>97</v>
      </c>
      <c r="I24" s="10">
        <v>1.0</v>
      </c>
      <c r="J24" s="10">
        <v>465.0</v>
      </c>
      <c r="K24" s="10">
        <v>606.0</v>
      </c>
      <c r="L24" s="10">
        <v>271.0</v>
      </c>
      <c r="M24" s="10">
        <v>90.0</v>
      </c>
      <c r="N24" s="10">
        <v>465.0</v>
      </c>
      <c r="O24" s="6" t="s">
        <v>31</v>
      </c>
      <c r="P24" s="11">
        <f t="shared" si="1"/>
        <v>127</v>
      </c>
    </row>
    <row r="25" ht="18.0" customHeight="1">
      <c r="A25" s="7">
        <v>44549.0</v>
      </c>
      <c r="B25" s="8">
        <v>44549.458344907405</v>
      </c>
      <c r="C25" s="6" t="s">
        <v>26</v>
      </c>
      <c r="D25" s="6" t="s">
        <v>98</v>
      </c>
      <c r="E25" s="6" t="s">
        <v>61</v>
      </c>
      <c r="F25" s="6" t="s">
        <v>62</v>
      </c>
      <c r="G25" s="6" t="s">
        <v>99</v>
      </c>
      <c r="H25" s="9" t="s">
        <v>100</v>
      </c>
      <c r="I25" s="10">
        <v>1.0</v>
      </c>
      <c r="J25" s="10">
        <v>405.0</v>
      </c>
      <c r="K25" s="10">
        <v>424.0</v>
      </c>
      <c r="L25" s="10">
        <v>35.0</v>
      </c>
      <c r="M25" s="10">
        <v>12.0</v>
      </c>
      <c r="N25" s="10">
        <v>405.0</v>
      </c>
      <c r="O25" s="6" t="s">
        <v>31</v>
      </c>
      <c r="P25" s="11">
        <f t="shared" si="1"/>
        <v>127</v>
      </c>
    </row>
    <row r="26" ht="18.0" customHeight="1">
      <c r="A26" s="7">
        <v>44528.0</v>
      </c>
      <c r="B26" s="8">
        <v>44528.87505787037</v>
      </c>
      <c r="C26" s="6" t="s">
        <v>26</v>
      </c>
      <c r="D26" s="6" t="s">
        <v>101</v>
      </c>
      <c r="E26" s="6" t="s">
        <v>61</v>
      </c>
      <c r="F26" s="6" t="s">
        <v>62</v>
      </c>
      <c r="G26" s="6" t="s">
        <v>102</v>
      </c>
      <c r="H26" s="9" t="s">
        <v>103</v>
      </c>
      <c r="I26" s="10">
        <v>1.0</v>
      </c>
      <c r="J26" s="10">
        <v>1963.0</v>
      </c>
      <c r="K26" s="10">
        <v>2195.0</v>
      </c>
      <c r="L26" s="10">
        <v>116.0</v>
      </c>
      <c r="M26" s="10">
        <v>51.0</v>
      </c>
      <c r="N26" s="10">
        <v>1963.0</v>
      </c>
      <c r="O26" s="6" t="s">
        <v>31</v>
      </c>
      <c r="P26" s="11">
        <f t="shared" si="1"/>
        <v>130</v>
      </c>
    </row>
    <row r="27" ht="18.0" customHeight="1">
      <c r="A27" s="7">
        <v>44475.0</v>
      </c>
      <c r="B27" s="8">
        <v>44475.666666666664</v>
      </c>
      <c r="C27" s="6" t="s">
        <v>26</v>
      </c>
      <c r="D27" s="6" t="s">
        <v>104</v>
      </c>
      <c r="E27" s="6" t="s">
        <v>28</v>
      </c>
      <c r="F27" s="6" t="s">
        <v>34</v>
      </c>
      <c r="G27" s="6" t="s">
        <v>105</v>
      </c>
      <c r="H27" s="9" t="s">
        <v>106</v>
      </c>
      <c r="I27" s="10">
        <v>1.0</v>
      </c>
      <c r="J27" s="10">
        <v>4054.0</v>
      </c>
      <c r="K27" s="10">
        <v>4573.0</v>
      </c>
      <c r="L27" s="10">
        <v>710.0</v>
      </c>
      <c r="M27" s="10">
        <v>723.0</v>
      </c>
      <c r="N27" s="10">
        <v>4054.0</v>
      </c>
      <c r="O27" s="6" t="s">
        <v>31</v>
      </c>
      <c r="P27" s="11">
        <f t="shared" si="1"/>
        <v>132</v>
      </c>
    </row>
    <row r="28" ht="18.0" customHeight="1">
      <c r="A28" s="7">
        <v>44475.0</v>
      </c>
      <c r="B28" s="8">
        <v>44475.83335648148</v>
      </c>
      <c r="C28" s="6" t="s">
        <v>26</v>
      </c>
      <c r="D28" s="6" t="s">
        <v>107</v>
      </c>
      <c r="E28" s="6" t="s">
        <v>28</v>
      </c>
      <c r="F28" s="6" t="s">
        <v>34</v>
      </c>
      <c r="G28" s="6" t="s">
        <v>108</v>
      </c>
      <c r="H28" s="9" t="s">
        <v>109</v>
      </c>
      <c r="I28" s="10">
        <v>1.0</v>
      </c>
      <c r="J28" s="10">
        <v>880.0</v>
      </c>
      <c r="K28" s="10">
        <v>916.0</v>
      </c>
      <c r="L28" s="10">
        <v>187.0</v>
      </c>
      <c r="M28" s="10">
        <v>18.0</v>
      </c>
      <c r="N28" s="10">
        <v>880.0</v>
      </c>
      <c r="O28" s="6" t="s">
        <v>31</v>
      </c>
      <c r="P28" s="11">
        <f t="shared" si="1"/>
        <v>133</v>
      </c>
    </row>
    <row r="29" ht="18.0" customHeight="1">
      <c r="A29" s="7">
        <v>44551.0</v>
      </c>
      <c r="B29" s="8">
        <v>44551.676099537035</v>
      </c>
      <c r="C29" s="6" t="s">
        <v>50</v>
      </c>
      <c r="D29" s="6" t="s">
        <v>110</v>
      </c>
      <c r="E29" s="6" t="s">
        <v>72</v>
      </c>
      <c r="F29" s="6" t="s">
        <v>44</v>
      </c>
      <c r="G29" s="6" t="s">
        <v>111</v>
      </c>
      <c r="H29" s="9" t="s">
        <v>112</v>
      </c>
      <c r="I29" s="10">
        <v>1.0</v>
      </c>
      <c r="J29" s="10">
        <v>135.0</v>
      </c>
      <c r="K29" s="10">
        <v>137.0</v>
      </c>
      <c r="L29" s="10">
        <v>0.0</v>
      </c>
      <c r="M29" s="10">
        <v>1.0</v>
      </c>
      <c r="N29" s="10">
        <v>135.0</v>
      </c>
      <c r="O29" s="6" t="s">
        <v>53</v>
      </c>
      <c r="P29" s="11">
        <f t="shared" si="1"/>
        <v>135</v>
      </c>
    </row>
    <row r="30" ht="18.0" customHeight="1">
      <c r="A30" s="7">
        <v>44478.0</v>
      </c>
      <c r="B30" s="8">
        <v>44478.54167824074</v>
      </c>
      <c r="C30" s="6" t="s">
        <v>26</v>
      </c>
      <c r="D30" s="6" t="s">
        <v>113</v>
      </c>
      <c r="E30" s="6" t="s">
        <v>28</v>
      </c>
      <c r="F30" s="6" t="s">
        <v>34</v>
      </c>
      <c r="G30" s="6" t="s">
        <v>114</v>
      </c>
      <c r="H30" s="9" t="s">
        <v>115</v>
      </c>
      <c r="I30" s="10">
        <v>1.0</v>
      </c>
      <c r="J30" s="10">
        <v>726.0</v>
      </c>
      <c r="K30" s="10">
        <v>734.0</v>
      </c>
      <c r="L30" s="10">
        <v>23.0</v>
      </c>
      <c r="M30" s="10">
        <v>62.0</v>
      </c>
      <c r="N30" s="10">
        <v>726.0</v>
      </c>
      <c r="O30" s="6" t="s">
        <v>31</v>
      </c>
      <c r="P30" s="11">
        <f t="shared" si="1"/>
        <v>137</v>
      </c>
    </row>
    <row r="31" ht="18.0" customHeight="1">
      <c r="A31" s="7">
        <v>44551.0</v>
      </c>
      <c r="B31" s="8">
        <v>44551.70842592593</v>
      </c>
      <c r="C31" s="6" t="s">
        <v>26</v>
      </c>
      <c r="D31" s="6" t="s">
        <v>116</v>
      </c>
      <c r="E31" s="6" t="s">
        <v>61</v>
      </c>
      <c r="F31" s="6" t="s">
        <v>62</v>
      </c>
      <c r="G31" s="6" t="s">
        <v>117</v>
      </c>
      <c r="H31" s="9" t="s">
        <v>118</v>
      </c>
      <c r="I31" s="10">
        <v>1.0</v>
      </c>
      <c r="J31" s="10">
        <v>1083.0</v>
      </c>
      <c r="K31" s="10">
        <v>1219.0</v>
      </c>
      <c r="L31" s="10">
        <v>140.0</v>
      </c>
      <c r="M31" s="10">
        <v>75.0</v>
      </c>
      <c r="N31" s="10">
        <v>1083.0</v>
      </c>
      <c r="O31" s="6" t="s">
        <v>31</v>
      </c>
      <c r="P31" s="11">
        <f t="shared" si="1"/>
        <v>137</v>
      </c>
    </row>
    <row r="32" ht="18.0" customHeight="1">
      <c r="A32" s="7">
        <v>44473.0</v>
      </c>
      <c r="B32" s="8">
        <v>44473.666666666664</v>
      </c>
      <c r="C32" s="6" t="s">
        <v>26</v>
      </c>
      <c r="D32" s="6" t="s">
        <v>119</v>
      </c>
      <c r="E32" s="6" t="s">
        <v>28</v>
      </c>
      <c r="F32" s="6" t="s">
        <v>34</v>
      </c>
      <c r="G32" s="6" t="s">
        <v>120</v>
      </c>
      <c r="H32" s="9" t="s">
        <v>121</v>
      </c>
      <c r="I32" s="10">
        <v>1.0</v>
      </c>
      <c r="J32" s="10">
        <v>1575.0</v>
      </c>
      <c r="K32" s="10">
        <v>1638.0</v>
      </c>
      <c r="L32" s="10">
        <v>261.0</v>
      </c>
      <c r="M32" s="10">
        <v>28.0</v>
      </c>
      <c r="N32" s="10">
        <v>1575.0</v>
      </c>
      <c r="O32" s="6" t="s">
        <v>31</v>
      </c>
      <c r="P32" s="11">
        <f t="shared" si="1"/>
        <v>138</v>
      </c>
    </row>
    <row r="33" ht="18.0" customHeight="1">
      <c r="A33" s="7">
        <v>44484.0</v>
      </c>
      <c r="B33" s="8">
        <v>44484.750023148146</v>
      </c>
      <c r="C33" s="6" t="s">
        <v>26</v>
      </c>
      <c r="D33" s="6" t="s">
        <v>122</v>
      </c>
      <c r="E33" s="6" t="s">
        <v>28</v>
      </c>
      <c r="F33" s="6" t="s">
        <v>34</v>
      </c>
      <c r="G33" s="6" t="s">
        <v>123</v>
      </c>
      <c r="H33" s="9" t="s">
        <v>124</v>
      </c>
      <c r="I33" s="10">
        <v>1.0</v>
      </c>
      <c r="J33" s="10">
        <v>9498.0</v>
      </c>
      <c r="K33" s="10">
        <v>15325.0</v>
      </c>
      <c r="L33" s="10">
        <v>4257.0</v>
      </c>
      <c r="M33" s="10">
        <v>1884.0</v>
      </c>
      <c r="N33" s="10">
        <v>9498.0</v>
      </c>
      <c r="O33" s="6" t="s">
        <v>31</v>
      </c>
      <c r="P33" s="11">
        <f t="shared" si="1"/>
        <v>138</v>
      </c>
    </row>
    <row r="34" ht="18.0" customHeight="1">
      <c r="A34" s="7">
        <v>44522.0</v>
      </c>
      <c r="B34" s="8">
        <v>44522.583344907405</v>
      </c>
      <c r="C34" s="6" t="s">
        <v>26</v>
      </c>
      <c r="D34" s="6" t="s">
        <v>125</v>
      </c>
      <c r="E34" s="6" t="s">
        <v>61</v>
      </c>
      <c r="F34" s="6" t="s">
        <v>76</v>
      </c>
      <c r="G34" s="6" t="s">
        <v>126</v>
      </c>
      <c r="H34" s="9" t="s">
        <v>127</v>
      </c>
      <c r="I34" s="10">
        <v>1.0</v>
      </c>
      <c r="J34" s="10">
        <v>1040.0</v>
      </c>
      <c r="K34" s="10">
        <v>1136.0</v>
      </c>
      <c r="L34" s="10">
        <v>37.0</v>
      </c>
      <c r="M34" s="10">
        <v>20.0</v>
      </c>
      <c r="N34" s="10">
        <v>1040.0</v>
      </c>
      <c r="O34" s="6" t="s">
        <v>31</v>
      </c>
      <c r="P34" s="11">
        <f t="shared" si="1"/>
        <v>140</v>
      </c>
    </row>
    <row r="35" ht="18.0" customHeight="1">
      <c r="A35" s="7">
        <v>44477.0</v>
      </c>
      <c r="B35" s="8">
        <v>44477.58336805556</v>
      </c>
      <c r="C35" s="6" t="s">
        <v>26</v>
      </c>
      <c r="D35" s="6" t="s">
        <v>128</v>
      </c>
      <c r="E35" s="6" t="s">
        <v>61</v>
      </c>
      <c r="F35" s="6" t="s">
        <v>62</v>
      </c>
      <c r="G35" s="6" t="s">
        <v>129</v>
      </c>
      <c r="H35" s="9" t="s">
        <v>130</v>
      </c>
      <c r="I35" s="10">
        <v>1.0</v>
      </c>
      <c r="J35" s="10">
        <v>509.0</v>
      </c>
      <c r="K35" s="10">
        <v>569.0</v>
      </c>
      <c r="L35" s="10">
        <v>42.0</v>
      </c>
      <c r="M35" s="10">
        <v>24.0</v>
      </c>
      <c r="N35" s="10">
        <v>509.0</v>
      </c>
      <c r="O35" s="6" t="s">
        <v>31</v>
      </c>
      <c r="P35" s="11">
        <f t="shared" si="1"/>
        <v>141</v>
      </c>
    </row>
    <row r="36" ht="18.0" customHeight="1">
      <c r="A36" s="7">
        <v>44554.0</v>
      </c>
      <c r="B36" s="8">
        <v>44554.54167824074</v>
      </c>
      <c r="C36" s="6" t="s">
        <v>26</v>
      </c>
      <c r="D36" s="6" t="s">
        <v>131</v>
      </c>
      <c r="E36" s="6" t="s">
        <v>61</v>
      </c>
      <c r="F36" s="6" t="s">
        <v>62</v>
      </c>
      <c r="G36" s="6" t="s">
        <v>132</v>
      </c>
      <c r="H36" s="9" t="s">
        <v>133</v>
      </c>
      <c r="I36" s="10">
        <v>1.0</v>
      </c>
      <c r="J36" s="10">
        <v>1550.0</v>
      </c>
      <c r="K36" s="10">
        <v>1777.0</v>
      </c>
      <c r="L36" s="10">
        <v>113.0</v>
      </c>
      <c r="M36" s="10">
        <v>36.0</v>
      </c>
      <c r="N36" s="10">
        <v>1550.0</v>
      </c>
      <c r="O36" s="6" t="s">
        <v>31</v>
      </c>
      <c r="P36" s="11">
        <f t="shared" si="1"/>
        <v>145</v>
      </c>
    </row>
    <row r="37" ht="18.0" customHeight="1">
      <c r="A37" s="7">
        <v>44547.0</v>
      </c>
      <c r="B37" s="8">
        <v>44547.666712962964</v>
      </c>
      <c r="C37" s="6" t="s">
        <v>26</v>
      </c>
      <c r="D37" s="6" t="s">
        <v>134</v>
      </c>
      <c r="E37" s="6" t="s">
        <v>61</v>
      </c>
      <c r="F37" s="6" t="s">
        <v>62</v>
      </c>
      <c r="G37" s="6" t="s">
        <v>135</v>
      </c>
      <c r="H37" s="9" t="s">
        <v>136</v>
      </c>
      <c r="I37" s="10">
        <v>1.0</v>
      </c>
      <c r="J37" s="10">
        <v>549.0</v>
      </c>
      <c r="K37" s="10">
        <v>584.0</v>
      </c>
      <c r="L37" s="10">
        <v>52.0</v>
      </c>
      <c r="M37" s="10">
        <v>13.0</v>
      </c>
      <c r="N37" s="10">
        <v>549.0</v>
      </c>
      <c r="O37" s="6" t="s">
        <v>31</v>
      </c>
      <c r="P37" s="11">
        <f t="shared" si="1"/>
        <v>146</v>
      </c>
    </row>
    <row r="38" ht="18.0" customHeight="1">
      <c r="A38" s="7">
        <v>44530.0</v>
      </c>
      <c r="B38" s="8">
        <v>44530.58335648148</v>
      </c>
      <c r="C38" s="6" t="s">
        <v>26</v>
      </c>
      <c r="D38" s="6" t="s">
        <v>137</v>
      </c>
      <c r="E38" s="6" t="s">
        <v>61</v>
      </c>
      <c r="F38" s="6" t="s">
        <v>62</v>
      </c>
      <c r="G38" s="6" t="s">
        <v>138</v>
      </c>
      <c r="H38" s="9" t="s">
        <v>139</v>
      </c>
      <c r="I38" s="10">
        <v>1.0</v>
      </c>
      <c r="J38" s="10">
        <v>2439.0</v>
      </c>
      <c r="K38" s="10">
        <v>2970.0</v>
      </c>
      <c r="L38" s="10">
        <v>131.0</v>
      </c>
      <c r="M38" s="10">
        <v>72.0</v>
      </c>
      <c r="N38" s="10">
        <v>2439.0</v>
      </c>
      <c r="O38" s="6" t="s">
        <v>31</v>
      </c>
      <c r="P38" s="11">
        <f t="shared" si="1"/>
        <v>147</v>
      </c>
    </row>
    <row r="39" ht="18.0" customHeight="1">
      <c r="A39" s="7">
        <v>44479.0</v>
      </c>
      <c r="B39" s="8">
        <v>44479.708333333336</v>
      </c>
      <c r="C39" s="6" t="s">
        <v>26</v>
      </c>
      <c r="D39" s="6" t="s">
        <v>140</v>
      </c>
      <c r="E39" s="6" t="s">
        <v>28</v>
      </c>
      <c r="F39" s="6" t="s">
        <v>34</v>
      </c>
      <c r="G39" s="6" t="s">
        <v>141</v>
      </c>
      <c r="H39" s="9" t="s">
        <v>142</v>
      </c>
      <c r="I39" s="10">
        <v>1.0</v>
      </c>
      <c r="J39" s="10">
        <v>702.0</v>
      </c>
      <c r="K39" s="10">
        <v>721.0</v>
      </c>
      <c r="L39" s="10">
        <v>46.0</v>
      </c>
      <c r="M39" s="10">
        <v>10.0</v>
      </c>
      <c r="N39" s="10">
        <v>702.0</v>
      </c>
      <c r="O39" s="6" t="s">
        <v>31</v>
      </c>
      <c r="P39" s="11">
        <f t="shared" si="1"/>
        <v>148</v>
      </c>
    </row>
    <row r="40" ht="18.0" customHeight="1">
      <c r="A40" s="7">
        <v>44515.0</v>
      </c>
      <c r="B40" s="8">
        <v>44515.54167824074</v>
      </c>
      <c r="C40" s="6" t="s">
        <v>26</v>
      </c>
      <c r="D40" s="6" t="s">
        <v>143</v>
      </c>
      <c r="E40" s="6" t="s">
        <v>61</v>
      </c>
      <c r="F40" s="6" t="s">
        <v>62</v>
      </c>
      <c r="G40" s="6" t="s">
        <v>144</v>
      </c>
      <c r="H40" s="9" t="s">
        <v>145</v>
      </c>
      <c r="I40" s="10">
        <v>1.0</v>
      </c>
      <c r="J40" s="10">
        <v>1098.0</v>
      </c>
      <c r="K40" s="10">
        <v>1184.0</v>
      </c>
      <c r="L40" s="10">
        <v>64.0</v>
      </c>
      <c r="M40" s="10">
        <v>30.0</v>
      </c>
      <c r="N40" s="10">
        <v>1098.0</v>
      </c>
      <c r="O40" s="6" t="s">
        <v>31</v>
      </c>
      <c r="P40" s="11">
        <f t="shared" si="1"/>
        <v>149</v>
      </c>
    </row>
    <row r="41" ht="18.0" customHeight="1">
      <c r="A41" s="7">
        <v>44520.0</v>
      </c>
      <c r="B41" s="8">
        <v>44520.70489583333</v>
      </c>
      <c r="C41" s="6" t="s">
        <v>26</v>
      </c>
      <c r="D41" s="6" t="s">
        <v>146</v>
      </c>
      <c r="E41" s="6" t="s">
        <v>72</v>
      </c>
      <c r="F41" s="6" t="s">
        <v>44</v>
      </c>
      <c r="G41" s="6" t="s">
        <v>147</v>
      </c>
      <c r="H41" s="9" t="s">
        <v>148</v>
      </c>
      <c r="I41" s="10">
        <v>1.0</v>
      </c>
      <c r="J41" s="10">
        <v>225.0</v>
      </c>
      <c r="K41" s="10">
        <v>247.0</v>
      </c>
      <c r="L41" s="10">
        <v>10.0</v>
      </c>
      <c r="M41" s="10">
        <v>12.0</v>
      </c>
      <c r="N41" s="10">
        <v>225.0</v>
      </c>
      <c r="O41" s="6" t="s">
        <v>31</v>
      </c>
      <c r="P41" s="11">
        <f t="shared" si="1"/>
        <v>149</v>
      </c>
    </row>
    <row r="42" ht="18.0" customHeight="1">
      <c r="A42" s="7">
        <v>44534.0</v>
      </c>
      <c r="B42" s="8">
        <v>44534.58688657408</v>
      </c>
      <c r="C42" s="6" t="s">
        <v>50</v>
      </c>
      <c r="D42" s="6" t="s">
        <v>149</v>
      </c>
      <c r="E42" s="6" t="s">
        <v>72</v>
      </c>
      <c r="F42" s="6" t="s">
        <v>44</v>
      </c>
      <c r="G42" s="6" t="s">
        <v>150</v>
      </c>
      <c r="H42" s="9" t="s">
        <v>151</v>
      </c>
      <c r="I42" s="10">
        <v>1.0</v>
      </c>
      <c r="J42" s="10">
        <v>70.0</v>
      </c>
      <c r="K42" s="10">
        <v>70.0</v>
      </c>
      <c r="L42" s="10">
        <v>0.0</v>
      </c>
      <c r="N42" s="10">
        <v>70.0</v>
      </c>
      <c r="O42" s="6" t="s">
        <v>53</v>
      </c>
      <c r="P42" s="11">
        <f t="shared" si="1"/>
        <v>149</v>
      </c>
    </row>
    <row r="43" ht="18.0" customHeight="1">
      <c r="A43" s="7">
        <v>44500.0</v>
      </c>
      <c r="B43" s="8">
        <v>44500.83335648148</v>
      </c>
      <c r="C43" s="6" t="s">
        <v>26</v>
      </c>
      <c r="D43" s="6" t="s">
        <v>152</v>
      </c>
      <c r="E43" s="6" t="s">
        <v>28</v>
      </c>
      <c r="F43" s="6" t="s">
        <v>34</v>
      </c>
      <c r="G43" s="6" t="s">
        <v>153</v>
      </c>
      <c r="H43" s="9" t="s">
        <v>154</v>
      </c>
      <c r="I43" s="10">
        <v>1.0</v>
      </c>
      <c r="J43" s="10">
        <v>2197.0</v>
      </c>
      <c r="K43" s="10">
        <v>53009.0</v>
      </c>
      <c r="L43" s="10">
        <v>2479.0</v>
      </c>
      <c r="M43" s="10">
        <v>269.0</v>
      </c>
      <c r="N43" s="10">
        <v>2197.0</v>
      </c>
      <c r="O43" s="6" t="s">
        <v>31</v>
      </c>
      <c r="P43" s="11">
        <f t="shared" si="1"/>
        <v>150</v>
      </c>
    </row>
    <row r="44" ht="18.0" customHeight="1">
      <c r="A44" s="7">
        <v>44521.0</v>
      </c>
      <c r="B44" s="8">
        <v>44521.708391203705</v>
      </c>
      <c r="C44" s="6" t="s">
        <v>26</v>
      </c>
      <c r="D44" s="6" t="s">
        <v>155</v>
      </c>
      <c r="E44" s="6" t="s">
        <v>72</v>
      </c>
      <c r="F44" s="6" t="s">
        <v>44</v>
      </c>
      <c r="G44" s="6" t="s">
        <v>156</v>
      </c>
      <c r="H44" s="9" t="s">
        <v>157</v>
      </c>
      <c r="I44" s="10">
        <v>1.0</v>
      </c>
      <c r="J44" s="10">
        <v>451.0</v>
      </c>
      <c r="K44" s="10">
        <v>540.0</v>
      </c>
      <c r="L44" s="10">
        <v>23.0</v>
      </c>
      <c r="M44" s="10">
        <v>24.0</v>
      </c>
      <c r="N44" s="10">
        <v>451.0</v>
      </c>
      <c r="O44" s="6" t="s">
        <v>31</v>
      </c>
      <c r="P44" s="11">
        <f t="shared" si="1"/>
        <v>150</v>
      </c>
    </row>
    <row r="45" ht="18.0" customHeight="1">
      <c r="A45" s="7">
        <v>44512.0</v>
      </c>
      <c r="B45" s="8">
        <v>44512.888136574074</v>
      </c>
      <c r="C45" s="6" t="s">
        <v>50</v>
      </c>
      <c r="D45" s="6" t="s">
        <v>158</v>
      </c>
      <c r="E45" s="6" t="s">
        <v>33</v>
      </c>
      <c r="F45" s="6" t="s">
        <v>62</v>
      </c>
      <c r="G45" s="6" t="s">
        <v>159</v>
      </c>
      <c r="H45" s="9" t="s">
        <v>160</v>
      </c>
      <c r="I45" s="10">
        <v>1.0</v>
      </c>
      <c r="J45" s="10">
        <v>185.0</v>
      </c>
      <c r="K45" s="10">
        <v>211.0</v>
      </c>
      <c r="L45" s="10">
        <v>3.0</v>
      </c>
      <c r="M45" s="10">
        <v>1.0</v>
      </c>
      <c r="N45" s="10">
        <v>185.0</v>
      </c>
      <c r="O45" s="6" t="s">
        <v>53</v>
      </c>
      <c r="P45" s="11">
        <f t="shared" si="1"/>
        <v>151</v>
      </c>
    </row>
    <row r="46" ht="18.0" customHeight="1">
      <c r="A46" s="7">
        <v>44549.0</v>
      </c>
      <c r="B46" s="8">
        <v>44549.54167824074</v>
      </c>
      <c r="C46" s="6" t="s">
        <v>26</v>
      </c>
      <c r="D46" s="6" t="s">
        <v>161</v>
      </c>
      <c r="E46" s="6" t="s">
        <v>28</v>
      </c>
      <c r="F46" s="6" t="s">
        <v>34</v>
      </c>
      <c r="G46" s="6" t="s">
        <v>162</v>
      </c>
      <c r="H46" s="9" t="s">
        <v>163</v>
      </c>
      <c r="I46" s="10">
        <v>1.0</v>
      </c>
      <c r="J46" s="10">
        <v>8407.0</v>
      </c>
      <c r="K46" s="10">
        <v>9394.0</v>
      </c>
      <c r="L46" s="10">
        <v>765.0</v>
      </c>
      <c r="M46" s="10">
        <v>405.0</v>
      </c>
      <c r="N46" s="10">
        <v>8407.0</v>
      </c>
      <c r="O46" s="6" t="s">
        <v>31</v>
      </c>
      <c r="P46" s="11">
        <f t="shared" si="1"/>
        <v>152</v>
      </c>
    </row>
    <row r="47" ht="18.0" customHeight="1">
      <c r="A47" s="7">
        <v>44507.0</v>
      </c>
      <c r="B47" s="8">
        <v>44507.458333333336</v>
      </c>
      <c r="C47" s="6" t="s">
        <v>26</v>
      </c>
      <c r="D47" s="6" t="s">
        <v>164</v>
      </c>
      <c r="E47" s="6" t="s">
        <v>61</v>
      </c>
      <c r="F47" s="6" t="s">
        <v>62</v>
      </c>
      <c r="G47" s="6" t="s">
        <v>165</v>
      </c>
      <c r="H47" s="9" t="s">
        <v>166</v>
      </c>
      <c r="I47" s="10">
        <v>1.0</v>
      </c>
      <c r="J47" s="10">
        <v>947.0</v>
      </c>
      <c r="K47" s="10">
        <v>1031.0</v>
      </c>
      <c r="L47" s="10">
        <v>45.0</v>
      </c>
      <c r="M47" s="10">
        <v>27.0</v>
      </c>
      <c r="N47" s="10">
        <v>947.0</v>
      </c>
      <c r="O47" s="6" t="s">
        <v>31</v>
      </c>
      <c r="P47" s="11">
        <f t="shared" si="1"/>
        <v>153</v>
      </c>
    </row>
    <row r="48" ht="18.0" customHeight="1">
      <c r="A48" s="7">
        <v>44506.0</v>
      </c>
      <c r="B48" s="8">
        <v>44506.75005787037</v>
      </c>
      <c r="C48" s="6" t="s">
        <v>26</v>
      </c>
      <c r="D48" s="6" t="s">
        <v>167</v>
      </c>
      <c r="E48" s="6" t="s">
        <v>61</v>
      </c>
      <c r="F48" s="6" t="s">
        <v>76</v>
      </c>
      <c r="G48" s="6" t="s">
        <v>168</v>
      </c>
      <c r="H48" s="9" t="s">
        <v>169</v>
      </c>
      <c r="I48" s="10">
        <v>1.0</v>
      </c>
      <c r="J48" s="10">
        <v>2055.0</v>
      </c>
      <c r="K48" s="10">
        <v>2195.0</v>
      </c>
      <c r="L48" s="10">
        <v>150.0</v>
      </c>
      <c r="M48" s="10">
        <v>86.0</v>
      </c>
      <c r="N48" s="10">
        <v>2055.0</v>
      </c>
      <c r="O48" s="6" t="s">
        <v>31</v>
      </c>
      <c r="P48" s="11">
        <f t="shared" si="1"/>
        <v>154</v>
      </c>
    </row>
    <row r="49" ht="18.0" customHeight="1">
      <c r="A49" s="7">
        <v>44478.0</v>
      </c>
      <c r="B49" s="8">
        <v>44478.45835648148</v>
      </c>
      <c r="C49" s="6" t="s">
        <v>26</v>
      </c>
      <c r="D49" s="6" t="s">
        <v>170</v>
      </c>
      <c r="E49" s="6" t="s">
        <v>33</v>
      </c>
      <c r="F49" s="6" t="s">
        <v>89</v>
      </c>
      <c r="G49" s="6" t="s">
        <v>171</v>
      </c>
      <c r="H49" s="9" t="s">
        <v>172</v>
      </c>
      <c r="I49" s="10">
        <v>1.0</v>
      </c>
      <c r="J49" s="10">
        <v>854.0</v>
      </c>
      <c r="K49" s="10">
        <v>938.0</v>
      </c>
      <c r="L49" s="10">
        <v>69.0</v>
      </c>
      <c r="M49" s="10">
        <v>42.0</v>
      </c>
      <c r="N49" s="10">
        <v>854.0</v>
      </c>
      <c r="O49" s="6" t="s">
        <v>31</v>
      </c>
      <c r="P49" s="11">
        <f t="shared" si="1"/>
        <v>155</v>
      </c>
    </row>
    <row r="50" ht="18.0" customHeight="1">
      <c r="A50" s="7">
        <v>44474.0</v>
      </c>
      <c r="B50" s="8">
        <v>44474.75001157408</v>
      </c>
      <c r="C50" s="6" t="s">
        <v>26</v>
      </c>
      <c r="D50" s="6" t="s">
        <v>173</v>
      </c>
      <c r="E50" s="6" t="s">
        <v>61</v>
      </c>
      <c r="F50" s="6" t="s">
        <v>62</v>
      </c>
      <c r="G50" s="6" t="s">
        <v>174</v>
      </c>
      <c r="H50" s="9" t="s">
        <v>175</v>
      </c>
      <c r="I50" s="10">
        <v>1.0</v>
      </c>
      <c r="J50" s="10">
        <v>794.0</v>
      </c>
      <c r="K50" s="10">
        <v>827.0</v>
      </c>
      <c r="L50" s="10">
        <v>108.0</v>
      </c>
      <c r="M50" s="10">
        <v>28.0</v>
      </c>
      <c r="N50" s="10">
        <v>794.0</v>
      </c>
      <c r="O50" s="6" t="s">
        <v>31</v>
      </c>
      <c r="P50" s="11">
        <f t="shared" si="1"/>
        <v>156</v>
      </c>
    </row>
    <row r="51" ht="18.0" customHeight="1">
      <c r="A51" s="7">
        <v>44508.0</v>
      </c>
      <c r="B51" s="8">
        <v>44508.458333333336</v>
      </c>
      <c r="C51" s="6" t="s">
        <v>26</v>
      </c>
      <c r="D51" s="6" t="s">
        <v>176</v>
      </c>
      <c r="E51" s="6" t="s">
        <v>28</v>
      </c>
      <c r="F51" s="6" t="s">
        <v>34</v>
      </c>
      <c r="G51" s="6" t="s">
        <v>177</v>
      </c>
      <c r="H51" s="9" t="s">
        <v>178</v>
      </c>
      <c r="I51" s="10">
        <v>1.0</v>
      </c>
      <c r="J51" s="10">
        <v>11967.0</v>
      </c>
      <c r="K51" s="10">
        <v>14102.0</v>
      </c>
      <c r="L51" s="10">
        <v>2562.0</v>
      </c>
      <c r="M51" s="10">
        <v>287.0</v>
      </c>
      <c r="N51" s="10">
        <v>11967.0</v>
      </c>
      <c r="O51" s="6" t="s">
        <v>31</v>
      </c>
      <c r="P51" s="11">
        <f t="shared" si="1"/>
        <v>156</v>
      </c>
    </row>
    <row r="52" ht="18.0" customHeight="1">
      <c r="A52" s="7">
        <v>44537.0</v>
      </c>
      <c r="B52" s="8">
        <v>44537.47797453704</v>
      </c>
      <c r="C52" s="6" t="s">
        <v>50</v>
      </c>
      <c r="D52" s="6" t="s">
        <v>179</v>
      </c>
      <c r="E52" s="6" t="s">
        <v>72</v>
      </c>
      <c r="F52" s="6" t="s">
        <v>44</v>
      </c>
      <c r="G52" s="6" t="s">
        <v>180</v>
      </c>
      <c r="H52" s="9" t="s">
        <v>181</v>
      </c>
      <c r="I52" s="10">
        <v>1.0</v>
      </c>
      <c r="J52" s="10">
        <v>59.0</v>
      </c>
      <c r="K52" s="10">
        <v>59.0</v>
      </c>
      <c r="L52" s="10">
        <v>0.0</v>
      </c>
      <c r="N52" s="10">
        <v>59.0</v>
      </c>
      <c r="O52" s="6" t="s">
        <v>53</v>
      </c>
      <c r="P52" s="11">
        <f t="shared" si="1"/>
        <v>156</v>
      </c>
    </row>
    <row r="53" ht="18.0" customHeight="1">
      <c r="A53" s="7">
        <v>44506.0</v>
      </c>
      <c r="B53" s="8">
        <v>44506.66670138889</v>
      </c>
      <c r="C53" s="6" t="s">
        <v>26</v>
      </c>
      <c r="D53" s="6" t="s">
        <v>182</v>
      </c>
      <c r="E53" s="6" t="s">
        <v>28</v>
      </c>
      <c r="F53" s="6" t="s">
        <v>34</v>
      </c>
      <c r="G53" s="6" t="s">
        <v>183</v>
      </c>
      <c r="H53" s="9" t="s">
        <v>184</v>
      </c>
      <c r="I53" s="10">
        <v>1.0</v>
      </c>
      <c r="J53" s="10">
        <v>4811.0</v>
      </c>
      <c r="K53" s="10">
        <v>4876.0</v>
      </c>
      <c r="L53" s="10">
        <v>49.0</v>
      </c>
      <c r="M53" s="10">
        <v>13.0</v>
      </c>
      <c r="N53" s="10">
        <v>4811.0</v>
      </c>
      <c r="O53" s="6" t="s">
        <v>31</v>
      </c>
      <c r="P53" s="11">
        <f t="shared" si="1"/>
        <v>158</v>
      </c>
    </row>
    <row r="54" ht="18.0" customHeight="1">
      <c r="A54" s="7">
        <v>44492.0</v>
      </c>
      <c r="B54" s="8">
        <v>44492.29167824074</v>
      </c>
      <c r="C54" s="6" t="s">
        <v>26</v>
      </c>
      <c r="D54" s="6" t="s">
        <v>185</v>
      </c>
      <c r="E54" s="6" t="s">
        <v>28</v>
      </c>
      <c r="F54" s="6" t="s">
        <v>34</v>
      </c>
      <c r="G54" s="6" t="s">
        <v>186</v>
      </c>
      <c r="H54" s="9" t="s">
        <v>187</v>
      </c>
      <c r="I54" s="10">
        <v>1.0</v>
      </c>
      <c r="J54" s="10">
        <v>2568.0</v>
      </c>
      <c r="K54" s="10">
        <v>3448.0</v>
      </c>
      <c r="L54" s="10">
        <v>397.0</v>
      </c>
      <c r="M54" s="10">
        <v>122.0</v>
      </c>
      <c r="N54" s="10">
        <v>2568.0</v>
      </c>
      <c r="O54" s="6" t="s">
        <v>31</v>
      </c>
      <c r="P54" s="11">
        <f t="shared" si="1"/>
        <v>160</v>
      </c>
    </row>
    <row r="55" ht="18.0" customHeight="1">
      <c r="A55" s="7">
        <v>44540.0</v>
      </c>
      <c r="B55" s="8">
        <v>44540.40662037037</v>
      </c>
      <c r="C55" s="6" t="s">
        <v>50</v>
      </c>
      <c r="D55" s="6" t="s">
        <v>188</v>
      </c>
      <c r="E55" s="6" t="s">
        <v>61</v>
      </c>
      <c r="F55" s="6" t="s">
        <v>189</v>
      </c>
      <c r="G55" s="6" t="s">
        <v>190</v>
      </c>
      <c r="H55" s="9" t="s">
        <v>191</v>
      </c>
      <c r="I55" s="10">
        <v>1.0</v>
      </c>
      <c r="J55" s="10">
        <v>733.0</v>
      </c>
      <c r="K55" s="10">
        <v>890.0</v>
      </c>
      <c r="L55" s="10">
        <v>159.0</v>
      </c>
      <c r="M55" s="10">
        <v>306.0</v>
      </c>
      <c r="N55" s="10">
        <v>733.0</v>
      </c>
      <c r="O55" s="6" t="s">
        <v>53</v>
      </c>
      <c r="P55" s="11">
        <f t="shared" si="1"/>
        <v>162</v>
      </c>
    </row>
    <row r="56" ht="18.0" customHeight="1">
      <c r="A56" s="7">
        <v>44494.0</v>
      </c>
      <c r="B56" s="8">
        <v>44494.70837962963</v>
      </c>
      <c r="C56" s="6" t="s">
        <v>26</v>
      </c>
      <c r="D56" s="6" t="s">
        <v>192</v>
      </c>
      <c r="E56" s="6" t="s">
        <v>61</v>
      </c>
      <c r="F56" s="6" t="s">
        <v>62</v>
      </c>
      <c r="G56" s="6" t="s">
        <v>193</v>
      </c>
      <c r="H56" s="9" t="s">
        <v>194</v>
      </c>
      <c r="I56" s="10">
        <v>1.0</v>
      </c>
      <c r="J56" s="10">
        <v>1696.0</v>
      </c>
      <c r="K56" s="10">
        <v>2014.0</v>
      </c>
      <c r="L56" s="10">
        <v>143.0</v>
      </c>
      <c r="M56" s="10">
        <v>78.0</v>
      </c>
      <c r="N56" s="10">
        <v>1696.0</v>
      </c>
      <c r="O56" s="6" t="s">
        <v>31</v>
      </c>
      <c r="P56" s="11">
        <f t="shared" si="1"/>
        <v>164</v>
      </c>
    </row>
    <row r="57" ht="18.0" customHeight="1">
      <c r="A57" s="7">
        <v>44538.0</v>
      </c>
      <c r="B57" s="8">
        <v>44538.52340277778</v>
      </c>
      <c r="C57" s="6" t="s">
        <v>50</v>
      </c>
      <c r="D57" s="6" t="s">
        <v>195</v>
      </c>
      <c r="E57" s="6" t="s">
        <v>61</v>
      </c>
      <c r="F57" s="6" t="s">
        <v>62</v>
      </c>
      <c r="G57" s="6" t="s">
        <v>196</v>
      </c>
      <c r="H57" s="9" t="s">
        <v>197</v>
      </c>
      <c r="I57" s="10">
        <v>1.0</v>
      </c>
      <c r="J57" s="10">
        <v>301.0</v>
      </c>
      <c r="K57" s="10">
        <v>363.0</v>
      </c>
      <c r="L57" s="10">
        <v>1.0</v>
      </c>
      <c r="M57" s="10">
        <v>23.0</v>
      </c>
      <c r="N57" s="10">
        <v>301.0</v>
      </c>
      <c r="O57" s="6" t="s">
        <v>53</v>
      </c>
      <c r="P57" s="11">
        <f t="shared" si="1"/>
        <v>164</v>
      </c>
    </row>
    <row r="58" ht="18.0" customHeight="1">
      <c r="A58" s="7">
        <v>44552.0</v>
      </c>
      <c r="B58" s="8">
        <v>44552.333344907405</v>
      </c>
      <c r="C58" s="6" t="s">
        <v>26</v>
      </c>
      <c r="D58" s="6" t="s">
        <v>198</v>
      </c>
      <c r="E58" s="6" t="s">
        <v>28</v>
      </c>
      <c r="F58" s="6" t="s">
        <v>34</v>
      </c>
      <c r="G58" s="6" t="s">
        <v>199</v>
      </c>
      <c r="H58" s="9" t="s">
        <v>200</v>
      </c>
      <c r="I58" s="10">
        <v>1.0</v>
      </c>
      <c r="J58" s="10">
        <v>12386.0</v>
      </c>
      <c r="K58" s="10">
        <v>14789.0</v>
      </c>
      <c r="L58" s="10">
        <v>1307.0</v>
      </c>
      <c r="M58" s="10">
        <v>357.0</v>
      </c>
      <c r="N58" s="10">
        <v>12386.0</v>
      </c>
      <c r="O58" s="6" t="s">
        <v>31</v>
      </c>
      <c r="P58" s="11">
        <f t="shared" si="1"/>
        <v>165</v>
      </c>
    </row>
    <row r="59" ht="18.0" customHeight="1">
      <c r="A59" s="7">
        <v>44499.0</v>
      </c>
      <c r="B59" s="8">
        <v>44499.83335648148</v>
      </c>
      <c r="C59" s="6" t="s">
        <v>26</v>
      </c>
      <c r="D59" s="6" t="s">
        <v>201</v>
      </c>
      <c r="E59" s="6" t="s">
        <v>61</v>
      </c>
      <c r="F59" s="6" t="s">
        <v>62</v>
      </c>
      <c r="G59" s="6" t="s">
        <v>202</v>
      </c>
      <c r="H59" s="9" t="s">
        <v>203</v>
      </c>
      <c r="I59" s="10">
        <v>1.0</v>
      </c>
      <c r="J59" s="10">
        <v>345.0</v>
      </c>
      <c r="K59" s="10">
        <v>374.0</v>
      </c>
      <c r="L59" s="10">
        <v>37.0</v>
      </c>
      <c r="M59" s="10">
        <v>16.0</v>
      </c>
      <c r="N59" s="10">
        <v>345.0</v>
      </c>
      <c r="O59" s="6" t="s">
        <v>31</v>
      </c>
      <c r="P59" s="11">
        <f t="shared" si="1"/>
        <v>166</v>
      </c>
    </row>
    <row r="60" ht="18.0" customHeight="1">
      <c r="A60" s="7">
        <v>44501.0</v>
      </c>
      <c r="B60" s="8">
        <v>44501.750023148146</v>
      </c>
      <c r="C60" s="6" t="s">
        <v>26</v>
      </c>
      <c r="D60" s="6" t="s">
        <v>204</v>
      </c>
      <c r="E60" s="6" t="s">
        <v>28</v>
      </c>
      <c r="F60" s="6" t="s">
        <v>34</v>
      </c>
      <c r="G60" s="6" t="s">
        <v>205</v>
      </c>
      <c r="H60" s="9" t="s">
        <v>206</v>
      </c>
      <c r="I60" s="10">
        <v>1.0</v>
      </c>
      <c r="J60" s="10">
        <v>6709.0</v>
      </c>
      <c r="K60" s="10">
        <v>7011.0</v>
      </c>
      <c r="L60" s="10">
        <v>36.0</v>
      </c>
      <c r="M60" s="10">
        <v>54.0</v>
      </c>
      <c r="N60" s="10">
        <v>6709.0</v>
      </c>
      <c r="O60" s="6" t="s">
        <v>31</v>
      </c>
      <c r="P60" s="11">
        <f t="shared" si="1"/>
        <v>166</v>
      </c>
    </row>
    <row r="61" ht="18.0" customHeight="1">
      <c r="A61" s="7">
        <v>44520.0</v>
      </c>
      <c r="B61" s="8">
        <v>44520.37503472222</v>
      </c>
      <c r="C61" s="6" t="s">
        <v>26</v>
      </c>
      <c r="D61" s="6" t="s">
        <v>207</v>
      </c>
      <c r="E61" s="6" t="s">
        <v>28</v>
      </c>
      <c r="F61" s="6" t="s">
        <v>34</v>
      </c>
      <c r="G61" s="6" t="s">
        <v>208</v>
      </c>
      <c r="H61" s="9" t="s">
        <v>209</v>
      </c>
      <c r="I61" s="10">
        <v>1.0</v>
      </c>
      <c r="J61" s="10">
        <v>11134.0</v>
      </c>
      <c r="K61" s="10">
        <v>11404.0</v>
      </c>
      <c r="L61" s="10">
        <v>297.0</v>
      </c>
      <c r="M61" s="10">
        <v>76.0</v>
      </c>
      <c r="N61" s="10">
        <v>11134.0</v>
      </c>
      <c r="O61" s="6" t="s">
        <v>31</v>
      </c>
      <c r="P61" s="11">
        <f t="shared" si="1"/>
        <v>166</v>
      </c>
    </row>
    <row r="62" ht="18.0" customHeight="1">
      <c r="A62" s="7">
        <v>44492.0</v>
      </c>
      <c r="B62" s="8">
        <v>44492.416666666664</v>
      </c>
      <c r="C62" s="6" t="s">
        <v>26</v>
      </c>
      <c r="D62" s="6" t="s">
        <v>210</v>
      </c>
      <c r="E62" s="6" t="s">
        <v>28</v>
      </c>
      <c r="F62" s="6" t="s">
        <v>34</v>
      </c>
      <c r="G62" s="6" t="s">
        <v>211</v>
      </c>
      <c r="H62" s="9" t="s">
        <v>212</v>
      </c>
      <c r="I62" s="10">
        <v>1.0</v>
      </c>
      <c r="J62" s="10">
        <v>843.0</v>
      </c>
      <c r="K62" s="10">
        <v>875.0</v>
      </c>
      <c r="L62" s="10">
        <v>58.0</v>
      </c>
      <c r="M62" s="10">
        <v>11.0</v>
      </c>
      <c r="N62" s="10">
        <v>843.0</v>
      </c>
      <c r="O62" s="6" t="s">
        <v>31</v>
      </c>
      <c r="P62" s="11">
        <f t="shared" si="1"/>
        <v>169</v>
      </c>
    </row>
    <row r="63" ht="18.0" customHeight="1">
      <c r="A63" s="7">
        <v>44492.0</v>
      </c>
      <c r="B63" s="8">
        <v>44492.704050925924</v>
      </c>
      <c r="C63" s="6" t="s">
        <v>26</v>
      </c>
      <c r="D63" s="6" t="s">
        <v>213</v>
      </c>
      <c r="E63" s="6" t="s">
        <v>28</v>
      </c>
      <c r="F63" s="6" t="s">
        <v>34</v>
      </c>
      <c r="G63" s="6" t="s">
        <v>214</v>
      </c>
      <c r="H63" s="9" t="s">
        <v>215</v>
      </c>
      <c r="I63" s="10">
        <v>1.0</v>
      </c>
      <c r="J63" s="10">
        <v>1699.0</v>
      </c>
      <c r="K63" s="10">
        <v>2117.0</v>
      </c>
      <c r="L63" s="10">
        <v>130.0</v>
      </c>
      <c r="M63" s="10">
        <v>246.0</v>
      </c>
      <c r="N63" s="10">
        <v>1699.0</v>
      </c>
      <c r="O63" s="6" t="s">
        <v>31</v>
      </c>
      <c r="P63" s="11">
        <f t="shared" si="1"/>
        <v>170</v>
      </c>
    </row>
    <row r="64" ht="18.0" customHeight="1">
      <c r="A64" s="7">
        <v>44470.0</v>
      </c>
      <c r="B64" s="8">
        <v>44470.83337962963</v>
      </c>
      <c r="C64" s="6" t="s">
        <v>26</v>
      </c>
      <c r="D64" s="6" t="s">
        <v>216</v>
      </c>
      <c r="E64" s="6" t="s">
        <v>28</v>
      </c>
      <c r="F64" s="6" t="s">
        <v>34</v>
      </c>
      <c r="G64" s="6" t="s">
        <v>217</v>
      </c>
      <c r="H64" s="9" t="s">
        <v>218</v>
      </c>
      <c r="I64" s="10">
        <v>1.0</v>
      </c>
      <c r="J64" s="10">
        <v>1345.0</v>
      </c>
      <c r="K64" s="10">
        <v>1368.0</v>
      </c>
      <c r="L64" s="10">
        <v>87.0</v>
      </c>
      <c r="M64" s="10">
        <v>21.0</v>
      </c>
      <c r="N64" s="10">
        <v>1345.0</v>
      </c>
      <c r="O64" s="6" t="s">
        <v>31</v>
      </c>
      <c r="P64" s="11">
        <f t="shared" si="1"/>
        <v>171</v>
      </c>
    </row>
    <row r="65" ht="18.0" customHeight="1">
      <c r="A65" s="7">
        <v>44509.0</v>
      </c>
      <c r="B65" s="8">
        <v>44509.75087962963</v>
      </c>
      <c r="C65" s="6" t="s">
        <v>26</v>
      </c>
      <c r="D65" s="6" t="s">
        <v>219</v>
      </c>
      <c r="E65" s="6" t="s">
        <v>72</v>
      </c>
      <c r="F65" s="6" t="s">
        <v>44</v>
      </c>
      <c r="G65" s="6" t="s">
        <v>220</v>
      </c>
      <c r="H65" s="9" t="s">
        <v>221</v>
      </c>
      <c r="I65" s="10">
        <v>1.0</v>
      </c>
      <c r="J65" s="10">
        <v>472.0</v>
      </c>
      <c r="K65" s="10">
        <v>587.0</v>
      </c>
      <c r="L65" s="10">
        <v>39.0</v>
      </c>
      <c r="M65" s="10">
        <v>166.0</v>
      </c>
      <c r="N65" s="10">
        <v>472.0</v>
      </c>
      <c r="O65" s="6" t="s">
        <v>31</v>
      </c>
      <c r="P65" s="11">
        <f t="shared" si="1"/>
        <v>171</v>
      </c>
    </row>
    <row r="66" ht="18.0" customHeight="1">
      <c r="A66" s="7">
        <v>44519.0</v>
      </c>
      <c r="B66" s="8">
        <v>44519.50001157408</v>
      </c>
      <c r="C66" s="6" t="s">
        <v>26</v>
      </c>
      <c r="D66" s="6" t="s">
        <v>222</v>
      </c>
      <c r="E66" s="6" t="s">
        <v>61</v>
      </c>
      <c r="F66" s="6" t="s">
        <v>62</v>
      </c>
      <c r="G66" s="6" t="s">
        <v>223</v>
      </c>
      <c r="H66" s="9" t="s">
        <v>224</v>
      </c>
      <c r="I66" s="10">
        <v>1.0</v>
      </c>
      <c r="J66" s="10">
        <v>828.0</v>
      </c>
      <c r="K66" s="10">
        <v>916.0</v>
      </c>
      <c r="L66" s="10">
        <v>115.0</v>
      </c>
      <c r="M66" s="10">
        <v>39.0</v>
      </c>
      <c r="N66" s="10">
        <v>828.0</v>
      </c>
      <c r="O66" s="6" t="s">
        <v>31</v>
      </c>
      <c r="P66" s="11">
        <f t="shared" si="1"/>
        <v>172</v>
      </c>
    </row>
    <row r="67" ht="18.0" customHeight="1">
      <c r="A67" s="7">
        <v>44521.0</v>
      </c>
      <c r="B67" s="8">
        <v>44521.45835648148</v>
      </c>
      <c r="C67" s="6" t="s">
        <v>26</v>
      </c>
      <c r="D67" s="6" t="s">
        <v>225</v>
      </c>
      <c r="E67" s="6" t="s">
        <v>28</v>
      </c>
      <c r="F67" s="6" t="s">
        <v>34</v>
      </c>
      <c r="G67" s="6" t="s">
        <v>226</v>
      </c>
      <c r="H67" s="9" t="s">
        <v>227</v>
      </c>
      <c r="I67" s="10">
        <v>1.0</v>
      </c>
      <c r="J67" s="10">
        <v>7115.0</v>
      </c>
      <c r="K67" s="10">
        <v>7205.0</v>
      </c>
      <c r="L67" s="10">
        <v>92.0</v>
      </c>
      <c r="M67" s="10">
        <v>54.0</v>
      </c>
      <c r="N67" s="10">
        <v>7115.0</v>
      </c>
      <c r="O67" s="6" t="s">
        <v>31</v>
      </c>
      <c r="P67" s="11">
        <f t="shared" si="1"/>
        <v>173</v>
      </c>
    </row>
    <row r="68" ht="18.0" customHeight="1">
      <c r="A68" s="7">
        <v>44547.0</v>
      </c>
      <c r="B68" s="8">
        <v>44547.62501157408</v>
      </c>
      <c r="C68" s="6" t="s">
        <v>26</v>
      </c>
      <c r="D68" s="6" t="s">
        <v>228</v>
      </c>
      <c r="E68" s="6" t="s">
        <v>28</v>
      </c>
      <c r="F68" s="6" t="s">
        <v>229</v>
      </c>
      <c r="G68" s="6" t="s">
        <v>230</v>
      </c>
      <c r="H68" s="9" t="s">
        <v>231</v>
      </c>
      <c r="I68" s="10">
        <v>1.0</v>
      </c>
      <c r="J68" s="10">
        <v>2498.0</v>
      </c>
      <c r="K68" s="10">
        <v>2784.0</v>
      </c>
      <c r="L68" s="10">
        <v>212.0</v>
      </c>
      <c r="M68" s="10">
        <v>170.0</v>
      </c>
      <c r="N68" s="10">
        <v>2498.0</v>
      </c>
      <c r="O68" s="6" t="s">
        <v>31</v>
      </c>
      <c r="P68" s="11">
        <f t="shared" si="1"/>
        <v>178</v>
      </c>
    </row>
    <row r="69" ht="18.0" customHeight="1">
      <c r="A69" s="7">
        <v>44518.0</v>
      </c>
      <c r="B69" s="8">
        <v>44518.791712962964</v>
      </c>
      <c r="C69" s="6" t="s">
        <v>26</v>
      </c>
      <c r="D69" s="6" t="s">
        <v>232</v>
      </c>
      <c r="E69" s="6" t="s">
        <v>28</v>
      </c>
      <c r="F69" s="6" t="s">
        <v>34</v>
      </c>
      <c r="G69" s="6" t="s">
        <v>233</v>
      </c>
      <c r="H69" s="9" t="s">
        <v>234</v>
      </c>
      <c r="I69" s="10">
        <v>1.0</v>
      </c>
      <c r="J69" s="10">
        <v>381.0</v>
      </c>
      <c r="K69" s="10">
        <v>414.0</v>
      </c>
      <c r="L69" s="10">
        <v>7.0</v>
      </c>
      <c r="M69" s="10">
        <v>22.0</v>
      </c>
      <c r="N69" s="10">
        <v>381.0</v>
      </c>
      <c r="O69" s="6" t="s">
        <v>31</v>
      </c>
      <c r="P69" s="11">
        <f t="shared" si="1"/>
        <v>180</v>
      </c>
    </row>
    <row r="70" ht="18.0" customHeight="1">
      <c r="A70" s="7">
        <v>44473.0</v>
      </c>
      <c r="B70" s="8">
        <v>44473.541712962964</v>
      </c>
      <c r="C70" s="6" t="s">
        <v>26</v>
      </c>
      <c r="D70" s="6" t="s">
        <v>235</v>
      </c>
      <c r="E70" s="6" t="s">
        <v>33</v>
      </c>
      <c r="F70" s="6" t="s">
        <v>89</v>
      </c>
      <c r="G70" s="6" t="s">
        <v>236</v>
      </c>
      <c r="H70" s="9" t="s">
        <v>237</v>
      </c>
      <c r="I70" s="10">
        <v>1.0</v>
      </c>
      <c r="J70" s="10">
        <v>496.0</v>
      </c>
      <c r="K70" s="10">
        <v>519.0</v>
      </c>
      <c r="L70" s="10">
        <v>55.0</v>
      </c>
      <c r="M70" s="10">
        <v>17.0</v>
      </c>
      <c r="N70" s="10">
        <v>496.0</v>
      </c>
      <c r="O70" s="6" t="s">
        <v>31</v>
      </c>
      <c r="P70" s="11">
        <f t="shared" si="1"/>
        <v>181</v>
      </c>
    </row>
    <row r="71" ht="18.0" customHeight="1">
      <c r="A71" s="7">
        <v>44506.0</v>
      </c>
      <c r="B71" s="8">
        <v>44506.54168981482</v>
      </c>
      <c r="C71" s="6" t="s">
        <v>26</v>
      </c>
      <c r="D71" s="6" t="s">
        <v>238</v>
      </c>
      <c r="E71" s="6" t="s">
        <v>61</v>
      </c>
      <c r="F71" s="6" t="s">
        <v>76</v>
      </c>
      <c r="G71" s="6" t="s">
        <v>239</v>
      </c>
      <c r="H71" s="9" t="s">
        <v>240</v>
      </c>
      <c r="I71" s="10">
        <v>1.0</v>
      </c>
      <c r="J71" s="10">
        <v>4180.0</v>
      </c>
      <c r="K71" s="10">
        <v>6864.0</v>
      </c>
      <c r="L71" s="10">
        <v>197.0</v>
      </c>
      <c r="M71" s="10">
        <v>428.0</v>
      </c>
      <c r="N71" s="10">
        <v>4180.0</v>
      </c>
      <c r="O71" s="6" t="s">
        <v>31</v>
      </c>
      <c r="P71" s="11">
        <f t="shared" si="1"/>
        <v>181</v>
      </c>
    </row>
    <row r="72" ht="18.0" customHeight="1">
      <c r="A72" s="7">
        <v>44550.0</v>
      </c>
      <c r="B72" s="8">
        <v>44550.782164351855</v>
      </c>
      <c r="C72" s="6" t="s">
        <v>26</v>
      </c>
      <c r="D72" s="6" t="s">
        <v>241</v>
      </c>
      <c r="E72" s="6" t="s">
        <v>61</v>
      </c>
      <c r="F72" s="6" t="s">
        <v>62</v>
      </c>
      <c r="G72" s="6" t="s">
        <v>242</v>
      </c>
      <c r="H72" s="9" t="s">
        <v>243</v>
      </c>
      <c r="I72" s="10">
        <v>1.0</v>
      </c>
      <c r="J72" s="10">
        <v>387.0</v>
      </c>
      <c r="K72" s="10">
        <v>512.0</v>
      </c>
      <c r="L72" s="10">
        <v>306.0</v>
      </c>
      <c r="M72" s="10">
        <v>91.0</v>
      </c>
      <c r="N72" s="10">
        <v>387.0</v>
      </c>
      <c r="O72" s="6" t="s">
        <v>31</v>
      </c>
      <c r="P72" s="11">
        <f t="shared" si="1"/>
        <v>182</v>
      </c>
    </row>
    <row r="73" ht="18.0" customHeight="1">
      <c r="A73" s="7">
        <v>44552.0</v>
      </c>
      <c r="B73" s="8">
        <v>44552.708344907405</v>
      </c>
      <c r="C73" s="6" t="s">
        <v>26</v>
      </c>
      <c r="D73" s="6" t="s">
        <v>244</v>
      </c>
      <c r="E73" s="6" t="s">
        <v>61</v>
      </c>
      <c r="F73" s="6" t="s">
        <v>62</v>
      </c>
      <c r="G73" s="6" t="s">
        <v>245</v>
      </c>
      <c r="H73" s="9" t="s">
        <v>246</v>
      </c>
      <c r="I73" s="10">
        <v>1.0</v>
      </c>
      <c r="J73" s="10">
        <v>1016.0</v>
      </c>
      <c r="K73" s="10">
        <v>1068.0</v>
      </c>
      <c r="L73" s="10">
        <v>78.0</v>
      </c>
      <c r="M73" s="10">
        <v>30.0</v>
      </c>
      <c r="N73" s="10">
        <v>1016.0</v>
      </c>
      <c r="O73" s="6" t="s">
        <v>31</v>
      </c>
      <c r="P73" s="11">
        <f t="shared" si="1"/>
        <v>182</v>
      </c>
    </row>
    <row r="74" ht="18.0" customHeight="1">
      <c r="A74" s="7">
        <v>44550.0</v>
      </c>
      <c r="B74" s="8">
        <v>44550.75001157408</v>
      </c>
      <c r="C74" s="6" t="s">
        <v>26</v>
      </c>
      <c r="D74" s="6" t="s">
        <v>247</v>
      </c>
      <c r="E74" s="6" t="s">
        <v>28</v>
      </c>
      <c r="F74" s="6" t="s">
        <v>34</v>
      </c>
      <c r="G74" s="6" t="s">
        <v>248</v>
      </c>
      <c r="H74" s="9" t="s">
        <v>249</v>
      </c>
      <c r="I74" s="10">
        <v>1.0</v>
      </c>
      <c r="J74" s="10">
        <v>283.0</v>
      </c>
      <c r="K74" s="10">
        <v>286.0</v>
      </c>
      <c r="L74" s="10">
        <v>17.0</v>
      </c>
      <c r="M74" s="10">
        <v>6.0</v>
      </c>
      <c r="N74" s="10">
        <v>283.0</v>
      </c>
      <c r="O74" s="6" t="s">
        <v>31</v>
      </c>
      <c r="P74" s="11">
        <f t="shared" si="1"/>
        <v>183</v>
      </c>
    </row>
    <row r="75" ht="18.0" customHeight="1">
      <c r="A75" s="7">
        <v>44551.0</v>
      </c>
      <c r="B75" s="8">
        <v>44551.75001157408</v>
      </c>
      <c r="C75" s="6" t="s">
        <v>26</v>
      </c>
      <c r="D75" s="6" t="s">
        <v>250</v>
      </c>
      <c r="E75" s="6" t="s">
        <v>28</v>
      </c>
      <c r="F75" s="6" t="s">
        <v>34</v>
      </c>
      <c r="G75" s="6" t="s">
        <v>251</v>
      </c>
      <c r="H75" s="9" t="s">
        <v>252</v>
      </c>
      <c r="I75" s="10">
        <v>1.0</v>
      </c>
      <c r="J75" s="10">
        <v>267.0</v>
      </c>
      <c r="K75" s="10">
        <v>274.0</v>
      </c>
      <c r="L75" s="10">
        <v>30.0</v>
      </c>
      <c r="M75" s="10">
        <v>3.0</v>
      </c>
      <c r="N75" s="10">
        <v>267.0</v>
      </c>
      <c r="O75" s="6" t="s">
        <v>31</v>
      </c>
      <c r="P75" s="11">
        <f t="shared" si="1"/>
        <v>183</v>
      </c>
    </row>
    <row r="76" ht="18.0" customHeight="1">
      <c r="A76" s="7">
        <v>44553.0</v>
      </c>
      <c r="B76" s="8">
        <v>44553.75001157408</v>
      </c>
      <c r="C76" s="6" t="s">
        <v>26</v>
      </c>
      <c r="D76" s="6" t="s">
        <v>253</v>
      </c>
      <c r="E76" s="6" t="s">
        <v>28</v>
      </c>
      <c r="F76" s="6" t="s">
        <v>34</v>
      </c>
      <c r="G76" s="6" t="s">
        <v>254</v>
      </c>
      <c r="H76" s="9" t="s">
        <v>255</v>
      </c>
      <c r="I76" s="10">
        <v>1.0</v>
      </c>
      <c r="J76" s="10">
        <v>273.0</v>
      </c>
      <c r="K76" s="10">
        <v>277.0</v>
      </c>
      <c r="L76" s="10">
        <v>10.0</v>
      </c>
      <c r="M76" s="10">
        <v>3.0</v>
      </c>
      <c r="N76" s="10">
        <v>273.0</v>
      </c>
      <c r="O76" s="6" t="s">
        <v>31</v>
      </c>
      <c r="P76" s="11">
        <f t="shared" si="1"/>
        <v>183</v>
      </c>
    </row>
    <row r="77" ht="18.0" customHeight="1">
      <c r="A77" s="7">
        <v>44472.0</v>
      </c>
      <c r="B77" s="8">
        <v>44472.333344907405</v>
      </c>
      <c r="C77" s="6" t="s">
        <v>26</v>
      </c>
      <c r="D77" s="6" t="s">
        <v>256</v>
      </c>
      <c r="E77" s="6" t="s">
        <v>28</v>
      </c>
      <c r="F77" s="6" t="s">
        <v>34</v>
      </c>
      <c r="G77" s="6" t="s">
        <v>257</v>
      </c>
      <c r="H77" s="9" t="s">
        <v>258</v>
      </c>
      <c r="I77" s="10">
        <v>1.0</v>
      </c>
      <c r="J77" s="10">
        <v>1552.0</v>
      </c>
      <c r="K77" s="10">
        <v>1630.0</v>
      </c>
      <c r="L77" s="10">
        <v>331.0</v>
      </c>
      <c r="M77" s="10">
        <v>54.0</v>
      </c>
      <c r="N77" s="10">
        <v>1552.0</v>
      </c>
      <c r="O77" s="6" t="s">
        <v>31</v>
      </c>
      <c r="P77" s="11">
        <f t="shared" si="1"/>
        <v>184</v>
      </c>
    </row>
    <row r="78" ht="18.0" customHeight="1">
      <c r="A78" s="7">
        <v>44499.0</v>
      </c>
      <c r="B78" s="8">
        <v>44499.79167824074</v>
      </c>
      <c r="C78" s="6" t="s">
        <v>26</v>
      </c>
      <c r="D78" s="6" t="s">
        <v>259</v>
      </c>
      <c r="E78" s="6" t="s">
        <v>28</v>
      </c>
      <c r="F78" s="6" t="s">
        <v>34</v>
      </c>
      <c r="G78" s="6" t="s">
        <v>260</v>
      </c>
      <c r="H78" s="9" t="s">
        <v>261</v>
      </c>
      <c r="I78" s="10">
        <v>1.0</v>
      </c>
      <c r="J78" s="10">
        <v>411.0</v>
      </c>
      <c r="K78" s="10">
        <v>432.0</v>
      </c>
      <c r="L78" s="10">
        <v>82.0</v>
      </c>
      <c r="M78" s="10">
        <v>12.0</v>
      </c>
      <c r="N78" s="10">
        <v>411.0</v>
      </c>
      <c r="O78" s="6" t="s">
        <v>31</v>
      </c>
      <c r="P78" s="11">
        <f t="shared" si="1"/>
        <v>184</v>
      </c>
    </row>
    <row r="79" ht="18.0" customHeight="1">
      <c r="A79" s="7">
        <v>44529.0</v>
      </c>
      <c r="B79" s="8">
        <v>44529.87503472222</v>
      </c>
      <c r="C79" s="6" t="s">
        <v>26</v>
      </c>
      <c r="D79" s="6" t="s">
        <v>262</v>
      </c>
      <c r="E79" s="6" t="s">
        <v>28</v>
      </c>
      <c r="F79" s="6" t="s">
        <v>34</v>
      </c>
      <c r="G79" s="6" t="s">
        <v>263</v>
      </c>
      <c r="H79" s="9" t="s">
        <v>264</v>
      </c>
      <c r="I79" s="10">
        <v>1.0</v>
      </c>
      <c r="J79" s="10">
        <v>14512.0</v>
      </c>
      <c r="K79" s="10">
        <v>16546.0</v>
      </c>
      <c r="L79" s="10">
        <v>1305.0</v>
      </c>
      <c r="M79" s="10">
        <v>555.0</v>
      </c>
      <c r="N79" s="10">
        <v>14512.0</v>
      </c>
      <c r="O79" s="6" t="s">
        <v>31</v>
      </c>
      <c r="P79" s="11">
        <f t="shared" si="1"/>
        <v>184</v>
      </c>
    </row>
    <row r="80" ht="18.0" customHeight="1">
      <c r="A80" s="7">
        <v>44504.0</v>
      </c>
      <c r="B80" s="8">
        <v>44504.62501157408</v>
      </c>
      <c r="C80" s="6" t="s">
        <v>26</v>
      </c>
      <c r="D80" s="6" t="s">
        <v>265</v>
      </c>
      <c r="E80" s="6" t="s">
        <v>28</v>
      </c>
      <c r="F80" s="6" t="s">
        <v>34</v>
      </c>
      <c r="G80" s="6" t="s">
        <v>266</v>
      </c>
      <c r="H80" s="9" t="s">
        <v>267</v>
      </c>
      <c r="I80" s="10">
        <v>1.0</v>
      </c>
      <c r="J80" s="10">
        <v>11045.0</v>
      </c>
      <c r="K80" s="10">
        <v>19545.0</v>
      </c>
      <c r="L80" s="10">
        <v>370.0</v>
      </c>
      <c r="M80" s="10">
        <v>72.0</v>
      </c>
      <c r="N80" s="10">
        <v>11045.0</v>
      </c>
      <c r="O80" s="6" t="s">
        <v>31</v>
      </c>
      <c r="P80" s="11">
        <f t="shared" si="1"/>
        <v>185</v>
      </c>
    </row>
    <row r="81" ht="18.0" customHeight="1">
      <c r="A81" s="7">
        <v>44550.0</v>
      </c>
      <c r="B81" s="8">
        <v>44550.333333333336</v>
      </c>
      <c r="C81" s="6" t="s">
        <v>26</v>
      </c>
      <c r="D81" s="6" t="s">
        <v>268</v>
      </c>
      <c r="E81" s="6" t="s">
        <v>28</v>
      </c>
      <c r="F81" s="6" t="s">
        <v>34</v>
      </c>
      <c r="G81" s="6" t="s">
        <v>269</v>
      </c>
      <c r="H81" s="9" t="s">
        <v>270</v>
      </c>
      <c r="I81" s="10">
        <v>1.0</v>
      </c>
      <c r="J81" s="10">
        <v>9181.0</v>
      </c>
      <c r="K81" s="10">
        <v>9361.0</v>
      </c>
      <c r="L81" s="10">
        <v>223.0</v>
      </c>
      <c r="M81" s="10">
        <v>97.0</v>
      </c>
      <c r="N81" s="10">
        <v>9181.0</v>
      </c>
      <c r="O81" s="6" t="s">
        <v>31</v>
      </c>
      <c r="P81" s="11">
        <f t="shared" si="1"/>
        <v>185</v>
      </c>
    </row>
    <row r="82" ht="18.0" customHeight="1">
      <c r="A82" s="7">
        <v>44550.0</v>
      </c>
      <c r="B82" s="8">
        <v>44550.62501157408</v>
      </c>
      <c r="C82" s="6" t="s">
        <v>26</v>
      </c>
      <c r="D82" s="6" t="s">
        <v>271</v>
      </c>
      <c r="E82" s="6" t="s">
        <v>28</v>
      </c>
      <c r="F82" s="6" t="s">
        <v>34</v>
      </c>
      <c r="G82" s="6" t="s">
        <v>272</v>
      </c>
      <c r="H82" s="9" t="s">
        <v>273</v>
      </c>
      <c r="I82" s="10">
        <v>1.0</v>
      </c>
      <c r="J82" s="10">
        <v>7511.0</v>
      </c>
      <c r="K82" s="10">
        <v>8344.0</v>
      </c>
      <c r="L82" s="10">
        <v>821.0</v>
      </c>
      <c r="M82" s="10">
        <v>257.0</v>
      </c>
      <c r="N82" s="10">
        <v>7511.0</v>
      </c>
      <c r="O82" s="6" t="s">
        <v>31</v>
      </c>
      <c r="P82" s="11">
        <f t="shared" si="1"/>
        <v>186</v>
      </c>
    </row>
    <row r="83" ht="18.0" customHeight="1">
      <c r="A83" s="7">
        <v>44551.0</v>
      </c>
      <c r="B83" s="8">
        <v>44551.83335648148</v>
      </c>
      <c r="C83" s="6" t="s">
        <v>26</v>
      </c>
      <c r="D83" s="6" t="s">
        <v>274</v>
      </c>
      <c r="E83" s="6" t="s">
        <v>28</v>
      </c>
      <c r="F83" s="6" t="s">
        <v>34</v>
      </c>
      <c r="G83" s="6" t="s">
        <v>275</v>
      </c>
      <c r="H83" s="9" t="s">
        <v>276</v>
      </c>
      <c r="I83" s="10">
        <v>1.0</v>
      </c>
      <c r="J83" s="10">
        <v>4414.0</v>
      </c>
      <c r="K83" s="10">
        <v>4541.0</v>
      </c>
      <c r="L83" s="10">
        <v>70.0</v>
      </c>
      <c r="M83" s="10">
        <v>20.0</v>
      </c>
      <c r="N83" s="10">
        <v>4414.0</v>
      </c>
      <c r="O83" s="6" t="s">
        <v>31</v>
      </c>
      <c r="P83" s="11">
        <f t="shared" si="1"/>
        <v>186</v>
      </c>
    </row>
    <row r="84" ht="18.0" customHeight="1">
      <c r="A84" s="7">
        <v>44552.0</v>
      </c>
      <c r="B84" s="8">
        <v>44552.541666666664</v>
      </c>
      <c r="C84" s="6" t="s">
        <v>26</v>
      </c>
      <c r="D84" s="6" t="s">
        <v>277</v>
      </c>
      <c r="E84" s="6" t="s">
        <v>28</v>
      </c>
      <c r="F84" s="6" t="s">
        <v>229</v>
      </c>
      <c r="G84" s="6" t="s">
        <v>278</v>
      </c>
      <c r="H84" s="9" t="s">
        <v>279</v>
      </c>
      <c r="I84" s="10">
        <v>1.0</v>
      </c>
      <c r="J84" s="10">
        <v>1810.0</v>
      </c>
      <c r="K84" s="10">
        <v>1877.0</v>
      </c>
      <c r="L84" s="10">
        <v>83.0</v>
      </c>
      <c r="M84" s="10">
        <v>44.0</v>
      </c>
      <c r="N84" s="10">
        <v>1810.0</v>
      </c>
      <c r="O84" s="6" t="s">
        <v>31</v>
      </c>
      <c r="P84" s="11">
        <f t="shared" si="1"/>
        <v>186</v>
      </c>
    </row>
    <row r="85" ht="18.0" customHeight="1">
      <c r="A85" s="7">
        <v>44497.0</v>
      </c>
      <c r="B85" s="8">
        <v>44497.8334375</v>
      </c>
      <c r="C85" s="6" t="s">
        <v>26</v>
      </c>
      <c r="D85" s="6" t="s">
        <v>280</v>
      </c>
      <c r="E85" s="6" t="s">
        <v>61</v>
      </c>
      <c r="F85" s="6" t="s">
        <v>76</v>
      </c>
      <c r="G85" s="6" t="s">
        <v>281</v>
      </c>
      <c r="H85" s="9" t="s">
        <v>282</v>
      </c>
      <c r="I85" s="10">
        <v>1.0</v>
      </c>
      <c r="J85" s="10">
        <v>1325.0</v>
      </c>
      <c r="K85" s="10">
        <v>1551.0</v>
      </c>
      <c r="L85" s="10">
        <v>77.0</v>
      </c>
      <c r="M85" s="10">
        <v>38.0</v>
      </c>
      <c r="N85" s="10">
        <v>1325.0</v>
      </c>
      <c r="O85" s="6" t="s">
        <v>31</v>
      </c>
      <c r="P85" s="11">
        <f t="shared" si="1"/>
        <v>187</v>
      </c>
    </row>
    <row r="86" ht="18.0" customHeight="1">
      <c r="A86" s="7">
        <v>44482.0</v>
      </c>
      <c r="B86" s="8">
        <v>44482.75</v>
      </c>
      <c r="C86" s="6" t="s">
        <v>26</v>
      </c>
      <c r="D86" s="6" t="s">
        <v>283</v>
      </c>
      <c r="E86" s="6" t="s">
        <v>61</v>
      </c>
      <c r="F86" s="6" t="s">
        <v>62</v>
      </c>
      <c r="G86" s="6" t="s">
        <v>284</v>
      </c>
      <c r="H86" s="9" t="s">
        <v>285</v>
      </c>
      <c r="I86" s="10">
        <v>1.0</v>
      </c>
      <c r="J86" s="10">
        <v>705.0</v>
      </c>
      <c r="K86" s="10">
        <v>784.0</v>
      </c>
      <c r="L86" s="10">
        <v>81.0</v>
      </c>
      <c r="M86" s="10">
        <v>21.0</v>
      </c>
      <c r="N86" s="10">
        <v>705.0</v>
      </c>
      <c r="O86" s="6" t="s">
        <v>31</v>
      </c>
      <c r="P86" s="11">
        <f t="shared" si="1"/>
        <v>190</v>
      </c>
    </row>
    <row r="87" ht="18.0" customHeight="1">
      <c r="A87" s="7">
        <v>44549.0</v>
      </c>
      <c r="B87" s="8">
        <v>44549.66667824074</v>
      </c>
      <c r="C87" s="6" t="s">
        <v>26</v>
      </c>
      <c r="D87" s="6" t="s">
        <v>286</v>
      </c>
      <c r="E87" s="6" t="s">
        <v>61</v>
      </c>
      <c r="F87" s="6" t="s">
        <v>76</v>
      </c>
      <c r="G87" s="6" t="s">
        <v>287</v>
      </c>
      <c r="H87" s="9" t="s">
        <v>288</v>
      </c>
      <c r="I87" s="10">
        <v>1.0</v>
      </c>
      <c r="J87" s="10">
        <v>10626.0</v>
      </c>
      <c r="K87" s="10">
        <v>12701.0</v>
      </c>
      <c r="L87" s="10">
        <v>74.0</v>
      </c>
      <c r="M87" s="10">
        <v>338.0</v>
      </c>
      <c r="N87" s="10">
        <v>10626.0</v>
      </c>
      <c r="O87" s="6" t="s">
        <v>31</v>
      </c>
      <c r="P87" s="11">
        <f t="shared" si="1"/>
        <v>192</v>
      </c>
    </row>
    <row r="88" ht="18.0" customHeight="1">
      <c r="A88" s="7">
        <v>44551.0</v>
      </c>
      <c r="B88" s="8">
        <v>44551.62501157408</v>
      </c>
      <c r="C88" s="6" t="s">
        <v>26</v>
      </c>
      <c r="D88" s="6" t="s">
        <v>289</v>
      </c>
      <c r="E88" s="6" t="s">
        <v>28</v>
      </c>
      <c r="F88" s="6" t="s">
        <v>34</v>
      </c>
      <c r="G88" s="6" t="s">
        <v>290</v>
      </c>
      <c r="H88" s="9" t="s">
        <v>291</v>
      </c>
      <c r="I88" s="10">
        <v>1.0</v>
      </c>
      <c r="J88" s="10">
        <v>1743.0</v>
      </c>
      <c r="K88" s="10">
        <v>1918.0</v>
      </c>
      <c r="L88" s="10">
        <v>320.0</v>
      </c>
      <c r="M88" s="10">
        <v>49.0</v>
      </c>
      <c r="N88" s="10">
        <v>1743.0</v>
      </c>
      <c r="O88" s="6" t="s">
        <v>31</v>
      </c>
      <c r="P88" s="11">
        <f t="shared" si="1"/>
        <v>192</v>
      </c>
    </row>
    <row r="89" ht="18.0" customHeight="1">
      <c r="A89" s="7">
        <v>44478.0</v>
      </c>
      <c r="B89" s="8">
        <v>44478.791666666664</v>
      </c>
      <c r="C89" s="6" t="s">
        <v>26</v>
      </c>
      <c r="D89" s="6" t="s">
        <v>292</v>
      </c>
      <c r="E89" s="6" t="s">
        <v>61</v>
      </c>
      <c r="F89" s="6" t="s">
        <v>62</v>
      </c>
      <c r="G89" s="6" t="s">
        <v>293</v>
      </c>
      <c r="H89" s="9" t="s">
        <v>294</v>
      </c>
      <c r="I89" s="10">
        <v>1.0</v>
      </c>
      <c r="J89" s="10">
        <v>1195.0</v>
      </c>
      <c r="K89" s="10">
        <v>1313.0</v>
      </c>
      <c r="L89" s="10">
        <v>194.0</v>
      </c>
      <c r="M89" s="10">
        <v>72.0</v>
      </c>
      <c r="N89" s="10">
        <v>1195.0</v>
      </c>
      <c r="O89" s="6" t="s">
        <v>31</v>
      </c>
      <c r="P89" s="11">
        <f t="shared" si="1"/>
        <v>193</v>
      </c>
    </row>
    <row r="90" ht="18.0" customHeight="1">
      <c r="A90" s="7">
        <v>44550.0</v>
      </c>
      <c r="B90" s="8">
        <v>44550.83335648148</v>
      </c>
      <c r="C90" s="6" t="s">
        <v>26</v>
      </c>
      <c r="D90" s="6" t="s">
        <v>295</v>
      </c>
      <c r="E90" s="6" t="s">
        <v>61</v>
      </c>
      <c r="F90" s="6" t="s">
        <v>76</v>
      </c>
      <c r="G90" s="6" t="s">
        <v>296</v>
      </c>
      <c r="H90" s="9" t="s">
        <v>297</v>
      </c>
      <c r="I90" s="10">
        <v>1.0</v>
      </c>
      <c r="J90" s="10">
        <v>622.0</v>
      </c>
      <c r="K90" s="10">
        <v>650.0</v>
      </c>
      <c r="L90" s="10">
        <v>59.0</v>
      </c>
      <c r="M90" s="10">
        <v>26.0</v>
      </c>
      <c r="N90" s="10">
        <v>622.0</v>
      </c>
      <c r="O90" s="6" t="s">
        <v>31</v>
      </c>
      <c r="P90" s="11">
        <f t="shared" si="1"/>
        <v>193</v>
      </c>
    </row>
    <row r="91" ht="18.0" customHeight="1">
      <c r="A91" s="7">
        <v>44481.0</v>
      </c>
      <c r="B91" s="8">
        <v>44481.54168981482</v>
      </c>
      <c r="C91" s="6" t="s">
        <v>26</v>
      </c>
      <c r="D91" s="6" t="s">
        <v>298</v>
      </c>
      <c r="E91" s="6" t="s">
        <v>28</v>
      </c>
      <c r="F91" s="6" t="s">
        <v>34</v>
      </c>
      <c r="G91" s="6" t="s">
        <v>299</v>
      </c>
      <c r="H91" s="9" t="s">
        <v>300</v>
      </c>
      <c r="I91" s="10">
        <v>1.0</v>
      </c>
      <c r="J91" s="10">
        <v>3357.0</v>
      </c>
      <c r="K91" s="10">
        <v>3392.0</v>
      </c>
      <c r="L91" s="10">
        <v>54.0</v>
      </c>
      <c r="M91" s="10">
        <v>11.0</v>
      </c>
      <c r="N91" s="10">
        <v>3357.0</v>
      </c>
      <c r="O91" s="6" t="s">
        <v>31</v>
      </c>
      <c r="P91" s="11">
        <f t="shared" si="1"/>
        <v>194</v>
      </c>
    </row>
    <row r="92" ht="18.0" customHeight="1">
      <c r="A92" s="7">
        <v>44510.0</v>
      </c>
      <c r="B92" s="8">
        <v>44510.33335648148</v>
      </c>
      <c r="C92" s="6" t="s">
        <v>26</v>
      </c>
      <c r="D92" s="6" t="s">
        <v>301</v>
      </c>
      <c r="E92" s="6" t="s">
        <v>28</v>
      </c>
      <c r="F92" s="6" t="s">
        <v>34</v>
      </c>
      <c r="G92" s="6" t="s">
        <v>302</v>
      </c>
      <c r="H92" s="9" t="s">
        <v>303</v>
      </c>
      <c r="I92" s="10">
        <v>1.0</v>
      </c>
      <c r="J92" s="10">
        <v>5441.0</v>
      </c>
      <c r="K92" s="10">
        <v>5862.0</v>
      </c>
      <c r="L92" s="10">
        <v>315.0</v>
      </c>
      <c r="M92" s="10">
        <v>36.0</v>
      </c>
      <c r="N92" s="10">
        <v>5441.0</v>
      </c>
      <c r="O92" s="6" t="s">
        <v>31</v>
      </c>
      <c r="P92" s="11">
        <f t="shared" si="1"/>
        <v>194</v>
      </c>
    </row>
    <row r="93" ht="18.0" customHeight="1">
      <c r="A93" s="7">
        <v>44548.0</v>
      </c>
      <c r="B93" s="8">
        <v>44548.708344907405</v>
      </c>
      <c r="C93" s="6" t="s">
        <v>26</v>
      </c>
      <c r="D93" s="6" t="s">
        <v>304</v>
      </c>
      <c r="E93" s="6" t="s">
        <v>61</v>
      </c>
      <c r="F93" s="6" t="s">
        <v>62</v>
      </c>
      <c r="G93" s="6" t="s">
        <v>305</v>
      </c>
      <c r="H93" s="9" t="s">
        <v>306</v>
      </c>
      <c r="I93" s="10">
        <v>1.0</v>
      </c>
      <c r="J93" s="10">
        <v>602.0</v>
      </c>
      <c r="K93" s="10">
        <v>634.0</v>
      </c>
      <c r="L93" s="10">
        <v>67.0</v>
      </c>
      <c r="M93" s="10">
        <v>18.0</v>
      </c>
      <c r="N93" s="10">
        <v>602.0</v>
      </c>
      <c r="O93" s="6" t="s">
        <v>31</v>
      </c>
      <c r="P93" s="11">
        <f t="shared" si="1"/>
        <v>194</v>
      </c>
    </row>
    <row r="94" ht="18.0" customHeight="1">
      <c r="A94" s="7">
        <v>44505.0</v>
      </c>
      <c r="B94" s="8">
        <v>44505.750289351854</v>
      </c>
      <c r="C94" s="6" t="s">
        <v>26</v>
      </c>
      <c r="D94" s="6" t="s">
        <v>307</v>
      </c>
      <c r="E94" s="6" t="s">
        <v>72</v>
      </c>
      <c r="F94" s="6" t="s">
        <v>44</v>
      </c>
      <c r="G94" s="6" t="s">
        <v>308</v>
      </c>
      <c r="H94" s="9" t="s">
        <v>309</v>
      </c>
      <c r="I94" s="10">
        <v>1.0</v>
      </c>
      <c r="J94" s="10">
        <v>270.0</v>
      </c>
      <c r="K94" s="10">
        <v>292.0</v>
      </c>
      <c r="L94" s="10">
        <v>16.0</v>
      </c>
      <c r="M94" s="10">
        <v>6.0</v>
      </c>
      <c r="N94" s="10">
        <v>270.0</v>
      </c>
      <c r="O94" s="6" t="s">
        <v>31</v>
      </c>
      <c r="P94" s="11">
        <f t="shared" si="1"/>
        <v>196</v>
      </c>
    </row>
    <row r="95" ht="18.0" customHeight="1">
      <c r="A95" s="7">
        <v>44525.0</v>
      </c>
      <c r="B95" s="8">
        <v>44525.58337962963</v>
      </c>
      <c r="C95" s="6" t="s">
        <v>50</v>
      </c>
      <c r="D95" s="6" t="s">
        <v>310</v>
      </c>
      <c r="E95" s="6" t="s">
        <v>28</v>
      </c>
      <c r="F95" s="6" t="s">
        <v>34</v>
      </c>
      <c r="G95" s="6" t="s">
        <v>311</v>
      </c>
      <c r="H95" s="9" t="s">
        <v>312</v>
      </c>
      <c r="I95" s="10">
        <v>1.0</v>
      </c>
      <c r="J95" s="10">
        <v>390.0</v>
      </c>
      <c r="K95" s="10">
        <v>393.0</v>
      </c>
      <c r="L95" s="10">
        <v>1.0</v>
      </c>
      <c r="M95" s="10">
        <v>10.0</v>
      </c>
      <c r="N95" s="10">
        <v>390.0</v>
      </c>
      <c r="O95" s="6" t="s">
        <v>53</v>
      </c>
      <c r="P95" s="11">
        <f t="shared" si="1"/>
        <v>196</v>
      </c>
    </row>
    <row r="96" ht="18.0" customHeight="1">
      <c r="A96" s="7">
        <v>44478.0</v>
      </c>
      <c r="B96" s="8">
        <v>44478.708344907405</v>
      </c>
      <c r="C96" s="6" t="s">
        <v>26</v>
      </c>
      <c r="D96" s="6" t="s">
        <v>313</v>
      </c>
      <c r="E96" s="6" t="s">
        <v>28</v>
      </c>
      <c r="F96" s="6" t="s">
        <v>34</v>
      </c>
      <c r="G96" s="6" t="s">
        <v>314</v>
      </c>
      <c r="H96" s="9" t="s">
        <v>315</v>
      </c>
      <c r="I96" s="10">
        <v>1.0</v>
      </c>
      <c r="J96" s="10">
        <v>857.0</v>
      </c>
      <c r="K96" s="10">
        <v>893.0</v>
      </c>
      <c r="L96" s="10">
        <v>90.0</v>
      </c>
      <c r="M96" s="10">
        <v>30.0</v>
      </c>
      <c r="N96" s="10">
        <v>857.0</v>
      </c>
      <c r="O96" s="6" t="s">
        <v>31</v>
      </c>
      <c r="P96" s="11">
        <f t="shared" si="1"/>
        <v>199</v>
      </c>
    </row>
    <row r="97" ht="18.0" customHeight="1">
      <c r="A97" s="7">
        <v>44520.0</v>
      </c>
      <c r="B97" s="8">
        <v>44520.291712962964</v>
      </c>
      <c r="C97" s="6" t="s">
        <v>26</v>
      </c>
      <c r="D97" s="6" t="s">
        <v>316</v>
      </c>
      <c r="E97" s="6" t="s">
        <v>28</v>
      </c>
      <c r="F97" s="6" t="s">
        <v>34</v>
      </c>
      <c r="G97" s="6" t="s">
        <v>317</v>
      </c>
      <c r="H97" s="9" t="s">
        <v>318</v>
      </c>
      <c r="I97" s="10">
        <v>1.0</v>
      </c>
      <c r="J97" s="10">
        <v>954.0</v>
      </c>
      <c r="K97" s="10">
        <v>991.0</v>
      </c>
      <c r="L97" s="10">
        <v>78.0</v>
      </c>
      <c r="M97" s="10">
        <v>16.0</v>
      </c>
      <c r="N97" s="10">
        <v>954.0</v>
      </c>
      <c r="O97" s="6" t="s">
        <v>31</v>
      </c>
      <c r="P97" s="11">
        <f t="shared" si="1"/>
        <v>200</v>
      </c>
    </row>
    <row r="98" ht="18.0" customHeight="1">
      <c r="A98" s="7">
        <v>44547.0</v>
      </c>
      <c r="B98" s="8">
        <v>44547.782118055555</v>
      </c>
      <c r="C98" s="6" t="s">
        <v>26</v>
      </c>
      <c r="D98" s="6" t="s">
        <v>319</v>
      </c>
      <c r="E98" s="6" t="s">
        <v>61</v>
      </c>
      <c r="F98" s="6" t="s">
        <v>62</v>
      </c>
      <c r="G98" s="6" t="s">
        <v>320</v>
      </c>
      <c r="H98" s="9" t="s">
        <v>321</v>
      </c>
      <c r="I98" s="10">
        <v>1.0</v>
      </c>
      <c r="J98" s="10">
        <v>324.0</v>
      </c>
      <c r="K98" s="10">
        <v>437.0</v>
      </c>
      <c r="L98" s="10">
        <v>305.0</v>
      </c>
      <c r="M98" s="10">
        <v>69.0</v>
      </c>
      <c r="N98" s="10">
        <v>324.0</v>
      </c>
      <c r="O98" s="6" t="s">
        <v>31</v>
      </c>
      <c r="P98" s="11">
        <f t="shared" si="1"/>
        <v>200</v>
      </c>
    </row>
    <row r="99" ht="18.0" customHeight="1">
      <c r="A99" s="7">
        <v>44546.0</v>
      </c>
      <c r="B99" s="8">
        <v>44546.54168981482</v>
      </c>
      <c r="C99" s="6" t="s">
        <v>26</v>
      </c>
      <c r="D99" s="6" t="s">
        <v>322</v>
      </c>
      <c r="E99" s="6" t="s">
        <v>61</v>
      </c>
      <c r="F99" s="6" t="s">
        <v>76</v>
      </c>
      <c r="G99" s="6" t="s">
        <v>323</v>
      </c>
      <c r="H99" s="9" t="s">
        <v>324</v>
      </c>
      <c r="I99" s="10">
        <v>1.0</v>
      </c>
      <c r="J99" s="10">
        <v>629.0</v>
      </c>
      <c r="K99" s="10">
        <v>682.0</v>
      </c>
      <c r="L99" s="10">
        <v>34.0</v>
      </c>
      <c r="M99" s="10">
        <v>10.0</v>
      </c>
      <c r="N99" s="10">
        <v>629.0</v>
      </c>
      <c r="O99" s="6" t="s">
        <v>31</v>
      </c>
      <c r="P99" s="11">
        <f t="shared" si="1"/>
        <v>201</v>
      </c>
    </row>
    <row r="100" ht="18.0" customHeight="1">
      <c r="A100" s="7">
        <v>44520.0</v>
      </c>
      <c r="B100" s="8">
        <v>44520.62501157408</v>
      </c>
      <c r="C100" s="6" t="s">
        <v>26</v>
      </c>
      <c r="D100" s="6" t="s">
        <v>325</v>
      </c>
      <c r="E100" s="6" t="s">
        <v>28</v>
      </c>
      <c r="F100" s="6" t="s">
        <v>34</v>
      </c>
      <c r="G100" s="6" t="s">
        <v>326</v>
      </c>
      <c r="H100" s="9" t="s">
        <v>327</v>
      </c>
      <c r="I100" s="10">
        <v>1.0</v>
      </c>
      <c r="J100" s="10">
        <v>1519.0</v>
      </c>
      <c r="K100" s="10">
        <v>1572.0</v>
      </c>
      <c r="L100" s="10">
        <v>253.0</v>
      </c>
      <c r="M100" s="10">
        <v>21.0</v>
      </c>
      <c r="N100" s="10">
        <v>1519.0</v>
      </c>
      <c r="O100" s="6" t="s">
        <v>31</v>
      </c>
      <c r="P100" s="11">
        <f t="shared" si="1"/>
        <v>202</v>
      </c>
    </row>
    <row r="101" ht="18.0" customHeight="1">
      <c r="A101" s="7">
        <v>44496.0</v>
      </c>
      <c r="B101" s="8">
        <v>44496.85076388889</v>
      </c>
      <c r="C101" s="6" t="s">
        <v>50</v>
      </c>
      <c r="D101" s="6" t="s">
        <v>328</v>
      </c>
      <c r="E101" s="6" t="s">
        <v>33</v>
      </c>
      <c r="F101" s="6" t="s">
        <v>62</v>
      </c>
      <c r="G101" s="6" t="s">
        <v>329</v>
      </c>
      <c r="H101" s="9" t="s">
        <v>330</v>
      </c>
      <c r="I101" s="10">
        <v>1.0</v>
      </c>
      <c r="J101" s="10">
        <v>628.0</v>
      </c>
      <c r="K101" s="10">
        <v>643.0</v>
      </c>
      <c r="L101" s="10">
        <v>2.0</v>
      </c>
      <c r="M101" s="10">
        <v>29.0</v>
      </c>
      <c r="N101" s="10">
        <v>628.0</v>
      </c>
      <c r="O101" s="6" t="s">
        <v>53</v>
      </c>
      <c r="P101" s="11">
        <f t="shared" si="1"/>
        <v>202</v>
      </c>
    </row>
    <row r="102" ht="18.0" customHeight="1">
      <c r="A102" s="7">
        <v>44473.0</v>
      </c>
      <c r="B102" s="8">
        <v>44473.750185185185</v>
      </c>
      <c r="C102" s="6" t="s">
        <v>26</v>
      </c>
      <c r="D102" s="6" t="s">
        <v>331</v>
      </c>
      <c r="E102" s="6" t="s">
        <v>28</v>
      </c>
      <c r="F102" s="6" t="s">
        <v>34</v>
      </c>
      <c r="G102" s="6" t="s">
        <v>332</v>
      </c>
      <c r="H102" s="9" t="s">
        <v>333</v>
      </c>
      <c r="I102" s="10">
        <v>1.0</v>
      </c>
      <c r="J102" s="10">
        <v>1651.0</v>
      </c>
      <c r="K102" s="10">
        <v>1703.0</v>
      </c>
      <c r="L102" s="10">
        <v>152.0</v>
      </c>
      <c r="M102" s="10">
        <v>11.0</v>
      </c>
      <c r="N102" s="10">
        <v>1651.0</v>
      </c>
      <c r="O102" s="6" t="s">
        <v>31</v>
      </c>
      <c r="P102" s="11">
        <f t="shared" si="1"/>
        <v>203</v>
      </c>
    </row>
    <row r="103" ht="18.0" customHeight="1">
      <c r="A103" s="7">
        <v>44470.0</v>
      </c>
      <c r="B103" s="8">
        <v>44470.541712962964</v>
      </c>
      <c r="C103" s="6" t="s">
        <v>26</v>
      </c>
      <c r="D103" s="6" t="s">
        <v>334</v>
      </c>
      <c r="E103" s="6" t="s">
        <v>61</v>
      </c>
      <c r="F103" s="6" t="s">
        <v>62</v>
      </c>
      <c r="G103" s="6" t="s">
        <v>335</v>
      </c>
      <c r="H103" s="9" t="s">
        <v>336</v>
      </c>
      <c r="I103" s="10">
        <v>1.0</v>
      </c>
      <c r="J103" s="10">
        <v>1218.0</v>
      </c>
      <c r="K103" s="10">
        <v>1390.0</v>
      </c>
      <c r="L103" s="10">
        <v>137.0</v>
      </c>
      <c r="M103" s="10">
        <v>56.0</v>
      </c>
      <c r="N103" s="10">
        <v>1218.0</v>
      </c>
      <c r="O103" s="6" t="s">
        <v>31</v>
      </c>
      <c r="P103" s="11">
        <f t="shared" si="1"/>
        <v>204</v>
      </c>
    </row>
    <row r="104" ht="18.0" customHeight="1">
      <c r="A104" s="7">
        <v>44553.0</v>
      </c>
      <c r="B104" s="8">
        <v>44553.83335648148</v>
      </c>
      <c r="C104" s="6" t="s">
        <v>26</v>
      </c>
      <c r="D104" s="6" t="s">
        <v>337</v>
      </c>
      <c r="E104" s="6" t="s">
        <v>61</v>
      </c>
      <c r="F104" s="6" t="s">
        <v>62</v>
      </c>
      <c r="G104" s="6" t="s">
        <v>338</v>
      </c>
      <c r="H104" s="9" t="s">
        <v>339</v>
      </c>
      <c r="I104" s="10">
        <v>1.0</v>
      </c>
      <c r="J104" s="10">
        <v>402.0</v>
      </c>
      <c r="K104" s="10">
        <v>445.0</v>
      </c>
      <c r="L104" s="10">
        <v>13.0</v>
      </c>
      <c r="M104" s="10">
        <v>7.0</v>
      </c>
      <c r="N104" s="10">
        <v>402.0</v>
      </c>
      <c r="O104" s="6" t="s">
        <v>31</v>
      </c>
      <c r="P104" s="11">
        <f t="shared" si="1"/>
        <v>204</v>
      </c>
    </row>
    <row r="105" ht="18.0" customHeight="1">
      <c r="A105" s="7">
        <v>44505.0</v>
      </c>
      <c r="B105" s="8">
        <v>44505.58335648148</v>
      </c>
      <c r="C105" s="6" t="s">
        <v>26</v>
      </c>
      <c r="D105" s="6" t="s">
        <v>340</v>
      </c>
      <c r="E105" s="6" t="s">
        <v>28</v>
      </c>
      <c r="F105" s="6" t="s">
        <v>34</v>
      </c>
      <c r="G105" s="6" t="s">
        <v>341</v>
      </c>
      <c r="H105" s="9" t="s">
        <v>342</v>
      </c>
      <c r="I105" s="10">
        <v>1.0</v>
      </c>
      <c r="J105" s="10">
        <v>6584.0</v>
      </c>
      <c r="K105" s="10">
        <v>6781.0</v>
      </c>
      <c r="L105" s="10">
        <v>167.0</v>
      </c>
      <c r="M105" s="10">
        <v>93.0</v>
      </c>
      <c r="N105" s="10">
        <v>6584.0</v>
      </c>
      <c r="O105" s="6" t="s">
        <v>31</v>
      </c>
      <c r="P105" s="11">
        <f t="shared" si="1"/>
        <v>206</v>
      </c>
    </row>
    <row r="106" ht="18.0" customHeight="1">
      <c r="A106" s="7">
        <v>44502.0</v>
      </c>
      <c r="B106" s="8">
        <v>44502.75059027778</v>
      </c>
      <c r="C106" s="6" t="s">
        <v>26</v>
      </c>
      <c r="D106" s="6" t="s">
        <v>343</v>
      </c>
      <c r="E106" s="6" t="s">
        <v>72</v>
      </c>
      <c r="F106" s="6" t="s">
        <v>44</v>
      </c>
      <c r="G106" s="6" t="s">
        <v>344</v>
      </c>
      <c r="H106" s="9" t="s">
        <v>345</v>
      </c>
      <c r="I106" s="10">
        <v>1.0</v>
      </c>
      <c r="J106" s="10">
        <v>297.0</v>
      </c>
      <c r="K106" s="10">
        <v>308.0</v>
      </c>
      <c r="L106" s="10">
        <v>34.0</v>
      </c>
      <c r="M106" s="10">
        <v>13.0</v>
      </c>
      <c r="N106" s="10">
        <v>297.0</v>
      </c>
      <c r="O106" s="6" t="s">
        <v>31</v>
      </c>
      <c r="P106" s="11">
        <f t="shared" si="1"/>
        <v>207</v>
      </c>
    </row>
    <row r="107" ht="18.0" customHeight="1">
      <c r="A107" s="7">
        <v>44530.0</v>
      </c>
      <c r="B107" s="8">
        <v>44530.458344907405</v>
      </c>
      <c r="C107" s="6" t="s">
        <v>26</v>
      </c>
      <c r="D107" s="6" t="s">
        <v>346</v>
      </c>
      <c r="E107" s="6" t="s">
        <v>28</v>
      </c>
      <c r="F107" s="6" t="s">
        <v>34</v>
      </c>
      <c r="G107" s="6" t="s">
        <v>347</v>
      </c>
      <c r="H107" s="9" t="s">
        <v>348</v>
      </c>
      <c r="I107" s="10">
        <v>1.0</v>
      </c>
      <c r="J107" s="10">
        <v>6390.0</v>
      </c>
      <c r="K107" s="10">
        <v>6697.0</v>
      </c>
      <c r="L107" s="10">
        <v>178.0</v>
      </c>
      <c r="M107" s="10">
        <v>35.0</v>
      </c>
      <c r="N107" s="10">
        <v>6390.0</v>
      </c>
      <c r="O107" s="6" t="s">
        <v>31</v>
      </c>
      <c r="P107" s="11">
        <f t="shared" si="1"/>
        <v>207</v>
      </c>
    </row>
    <row r="108" ht="18.0" customHeight="1">
      <c r="A108" s="7">
        <v>44553.0</v>
      </c>
      <c r="B108" s="8">
        <v>44553.66668981482</v>
      </c>
      <c r="C108" s="6" t="s">
        <v>26</v>
      </c>
      <c r="D108" s="6" t="s">
        <v>349</v>
      </c>
      <c r="E108" s="6" t="s">
        <v>61</v>
      </c>
      <c r="F108" s="6" t="s">
        <v>62</v>
      </c>
      <c r="G108" s="6" t="s">
        <v>350</v>
      </c>
      <c r="H108" s="9" t="s">
        <v>351</v>
      </c>
      <c r="I108" s="10">
        <v>1.0</v>
      </c>
      <c r="J108" s="10">
        <v>612.0</v>
      </c>
      <c r="K108" s="10">
        <v>665.0</v>
      </c>
      <c r="L108" s="10">
        <v>39.0</v>
      </c>
      <c r="M108" s="10">
        <v>7.0</v>
      </c>
      <c r="N108" s="10">
        <v>612.0</v>
      </c>
      <c r="O108" s="6" t="s">
        <v>31</v>
      </c>
      <c r="P108" s="11">
        <f t="shared" si="1"/>
        <v>207</v>
      </c>
    </row>
    <row r="109" ht="18.0" customHeight="1">
      <c r="A109" s="7">
        <v>44501.0</v>
      </c>
      <c r="B109" s="8">
        <v>44501.45835648148</v>
      </c>
      <c r="C109" s="6" t="s">
        <v>26</v>
      </c>
      <c r="D109" s="6" t="s">
        <v>352</v>
      </c>
      <c r="E109" s="6" t="s">
        <v>28</v>
      </c>
      <c r="F109" s="6" t="s">
        <v>229</v>
      </c>
      <c r="G109" s="6" t="s">
        <v>353</v>
      </c>
      <c r="H109" s="9" t="s">
        <v>354</v>
      </c>
      <c r="I109" s="10">
        <v>1.0</v>
      </c>
      <c r="J109" s="10">
        <v>4176.0</v>
      </c>
      <c r="K109" s="10">
        <v>4768.0</v>
      </c>
      <c r="L109" s="10">
        <v>343.0</v>
      </c>
      <c r="M109" s="10">
        <v>256.0</v>
      </c>
      <c r="N109" s="10">
        <v>4176.0</v>
      </c>
      <c r="O109" s="6" t="s">
        <v>31</v>
      </c>
      <c r="P109" s="11">
        <f t="shared" si="1"/>
        <v>208</v>
      </c>
    </row>
    <row r="110" ht="18.0" customHeight="1">
      <c r="A110" s="7">
        <v>44539.0</v>
      </c>
      <c r="B110" s="8">
        <v>44539.39586805556</v>
      </c>
      <c r="C110" s="6" t="s">
        <v>50</v>
      </c>
      <c r="D110" s="6" t="s">
        <v>355</v>
      </c>
      <c r="E110" s="6" t="s">
        <v>28</v>
      </c>
      <c r="F110" s="6" t="s">
        <v>34</v>
      </c>
      <c r="G110" s="6" t="s">
        <v>356</v>
      </c>
      <c r="H110" s="9" t="s">
        <v>357</v>
      </c>
      <c r="I110" s="10">
        <v>1.0</v>
      </c>
      <c r="J110" s="10">
        <v>569.0</v>
      </c>
      <c r="K110" s="10">
        <v>573.0</v>
      </c>
      <c r="L110" s="10">
        <v>14.0</v>
      </c>
      <c r="M110" s="10">
        <v>41.0</v>
      </c>
      <c r="N110" s="10">
        <v>569.0</v>
      </c>
      <c r="O110" s="6" t="s">
        <v>53</v>
      </c>
      <c r="P110" s="11">
        <f t="shared" si="1"/>
        <v>208</v>
      </c>
    </row>
    <row r="111" ht="18.0" customHeight="1">
      <c r="A111" s="7">
        <v>44509.0</v>
      </c>
      <c r="B111" s="8">
        <v>44509.333344907405</v>
      </c>
      <c r="C111" s="6" t="s">
        <v>26</v>
      </c>
      <c r="D111" s="6" t="s">
        <v>358</v>
      </c>
      <c r="E111" s="6" t="s">
        <v>28</v>
      </c>
      <c r="F111" s="6" t="s">
        <v>34</v>
      </c>
      <c r="G111" s="6" t="s">
        <v>359</v>
      </c>
      <c r="H111" s="9" t="s">
        <v>360</v>
      </c>
      <c r="I111" s="10">
        <v>1.0</v>
      </c>
      <c r="J111" s="10">
        <v>7509.0</v>
      </c>
      <c r="K111" s="10">
        <v>7823.0</v>
      </c>
      <c r="L111" s="10">
        <v>295.0</v>
      </c>
      <c r="M111" s="10">
        <v>100.0</v>
      </c>
      <c r="N111" s="10">
        <v>7509.0</v>
      </c>
      <c r="O111" s="6" t="s">
        <v>31</v>
      </c>
      <c r="P111" s="11">
        <f t="shared" si="1"/>
        <v>209</v>
      </c>
    </row>
    <row r="112" ht="18.0" customHeight="1">
      <c r="A112" s="7">
        <v>44484.0</v>
      </c>
      <c r="B112" s="8">
        <v>44484.69501157408</v>
      </c>
      <c r="C112" s="6" t="s">
        <v>26</v>
      </c>
      <c r="D112" s="6" t="s">
        <v>361</v>
      </c>
      <c r="E112" s="6" t="s">
        <v>61</v>
      </c>
      <c r="F112" s="6" t="s">
        <v>62</v>
      </c>
      <c r="G112" s="6" t="s">
        <v>362</v>
      </c>
      <c r="H112" s="9" t="s">
        <v>363</v>
      </c>
      <c r="I112" s="10">
        <v>1.0</v>
      </c>
      <c r="J112" s="10">
        <v>1368.0</v>
      </c>
      <c r="K112" s="10">
        <v>1446.0</v>
      </c>
      <c r="L112" s="10">
        <v>209.0</v>
      </c>
      <c r="M112" s="10">
        <v>86.0</v>
      </c>
      <c r="N112" s="10">
        <v>1368.0</v>
      </c>
      <c r="O112" s="6" t="s">
        <v>31</v>
      </c>
      <c r="P112" s="11">
        <f t="shared" si="1"/>
        <v>210</v>
      </c>
    </row>
    <row r="113" ht="18.0" customHeight="1">
      <c r="A113" s="7">
        <v>44492.0</v>
      </c>
      <c r="B113" s="8">
        <v>44492.708333333336</v>
      </c>
      <c r="C113" s="6" t="s">
        <v>26</v>
      </c>
      <c r="D113" s="6" t="s">
        <v>364</v>
      </c>
      <c r="E113" s="6" t="s">
        <v>28</v>
      </c>
      <c r="F113" s="6" t="s">
        <v>34</v>
      </c>
      <c r="G113" s="6" t="s">
        <v>365</v>
      </c>
      <c r="H113" s="9" t="s">
        <v>366</v>
      </c>
      <c r="I113" s="10">
        <v>1.0</v>
      </c>
      <c r="J113" s="10">
        <v>521.0</v>
      </c>
      <c r="K113" s="10">
        <v>538.0</v>
      </c>
      <c r="L113" s="10">
        <v>55.0</v>
      </c>
      <c r="M113" s="10">
        <v>5.0</v>
      </c>
      <c r="N113" s="10">
        <v>521.0</v>
      </c>
      <c r="O113" s="6" t="s">
        <v>31</v>
      </c>
      <c r="P113" s="11">
        <f t="shared" si="1"/>
        <v>211</v>
      </c>
    </row>
    <row r="114" ht="18.0" customHeight="1">
      <c r="A114" s="7">
        <v>44524.0</v>
      </c>
      <c r="B114" s="8">
        <v>44524.33335648148</v>
      </c>
      <c r="C114" s="6" t="s">
        <v>26</v>
      </c>
      <c r="D114" s="6" t="s">
        <v>367</v>
      </c>
      <c r="E114" s="6" t="s">
        <v>28</v>
      </c>
      <c r="F114" s="6" t="s">
        <v>34</v>
      </c>
      <c r="G114" s="6" t="s">
        <v>368</v>
      </c>
      <c r="H114" s="9" t="s">
        <v>369</v>
      </c>
      <c r="I114" s="10">
        <v>1.0</v>
      </c>
      <c r="J114" s="10">
        <v>6012.0</v>
      </c>
      <c r="K114" s="10">
        <v>6072.0</v>
      </c>
      <c r="L114" s="10">
        <v>57.0</v>
      </c>
      <c r="M114" s="10">
        <v>27.0</v>
      </c>
      <c r="N114" s="10">
        <v>6012.0</v>
      </c>
      <c r="O114" s="6" t="s">
        <v>31</v>
      </c>
      <c r="P114" s="11">
        <f t="shared" si="1"/>
        <v>211</v>
      </c>
    </row>
    <row r="115" ht="18.0" customHeight="1">
      <c r="A115" s="7">
        <v>44549.0</v>
      </c>
      <c r="B115" s="8">
        <v>44549.75001157408</v>
      </c>
      <c r="C115" s="6" t="s">
        <v>26</v>
      </c>
      <c r="D115" s="6" t="s">
        <v>370</v>
      </c>
      <c r="E115" s="6" t="s">
        <v>28</v>
      </c>
      <c r="F115" s="6" t="s">
        <v>34</v>
      </c>
      <c r="G115" s="6" t="s">
        <v>371</v>
      </c>
      <c r="H115" s="9" t="s">
        <v>372</v>
      </c>
      <c r="I115" s="10">
        <v>1.0</v>
      </c>
      <c r="J115" s="10">
        <v>414.0</v>
      </c>
      <c r="K115" s="10">
        <v>424.0</v>
      </c>
      <c r="L115" s="10">
        <v>47.0</v>
      </c>
      <c r="M115" s="10">
        <v>14.0</v>
      </c>
      <c r="N115" s="10">
        <v>414.0</v>
      </c>
      <c r="O115" s="6" t="s">
        <v>31</v>
      </c>
      <c r="P115" s="11">
        <f t="shared" si="1"/>
        <v>211</v>
      </c>
    </row>
    <row r="116" ht="18.0" customHeight="1">
      <c r="A116" s="7">
        <v>44476.0</v>
      </c>
      <c r="B116" s="8">
        <v>44476.62501157408</v>
      </c>
      <c r="C116" s="6" t="s">
        <v>26</v>
      </c>
      <c r="D116" s="6" t="s">
        <v>373</v>
      </c>
      <c r="E116" s="6" t="s">
        <v>61</v>
      </c>
      <c r="F116" s="6" t="s">
        <v>62</v>
      </c>
      <c r="G116" s="6" t="s">
        <v>374</v>
      </c>
      <c r="H116" s="9" t="s">
        <v>375</v>
      </c>
      <c r="I116" s="10">
        <v>1.0</v>
      </c>
      <c r="J116" s="10">
        <v>1163.0</v>
      </c>
      <c r="K116" s="10">
        <v>1275.0</v>
      </c>
      <c r="L116" s="10">
        <v>147.0</v>
      </c>
      <c r="M116" s="10">
        <v>53.0</v>
      </c>
      <c r="N116" s="10">
        <v>1163.0</v>
      </c>
      <c r="O116" s="6" t="s">
        <v>31</v>
      </c>
      <c r="P116" s="11">
        <f t="shared" si="1"/>
        <v>212</v>
      </c>
    </row>
    <row r="117" ht="18.0" customHeight="1">
      <c r="A117" s="7">
        <v>44472.0</v>
      </c>
      <c r="B117" s="8">
        <v>44472.37532407408</v>
      </c>
      <c r="C117" s="6" t="s">
        <v>26</v>
      </c>
      <c r="D117" s="6" t="s">
        <v>376</v>
      </c>
      <c r="E117" s="6" t="s">
        <v>72</v>
      </c>
      <c r="F117" s="6" t="s">
        <v>44</v>
      </c>
      <c r="G117" s="6" t="s">
        <v>377</v>
      </c>
      <c r="H117" s="9" t="s">
        <v>378</v>
      </c>
      <c r="I117" s="10">
        <v>1.0</v>
      </c>
      <c r="J117" s="10">
        <v>68.0</v>
      </c>
      <c r="K117" s="10">
        <v>73.0</v>
      </c>
      <c r="L117" s="10">
        <v>2.0</v>
      </c>
      <c r="M117" s="10"/>
      <c r="N117" s="10">
        <v>68.0</v>
      </c>
      <c r="O117" s="6" t="s">
        <v>31</v>
      </c>
      <c r="P117" s="11">
        <f t="shared" si="1"/>
        <v>213</v>
      </c>
    </row>
    <row r="118" ht="18.0" customHeight="1">
      <c r="A118" s="7">
        <v>44472.0</v>
      </c>
      <c r="B118" s="8">
        <v>44472.37568287037</v>
      </c>
      <c r="C118" s="6" t="s">
        <v>26</v>
      </c>
      <c r="D118" s="6" t="s">
        <v>379</v>
      </c>
      <c r="E118" s="6" t="s">
        <v>72</v>
      </c>
      <c r="F118" s="6" t="s">
        <v>44</v>
      </c>
      <c r="G118" s="6" t="s">
        <v>377</v>
      </c>
      <c r="H118" s="9" t="s">
        <v>380</v>
      </c>
      <c r="I118" s="10">
        <v>1.0</v>
      </c>
      <c r="J118" s="10">
        <v>163.0</v>
      </c>
      <c r="K118" s="10">
        <v>167.0</v>
      </c>
      <c r="L118" s="10">
        <v>9.0</v>
      </c>
      <c r="M118" s="10">
        <v>6.0</v>
      </c>
      <c r="N118" s="10">
        <v>163.0</v>
      </c>
      <c r="O118" s="6" t="s">
        <v>31</v>
      </c>
      <c r="P118" s="11">
        <f t="shared" si="1"/>
        <v>213</v>
      </c>
    </row>
    <row r="119" ht="18.0" customHeight="1">
      <c r="A119" s="7">
        <v>44504.0</v>
      </c>
      <c r="B119" s="8">
        <v>44504.83342592593</v>
      </c>
      <c r="C119" s="6" t="s">
        <v>26</v>
      </c>
      <c r="D119" s="6" t="s">
        <v>381</v>
      </c>
      <c r="E119" s="6" t="s">
        <v>28</v>
      </c>
      <c r="F119" s="6" t="s">
        <v>229</v>
      </c>
      <c r="G119" s="6" t="s">
        <v>382</v>
      </c>
      <c r="H119" s="9" t="s">
        <v>383</v>
      </c>
      <c r="I119" s="10">
        <v>1.0</v>
      </c>
      <c r="J119" s="10">
        <v>1889.0</v>
      </c>
      <c r="K119" s="10">
        <v>1972.0</v>
      </c>
      <c r="L119" s="10">
        <v>62.0</v>
      </c>
      <c r="M119" s="10">
        <v>43.0</v>
      </c>
      <c r="N119" s="10">
        <v>1889.0</v>
      </c>
      <c r="O119" s="6" t="s">
        <v>31</v>
      </c>
      <c r="P119" s="11">
        <f t="shared" si="1"/>
        <v>213</v>
      </c>
    </row>
    <row r="120" ht="18.0" customHeight="1">
      <c r="A120" s="7">
        <v>44511.0</v>
      </c>
      <c r="B120" s="8">
        <v>44511.41668981482</v>
      </c>
      <c r="C120" s="6" t="s">
        <v>26</v>
      </c>
      <c r="D120" s="6" t="s">
        <v>384</v>
      </c>
      <c r="E120" s="6" t="s">
        <v>28</v>
      </c>
      <c r="F120" s="6" t="s">
        <v>34</v>
      </c>
      <c r="G120" s="6" t="s">
        <v>385</v>
      </c>
      <c r="H120" s="9" t="s">
        <v>386</v>
      </c>
      <c r="I120" s="10">
        <v>1.0</v>
      </c>
      <c r="J120" s="10">
        <v>4452.0</v>
      </c>
      <c r="K120" s="10">
        <v>4501.0</v>
      </c>
      <c r="L120" s="10">
        <v>128.0</v>
      </c>
      <c r="M120" s="10">
        <v>16.0</v>
      </c>
      <c r="N120" s="10">
        <v>4452.0</v>
      </c>
      <c r="O120" s="6" t="s">
        <v>31</v>
      </c>
      <c r="P120" s="11">
        <f t="shared" si="1"/>
        <v>213</v>
      </c>
    </row>
    <row r="121" ht="18.0" customHeight="1">
      <c r="A121" s="7">
        <v>44523.0</v>
      </c>
      <c r="B121" s="8">
        <v>44523.41668981482</v>
      </c>
      <c r="C121" s="6" t="s">
        <v>26</v>
      </c>
      <c r="D121" s="6" t="s">
        <v>387</v>
      </c>
      <c r="E121" s="6" t="s">
        <v>28</v>
      </c>
      <c r="F121" s="6" t="s">
        <v>34</v>
      </c>
      <c r="G121" s="6" t="s">
        <v>388</v>
      </c>
      <c r="H121" s="9" t="s">
        <v>389</v>
      </c>
      <c r="I121" s="10">
        <v>1.0</v>
      </c>
      <c r="J121" s="10">
        <v>8986.0</v>
      </c>
      <c r="K121" s="10">
        <v>9774.0</v>
      </c>
      <c r="L121" s="10">
        <v>402.0</v>
      </c>
      <c r="M121" s="10">
        <v>125.0</v>
      </c>
      <c r="N121" s="10">
        <v>8986.0</v>
      </c>
      <c r="O121" s="6" t="s">
        <v>31</v>
      </c>
      <c r="P121" s="11">
        <f t="shared" si="1"/>
        <v>213</v>
      </c>
    </row>
    <row r="122" ht="18.0" customHeight="1">
      <c r="A122" s="7">
        <v>44523.0</v>
      </c>
      <c r="B122" s="8">
        <v>44523.58341435185</v>
      </c>
      <c r="C122" s="6" t="s">
        <v>26</v>
      </c>
      <c r="D122" s="6" t="s">
        <v>390</v>
      </c>
      <c r="E122" s="6" t="s">
        <v>28</v>
      </c>
      <c r="F122" s="6" t="s">
        <v>34</v>
      </c>
      <c r="G122" s="6" t="s">
        <v>391</v>
      </c>
      <c r="H122" s="9" t="s">
        <v>392</v>
      </c>
      <c r="I122" s="10">
        <v>1.0</v>
      </c>
      <c r="J122" s="10">
        <v>751.0</v>
      </c>
      <c r="K122" s="10">
        <v>782.0</v>
      </c>
      <c r="L122" s="10">
        <v>73.0</v>
      </c>
      <c r="M122" s="10">
        <v>15.0</v>
      </c>
      <c r="N122" s="10">
        <v>751.0</v>
      </c>
      <c r="O122" s="6" t="s">
        <v>31</v>
      </c>
      <c r="P122" s="11">
        <f t="shared" si="1"/>
        <v>213</v>
      </c>
    </row>
    <row r="123" ht="18.0" customHeight="1">
      <c r="A123" s="7">
        <v>44553.0</v>
      </c>
      <c r="B123" s="8">
        <v>44553.5</v>
      </c>
      <c r="C123" s="6" t="s">
        <v>26</v>
      </c>
      <c r="D123" s="6" t="s">
        <v>393</v>
      </c>
      <c r="E123" s="6" t="s">
        <v>28</v>
      </c>
      <c r="F123" s="6" t="s">
        <v>34</v>
      </c>
      <c r="G123" s="6" t="s">
        <v>394</v>
      </c>
      <c r="H123" s="9" t="s">
        <v>395</v>
      </c>
      <c r="I123" s="10">
        <v>1.0</v>
      </c>
      <c r="J123" s="10">
        <v>4476.0</v>
      </c>
      <c r="K123" s="10">
        <v>4845.0</v>
      </c>
      <c r="L123" s="10">
        <v>735.0</v>
      </c>
      <c r="M123" s="10">
        <v>658.0</v>
      </c>
      <c r="N123" s="10">
        <v>4476.0</v>
      </c>
      <c r="O123" s="6" t="s">
        <v>31</v>
      </c>
      <c r="P123" s="11">
        <f t="shared" si="1"/>
        <v>213</v>
      </c>
    </row>
    <row r="124" ht="18.0" customHeight="1">
      <c r="A124" s="7">
        <v>44532.0</v>
      </c>
      <c r="B124" s="8">
        <v>44532.62547453704</v>
      </c>
      <c r="C124" s="6" t="s">
        <v>50</v>
      </c>
      <c r="D124" s="6" t="s">
        <v>396</v>
      </c>
      <c r="E124" s="6" t="s">
        <v>28</v>
      </c>
      <c r="F124" s="6" t="s">
        <v>229</v>
      </c>
      <c r="G124" s="6" t="s">
        <v>397</v>
      </c>
      <c r="H124" s="9" t="s">
        <v>398</v>
      </c>
      <c r="I124" s="10">
        <v>1.0</v>
      </c>
      <c r="J124" s="10">
        <v>257.0</v>
      </c>
      <c r="K124" s="10">
        <v>262.0</v>
      </c>
      <c r="L124" s="10">
        <v>13.0</v>
      </c>
      <c r="M124" s="10">
        <v>20.0</v>
      </c>
      <c r="N124" s="10">
        <v>257.0</v>
      </c>
      <c r="O124" s="6" t="s">
        <v>53</v>
      </c>
      <c r="P124" s="11">
        <f t="shared" si="1"/>
        <v>214</v>
      </c>
    </row>
    <row r="125" ht="18.0" customHeight="1">
      <c r="A125" s="7">
        <v>44525.0</v>
      </c>
      <c r="B125" s="8">
        <v>44525.66667824074</v>
      </c>
      <c r="C125" s="6" t="s">
        <v>26</v>
      </c>
      <c r="D125" s="6" t="s">
        <v>399</v>
      </c>
      <c r="E125" s="6" t="s">
        <v>28</v>
      </c>
      <c r="F125" s="6" t="s">
        <v>229</v>
      </c>
      <c r="G125" s="6" t="s">
        <v>400</v>
      </c>
      <c r="H125" s="9" t="s">
        <v>401</v>
      </c>
      <c r="I125" s="10">
        <v>1.0</v>
      </c>
      <c r="J125" s="10">
        <v>663.0</v>
      </c>
      <c r="K125" s="10">
        <v>693.0</v>
      </c>
      <c r="L125" s="10">
        <v>55.0</v>
      </c>
      <c r="M125" s="10">
        <v>11.0</v>
      </c>
      <c r="N125" s="10">
        <v>663.0</v>
      </c>
      <c r="O125" s="6" t="s">
        <v>31</v>
      </c>
      <c r="P125" s="11">
        <f t="shared" si="1"/>
        <v>215</v>
      </c>
    </row>
    <row r="126" ht="18.0" customHeight="1">
      <c r="A126" s="7">
        <v>44552.0</v>
      </c>
      <c r="B126" s="8">
        <v>44552.7053125</v>
      </c>
      <c r="C126" s="6" t="s">
        <v>50</v>
      </c>
      <c r="D126" s="6" t="s">
        <v>402</v>
      </c>
      <c r="E126" s="6" t="s">
        <v>72</v>
      </c>
      <c r="F126" s="6" t="s">
        <v>44</v>
      </c>
      <c r="G126" s="6" t="s">
        <v>403</v>
      </c>
      <c r="H126" s="9" t="s">
        <v>404</v>
      </c>
      <c r="I126" s="10">
        <v>1.0</v>
      </c>
      <c r="J126" s="10">
        <v>40.0</v>
      </c>
      <c r="K126" s="10">
        <v>41.0</v>
      </c>
      <c r="L126" s="10">
        <v>0.0</v>
      </c>
      <c r="N126" s="10">
        <v>40.0</v>
      </c>
      <c r="O126" s="6" t="s">
        <v>53</v>
      </c>
      <c r="P126" s="11">
        <f t="shared" si="1"/>
        <v>215</v>
      </c>
    </row>
    <row r="127" ht="18.0" customHeight="1">
      <c r="A127" s="7">
        <v>44480.0</v>
      </c>
      <c r="B127" s="8">
        <v>44480.333333333336</v>
      </c>
      <c r="C127" s="6" t="s">
        <v>26</v>
      </c>
      <c r="D127" s="6" t="s">
        <v>405</v>
      </c>
      <c r="E127" s="6" t="s">
        <v>28</v>
      </c>
      <c r="F127" s="6" t="s">
        <v>34</v>
      </c>
      <c r="G127" s="6" t="s">
        <v>406</v>
      </c>
      <c r="H127" s="9" t="s">
        <v>407</v>
      </c>
      <c r="I127" s="10">
        <v>1.0</v>
      </c>
      <c r="J127" s="10">
        <v>836.0</v>
      </c>
      <c r="K127" s="10">
        <v>849.0</v>
      </c>
      <c r="L127" s="10">
        <v>60.0</v>
      </c>
      <c r="M127" s="10">
        <v>30.0</v>
      </c>
      <c r="N127" s="10">
        <v>836.0</v>
      </c>
      <c r="O127" s="6" t="s">
        <v>31</v>
      </c>
      <c r="P127" s="11">
        <f t="shared" si="1"/>
        <v>218</v>
      </c>
    </row>
    <row r="128" ht="18.0" customHeight="1">
      <c r="A128" s="7">
        <v>44493.0</v>
      </c>
      <c r="B128" s="8">
        <v>44493.583344907405</v>
      </c>
      <c r="C128" s="6" t="s">
        <v>26</v>
      </c>
      <c r="D128" s="6" t="s">
        <v>408</v>
      </c>
      <c r="E128" s="6" t="s">
        <v>28</v>
      </c>
      <c r="F128" s="6" t="s">
        <v>34</v>
      </c>
      <c r="G128" s="6" t="s">
        <v>409</v>
      </c>
      <c r="H128" s="9" t="s">
        <v>410</v>
      </c>
      <c r="I128" s="10">
        <v>1.0</v>
      </c>
      <c r="J128" s="10">
        <v>542.0</v>
      </c>
      <c r="K128" s="10">
        <v>577.0</v>
      </c>
      <c r="L128" s="10">
        <v>61.0</v>
      </c>
      <c r="M128" s="10">
        <v>2.0</v>
      </c>
      <c r="N128" s="10">
        <v>542.0</v>
      </c>
      <c r="O128" s="6" t="s">
        <v>31</v>
      </c>
      <c r="P128" s="11">
        <f t="shared" si="1"/>
        <v>218</v>
      </c>
    </row>
    <row r="129" ht="18.0" customHeight="1">
      <c r="A129" s="7">
        <v>44509.0</v>
      </c>
      <c r="B129" s="8">
        <v>44509.458344907405</v>
      </c>
      <c r="C129" s="6" t="s">
        <v>26</v>
      </c>
      <c r="D129" s="6" t="s">
        <v>411</v>
      </c>
      <c r="E129" s="6" t="s">
        <v>28</v>
      </c>
      <c r="F129" s="6" t="s">
        <v>34</v>
      </c>
      <c r="G129" s="6" t="s">
        <v>412</v>
      </c>
      <c r="H129" s="9" t="s">
        <v>413</v>
      </c>
      <c r="I129" s="10">
        <v>1.0</v>
      </c>
      <c r="J129" s="10">
        <v>8428.0</v>
      </c>
      <c r="K129" s="10">
        <v>11918.0</v>
      </c>
      <c r="L129" s="10">
        <v>2440.0</v>
      </c>
      <c r="M129" s="10">
        <v>2028.0</v>
      </c>
      <c r="N129" s="10">
        <v>8428.0</v>
      </c>
      <c r="O129" s="6" t="s">
        <v>31</v>
      </c>
      <c r="P129" s="11">
        <f t="shared" si="1"/>
        <v>218</v>
      </c>
    </row>
    <row r="130" ht="18.0" customHeight="1">
      <c r="A130" s="7">
        <v>44525.0</v>
      </c>
      <c r="B130" s="8">
        <v>44525.87501157408</v>
      </c>
      <c r="C130" s="6" t="s">
        <v>26</v>
      </c>
      <c r="D130" s="6" t="s">
        <v>414</v>
      </c>
      <c r="E130" s="6" t="s">
        <v>28</v>
      </c>
      <c r="F130" s="6" t="s">
        <v>229</v>
      </c>
      <c r="G130" s="6" t="s">
        <v>415</v>
      </c>
      <c r="H130" s="9" t="s">
        <v>416</v>
      </c>
      <c r="I130" s="10">
        <v>1.0</v>
      </c>
      <c r="J130" s="10">
        <v>1062.0</v>
      </c>
      <c r="K130" s="10">
        <v>1103.0</v>
      </c>
      <c r="L130" s="10">
        <v>63.0</v>
      </c>
      <c r="M130" s="10">
        <v>21.0</v>
      </c>
      <c r="N130" s="10">
        <v>1062.0</v>
      </c>
      <c r="O130" s="6" t="s">
        <v>31</v>
      </c>
      <c r="P130" s="11">
        <f t="shared" si="1"/>
        <v>218</v>
      </c>
    </row>
    <row r="131" ht="18.0" customHeight="1">
      <c r="A131" s="7">
        <v>44476.0</v>
      </c>
      <c r="B131" s="8">
        <v>44476.37501157408</v>
      </c>
      <c r="C131" s="6" t="s">
        <v>26</v>
      </c>
      <c r="D131" s="6" t="s">
        <v>417</v>
      </c>
      <c r="E131" s="6" t="s">
        <v>28</v>
      </c>
      <c r="F131" s="6" t="s">
        <v>34</v>
      </c>
      <c r="G131" s="6" t="s">
        <v>418</v>
      </c>
      <c r="H131" s="9" t="s">
        <v>419</v>
      </c>
      <c r="I131" s="10">
        <v>1.0</v>
      </c>
      <c r="J131" s="10">
        <v>10702.0</v>
      </c>
      <c r="K131" s="10">
        <v>10975.0</v>
      </c>
      <c r="L131" s="10">
        <v>706.0</v>
      </c>
      <c r="M131" s="10">
        <v>102.0</v>
      </c>
      <c r="N131" s="10">
        <v>10702.0</v>
      </c>
      <c r="O131" s="6" t="s">
        <v>31</v>
      </c>
      <c r="P131" s="11">
        <f t="shared" si="1"/>
        <v>219</v>
      </c>
    </row>
    <row r="132" ht="18.0" customHeight="1">
      <c r="A132" s="7">
        <v>44490.0</v>
      </c>
      <c r="B132" s="8">
        <v>44490.79167824074</v>
      </c>
      <c r="C132" s="6" t="s">
        <v>26</v>
      </c>
      <c r="D132" s="6" t="s">
        <v>420</v>
      </c>
      <c r="E132" s="6" t="s">
        <v>61</v>
      </c>
      <c r="F132" s="6" t="s">
        <v>76</v>
      </c>
      <c r="G132" s="6" t="s">
        <v>421</v>
      </c>
      <c r="H132" s="9" t="s">
        <v>422</v>
      </c>
      <c r="I132" s="10">
        <v>1.0</v>
      </c>
      <c r="J132" s="10">
        <v>1933.0</v>
      </c>
      <c r="K132" s="10">
        <v>2223.0</v>
      </c>
      <c r="L132" s="10">
        <v>97.0</v>
      </c>
      <c r="M132" s="10">
        <v>77.0</v>
      </c>
      <c r="N132" s="10">
        <v>1933.0</v>
      </c>
      <c r="O132" s="6" t="s">
        <v>31</v>
      </c>
      <c r="P132" s="11">
        <f t="shared" si="1"/>
        <v>219</v>
      </c>
    </row>
    <row r="133" ht="18.0" customHeight="1">
      <c r="A133" s="7">
        <v>44498.0</v>
      </c>
      <c r="B133" s="8">
        <v>44498.79172453703</v>
      </c>
      <c r="C133" s="6" t="s">
        <v>26</v>
      </c>
      <c r="D133" s="6" t="s">
        <v>423</v>
      </c>
      <c r="E133" s="6" t="s">
        <v>61</v>
      </c>
      <c r="F133" s="6" t="s">
        <v>76</v>
      </c>
      <c r="G133" s="6" t="s">
        <v>424</v>
      </c>
      <c r="H133" s="9" t="s">
        <v>425</v>
      </c>
      <c r="I133" s="10">
        <v>1.0</v>
      </c>
      <c r="J133" s="10">
        <v>6600.0</v>
      </c>
      <c r="K133" s="10">
        <v>8430.0</v>
      </c>
      <c r="L133" s="10">
        <v>191.0</v>
      </c>
      <c r="M133" s="10">
        <v>326.0</v>
      </c>
      <c r="N133" s="10">
        <v>6600.0</v>
      </c>
      <c r="O133" s="6" t="s">
        <v>31</v>
      </c>
      <c r="P133" s="11">
        <f t="shared" si="1"/>
        <v>220</v>
      </c>
    </row>
    <row r="134" ht="18.0" customHeight="1">
      <c r="A134" s="7">
        <v>44501.0</v>
      </c>
      <c r="B134" s="8">
        <v>44501.588541666664</v>
      </c>
      <c r="C134" s="6" t="s">
        <v>26</v>
      </c>
      <c r="D134" s="6" t="s">
        <v>426</v>
      </c>
      <c r="E134" s="6" t="s">
        <v>61</v>
      </c>
      <c r="F134" s="6" t="s">
        <v>62</v>
      </c>
      <c r="G134" s="6" t="s">
        <v>427</v>
      </c>
      <c r="H134" s="9" t="s">
        <v>428</v>
      </c>
      <c r="I134" s="10">
        <v>1.0</v>
      </c>
      <c r="J134" s="10">
        <v>280.0</v>
      </c>
      <c r="K134" s="10">
        <v>306.0</v>
      </c>
      <c r="L134" s="10">
        <v>73.0</v>
      </c>
      <c r="M134" s="10">
        <v>11.0</v>
      </c>
      <c r="N134" s="10">
        <v>280.0</v>
      </c>
      <c r="O134" s="6" t="s">
        <v>31</v>
      </c>
      <c r="P134" s="11">
        <f t="shared" si="1"/>
        <v>220</v>
      </c>
    </row>
    <row r="135" ht="18.0" customHeight="1">
      <c r="A135" s="7">
        <v>44524.0</v>
      </c>
      <c r="B135" s="8">
        <v>44524.50010416667</v>
      </c>
      <c r="C135" s="6" t="s">
        <v>26</v>
      </c>
      <c r="D135" s="6" t="s">
        <v>429</v>
      </c>
      <c r="E135" s="6" t="s">
        <v>28</v>
      </c>
      <c r="F135" s="6" t="s">
        <v>34</v>
      </c>
      <c r="G135" s="6" t="s">
        <v>430</v>
      </c>
      <c r="H135" s="9" t="s">
        <v>431</v>
      </c>
      <c r="I135" s="10">
        <v>1.0</v>
      </c>
      <c r="J135" s="10">
        <v>14943.0</v>
      </c>
      <c r="K135" s="10">
        <v>18450.0</v>
      </c>
      <c r="L135" s="10">
        <v>2686.0</v>
      </c>
      <c r="M135" s="10">
        <v>2666.0</v>
      </c>
      <c r="N135" s="10">
        <v>14943.0</v>
      </c>
      <c r="O135" s="6" t="s">
        <v>31</v>
      </c>
      <c r="P135" s="11">
        <f t="shared" si="1"/>
        <v>220</v>
      </c>
    </row>
    <row r="136" ht="18.0" customHeight="1">
      <c r="A136" s="7">
        <v>44495.0</v>
      </c>
      <c r="B136" s="8">
        <v>44495.83337962963</v>
      </c>
      <c r="C136" s="6" t="s">
        <v>26</v>
      </c>
      <c r="D136" s="6" t="s">
        <v>432</v>
      </c>
      <c r="E136" s="6" t="s">
        <v>61</v>
      </c>
      <c r="F136" s="6" t="s">
        <v>62</v>
      </c>
      <c r="G136" s="6" t="s">
        <v>433</v>
      </c>
      <c r="H136" s="9" t="s">
        <v>434</v>
      </c>
      <c r="I136" s="10">
        <v>1.0</v>
      </c>
      <c r="J136" s="10">
        <v>1186.0</v>
      </c>
      <c r="K136" s="10">
        <v>1389.0</v>
      </c>
      <c r="L136" s="10">
        <v>107.0</v>
      </c>
      <c r="M136" s="10">
        <v>49.0</v>
      </c>
      <c r="N136" s="10">
        <v>1186.0</v>
      </c>
      <c r="O136" s="6" t="s">
        <v>31</v>
      </c>
      <c r="P136" s="11">
        <f t="shared" si="1"/>
        <v>221</v>
      </c>
    </row>
    <row r="137" ht="18.0" customHeight="1">
      <c r="A137" s="7">
        <v>44499.0</v>
      </c>
      <c r="B137" s="8">
        <v>44499.66675925926</v>
      </c>
      <c r="C137" s="6" t="s">
        <v>26</v>
      </c>
      <c r="D137" s="6" t="s">
        <v>435</v>
      </c>
      <c r="E137" s="6" t="s">
        <v>28</v>
      </c>
      <c r="F137" s="6" t="s">
        <v>229</v>
      </c>
      <c r="G137" s="6" t="s">
        <v>436</v>
      </c>
      <c r="H137" s="9" t="s">
        <v>437</v>
      </c>
      <c r="I137" s="10">
        <v>1.0</v>
      </c>
      <c r="J137" s="10">
        <v>2116.0</v>
      </c>
      <c r="K137" s="10">
        <v>2257.0</v>
      </c>
      <c r="L137" s="10">
        <v>115.0</v>
      </c>
      <c r="M137" s="10">
        <v>99.0</v>
      </c>
      <c r="N137" s="10">
        <v>2116.0</v>
      </c>
      <c r="O137" s="6" t="s">
        <v>31</v>
      </c>
      <c r="P137" s="11">
        <f t="shared" si="1"/>
        <v>221</v>
      </c>
    </row>
    <row r="138" ht="18.0" customHeight="1">
      <c r="A138" s="7">
        <v>44528.0</v>
      </c>
      <c r="B138" s="8">
        <v>44528.37503472222</v>
      </c>
      <c r="C138" s="6" t="s">
        <v>26</v>
      </c>
      <c r="D138" s="6" t="s">
        <v>438</v>
      </c>
      <c r="E138" s="6" t="s">
        <v>28</v>
      </c>
      <c r="F138" s="6" t="s">
        <v>34</v>
      </c>
      <c r="G138" s="6" t="s">
        <v>439</v>
      </c>
      <c r="H138" s="9" t="s">
        <v>440</v>
      </c>
      <c r="I138" s="10">
        <v>1.0</v>
      </c>
      <c r="J138" s="10">
        <v>10052.0</v>
      </c>
      <c r="K138" s="10">
        <v>10346.0</v>
      </c>
      <c r="L138" s="10">
        <v>350.0</v>
      </c>
      <c r="M138" s="10">
        <v>45.0</v>
      </c>
      <c r="N138" s="10">
        <v>10052.0</v>
      </c>
      <c r="O138" s="6" t="s">
        <v>31</v>
      </c>
      <c r="P138" s="11">
        <f t="shared" si="1"/>
        <v>221</v>
      </c>
    </row>
    <row r="139" ht="18.0" customHeight="1">
      <c r="A139" s="7">
        <v>44477.0</v>
      </c>
      <c r="B139" s="8">
        <v>44477.375</v>
      </c>
      <c r="C139" s="6" t="s">
        <v>26</v>
      </c>
      <c r="D139" s="6" t="s">
        <v>441</v>
      </c>
      <c r="E139" s="6" t="s">
        <v>28</v>
      </c>
      <c r="F139" s="6" t="s">
        <v>34</v>
      </c>
      <c r="G139" s="6" t="s">
        <v>442</v>
      </c>
      <c r="H139" s="9" t="s">
        <v>443</v>
      </c>
      <c r="I139" s="10">
        <v>1.0</v>
      </c>
      <c r="J139" s="10">
        <v>5541.0</v>
      </c>
      <c r="K139" s="10">
        <v>7315.0</v>
      </c>
      <c r="L139" s="10">
        <v>997.0</v>
      </c>
      <c r="M139" s="10">
        <v>545.0</v>
      </c>
      <c r="N139" s="10">
        <v>5541.0</v>
      </c>
      <c r="O139" s="6" t="s">
        <v>31</v>
      </c>
      <c r="P139" s="11">
        <f t="shared" si="1"/>
        <v>222</v>
      </c>
    </row>
    <row r="140" ht="18.0" customHeight="1">
      <c r="A140" s="7">
        <v>44479.0</v>
      </c>
      <c r="B140" s="8">
        <v>44479.375</v>
      </c>
      <c r="C140" s="6" t="s">
        <v>26</v>
      </c>
      <c r="D140" s="6" t="s">
        <v>444</v>
      </c>
      <c r="E140" s="6" t="s">
        <v>28</v>
      </c>
      <c r="F140" s="6" t="s">
        <v>34</v>
      </c>
      <c r="G140" s="6" t="s">
        <v>445</v>
      </c>
      <c r="H140" s="9" t="s">
        <v>446</v>
      </c>
      <c r="I140" s="10">
        <v>1.0</v>
      </c>
      <c r="J140" s="10">
        <v>16298.0</v>
      </c>
      <c r="K140" s="10">
        <v>16657.0</v>
      </c>
      <c r="L140" s="10">
        <v>358.0</v>
      </c>
      <c r="M140" s="10">
        <v>162.0</v>
      </c>
      <c r="N140" s="10">
        <v>16298.0</v>
      </c>
      <c r="O140" s="6" t="s">
        <v>31</v>
      </c>
      <c r="P140" s="11">
        <f t="shared" si="1"/>
        <v>223</v>
      </c>
    </row>
    <row r="141" ht="18.0" customHeight="1">
      <c r="A141" s="7">
        <v>44485.0</v>
      </c>
      <c r="B141" s="8">
        <v>44485.375023148146</v>
      </c>
      <c r="C141" s="6" t="s">
        <v>26</v>
      </c>
      <c r="D141" s="6" t="s">
        <v>447</v>
      </c>
      <c r="E141" s="6" t="s">
        <v>28</v>
      </c>
      <c r="F141" s="6" t="s">
        <v>34</v>
      </c>
      <c r="G141" s="6" t="s">
        <v>448</v>
      </c>
      <c r="H141" s="9" t="s">
        <v>449</v>
      </c>
      <c r="I141" s="10">
        <v>1.0</v>
      </c>
      <c r="J141" s="10">
        <v>10631.0</v>
      </c>
      <c r="K141" s="10">
        <v>10871.0</v>
      </c>
      <c r="L141" s="10">
        <v>523.0</v>
      </c>
      <c r="M141" s="10">
        <v>146.0</v>
      </c>
      <c r="N141" s="10">
        <v>10631.0</v>
      </c>
      <c r="O141" s="6" t="s">
        <v>31</v>
      </c>
      <c r="P141" s="11">
        <f t="shared" si="1"/>
        <v>223</v>
      </c>
    </row>
    <row r="142" ht="18.0" customHeight="1">
      <c r="A142" s="7">
        <v>44489.0</v>
      </c>
      <c r="B142" s="8">
        <v>44489.66668981482</v>
      </c>
      <c r="C142" s="6" t="s">
        <v>26</v>
      </c>
      <c r="D142" s="6" t="s">
        <v>450</v>
      </c>
      <c r="E142" s="6" t="s">
        <v>61</v>
      </c>
      <c r="F142" s="6" t="s">
        <v>62</v>
      </c>
      <c r="G142" s="6" t="s">
        <v>451</v>
      </c>
      <c r="H142" s="9" t="s">
        <v>452</v>
      </c>
      <c r="I142" s="10">
        <v>1.0</v>
      </c>
      <c r="J142" s="10">
        <v>985.0</v>
      </c>
      <c r="K142" s="10">
        <v>1126.0</v>
      </c>
      <c r="L142" s="10">
        <v>108.0</v>
      </c>
      <c r="M142" s="10">
        <v>29.0</v>
      </c>
      <c r="N142" s="10">
        <v>985.0</v>
      </c>
      <c r="O142" s="6" t="s">
        <v>31</v>
      </c>
      <c r="P142" s="11">
        <f t="shared" si="1"/>
        <v>223</v>
      </c>
    </row>
    <row r="143" ht="18.0" customHeight="1">
      <c r="A143" s="7">
        <v>44491.0</v>
      </c>
      <c r="B143" s="8">
        <v>44491.54167824074</v>
      </c>
      <c r="C143" s="6" t="s">
        <v>26</v>
      </c>
      <c r="D143" s="6" t="s">
        <v>453</v>
      </c>
      <c r="E143" s="6" t="s">
        <v>28</v>
      </c>
      <c r="F143" s="6" t="s">
        <v>229</v>
      </c>
      <c r="G143" s="6" t="s">
        <v>454</v>
      </c>
      <c r="H143" s="9" t="s">
        <v>455</v>
      </c>
      <c r="I143" s="10">
        <v>1.0</v>
      </c>
      <c r="J143" s="10">
        <v>2092.0</v>
      </c>
      <c r="K143" s="10">
        <v>2360.0</v>
      </c>
      <c r="L143" s="10">
        <v>172.0</v>
      </c>
      <c r="M143" s="10">
        <v>84.0</v>
      </c>
      <c r="N143" s="10">
        <v>2092.0</v>
      </c>
      <c r="O143" s="6" t="s">
        <v>31</v>
      </c>
      <c r="P143" s="11">
        <f t="shared" si="1"/>
        <v>223</v>
      </c>
    </row>
    <row r="144" ht="18.0" customHeight="1">
      <c r="A144" s="7">
        <v>44497.0</v>
      </c>
      <c r="B144" s="8">
        <v>44497.416666666664</v>
      </c>
      <c r="C144" s="6" t="s">
        <v>26</v>
      </c>
      <c r="D144" s="6" t="s">
        <v>456</v>
      </c>
      <c r="E144" s="6" t="s">
        <v>28</v>
      </c>
      <c r="F144" s="6" t="s">
        <v>34</v>
      </c>
      <c r="G144" s="6" t="s">
        <v>457</v>
      </c>
      <c r="H144" s="9" t="s">
        <v>458</v>
      </c>
      <c r="I144" s="10">
        <v>1.0</v>
      </c>
      <c r="J144" s="10">
        <v>3477.0</v>
      </c>
      <c r="K144" s="10">
        <v>3862.0</v>
      </c>
      <c r="L144" s="10">
        <v>246.0</v>
      </c>
      <c r="M144" s="10">
        <v>214.0</v>
      </c>
      <c r="N144" s="10">
        <v>3477.0</v>
      </c>
      <c r="O144" s="6" t="s">
        <v>31</v>
      </c>
      <c r="P144" s="11">
        <f t="shared" si="1"/>
        <v>223</v>
      </c>
    </row>
    <row r="145" ht="18.0" customHeight="1">
      <c r="A145" s="7">
        <v>44508.0</v>
      </c>
      <c r="B145" s="8">
        <v>44508.33335648148</v>
      </c>
      <c r="C145" s="6" t="s">
        <v>26</v>
      </c>
      <c r="D145" s="6" t="s">
        <v>459</v>
      </c>
      <c r="E145" s="6" t="s">
        <v>28</v>
      </c>
      <c r="F145" s="6" t="s">
        <v>34</v>
      </c>
      <c r="G145" s="6" t="s">
        <v>460</v>
      </c>
      <c r="H145" s="9" t="s">
        <v>461</v>
      </c>
      <c r="I145" s="10">
        <v>1.0</v>
      </c>
      <c r="J145" s="10">
        <v>8871.0</v>
      </c>
      <c r="K145" s="10">
        <v>8958.0</v>
      </c>
      <c r="L145" s="10">
        <v>136.0</v>
      </c>
      <c r="M145" s="10">
        <v>48.0</v>
      </c>
      <c r="N145" s="10">
        <v>8871.0</v>
      </c>
      <c r="O145" s="6" t="s">
        <v>31</v>
      </c>
      <c r="P145" s="11">
        <f t="shared" si="1"/>
        <v>223</v>
      </c>
    </row>
    <row r="146" ht="18.0" customHeight="1">
      <c r="A146" s="7">
        <v>44479.0</v>
      </c>
      <c r="B146" s="8">
        <v>44479.291712962964</v>
      </c>
      <c r="C146" s="6" t="s">
        <v>26</v>
      </c>
      <c r="D146" s="6" t="s">
        <v>462</v>
      </c>
      <c r="E146" s="6" t="s">
        <v>72</v>
      </c>
      <c r="F146" s="6" t="s">
        <v>44</v>
      </c>
      <c r="G146" s="6" t="s">
        <v>463</v>
      </c>
      <c r="H146" s="9" t="s">
        <v>464</v>
      </c>
      <c r="I146" s="10">
        <v>1.0</v>
      </c>
      <c r="J146" s="10">
        <v>150.0</v>
      </c>
      <c r="K146" s="10">
        <v>155.0</v>
      </c>
      <c r="L146" s="10">
        <v>9.0</v>
      </c>
      <c r="M146" s="10">
        <v>1.0</v>
      </c>
      <c r="N146" s="10">
        <v>150.0</v>
      </c>
      <c r="O146" s="6" t="s">
        <v>31</v>
      </c>
      <c r="P146" s="11">
        <f t="shared" si="1"/>
        <v>224</v>
      </c>
    </row>
    <row r="147" ht="18.0" customHeight="1">
      <c r="A147" s="7">
        <v>44511.0</v>
      </c>
      <c r="B147" s="8">
        <v>44511.45837962963</v>
      </c>
      <c r="C147" s="6" t="s">
        <v>26</v>
      </c>
      <c r="D147" s="6" t="s">
        <v>465</v>
      </c>
      <c r="E147" s="6" t="s">
        <v>28</v>
      </c>
      <c r="F147" s="6" t="s">
        <v>34</v>
      </c>
      <c r="G147" s="6" t="s">
        <v>466</v>
      </c>
      <c r="H147" s="9" t="s">
        <v>467</v>
      </c>
      <c r="I147" s="10">
        <v>1.0</v>
      </c>
      <c r="J147" s="10">
        <v>748.0</v>
      </c>
      <c r="K147" s="10">
        <v>930.0</v>
      </c>
      <c r="L147" s="10">
        <v>68.0</v>
      </c>
      <c r="M147" s="10">
        <v>78.0</v>
      </c>
      <c r="N147" s="10">
        <v>748.0</v>
      </c>
      <c r="O147" s="6" t="s">
        <v>31</v>
      </c>
      <c r="P147" s="11">
        <f t="shared" si="1"/>
        <v>224</v>
      </c>
    </row>
    <row r="148" ht="18.0" customHeight="1">
      <c r="A148" s="7">
        <v>44493.0</v>
      </c>
      <c r="B148" s="8">
        <v>44493.375</v>
      </c>
      <c r="C148" s="6" t="s">
        <v>26</v>
      </c>
      <c r="D148" s="6" t="s">
        <v>468</v>
      </c>
      <c r="E148" s="6" t="s">
        <v>28</v>
      </c>
      <c r="F148" s="6" t="s">
        <v>34</v>
      </c>
      <c r="G148" s="6" t="s">
        <v>469</v>
      </c>
      <c r="H148" s="9" t="s">
        <v>470</v>
      </c>
      <c r="I148" s="10">
        <v>1.0</v>
      </c>
      <c r="J148" s="10">
        <v>10799.0</v>
      </c>
      <c r="K148" s="10">
        <v>11054.0</v>
      </c>
      <c r="L148" s="10">
        <v>554.0</v>
      </c>
      <c r="M148" s="10">
        <v>153.0</v>
      </c>
      <c r="N148" s="10">
        <v>10799.0</v>
      </c>
      <c r="O148" s="6" t="s">
        <v>31</v>
      </c>
      <c r="P148" s="11">
        <f t="shared" si="1"/>
        <v>225</v>
      </c>
    </row>
    <row r="149" ht="18.0" customHeight="1">
      <c r="A149" s="7">
        <v>44506.0</v>
      </c>
      <c r="B149" s="8">
        <v>44506.333344907405</v>
      </c>
      <c r="C149" s="6" t="s">
        <v>26</v>
      </c>
      <c r="D149" s="6" t="s">
        <v>471</v>
      </c>
      <c r="E149" s="6" t="s">
        <v>28</v>
      </c>
      <c r="F149" s="6" t="s">
        <v>34</v>
      </c>
      <c r="G149" s="6" t="s">
        <v>472</v>
      </c>
      <c r="H149" s="9" t="s">
        <v>473</v>
      </c>
      <c r="I149" s="10">
        <v>1.0</v>
      </c>
      <c r="J149" s="10">
        <v>11059.0</v>
      </c>
      <c r="K149" s="10">
        <v>11291.0</v>
      </c>
      <c r="L149" s="10">
        <v>330.0</v>
      </c>
      <c r="M149" s="10">
        <v>81.0</v>
      </c>
      <c r="N149" s="10">
        <v>11059.0</v>
      </c>
      <c r="O149" s="6" t="s">
        <v>31</v>
      </c>
      <c r="P149" s="11">
        <f t="shared" si="1"/>
        <v>225</v>
      </c>
    </row>
    <row r="150" ht="18.0" customHeight="1">
      <c r="A150" s="7">
        <v>44524.0</v>
      </c>
      <c r="B150" s="8">
        <v>44524.75001157408</v>
      </c>
      <c r="C150" s="6" t="s">
        <v>26</v>
      </c>
      <c r="D150" s="6" t="s">
        <v>474</v>
      </c>
      <c r="E150" s="6" t="s">
        <v>28</v>
      </c>
      <c r="F150" s="6" t="s">
        <v>229</v>
      </c>
      <c r="G150" s="6" t="s">
        <v>475</v>
      </c>
      <c r="H150" s="9" t="s">
        <v>476</v>
      </c>
      <c r="I150" s="10">
        <v>1.0</v>
      </c>
      <c r="J150" s="10">
        <v>4975.0</v>
      </c>
      <c r="K150" s="10">
        <v>6632.0</v>
      </c>
      <c r="L150" s="10">
        <v>2014.0</v>
      </c>
      <c r="M150" s="10">
        <v>1129.0</v>
      </c>
      <c r="N150" s="10">
        <v>4975.0</v>
      </c>
      <c r="O150" s="6" t="s">
        <v>31</v>
      </c>
      <c r="P150" s="11">
        <f t="shared" si="1"/>
        <v>228</v>
      </c>
    </row>
    <row r="151" ht="18.0" customHeight="1">
      <c r="A151" s="7">
        <v>44527.0</v>
      </c>
      <c r="B151" s="8">
        <v>44527.66670138889</v>
      </c>
      <c r="C151" s="6" t="s">
        <v>26</v>
      </c>
      <c r="D151" s="6" t="s">
        <v>477</v>
      </c>
      <c r="E151" s="6" t="s">
        <v>28</v>
      </c>
      <c r="F151" s="6" t="s">
        <v>229</v>
      </c>
      <c r="G151" s="6" t="s">
        <v>478</v>
      </c>
      <c r="H151" s="9" t="s">
        <v>479</v>
      </c>
      <c r="I151" s="10">
        <v>1.0</v>
      </c>
      <c r="J151" s="10">
        <v>3354.0</v>
      </c>
      <c r="K151" s="10">
        <v>3910.0</v>
      </c>
      <c r="L151" s="10">
        <v>623.0</v>
      </c>
      <c r="M151" s="10">
        <v>461.0</v>
      </c>
      <c r="N151" s="10">
        <v>3354.0</v>
      </c>
      <c r="O151" s="6" t="s">
        <v>31</v>
      </c>
      <c r="P151" s="11">
        <f t="shared" si="1"/>
        <v>228</v>
      </c>
    </row>
    <row r="152" ht="18.0" customHeight="1">
      <c r="A152" s="7">
        <v>44519.0</v>
      </c>
      <c r="B152" s="8">
        <v>44519.70898148148</v>
      </c>
      <c r="C152" s="6" t="s">
        <v>26</v>
      </c>
      <c r="D152" s="6" t="s">
        <v>480</v>
      </c>
      <c r="E152" s="6" t="s">
        <v>72</v>
      </c>
      <c r="F152" s="6" t="s">
        <v>44</v>
      </c>
      <c r="G152" s="6" t="s">
        <v>481</v>
      </c>
      <c r="H152" s="9" t="s">
        <v>482</v>
      </c>
      <c r="I152" s="10">
        <v>1.0</v>
      </c>
      <c r="J152" s="10">
        <v>235.0</v>
      </c>
      <c r="K152" s="10">
        <v>264.0</v>
      </c>
      <c r="L152" s="10">
        <v>9.0</v>
      </c>
      <c r="M152" s="10">
        <v>27.0</v>
      </c>
      <c r="N152" s="10">
        <v>235.0</v>
      </c>
      <c r="O152" s="6" t="s">
        <v>31</v>
      </c>
      <c r="P152" s="11">
        <f t="shared" si="1"/>
        <v>229</v>
      </c>
    </row>
    <row r="153" ht="18.0" customHeight="1">
      <c r="A153" s="7">
        <v>44547.0</v>
      </c>
      <c r="B153" s="8">
        <v>44547.37501157408</v>
      </c>
      <c r="C153" s="6" t="s">
        <v>26</v>
      </c>
      <c r="D153" s="6" t="s">
        <v>483</v>
      </c>
      <c r="E153" s="6" t="s">
        <v>28</v>
      </c>
      <c r="F153" s="6" t="s">
        <v>34</v>
      </c>
      <c r="G153" s="6" t="s">
        <v>484</v>
      </c>
      <c r="H153" s="9" t="s">
        <v>485</v>
      </c>
      <c r="I153" s="10">
        <v>1.0</v>
      </c>
      <c r="J153" s="10">
        <v>8665.0</v>
      </c>
      <c r="K153" s="10">
        <v>10329.0</v>
      </c>
      <c r="L153" s="10">
        <v>786.0</v>
      </c>
      <c r="M153" s="10">
        <v>215.0</v>
      </c>
      <c r="N153" s="10">
        <v>8665.0</v>
      </c>
      <c r="O153" s="6" t="s">
        <v>31</v>
      </c>
      <c r="P153" s="11">
        <f t="shared" si="1"/>
        <v>230</v>
      </c>
    </row>
    <row r="154" ht="18.0" customHeight="1">
      <c r="A154" s="7">
        <v>44490.0</v>
      </c>
      <c r="B154" s="8">
        <v>44490.708344907405</v>
      </c>
      <c r="C154" s="6" t="s">
        <v>26</v>
      </c>
      <c r="D154" s="6" t="s">
        <v>486</v>
      </c>
      <c r="E154" s="6" t="s">
        <v>28</v>
      </c>
      <c r="F154" s="6" t="s">
        <v>34</v>
      </c>
      <c r="G154" s="6" t="s">
        <v>487</v>
      </c>
      <c r="H154" s="9" t="s">
        <v>488</v>
      </c>
      <c r="I154" s="10">
        <v>1.0</v>
      </c>
      <c r="J154" s="10">
        <v>1532.0</v>
      </c>
      <c r="K154" s="10">
        <v>1703.0</v>
      </c>
      <c r="L154" s="10">
        <v>196.0</v>
      </c>
      <c r="M154" s="10">
        <v>16.0</v>
      </c>
      <c r="N154" s="10">
        <v>1532.0</v>
      </c>
      <c r="O154" s="6" t="s">
        <v>31</v>
      </c>
      <c r="P154" s="11">
        <f t="shared" si="1"/>
        <v>232</v>
      </c>
    </row>
    <row r="155" ht="18.0" customHeight="1">
      <c r="A155" s="7">
        <v>44508.0</v>
      </c>
      <c r="B155" s="8">
        <v>44508.75</v>
      </c>
      <c r="C155" s="6" t="s">
        <v>26</v>
      </c>
      <c r="D155" s="6" t="s">
        <v>489</v>
      </c>
      <c r="E155" s="6" t="s">
        <v>28</v>
      </c>
      <c r="F155" s="6" t="s">
        <v>34</v>
      </c>
      <c r="G155" s="6" t="s">
        <v>490</v>
      </c>
      <c r="H155" s="9" t="s">
        <v>491</v>
      </c>
      <c r="I155" s="10">
        <v>1.0</v>
      </c>
      <c r="J155" s="10">
        <v>5762.0</v>
      </c>
      <c r="K155" s="10">
        <v>6547.0</v>
      </c>
      <c r="L155" s="10">
        <v>120.0</v>
      </c>
      <c r="M155" s="10">
        <v>307.0</v>
      </c>
      <c r="N155" s="10">
        <v>5762.0</v>
      </c>
      <c r="O155" s="6" t="s">
        <v>31</v>
      </c>
      <c r="P155" s="11">
        <f t="shared" si="1"/>
        <v>232</v>
      </c>
    </row>
    <row r="156" ht="18.0" customHeight="1">
      <c r="A156" s="7">
        <v>44552.0</v>
      </c>
      <c r="B156" s="8">
        <v>44552.41667824074</v>
      </c>
      <c r="C156" s="6" t="s">
        <v>26</v>
      </c>
      <c r="D156" s="6" t="s">
        <v>492</v>
      </c>
      <c r="E156" s="6" t="s">
        <v>28</v>
      </c>
      <c r="F156" s="6" t="s">
        <v>34</v>
      </c>
      <c r="G156" s="6" t="s">
        <v>493</v>
      </c>
      <c r="H156" s="9" t="s">
        <v>494</v>
      </c>
      <c r="I156" s="10">
        <v>1.0</v>
      </c>
      <c r="J156" s="10">
        <v>8241.0</v>
      </c>
      <c r="K156" s="10">
        <v>8562.0</v>
      </c>
      <c r="L156" s="10">
        <v>237.0</v>
      </c>
      <c r="M156" s="10">
        <v>88.0</v>
      </c>
      <c r="N156" s="10">
        <v>8241.0</v>
      </c>
      <c r="O156" s="6" t="s">
        <v>31</v>
      </c>
      <c r="P156" s="11">
        <f t="shared" si="1"/>
        <v>232</v>
      </c>
    </row>
    <row r="157" ht="18.0" customHeight="1">
      <c r="A157" s="7">
        <v>44492.0</v>
      </c>
      <c r="B157" s="8">
        <v>44492.333344907405</v>
      </c>
      <c r="C157" s="6" t="s">
        <v>26</v>
      </c>
      <c r="D157" s="6" t="s">
        <v>495</v>
      </c>
      <c r="E157" s="6" t="s">
        <v>28</v>
      </c>
      <c r="F157" s="6" t="s">
        <v>34</v>
      </c>
      <c r="G157" s="6" t="s">
        <v>496</v>
      </c>
      <c r="H157" s="9" t="s">
        <v>497</v>
      </c>
      <c r="I157" s="10">
        <v>1.0</v>
      </c>
      <c r="J157" s="10">
        <v>9730.0</v>
      </c>
      <c r="K157" s="10">
        <v>10113.0</v>
      </c>
      <c r="L157" s="10">
        <v>296.0</v>
      </c>
      <c r="M157" s="10">
        <v>84.0</v>
      </c>
      <c r="N157" s="10">
        <v>9730.0</v>
      </c>
      <c r="O157" s="6" t="s">
        <v>31</v>
      </c>
      <c r="P157" s="11">
        <f t="shared" si="1"/>
        <v>233</v>
      </c>
    </row>
    <row r="158" ht="18.0" customHeight="1">
      <c r="A158" s="7">
        <v>44527.0</v>
      </c>
      <c r="B158" s="8">
        <v>44527.375023148146</v>
      </c>
      <c r="C158" s="6" t="s">
        <v>26</v>
      </c>
      <c r="D158" s="6" t="s">
        <v>498</v>
      </c>
      <c r="E158" s="6" t="s">
        <v>28</v>
      </c>
      <c r="F158" s="6" t="s">
        <v>34</v>
      </c>
      <c r="G158" s="6" t="s">
        <v>499</v>
      </c>
      <c r="H158" s="9" t="s">
        <v>500</v>
      </c>
      <c r="I158" s="10">
        <v>1.0</v>
      </c>
      <c r="J158" s="10">
        <v>11502.0</v>
      </c>
      <c r="K158" s="10">
        <v>12318.0</v>
      </c>
      <c r="L158" s="10">
        <v>661.0</v>
      </c>
      <c r="M158" s="10">
        <v>137.0</v>
      </c>
      <c r="N158" s="10">
        <v>11502.0</v>
      </c>
      <c r="O158" s="6" t="s">
        <v>31</v>
      </c>
      <c r="P158" s="11">
        <f t="shared" si="1"/>
        <v>233</v>
      </c>
    </row>
    <row r="159" ht="18.0" customHeight="1">
      <c r="A159" s="7">
        <v>44483.0</v>
      </c>
      <c r="B159" s="8">
        <v>44483.625</v>
      </c>
      <c r="C159" s="6" t="s">
        <v>26</v>
      </c>
      <c r="D159" s="6" t="s">
        <v>501</v>
      </c>
      <c r="E159" s="6" t="s">
        <v>28</v>
      </c>
      <c r="F159" s="6" t="s">
        <v>34</v>
      </c>
      <c r="G159" s="6" t="s">
        <v>502</v>
      </c>
      <c r="H159" s="9" t="s">
        <v>503</v>
      </c>
      <c r="I159" s="10">
        <v>1.0</v>
      </c>
      <c r="J159" s="10">
        <v>3704.0</v>
      </c>
      <c r="K159" s="10">
        <v>4535.0</v>
      </c>
      <c r="L159" s="10">
        <v>995.0</v>
      </c>
      <c r="M159" s="10">
        <v>635.0</v>
      </c>
      <c r="N159" s="10">
        <v>3704.0</v>
      </c>
      <c r="O159" s="6" t="s">
        <v>31</v>
      </c>
      <c r="P159" s="11">
        <f t="shared" si="1"/>
        <v>234</v>
      </c>
    </row>
    <row r="160" ht="18.0" customHeight="1">
      <c r="A160" s="7">
        <v>44513.0</v>
      </c>
      <c r="B160" s="8">
        <v>44513.58336805556</v>
      </c>
      <c r="C160" s="6" t="s">
        <v>26</v>
      </c>
      <c r="D160" s="6" t="s">
        <v>504</v>
      </c>
      <c r="E160" s="6" t="s">
        <v>61</v>
      </c>
      <c r="F160" s="6" t="s">
        <v>76</v>
      </c>
      <c r="G160" s="6" t="s">
        <v>505</v>
      </c>
      <c r="H160" s="9" t="s">
        <v>506</v>
      </c>
      <c r="I160" s="10">
        <v>1.0</v>
      </c>
      <c r="J160" s="10">
        <v>3184.0</v>
      </c>
      <c r="K160" s="10">
        <v>3703.0</v>
      </c>
      <c r="L160" s="10">
        <v>73.0</v>
      </c>
      <c r="M160" s="10">
        <v>183.0</v>
      </c>
      <c r="N160" s="10">
        <v>3184.0</v>
      </c>
      <c r="O160" s="6" t="s">
        <v>31</v>
      </c>
      <c r="P160" s="11">
        <f t="shared" si="1"/>
        <v>234</v>
      </c>
    </row>
    <row r="161" ht="18.0" customHeight="1">
      <c r="A161" s="7">
        <v>44549.0</v>
      </c>
      <c r="B161" s="8">
        <v>44549.77143518518</v>
      </c>
      <c r="C161" s="6" t="s">
        <v>26</v>
      </c>
      <c r="D161" s="6" t="s">
        <v>507</v>
      </c>
      <c r="E161" s="6" t="s">
        <v>61</v>
      </c>
      <c r="F161" s="6" t="s">
        <v>62</v>
      </c>
      <c r="G161" s="6" t="s">
        <v>508</v>
      </c>
      <c r="H161" s="9" t="s">
        <v>509</v>
      </c>
      <c r="I161" s="10">
        <v>1.0</v>
      </c>
      <c r="J161" s="10">
        <v>416.0</v>
      </c>
      <c r="K161" s="10">
        <v>543.0</v>
      </c>
      <c r="L161" s="10">
        <v>339.0</v>
      </c>
      <c r="M161" s="10">
        <v>132.0</v>
      </c>
      <c r="N161" s="10">
        <v>416.0</v>
      </c>
      <c r="O161" s="6" t="s">
        <v>31</v>
      </c>
      <c r="P161" s="11">
        <f t="shared" si="1"/>
        <v>234</v>
      </c>
    </row>
    <row r="162" ht="18.0" customHeight="1">
      <c r="A162" s="7">
        <v>44526.0</v>
      </c>
      <c r="B162" s="8">
        <v>44526.33335648148</v>
      </c>
      <c r="C162" s="6" t="s">
        <v>26</v>
      </c>
      <c r="D162" s="6" t="s">
        <v>510</v>
      </c>
      <c r="E162" s="6" t="s">
        <v>28</v>
      </c>
      <c r="F162" s="6" t="s">
        <v>34</v>
      </c>
      <c r="G162" s="6" t="s">
        <v>511</v>
      </c>
      <c r="H162" s="9" t="s">
        <v>512</v>
      </c>
      <c r="I162" s="10">
        <v>1.0</v>
      </c>
      <c r="J162" s="10">
        <v>7918.0</v>
      </c>
      <c r="K162" s="10">
        <v>8076.0</v>
      </c>
      <c r="L162" s="10">
        <v>264.0</v>
      </c>
      <c r="M162" s="10">
        <v>67.0</v>
      </c>
      <c r="N162" s="10">
        <v>7918.0</v>
      </c>
      <c r="O162" s="6" t="s">
        <v>31</v>
      </c>
      <c r="P162" s="11">
        <f t="shared" si="1"/>
        <v>235</v>
      </c>
    </row>
    <row r="163" ht="18.0" customHeight="1">
      <c r="A163" s="7">
        <v>44520.0</v>
      </c>
      <c r="B163" s="8">
        <v>44520.75009259259</v>
      </c>
      <c r="C163" s="6" t="s">
        <v>26</v>
      </c>
      <c r="D163" s="6" t="s">
        <v>513</v>
      </c>
      <c r="E163" s="6" t="s">
        <v>61</v>
      </c>
      <c r="F163" s="6" t="s">
        <v>62</v>
      </c>
      <c r="G163" s="6" t="s">
        <v>514</v>
      </c>
      <c r="H163" s="9" t="s">
        <v>515</v>
      </c>
      <c r="I163" s="10">
        <v>1.0</v>
      </c>
      <c r="J163" s="10">
        <v>522.0</v>
      </c>
      <c r="K163" s="10">
        <v>551.0</v>
      </c>
      <c r="L163" s="10">
        <v>21.0</v>
      </c>
      <c r="M163" s="10">
        <v>15.0</v>
      </c>
      <c r="N163" s="10">
        <v>522.0</v>
      </c>
      <c r="O163" s="6" t="s">
        <v>31</v>
      </c>
      <c r="P163" s="11">
        <f t="shared" si="1"/>
        <v>236</v>
      </c>
    </row>
    <row r="164" ht="18.0" customHeight="1">
      <c r="A164" s="7">
        <v>44475.0</v>
      </c>
      <c r="B164" s="8">
        <v>44475.33337962963</v>
      </c>
      <c r="C164" s="6" t="s">
        <v>26</v>
      </c>
      <c r="D164" s="6" t="s">
        <v>516</v>
      </c>
      <c r="E164" s="6" t="s">
        <v>28</v>
      </c>
      <c r="F164" s="6" t="s">
        <v>34</v>
      </c>
      <c r="G164" s="6" t="s">
        <v>517</v>
      </c>
      <c r="H164" s="9" t="s">
        <v>518</v>
      </c>
      <c r="I164" s="10">
        <v>1.0</v>
      </c>
      <c r="J164" s="10">
        <v>8279.0</v>
      </c>
      <c r="K164" s="10">
        <v>8433.0</v>
      </c>
      <c r="L164" s="10">
        <v>141.0</v>
      </c>
      <c r="M164" s="10">
        <v>56.0</v>
      </c>
      <c r="N164" s="10">
        <v>8279.0</v>
      </c>
      <c r="O164" s="6" t="s">
        <v>31</v>
      </c>
      <c r="P164" s="11">
        <f t="shared" si="1"/>
        <v>237</v>
      </c>
    </row>
    <row r="165" ht="18.0" customHeight="1">
      <c r="A165" s="7">
        <v>44526.0</v>
      </c>
      <c r="B165" s="8">
        <v>44526.54167824074</v>
      </c>
      <c r="C165" s="6" t="s">
        <v>26</v>
      </c>
      <c r="D165" s="6" t="s">
        <v>519</v>
      </c>
      <c r="E165" s="6" t="s">
        <v>28</v>
      </c>
      <c r="F165" s="6" t="s">
        <v>34</v>
      </c>
      <c r="G165" s="6" t="s">
        <v>520</v>
      </c>
      <c r="H165" s="9" t="s">
        <v>521</v>
      </c>
      <c r="I165" s="10">
        <v>1.0</v>
      </c>
      <c r="J165" s="10">
        <v>5631.0</v>
      </c>
      <c r="K165" s="10">
        <v>5755.0</v>
      </c>
      <c r="L165" s="10">
        <v>52.0</v>
      </c>
      <c r="M165" s="10">
        <v>32.0</v>
      </c>
      <c r="N165" s="10">
        <v>5631.0</v>
      </c>
      <c r="O165" s="6" t="s">
        <v>31</v>
      </c>
      <c r="P165" s="11">
        <f t="shared" si="1"/>
        <v>237</v>
      </c>
    </row>
    <row r="166" ht="18.0" customHeight="1">
      <c r="A166" s="7">
        <v>44554.0</v>
      </c>
      <c r="B166" s="8">
        <v>44554.375</v>
      </c>
      <c r="C166" s="6" t="s">
        <v>26</v>
      </c>
      <c r="D166" s="6" t="s">
        <v>522</v>
      </c>
      <c r="E166" s="6" t="s">
        <v>28</v>
      </c>
      <c r="F166" s="6" t="s">
        <v>34</v>
      </c>
      <c r="G166" s="6" t="s">
        <v>523</v>
      </c>
      <c r="H166" s="9" t="s">
        <v>524</v>
      </c>
      <c r="I166" s="10">
        <v>1.0</v>
      </c>
      <c r="J166" s="10">
        <v>10863.0</v>
      </c>
      <c r="K166" s="10">
        <v>11260.0</v>
      </c>
      <c r="L166" s="10">
        <v>404.0</v>
      </c>
      <c r="M166" s="10">
        <v>109.0</v>
      </c>
      <c r="N166" s="10">
        <v>10863.0</v>
      </c>
      <c r="O166" s="6" t="s">
        <v>31</v>
      </c>
      <c r="P166" s="11">
        <f t="shared" si="1"/>
        <v>237</v>
      </c>
    </row>
    <row r="167" ht="18.0" customHeight="1">
      <c r="A167" s="7">
        <v>44513.0</v>
      </c>
      <c r="B167" s="8">
        <v>44513.458391203705</v>
      </c>
      <c r="C167" s="6" t="s">
        <v>26</v>
      </c>
      <c r="D167" s="6" t="s">
        <v>525</v>
      </c>
      <c r="E167" s="6" t="s">
        <v>28</v>
      </c>
      <c r="F167" s="6" t="s">
        <v>34</v>
      </c>
      <c r="G167" s="6" t="s">
        <v>526</v>
      </c>
      <c r="H167" s="9" t="s">
        <v>527</v>
      </c>
      <c r="I167" s="10">
        <v>1.0</v>
      </c>
      <c r="J167" s="10">
        <v>8577.0</v>
      </c>
      <c r="K167" s="10">
        <v>8646.0</v>
      </c>
      <c r="L167" s="10">
        <v>129.0</v>
      </c>
      <c r="M167" s="10">
        <v>23.0</v>
      </c>
      <c r="N167" s="10">
        <v>8577.0</v>
      </c>
      <c r="O167" s="6" t="s">
        <v>31</v>
      </c>
      <c r="P167" s="11">
        <f t="shared" si="1"/>
        <v>238</v>
      </c>
    </row>
    <row r="168" ht="18.0" customHeight="1">
      <c r="A168" s="7">
        <v>44494.0</v>
      </c>
      <c r="B168" s="8">
        <v>44494.37501157408</v>
      </c>
      <c r="C168" s="6" t="s">
        <v>26</v>
      </c>
      <c r="D168" s="6" t="s">
        <v>528</v>
      </c>
      <c r="E168" s="6" t="s">
        <v>28</v>
      </c>
      <c r="F168" s="6" t="s">
        <v>34</v>
      </c>
      <c r="G168" s="6" t="s">
        <v>529</v>
      </c>
      <c r="H168" s="9" t="s">
        <v>530</v>
      </c>
      <c r="I168" s="10">
        <v>1.0</v>
      </c>
      <c r="J168" s="10">
        <v>1582.0</v>
      </c>
      <c r="K168" s="10">
        <v>1753.0</v>
      </c>
      <c r="L168" s="10">
        <v>236.0</v>
      </c>
      <c r="M168" s="10">
        <v>40.0</v>
      </c>
      <c r="N168" s="10">
        <v>1582.0</v>
      </c>
      <c r="O168" s="6" t="s">
        <v>31</v>
      </c>
      <c r="P168" s="11">
        <f t="shared" si="1"/>
        <v>239</v>
      </c>
    </row>
    <row r="169" ht="18.0" customHeight="1">
      <c r="A169" s="7">
        <v>44504.0</v>
      </c>
      <c r="B169" s="8">
        <v>44504.29175925926</v>
      </c>
      <c r="C169" s="6" t="s">
        <v>26</v>
      </c>
      <c r="D169" s="6" t="s">
        <v>531</v>
      </c>
      <c r="E169" s="6" t="s">
        <v>28</v>
      </c>
      <c r="F169" s="6" t="s">
        <v>34</v>
      </c>
      <c r="G169" s="6" t="s">
        <v>532</v>
      </c>
      <c r="H169" s="9" t="s">
        <v>533</v>
      </c>
      <c r="I169" s="10">
        <v>1.0</v>
      </c>
      <c r="J169" s="10">
        <v>10112.0</v>
      </c>
      <c r="K169" s="10">
        <v>10343.0</v>
      </c>
      <c r="L169" s="10">
        <v>227.0</v>
      </c>
      <c r="M169" s="10">
        <v>131.0</v>
      </c>
      <c r="N169" s="10">
        <v>10112.0</v>
      </c>
      <c r="O169" s="6" t="s">
        <v>31</v>
      </c>
      <c r="P169" s="11">
        <f t="shared" si="1"/>
        <v>239</v>
      </c>
    </row>
    <row r="170" ht="18.0" customHeight="1">
      <c r="A170" s="7">
        <v>44514.0</v>
      </c>
      <c r="B170" s="8">
        <v>44514.53927083333</v>
      </c>
      <c r="C170" s="6" t="s">
        <v>26</v>
      </c>
      <c r="D170" s="6" t="s">
        <v>534</v>
      </c>
      <c r="E170" s="6" t="s">
        <v>61</v>
      </c>
      <c r="F170" s="6" t="s">
        <v>62</v>
      </c>
      <c r="G170" s="6" t="s">
        <v>535</v>
      </c>
      <c r="H170" s="9" t="s">
        <v>536</v>
      </c>
      <c r="I170" s="10">
        <v>1.0</v>
      </c>
      <c r="J170" s="10">
        <v>558.0</v>
      </c>
      <c r="K170" s="10">
        <v>807.0</v>
      </c>
      <c r="L170" s="10">
        <v>646.0</v>
      </c>
      <c r="M170" s="10">
        <v>111.0</v>
      </c>
      <c r="N170" s="10">
        <v>558.0</v>
      </c>
      <c r="O170" s="6" t="s">
        <v>31</v>
      </c>
      <c r="P170" s="11">
        <f t="shared" si="1"/>
        <v>239</v>
      </c>
    </row>
    <row r="171" ht="18.0" customHeight="1">
      <c r="A171" s="7">
        <v>44548.0</v>
      </c>
      <c r="B171" s="8">
        <v>44548.333344907405</v>
      </c>
      <c r="C171" s="6" t="s">
        <v>26</v>
      </c>
      <c r="D171" s="6" t="s">
        <v>537</v>
      </c>
      <c r="E171" s="6" t="s">
        <v>28</v>
      </c>
      <c r="F171" s="6" t="s">
        <v>34</v>
      </c>
      <c r="G171" s="6" t="s">
        <v>538</v>
      </c>
      <c r="H171" s="9" t="s">
        <v>539</v>
      </c>
      <c r="I171" s="10">
        <v>1.0</v>
      </c>
      <c r="J171" s="10">
        <v>8784.0</v>
      </c>
      <c r="K171" s="10">
        <v>8943.0</v>
      </c>
      <c r="L171" s="10">
        <v>176.0</v>
      </c>
      <c r="M171" s="10">
        <v>71.0</v>
      </c>
      <c r="N171" s="10">
        <v>8784.0</v>
      </c>
      <c r="O171" s="6" t="s">
        <v>31</v>
      </c>
      <c r="P171" s="11">
        <f t="shared" si="1"/>
        <v>239</v>
      </c>
    </row>
    <row r="172" ht="18.0" customHeight="1">
      <c r="A172" s="7">
        <v>44552.0</v>
      </c>
      <c r="B172" s="8">
        <v>44552.75001157408</v>
      </c>
      <c r="C172" s="6" t="s">
        <v>26</v>
      </c>
      <c r="D172" s="6" t="s">
        <v>540</v>
      </c>
      <c r="E172" s="6" t="s">
        <v>28</v>
      </c>
      <c r="F172" s="6" t="s">
        <v>34</v>
      </c>
      <c r="G172" s="6" t="s">
        <v>541</v>
      </c>
      <c r="H172" s="9" t="s">
        <v>542</v>
      </c>
      <c r="I172" s="10">
        <v>1.0</v>
      </c>
      <c r="J172" s="10">
        <v>317.0</v>
      </c>
      <c r="K172" s="10">
        <v>320.0</v>
      </c>
      <c r="L172" s="10">
        <v>18.0</v>
      </c>
      <c r="M172" s="10">
        <v>4.0</v>
      </c>
      <c r="N172" s="10">
        <v>317.0</v>
      </c>
      <c r="O172" s="6" t="s">
        <v>31</v>
      </c>
      <c r="P172" s="11">
        <f t="shared" si="1"/>
        <v>239</v>
      </c>
    </row>
    <row r="173" ht="18.0" customHeight="1">
      <c r="A173" s="7">
        <v>44529.0</v>
      </c>
      <c r="B173" s="8">
        <v>44529.62556712963</v>
      </c>
      <c r="C173" s="6" t="s">
        <v>50</v>
      </c>
      <c r="D173" s="6" t="s">
        <v>543</v>
      </c>
      <c r="E173" s="6" t="s">
        <v>61</v>
      </c>
      <c r="F173" s="6" t="s">
        <v>62</v>
      </c>
      <c r="G173" s="6" t="s">
        <v>544</v>
      </c>
      <c r="H173" s="9" t="s">
        <v>545</v>
      </c>
      <c r="I173" s="10">
        <v>1.0</v>
      </c>
      <c r="J173" s="10">
        <v>134.0</v>
      </c>
      <c r="K173" s="10">
        <v>145.0</v>
      </c>
      <c r="L173" s="10">
        <v>1.0</v>
      </c>
      <c r="M173" s="10">
        <v>25.0</v>
      </c>
      <c r="N173" s="10">
        <v>134.0</v>
      </c>
      <c r="O173" s="6" t="s">
        <v>53</v>
      </c>
      <c r="P173" s="11">
        <f t="shared" si="1"/>
        <v>239</v>
      </c>
    </row>
    <row r="174" ht="18.0" customHeight="1">
      <c r="A174" s="7">
        <v>44497.0</v>
      </c>
      <c r="B174" s="8">
        <v>44497.541712962964</v>
      </c>
      <c r="C174" s="6" t="s">
        <v>26</v>
      </c>
      <c r="D174" s="6" t="s">
        <v>546</v>
      </c>
      <c r="E174" s="6" t="s">
        <v>28</v>
      </c>
      <c r="F174" s="6" t="s">
        <v>34</v>
      </c>
      <c r="G174" s="6" t="s">
        <v>547</v>
      </c>
      <c r="H174" s="9" t="s">
        <v>548</v>
      </c>
      <c r="I174" s="10">
        <v>1.0</v>
      </c>
      <c r="J174" s="10">
        <v>4532.0</v>
      </c>
      <c r="K174" s="10">
        <v>4642.0</v>
      </c>
      <c r="L174" s="10">
        <v>100.0</v>
      </c>
      <c r="M174" s="10">
        <v>30.0</v>
      </c>
      <c r="N174" s="10">
        <v>4532.0</v>
      </c>
      <c r="O174" s="6" t="s">
        <v>31</v>
      </c>
      <c r="P174" s="11">
        <f t="shared" si="1"/>
        <v>240</v>
      </c>
    </row>
    <row r="175" ht="18.0" customHeight="1">
      <c r="A175" s="7">
        <v>44523.0</v>
      </c>
      <c r="B175" s="8">
        <v>44523.333333333336</v>
      </c>
      <c r="C175" s="6" t="s">
        <v>26</v>
      </c>
      <c r="D175" s="6" t="s">
        <v>549</v>
      </c>
      <c r="E175" s="6" t="s">
        <v>28</v>
      </c>
      <c r="F175" s="6" t="s">
        <v>34</v>
      </c>
      <c r="G175" s="6" t="s">
        <v>550</v>
      </c>
      <c r="H175" s="9" t="s">
        <v>551</v>
      </c>
      <c r="I175" s="10">
        <v>1.0</v>
      </c>
      <c r="J175" s="10">
        <v>11220.0</v>
      </c>
      <c r="K175" s="10">
        <v>11920.0</v>
      </c>
      <c r="L175" s="10">
        <v>574.0</v>
      </c>
      <c r="M175" s="10">
        <v>217.0</v>
      </c>
      <c r="N175" s="10">
        <v>11220.0</v>
      </c>
      <c r="O175" s="6" t="s">
        <v>31</v>
      </c>
      <c r="P175" s="11">
        <f t="shared" si="1"/>
        <v>240</v>
      </c>
    </row>
    <row r="176" ht="18.0" customHeight="1">
      <c r="A176" s="7">
        <v>44488.0</v>
      </c>
      <c r="B176" s="8">
        <v>44488.50027777778</v>
      </c>
      <c r="C176" s="6" t="s">
        <v>26</v>
      </c>
      <c r="D176" s="6" t="s">
        <v>552</v>
      </c>
      <c r="E176" s="6" t="s">
        <v>28</v>
      </c>
      <c r="F176" s="6" t="s">
        <v>34</v>
      </c>
      <c r="G176" s="6" t="s">
        <v>553</v>
      </c>
      <c r="H176" s="9" t="s">
        <v>554</v>
      </c>
      <c r="I176" s="10">
        <v>1.0</v>
      </c>
      <c r="J176" s="10">
        <v>7331.0</v>
      </c>
      <c r="K176" s="10">
        <v>7504.0</v>
      </c>
      <c r="L176" s="10">
        <v>228.0</v>
      </c>
      <c r="M176" s="10">
        <v>39.0</v>
      </c>
      <c r="N176" s="10">
        <v>7331.0</v>
      </c>
      <c r="O176" s="6" t="s">
        <v>31</v>
      </c>
      <c r="P176" s="11">
        <f t="shared" si="1"/>
        <v>241</v>
      </c>
    </row>
    <row r="177" ht="18.0" customHeight="1">
      <c r="A177" s="7">
        <v>44519.0</v>
      </c>
      <c r="B177" s="8">
        <v>44519.41667824074</v>
      </c>
      <c r="C177" s="6" t="s">
        <v>26</v>
      </c>
      <c r="D177" s="6" t="s">
        <v>555</v>
      </c>
      <c r="E177" s="6" t="s">
        <v>28</v>
      </c>
      <c r="F177" s="6" t="s">
        <v>34</v>
      </c>
      <c r="G177" s="6" t="s">
        <v>556</v>
      </c>
      <c r="H177" s="9" t="s">
        <v>557</v>
      </c>
      <c r="I177" s="10">
        <v>1.0</v>
      </c>
      <c r="J177" s="10">
        <v>9743.0</v>
      </c>
      <c r="K177" s="10">
        <v>9856.0</v>
      </c>
      <c r="L177" s="10">
        <v>48.0</v>
      </c>
      <c r="M177" s="10">
        <v>27.0</v>
      </c>
      <c r="N177" s="10">
        <v>9743.0</v>
      </c>
      <c r="O177" s="6" t="s">
        <v>31</v>
      </c>
      <c r="P177" s="11">
        <f t="shared" si="1"/>
        <v>242</v>
      </c>
    </row>
    <row r="178" ht="18.0" customHeight="1">
      <c r="A178" s="7">
        <v>44516.0</v>
      </c>
      <c r="B178" s="8">
        <v>44516.41672453703</v>
      </c>
      <c r="C178" s="6" t="s">
        <v>26</v>
      </c>
      <c r="D178" s="6" t="s">
        <v>558</v>
      </c>
      <c r="E178" s="6" t="s">
        <v>28</v>
      </c>
      <c r="F178" s="6" t="s">
        <v>34</v>
      </c>
      <c r="G178" s="6" t="s">
        <v>559</v>
      </c>
      <c r="H178" s="9" t="s">
        <v>560</v>
      </c>
      <c r="I178" s="10">
        <v>1.0</v>
      </c>
      <c r="J178" s="10">
        <v>5814.0</v>
      </c>
      <c r="K178" s="10">
        <v>5904.0</v>
      </c>
      <c r="L178" s="10">
        <v>72.0</v>
      </c>
      <c r="M178" s="10">
        <v>21.0</v>
      </c>
      <c r="N178" s="10">
        <v>5814.0</v>
      </c>
      <c r="O178" s="6" t="s">
        <v>31</v>
      </c>
      <c r="P178" s="11">
        <f t="shared" si="1"/>
        <v>244</v>
      </c>
    </row>
    <row r="179" ht="18.0" customHeight="1">
      <c r="A179" s="7">
        <v>44552.0</v>
      </c>
      <c r="B179" s="8">
        <v>44552.62501157408</v>
      </c>
      <c r="C179" s="6" t="s">
        <v>26</v>
      </c>
      <c r="D179" s="6" t="s">
        <v>561</v>
      </c>
      <c r="E179" s="6" t="s">
        <v>28</v>
      </c>
      <c r="F179" s="6" t="s">
        <v>34</v>
      </c>
      <c r="G179" s="6" t="s">
        <v>562</v>
      </c>
      <c r="H179" s="9" t="s">
        <v>563</v>
      </c>
      <c r="I179" s="10">
        <v>1.0</v>
      </c>
      <c r="J179" s="10">
        <v>6966.0</v>
      </c>
      <c r="K179" s="10">
        <v>7158.0</v>
      </c>
      <c r="L179" s="10">
        <v>71.0</v>
      </c>
      <c r="M179" s="10">
        <v>59.0</v>
      </c>
      <c r="N179" s="10">
        <v>6966.0</v>
      </c>
      <c r="O179" s="6" t="s">
        <v>31</v>
      </c>
      <c r="P179" s="11">
        <f t="shared" si="1"/>
        <v>244</v>
      </c>
    </row>
    <row r="180" ht="18.0" customHeight="1">
      <c r="A180" s="7">
        <v>44496.0</v>
      </c>
      <c r="B180" s="8">
        <v>44496.333344907405</v>
      </c>
      <c r="C180" s="6" t="s">
        <v>26</v>
      </c>
      <c r="D180" s="6" t="s">
        <v>564</v>
      </c>
      <c r="E180" s="6" t="s">
        <v>28</v>
      </c>
      <c r="F180" s="6" t="s">
        <v>34</v>
      </c>
      <c r="G180" s="6" t="s">
        <v>565</v>
      </c>
      <c r="H180" s="9" t="s">
        <v>566</v>
      </c>
      <c r="I180" s="10">
        <v>1.0</v>
      </c>
      <c r="J180" s="10">
        <v>10507.0</v>
      </c>
      <c r="K180" s="10">
        <v>11103.0</v>
      </c>
      <c r="L180" s="10">
        <v>339.0</v>
      </c>
      <c r="M180" s="10">
        <v>86.0</v>
      </c>
      <c r="N180" s="10">
        <v>10507.0</v>
      </c>
      <c r="O180" s="6" t="s">
        <v>31</v>
      </c>
      <c r="P180" s="11">
        <f t="shared" si="1"/>
        <v>245</v>
      </c>
    </row>
    <row r="181" ht="18.0" customHeight="1">
      <c r="A181" s="7">
        <v>44523.0</v>
      </c>
      <c r="B181" s="8">
        <v>44523.66700231482</v>
      </c>
      <c r="C181" s="6" t="s">
        <v>26</v>
      </c>
      <c r="D181" s="6" t="s">
        <v>567</v>
      </c>
      <c r="E181" s="6" t="s">
        <v>61</v>
      </c>
      <c r="F181" s="6" t="s">
        <v>62</v>
      </c>
      <c r="G181" s="6" t="s">
        <v>568</v>
      </c>
      <c r="H181" s="9" t="s">
        <v>569</v>
      </c>
      <c r="I181" s="10">
        <v>1.0</v>
      </c>
      <c r="J181" s="10">
        <v>256.0</v>
      </c>
      <c r="K181" s="10">
        <v>279.0</v>
      </c>
      <c r="L181" s="10">
        <v>14.0</v>
      </c>
      <c r="M181" s="10">
        <v>3.0</v>
      </c>
      <c r="N181" s="10">
        <v>256.0</v>
      </c>
      <c r="O181" s="6" t="s">
        <v>31</v>
      </c>
      <c r="P181" s="11">
        <f t="shared" si="1"/>
        <v>245</v>
      </c>
    </row>
    <row r="182" ht="18.0" customHeight="1">
      <c r="A182" s="7">
        <v>44497.0</v>
      </c>
      <c r="B182" s="8">
        <v>44497.79403935185</v>
      </c>
      <c r="C182" s="6" t="s">
        <v>26</v>
      </c>
      <c r="D182" s="6" t="s">
        <v>570</v>
      </c>
      <c r="E182" s="6" t="s">
        <v>28</v>
      </c>
      <c r="F182" s="6" t="s">
        <v>229</v>
      </c>
      <c r="G182" s="6" t="s">
        <v>571</v>
      </c>
      <c r="H182" s="9" t="s">
        <v>572</v>
      </c>
      <c r="I182" s="10">
        <v>1.0</v>
      </c>
      <c r="J182" s="10">
        <v>4109.0</v>
      </c>
      <c r="K182" s="10">
        <v>4685.0</v>
      </c>
      <c r="L182" s="10">
        <v>547.0</v>
      </c>
      <c r="M182" s="10">
        <v>2895.0</v>
      </c>
      <c r="N182" s="10">
        <v>4109.0</v>
      </c>
      <c r="O182" s="6" t="s">
        <v>31</v>
      </c>
      <c r="P182" s="11">
        <f t="shared" si="1"/>
        <v>246</v>
      </c>
    </row>
    <row r="183" ht="18.0" customHeight="1">
      <c r="A183" s="7">
        <v>44513.0</v>
      </c>
      <c r="B183" s="8">
        <v>44513.375023148146</v>
      </c>
      <c r="C183" s="6" t="s">
        <v>26</v>
      </c>
      <c r="D183" s="6" t="s">
        <v>573</v>
      </c>
      <c r="E183" s="6" t="s">
        <v>28</v>
      </c>
      <c r="F183" s="6" t="s">
        <v>34</v>
      </c>
      <c r="G183" s="6" t="s">
        <v>574</v>
      </c>
      <c r="H183" s="9" t="s">
        <v>575</v>
      </c>
      <c r="I183" s="10">
        <v>1.0</v>
      </c>
      <c r="J183" s="10">
        <v>11049.0</v>
      </c>
      <c r="K183" s="10">
        <v>11293.0</v>
      </c>
      <c r="L183" s="10">
        <v>305.0</v>
      </c>
      <c r="M183" s="10">
        <v>96.0</v>
      </c>
      <c r="N183" s="10">
        <v>11049.0</v>
      </c>
      <c r="O183" s="6" t="s">
        <v>31</v>
      </c>
      <c r="P183" s="11">
        <f t="shared" si="1"/>
        <v>246</v>
      </c>
    </row>
    <row r="184" ht="18.0" customHeight="1">
      <c r="A184" s="7">
        <v>44512.0</v>
      </c>
      <c r="B184" s="8">
        <v>44512.83336805556</v>
      </c>
      <c r="C184" s="6" t="s">
        <v>26</v>
      </c>
      <c r="D184" s="6" t="s">
        <v>576</v>
      </c>
      <c r="E184" s="6" t="s">
        <v>28</v>
      </c>
      <c r="F184" s="6" t="s">
        <v>229</v>
      </c>
      <c r="G184" s="6" t="s">
        <v>577</v>
      </c>
      <c r="H184" s="9" t="s">
        <v>578</v>
      </c>
      <c r="I184" s="10">
        <v>1.0</v>
      </c>
      <c r="J184" s="10">
        <v>1658.0</v>
      </c>
      <c r="K184" s="10">
        <v>1697.0</v>
      </c>
      <c r="L184" s="10">
        <v>54.0</v>
      </c>
      <c r="M184" s="10">
        <v>32.0</v>
      </c>
      <c r="N184" s="10">
        <v>1658.0</v>
      </c>
      <c r="O184" s="6" t="s">
        <v>31</v>
      </c>
      <c r="P184" s="11">
        <f t="shared" si="1"/>
        <v>247</v>
      </c>
    </row>
    <row r="185" ht="18.0" customHeight="1">
      <c r="A185" s="7">
        <v>44516.0</v>
      </c>
      <c r="B185" s="8">
        <v>44516.66667824074</v>
      </c>
      <c r="C185" s="6" t="s">
        <v>26</v>
      </c>
      <c r="D185" s="6" t="s">
        <v>579</v>
      </c>
      <c r="E185" s="6" t="s">
        <v>28</v>
      </c>
      <c r="F185" s="6" t="s">
        <v>34</v>
      </c>
      <c r="G185" s="6" t="s">
        <v>580</v>
      </c>
      <c r="H185" s="9" t="s">
        <v>581</v>
      </c>
      <c r="I185" s="10">
        <v>1.0</v>
      </c>
      <c r="J185" s="10">
        <v>6250.0</v>
      </c>
      <c r="K185" s="10">
        <v>6316.0</v>
      </c>
      <c r="L185" s="10">
        <v>32.0</v>
      </c>
      <c r="M185" s="10">
        <v>15.0</v>
      </c>
      <c r="N185" s="10">
        <v>6250.0</v>
      </c>
      <c r="O185" s="6" t="s">
        <v>31</v>
      </c>
      <c r="P185" s="11">
        <f t="shared" si="1"/>
        <v>247</v>
      </c>
    </row>
    <row r="186" ht="18.0" customHeight="1">
      <c r="A186" s="7">
        <v>44547.0</v>
      </c>
      <c r="B186" s="8">
        <v>44547.458344907405</v>
      </c>
      <c r="C186" s="6" t="s">
        <v>26</v>
      </c>
      <c r="D186" s="6" t="s">
        <v>582</v>
      </c>
      <c r="E186" s="6" t="s">
        <v>28</v>
      </c>
      <c r="F186" s="6" t="s">
        <v>34</v>
      </c>
      <c r="G186" s="6" t="s">
        <v>583</v>
      </c>
      <c r="H186" s="9" t="s">
        <v>584</v>
      </c>
      <c r="I186" s="10">
        <v>1.0</v>
      </c>
      <c r="J186" s="10">
        <v>8296.0</v>
      </c>
      <c r="K186" s="10">
        <v>9179.0</v>
      </c>
      <c r="L186" s="10">
        <v>322.0</v>
      </c>
      <c r="M186" s="10">
        <v>231.0</v>
      </c>
      <c r="N186" s="10">
        <v>8296.0</v>
      </c>
      <c r="O186" s="6" t="s">
        <v>31</v>
      </c>
      <c r="P186" s="11">
        <f t="shared" si="1"/>
        <v>247</v>
      </c>
    </row>
    <row r="187" ht="18.0" customHeight="1">
      <c r="A187" s="7">
        <v>44522.0</v>
      </c>
      <c r="B187" s="8">
        <v>44522.750023148146</v>
      </c>
      <c r="C187" s="6" t="s">
        <v>26</v>
      </c>
      <c r="D187" s="6" t="s">
        <v>585</v>
      </c>
      <c r="E187" s="6" t="s">
        <v>28</v>
      </c>
      <c r="F187" s="6" t="s">
        <v>229</v>
      </c>
      <c r="G187" s="6" t="s">
        <v>586</v>
      </c>
      <c r="H187" s="9" t="s">
        <v>587</v>
      </c>
      <c r="I187" s="10">
        <v>1.0</v>
      </c>
      <c r="J187" s="10">
        <v>803.0</v>
      </c>
      <c r="K187" s="10">
        <v>918.0</v>
      </c>
      <c r="L187" s="10">
        <v>27.0</v>
      </c>
      <c r="M187" s="10">
        <v>16.0</v>
      </c>
      <c r="N187" s="10">
        <v>803.0</v>
      </c>
      <c r="O187" s="6" t="s">
        <v>31</v>
      </c>
      <c r="P187" s="11">
        <f t="shared" si="1"/>
        <v>248</v>
      </c>
    </row>
    <row r="188" ht="18.0" customHeight="1">
      <c r="A188" s="7">
        <v>44486.0</v>
      </c>
      <c r="B188" s="8">
        <v>44486.333333333336</v>
      </c>
      <c r="C188" s="6" t="s">
        <v>26</v>
      </c>
      <c r="D188" s="6" t="s">
        <v>588</v>
      </c>
      <c r="E188" s="6" t="s">
        <v>28</v>
      </c>
      <c r="F188" s="6" t="s">
        <v>34</v>
      </c>
      <c r="G188" s="6" t="s">
        <v>589</v>
      </c>
      <c r="H188" s="9" t="s">
        <v>590</v>
      </c>
      <c r="I188" s="10">
        <v>1.0</v>
      </c>
      <c r="J188" s="10">
        <v>9253.0</v>
      </c>
      <c r="K188" s="10">
        <v>9539.0</v>
      </c>
      <c r="L188" s="10">
        <v>280.0</v>
      </c>
      <c r="M188" s="10">
        <v>91.0</v>
      </c>
      <c r="N188" s="10">
        <v>9253.0</v>
      </c>
      <c r="O188" s="6" t="s">
        <v>31</v>
      </c>
      <c r="P188" s="11">
        <f t="shared" si="1"/>
        <v>249</v>
      </c>
    </row>
    <row r="189" ht="18.0" customHeight="1">
      <c r="A189" s="7">
        <v>44512.0</v>
      </c>
      <c r="B189" s="8">
        <v>44512.79173611111</v>
      </c>
      <c r="C189" s="6" t="s">
        <v>26</v>
      </c>
      <c r="D189" s="6" t="s">
        <v>591</v>
      </c>
      <c r="E189" s="6" t="s">
        <v>61</v>
      </c>
      <c r="F189" s="6" t="s">
        <v>62</v>
      </c>
      <c r="G189" s="6" t="s">
        <v>592</v>
      </c>
      <c r="H189" s="9" t="s">
        <v>593</v>
      </c>
      <c r="I189" s="10">
        <v>1.0</v>
      </c>
      <c r="J189" s="10">
        <v>616.0</v>
      </c>
      <c r="K189" s="10">
        <v>658.0</v>
      </c>
      <c r="L189" s="10">
        <v>139.0</v>
      </c>
      <c r="M189" s="10">
        <v>20.0</v>
      </c>
      <c r="N189" s="10">
        <v>616.0</v>
      </c>
      <c r="O189" s="6" t="s">
        <v>31</v>
      </c>
      <c r="P189" s="11">
        <f t="shared" si="1"/>
        <v>249</v>
      </c>
    </row>
    <row r="190" ht="18.0" customHeight="1">
      <c r="A190" s="7">
        <v>44519.0</v>
      </c>
      <c r="B190" s="8">
        <v>44519.54168981482</v>
      </c>
      <c r="C190" s="6" t="s">
        <v>26</v>
      </c>
      <c r="D190" s="6" t="s">
        <v>594</v>
      </c>
      <c r="E190" s="6" t="s">
        <v>28</v>
      </c>
      <c r="F190" s="6" t="s">
        <v>34</v>
      </c>
      <c r="G190" s="6" t="s">
        <v>595</v>
      </c>
      <c r="H190" s="9" t="s">
        <v>596</v>
      </c>
      <c r="I190" s="10">
        <v>1.0</v>
      </c>
      <c r="J190" s="10">
        <v>10079.0</v>
      </c>
      <c r="K190" s="10">
        <v>10213.0</v>
      </c>
      <c r="L190" s="10">
        <v>115.0</v>
      </c>
      <c r="M190" s="10">
        <v>24.0</v>
      </c>
      <c r="N190" s="10">
        <v>10079.0</v>
      </c>
      <c r="O190" s="6" t="s">
        <v>31</v>
      </c>
      <c r="P190" s="11">
        <f t="shared" si="1"/>
        <v>249</v>
      </c>
    </row>
    <row r="191" ht="18.0" customHeight="1">
      <c r="A191" s="7">
        <v>44524.0</v>
      </c>
      <c r="B191" s="8">
        <v>44524.37505787037</v>
      </c>
      <c r="C191" s="6" t="s">
        <v>26</v>
      </c>
      <c r="D191" s="6" t="s">
        <v>597</v>
      </c>
      <c r="E191" s="6" t="s">
        <v>28</v>
      </c>
      <c r="F191" s="6" t="s">
        <v>34</v>
      </c>
      <c r="G191" s="6" t="s">
        <v>598</v>
      </c>
      <c r="H191" s="9" t="s">
        <v>599</v>
      </c>
      <c r="I191" s="10">
        <v>1.0</v>
      </c>
      <c r="J191" s="10">
        <v>9359.0</v>
      </c>
      <c r="K191" s="10">
        <v>9555.0</v>
      </c>
      <c r="L191" s="10">
        <v>262.0</v>
      </c>
      <c r="M191" s="10">
        <v>83.0</v>
      </c>
      <c r="N191" s="10">
        <v>9359.0</v>
      </c>
      <c r="O191" s="6" t="s">
        <v>31</v>
      </c>
      <c r="P191" s="11">
        <f t="shared" si="1"/>
        <v>250</v>
      </c>
    </row>
    <row r="192" ht="18.0" customHeight="1">
      <c r="A192" s="7">
        <v>44528.0</v>
      </c>
      <c r="B192" s="8">
        <v>44528.62501157408</v>
      </c>
      <c r="C192" s="6" t="s">
        <v>26</v>
      </c>
      <c r="D192" s="6" t="s">
        <v>600</v>
      </c>
      <c r="E192" s="6" t="s">
        <v>28</v>
      </c>
      <c r="F192" s="6" t="s">
        <v>34</v>
      </c>
      <c r="G192" s="6" t="s">
        <v>601</v>
      </c>
      <c r="H192" s="9" t="s">
        <v>602</v>
      </c>
      <c r="I192" s="10">
        <v>1.0</v>
      </c>
      <c r="J192" s="10">
        <v>11971.0</v>
      </c>
      <c r="K192" s="10">
        <v>12771.0</v>
      </c>
      <c r="L192" s="10">
        <v>204.0</v>
      </c>
      <c r="M192" s="10">
        <v>154.0</v>
      </c>
      <c r="N192" s="10">
        <v>11971.0</v>
      </c>
      <c r="O192" s="6" t="s">
        <v>31</v>
      </c>
      <c r="P192" s="11">
        <f t="shared" si="1"/>
        <v>250</v>
      </c>
    </row>
    <row r="193" ht="18.0" customHeight="1">
      <c r="A193" s="7">
        <v>44485.0</v>
      </c>
      <c r="B193" s="8">
        <v>44485.625</v>
      </c>
      <c r="C193" s="6" t="s">
        <v>26</v>
      </c>
      <c r="D193" s="6" t="s">
        <v>603</v>
      </c>
      <c r="E193" s="6" t="s">
        <v>28</v>
      </c>
      <c r="F193" s="6" t="s">
        <v>34</v>
      </c>
      <c r="G193" s="6" t="s">
        <v>604</v>
      </c>
      <c r="H193" s="9" t="s">
        <v>605</v>
      </c>
      <c r="I193" s="10">
        <v>1.0</v>
      </c>
      <c r="J193" s="10">
        <v>1070.0</v>
      </c>
      <c r="K193" s="10">
        <v>1344.0</v>
      </c>
      <c r="L193" s="10">
        <v>182.0</v>
      </c>
      <c r="M193" s="10">
        <v>16.0</v>
      </c>
      <c r="N193" s="10">
        <v>1070.0</v>
      </c>
      <c r="O193" s="6" t="s">
        <v>31</v>
      </c>
      <c r="P193" s="11">
        <f t="shared" si="1"/>
        <v>252</v>
      </c>
    </row>
    <row r="194" ht="18.0" customHeight="1">
      <c r="A194" s="7">
        <v>44499.0</v>
      </c>
      <c r="B194" s="8">
        <v>44499.29168981482</v>
      </c>
      <c r="C194" s="6" t="s">
        <v>26</v>
      </c>
      <c r="D194" s="6" t="s">
        <v>606</v>
      </c>
      <c r="E194" s="6" t="s">
        <v>28</v>
      </c>
      <c r="F194" s="6" t="s">
        <v>34</v>
      </c>
      <c r="G194" s="6" t="s">
        <v>607</v>
      </c>
      <c r="H194" s="9" t="s">
        <v>608</v>
      </c>
      <c r="I194" s="10">
        <v>1.0</v>
      </c>
      <c r="J194" s="10">
        <v>1185.0</v>
      </c>
      <c r="K194" s="10">
        <v>1232.0</v>
      </c>
      <c r="L194" s="10">
        <v>161.0</v>
      </c>
      <c r="M194" s="10">
        <v>41.0</v>
      </c>
      <c r="N194" s="10">
        <v>1185.0</v>
      </c>
      <c r="O194" s="6" t="s">
        <v>31</v>
      </c>
      <c r="P194" s="11">
        <f t="shared" si="1"/>
        <v>252</v>
      </c>
    </row>
    <row r="195" ht="18.0" customHeight="1">
      <c r="A195" s="7">
        <v>44516.0</v>
      </c>
      <c r="B195" s="8">
        <v>44516.33337962963</v>
      </c>
      <c r="C195" s="6" t="s">
        <v>26</v>
      </c>
      <c r="D195" s="6" t="s">
        <v>609</v>
      </c>
      <c r="E195" s="6" t="s">
        <v>28</v>
      </c>
      <c r="F195" s="6" t="s">
        <v>34</v>
      </c>
      <c r="G195" s="6" t="s">
        <v>610</v>
      </c>
      <c r="H195" s="9" t="s">
        <v>611</v>
      </c>
      <c r="I195" s="10">
        <v>1.0</v>
      </c>
      <c r="J195" s="10">
        <v>7945.0</v>
      </c>
      <c r="K195" s="10">
        <v>8104.0</v>
      </c>
      <c r="L195" s="10">
        <v>272.0</v>
      </c>
      <c r="M195" s="10">
        <v>86.0</v>
      </c>
      <c r="N195" s="10">
        <v>7945.0</v>
      </c>
      <c r="O195" s="6" t="s">
        <v>31</v>
      </c>
      <c r="P195" s="11">
        <f t="shared" si="1"/>
        <v>252</v>
      </c>
    </row>
    <row r="196" ht="18.0" customHeight="1">
      <c r="A196" s="7">
        <v>44548.0</v>
      </c>
      <c r="B196" s="8">
        <v>44548.37501157408</v>
      </c>
      <c r="C196" s="6" t="s">
        <v>26</v>
      </c>
      <c r="D196" s="6" t="s">
        <v>612</v>
      </c>
      <c r="E196" s="6" t="s">
        <v>28</v>
      </c>
      <c r="F196" s="6" t="s">
        <v>34</v>
      </c>
      <c r="G196" s="6" t="s">
        <v>613</v>
      </c>
      <c r="H196" s="9" t="s">
        <v>614</v>
      </c>
      <c r="I196" s="10">
        <v>1.0</v>
      </c>
      <c r="J196" s="10">
        <v>9349.0</v>
      </c>
      <c r="K196" s="10">
        <v>9464.0</v>
      </c>
      <c r="L196" s="10">
        <v>240.0</v>
      </c>
      <c r="M196" s="10">
        <v>25.0</v>
      </c>
      <c r="N196" s="10">
        <v>9349.0</v>
      </c>
      <c r="O196" s="6" t="s">
        <v>31</v>
      </c>
      <c r="P196" s="11">
        <f t="shared" si="1"/>
        <v>252</v>
      </c>
    </row>
    <row r="197" ht="18.0" customHeight="1">
      <c r="A197" s="7">
        <v>44484.0</v>
      </c>
      <c r="B197" s="8">
        <v>44484.333344907405</v>
      </c>
      <c r="C197" s="6" t="s">
        <v>26</v>
      </c>
      <c r="D197" s="6" t="s">
        <v>615</v>
      </c>
      <c r="E197" s="6" t="s">
        <v>28</v>
      </c>
      <c r="F197" s="6" t="s">
        <v>34</v>
      </c>
      <c r="G197" s="6" t="s">
        <v>616</v>
      </c>
      <c r="H197" s="9" t="s">
        <v>617</v>
      </c>
      <c r="I197" s="10">
        <v>1.0</v>
      </c>
      <c r="J197" s="10">
        <v>1514.0</v>
      </c>
      <c r="K197" s="10">
        <v>1809.0</v>
      </c>
      <c r="L197" s="10">
        <v>273.0</v>
      </c>
      <c r="M197" s="10">
        <v>83.0</v>
      </c>
      <c r="N197" s="10">
        <v>1514.0</v>
      </c>
      <c r="O197" s="6" t="s">
        <v>31</v>
      </c>
      <c r="P197" s="11">
        <f t="shared" si="1"/>
        <v>253</v>
      </c>
    </row>
    <row r="198" ht="18.0" customHeight="1">
      <c r="A198" s="7">
        <v>44513.0</v>
      </c>
      <c r="B198" s="8">
        <v>44513.29173611111</v>
      </c>
      <c r="C198" s="6" t="s">
        <v>26</v>
      </c>
      <c r="D198" s="6" t="s">
        <v>618</v>
      </c>
      <c r="E198" s="6" t="s">
        <v>28</v>
      </c>
      <c r="F198" s="6" t="s">
        <v>34</v>
      </c>
      <c r="G198" s="6" t="s">
        <v>619</v>
      </c>
      <c r="H198" s="9" t="s">
        <v>620</v>
      </c>
      <c r="I198" s="10">
        <v>1.0</v>
      </c>
      <c r="J198" s="10">
        <v>475.0</v>
      </c>
      <c r="K198" s="10">
        <v>489.0</v>
      </c>
      <c r="L198" s="10">
        <v>50.0</v>
      </c>
      <c r="M198" s="10">
        <v>3.0</v>
      </c>
      <c r="N198" s="10">
        <v>475.0</v>
      </c>
      <c r="O198" s="6" t="s">
        <v>31</v>
      </c>
      <c r="P198" s="11">
        <f t="shared" si="1"/>
        <v>253</v>
      </c>
    </row>
    <row r="199" ht="18.0" customHeight="1">
      <c r="A199" s="7">
        <v>44513.0</v>
      </c>
      <c r="B199" s="8">
        <v>44513.5</v>
      </c>
      <c r="C199" s="6" t="s">
        <v>26</v>
      </c>
      <c r="D199" s="6" t="s">
        <v>621</v>
      </c>
      <c r="E199" s="6" t="s">
        <v>28</v>
      </c>
      <c r="F199" s="6" t="s">
        <v>34</v>
      </c>
      <c r="G199" s="6" t="s">
        <v>622</v>
      </c>
      <c r="H199" s="9" t="s">
        <v>623</v>
      </c>
      <c r="I199" s="10">
        <v>1.0</v>
      </c>
      <c r="J199" s="10">
        <v>8995.0</v>
      </c>
      <c r="K199" s="10">
        <v>9098.0</v>
      </c>
      <c r="L199" s="10">
        <v>105.0</v>
      </c>
      <c r="M199" s="10">
        <v>33.0</v>
      </c>
      <c r="N199" s="10">
        <v>8995.0</v>
      </c>
      <c r="O199" s="6" t="s">
        <v>31</v>
      </c>
      <c r="P199" s="11">
        <f t="shared" si="1"/>
        <v>255</v>
      </c>
    </row>
    <row r="200" ht="18.0" customHeight="1">
      <c r="A200" s="7">
        <v>44499.0</v>
      </c>
      <c r="B200" s="8">
        <v>44499.416712962964</v>
      </c>
      <c r="C200" s="6" t="s">
        <v>26</v>
      </c>
      <c r="D200" s="6" t="s">
        <v>624</v>
      </c>
      <c r="E200" s="6" t="s">
        <v>28</v>
      </c>
      <c r="F200" s="6" t="s">
        <v>34</v>
      </c>
      <c r="G200" s="6" t="s">
        <v>625</v>
      </c>
      <c r="H200" s="9" t="s">
        <v>626</v>
      </c>
      <c r="I200" s="10">
        <v>1.0</v>
      </c>
      <c r="J200" s="10">
        <v>2216.0</v>
      </c>
      <c r="K200" s="10">
        <v>2360.0</v>
      </c>
      <c r="L200" s="10">
        <v>390.0</v>
      </c>
      <c r="M200" s="10">
        <v>150.0</v>
      </c>
      <c r="N200" s="10">
        <v>2216.0</v>
      </c>
      <c r="O200" s="6" t="s">
        <v>31</v>
      </c>
      <c r="P200" s="11">
        <f t="shared" si="1"/>
        <v>256</v>
      </c>
    </row>
    <row r="201" ht="18.0" customHeight="1">
      <c r="A201" s="7">
        <v>44502.0</v>
      </c>
      <c r="B201" s="8">
        <v>44502.416666666664</v>
      </c>
      <c r="C201" s="6" t="s">
        <v>26</v>
      </c>
      <c r="D201" s="6" t="s">
        <v>627</v>
      </c>
      <c r="E201" s="6" t="s">
        <v>28</v>
      </c>
      <c r="F201" s="6" t="s">
        <v>34</v>
      </c>
      <c r="G201" s="6" t="s">
        <v>628</v>
      </c>
      <c r="H201" s="9" t="s">
        <v>629</v>
      </c>
      <c r="I201" s="10">
        <v>1.0</v>
      </c>
      <c r="J201" s="10">
        <v>7636.0</v>
      </c>
      <c r="K201" s="10">
        <v>7763.0</v>
      </c>
      <c r="L201" s="10">
        <v>140.0</v>
      </c>
      <c r="M201" s="10">
        <v>41.0</v>
      </c>
      <c r="N201" s="10">
        <v>7636.0</v>
      </c>
      <c r="O201" s="6" t="s">
        <v>31</v>
      </c>
      <c r="P201" s="11">
        <f t="shared" si="1"/>
        <v>256</v>
      </c>
    </row>
    <row r="202" ht="18.0" customHeight="1">
      <c r="A202" s="7">
        <v>44551.0</v>
      </c>
      <c r="B202" s="8">
        <v>44551.333344907405</v>
      </c>
      <c r="C202" s="6" t="s">
        <v>26</v>
      </c>
      <c r="D202" s="6" t="s">
        <v>630</v>
      </c>
      <c r="E202" s="6" t="s">
        <v>28</v>
      </c>
      <c r="F202" s="6" t="s">
        <v>34</v>
      </c>
      <c r="G202" s="6" t="s">
        <v>631</v>
      </c>
      <c r="H202" s="9" t="s">
        <v>632</v>
      </c>
      <c r="I202" s="10">
        <v>1.0</v>
      </c>
      <c r="J202" s="10">
        <v>8227.0</v>
      </c>
      <c r="K202" s="10">
        <v>8334.0</v>
      </c>
      <c r="L202" s="10">
        <v>158.0</v>
      </c>
      <c r="M202" s="10">
        <v>44.0</v>
      </c>
      <c r="N202" s="10">
        <v>8227.0</v>
      </c>
      <c r="O202" s="6" t="s">
        <v>31</v>
      </c>
      <c r="P202" s="11">
        <f t="shared" si="1"/>
        <v>257</v>
      </c>
    </row>
    <row r="203" ht="18.0" customHeight="1">
      <c r="A203" s="7">
        <v>44554.0</v>
      </c>
      <c r="B203" s="8">
        <v>44554.333333333336</v>
      </c>
      <c r="C203" s="6" t="s">
        <v>26</v>
      </c>
      <c r="D203" s="6" t="s">
        <v>633</v>
      </c>
      <c r="E203" s="6" t="s">
        <v>28</v>
      </c>
      <c r="F203" s="6" t="s">
        <v>34</v>
      </c>
      <c r="G203" s="6" t="s">
        <v>634</v>
      </c>
      <c r="H203" s="9" t="s">
        <v>635</v>
      </c>
      <c r="I203" s="10">
        <v>1.0</v>
      </c>
      <c r="J203" s="10">
        <v>12209.0</v>
      </c>
      <c r="K203" s="10">
        <v>12962.0</v>
      </c>
      <c r="L203" s="10">
        <v>451.0</v>
      </c>
      <c r="M203" s="10">
        <v>248.0</v>
      </c>
      <c r="N203" s="10">
        <v>12209.0</v>
      </c>
      <c r="O203" s="6" t="s">
        <v>31</v>
      </c>
      <c r="P203" s="11">
        <f t="shared" si="1"/>
        <v>257</v>
      </c>
    </row>
    <row r="204" ht="18.0" customHeight="1">
      <c r="A204" s="7">
        <v>44531.0</v>
      </c>
      <c r="B204" s="8">
        <v>44531.64244212963</v>
      </c>
      <c r="C204" s="6" t="s">
        <v>50</v>
      </c>
      <c r="D204" s="6" t="s">
        <v>636</v>
      </c>
      <c r="E204" s="6" t="s">
        <v>61</v>
      </c>
      <c r="F204" s="6" t="s">
        <v>62</v>
      </c>
      <c r="G204" s="6" t="s">
        <v>637</v>
      </c>
      <c r="H204" s="9" t="s">
        <v>638</v>
      </c>
      <c r="I204" s="10">
        <v>1.0</v>
      </c>
      <c r="J204" s="10">
        <v>991.0</v>
      </c>
      <c r="K204" s="10">
        <v>1025.0</v>
      </c>
      <c r="L204" s="10">
        <v>31.0</v>
      </c>
      <c r="M204" s="10">
        <v>108.0</v>
      </c>
      <c r="N204" s="10">
        <v>991.0</v>
      </c>
      <c r="O204" s="6" t="s">
        <v>53</v>
      </c>
      <c r="P204" s="11">
        <f t="shared" si="1"/>
        <v>257</v>
      </c>
    </row>
    <row r="205" ht="18.0" customHeight="1">
      <c r="A205" s="7">
        <v>44499.0</v>
      </c>
      <c r="B205" s="8">
        <v>44499.50009259259</v>
      </c>
      <c r="C205" s="6" t="s">
        <v>26</v>
      </c>
      <c r="D205" s="6" t="s">
        <v>639</v>
      </c>
      <c r="E205" s="6" t="s">
        <v>28</v>
      </c>
      <c r="F205" s="6" t="s">
        <v>34</v>
      </c>
      <c r="G205" s="6" t="s">
        <v>640</v>
      </c>
      <c r="H205" s="9" t="s">
        <v>641</v>
      </c>
      <c r="I205" s="10">
        <v>1.0</v>
      </c>
      <c r="J205" s="10">
        <v>961.0</v>
      </c>
      <c r="K205" s="10">
        <v>1045.0</v>
      </c>
      <c r="L205" s="10">
        <v>128.0</v>
      </c>
      <c r="M205" s="10">
        <v>12.0</v>
      </c>
      <c r="N205" s="10">
        <v>961.0</v>
      </c>
      <c r="O205" s="6" t="s">
        <v>31</v>
      </c>
      <c r="P205" s="11">
        <f t="shared" si="1"/>
        <v>259</v>
      </c>
    </row>
    <row r="206" ht="18.0" customHeight="1">
      <c r="A206" s="7">
        <v>44497.0</v>
      </c>
      <c r="B206" s="8">
        <v>44497.45835648148</v>
      </c>
      <c r="C206" s="6" t="s">
        <v>26</v>
      </c>
      <c r="D206" s="6" t="s">
        <v>642</v>
      </c>
      <c r="E206" s="6" t="s">
        <v>28</v>
      </c>
      <c r="F206" s="6" t="s">
        <v>34</v>
      </c>
      <c r="G206" s="6" t="s">
        <v>643</v>
      </c>
      <c r="H206" s="9" t="s">
        <v>644</v>
      </c>
      <c r="I206" s="10">
        <v>1.0</v>
      </c>
      <c r="J206" s="10">
        <v>8367.0</v>
      </c>
      <c r="K206" s="10">
        <v>9479.0</v>
      </c>
      <c r="L206" s="10">
        <v>771.0</v>
      </c>
      <c r="M206" s="10">
        <v>169.0</v>
      </c>
      <c r="N206" s="10">
        <v>8367.0</v>
      </c>
      <c r="O206" s="6" t="s">
        <v>31</v>
      </c>
      <c r="P206" s="11">
        <f t="shared" si="1"/>
        <v>260</v>
      </c>
    </row>
    <row r="207" ht="18.0" customHeight="1">
      <c r="A207" s="7">
        <v>44504.0</v>
      </c>
      <c r="B207" s="8">
        <v>44504.37501157408</v>
      </c>
      <c r="C207" s="6" t="s">
        <v>26</v>
      </c>
      <c r="D207" s="6" t="s">
        <v>645</v>
      </c>
      <c r="E207" s="6" t="s">
        <v>28</v>
      </c>
      <c r="F207" s="6" t="s">
        <v>34</v>
      </c>
      <c r="G207" s="6" t="s">
        <v>646</v>
      </c>
      <c r="H207" s="9" t="s">
        <v>647</v>
      </c>
      <c r="I207" s="10">
        <v>1.0</v>
      </c>
      <c r="J207" s="10">
        <v>9629.0</v>
      </c>
      <c r="K207" s="10">
        <v>10367.0</v>
      </c>
      <c r="L207" s="10">
        <v>539.0</v>
      </c>
      <c r="M207" s="10">
        <v>193.0</v>
      </c>
      <c r="N207" s="10">
        <v>9629.0</v>
      </c>
      <c r="O207" s="6" t="s">
        <v>31</v>
      </c>
      <c r="P207" s="11">
        <f t="shared" si="1"/>
        <v>260</v>
      </c>
    </row>
    <row r="208" ht="18.0" customHeight="1">
      <c r="A208" s="7">
        <v>44477.0</v>
      </c>
      <c r="B208" s="8">
        <v>44477.29225694444</v>
      </c>
      <c r="C208" s="6" t="s">
        <v>26</v>
      </c>
      <c r="D208" s="6" t="s">
        <v>648</v>
      </c>
      <c r="E208" s="6" t="s">
        <v>72</v>
      </c>
      <c r="F208" s="6" t="s">
        <v>44</v>
      </c>
      <c r="G208" s="6" t="s">
        <v>649</v>
      </c>
      <c r="H208" s="9" t="s">
        <v>650</v>
      </c>
      <c r="I208" s="10">
        <v>1.0</v>
      </c>
      <c r="J208" s="10">
        <v>184.0</v>
      </c>
      <c r="K208" s="10">
        <v>204.0</v>
      </c>
      <c r="L208" s="10">
        <v>6.0</v>
      </c>
      <c r="M208" s="10">
        <v>11.0</v>
      </c>
      <c r="N208" s="10">
        <v>184.0</v>
      </c>
      <c r="O208" s="6" t="s">
        <v>31</v>
      </c>
      <c r="P208" s="11">
        <f t="shared" si="1"/>
        <v>261</v>
      </c>
    </row>
    <row r="209" ht="18.0" customHeight="1">
      <c r="A209" s="7">
        <v>44491.0</v>
      </c>
      <c r="B209" s="8">
        <v>44491.50001157408</v>
      </c>
      <c r="C209" s="6" t="s">
        <v>26</v>
      </c>
      <c r="D209" s="6" t="s">
        <v>651</v>
      </c>
      <c r="E209" s="6" t="s">
        <v>28</v>
      </c>
      <c r="F209" s="6" t="s">
        <v>34</v>
      </c>
      <c r="G209" s="6" t="s">
        <v>652</v>
      </c>
      <c r="H209" s="9" t="s">
        <v>653</v>
      </c>
      <c r="I209" s="10">
        <v>1.0</v>
      </c>
      <c r="J209" s="10">
        <v>383.0</v>
      </c>
      <c r="K209" s="10">
        <v>396.0</v>
      </c>
      <c r="L209" s="10">
        <v>43.0</v>
      </c>
      <c r="M209" s="10">
        <v>5.0</v>
      </c>
      <c r="N209" s="10">
        <v>383.0</v>
      </c>
      <c r="O209" s="6" t="s">
        <v>31</v>
      </c>
      <c r="P209" s="11">
        <f t="shared" si="1"/>
        <v>261</v>
      </c>
    </row>
    <row r="210" ht="18.0" customHeight="1">
      <c r="A210" s="7">
        <v>44480.0</v>
      </c>
      <c r="B210" s="8">
        <v>44480.75</v>
      </c>
      <c r="C210" s="6" t="s">
        <v>26</v>
      </c>
      <c r="D210" s="6" t="s">
        <v>654</v>
      </c>
      <c r="E210" s="6" t="s">
        <v>28</v>
      </c>
      <c r="F210" s="6" t="s">
        <v>34</v>
      </c>
      <c r="G210" s="6" t="s">
        <v>655</v>
      </c>
      <c r="H210" s="9" t="s">
        <v>656</v>
      </c>
      <c r="I210" s="10">
        <v>1.0</v>
      </c>
      <c r="J210" s="10">
        <v>2083.0</v>
      </c>
      <c r="K210" s="10">
        <v>2125.0</v>
      </c>
      <c r="L210" s="10">
        <v>109.0</v>
      </c>
      <c r="M210" s="10">
        <v>28.0</v>
      </c>
      <c r="N210" s="10">
        <v>2083.0</v>
      </c>
      <c r="O210" s="6" t="s">
        <v>31</v>
      </c>
      <c r="P210" s="11">
        <f t="shared" si="1"/>
        <v>262</v>
      </c>
    </row>
    <row r="211" ht="18.0" customHeight="1">
      <c r="A211" s="7">
        <v>44498.0</v>
      </c>
      <c r="B211" s="8">
        <v>44498.33335648148</v>
      </c>
      <c r="C211" s="6" t="s">
        <v>26</v>
      </c>
      <c r="D211" s="6" t="s">
        <v>657</v>
      </c>
      <c r="E211" s="6" t="s">
        <v>28</v>
      </c>
      <c r="F211" s="6" t="s">
        <v>34</v>
      </c>
      <c r="G211" s="6" t="s">
        <v>658</v>
      </c>
      <c r="H211" s="9" t="s">
        <v>659</v>
      </c>
      <c r="I211" s="10">
        <v>1.0</v>
      </c>
      <c r="J211" s="10">
        <v>1300.0</v>
      </c>
      <c r="K211" s="10">
        <v>1522.0</v>
      </c>
      <c r="L211" s="10">
        <v>286.0</v>
      </c>
      <c r="M211" s="10">
        <v>76.0</v>
      </c>
      <c r="N211" s="10">
        <v>1300.0</v>
      </c>
      <c r="O211" s="6" t="s">
        <v>31</v>
      </c>
      <c r="P211" s="11">
        <f t="shared" si="1"/>
        <v>262</v>
      </c>
    </row>
    <row r="212" ht="18.0" customHeight="1">
      <c r="A212" s="7">
        <v>44500.0</v>
      </c>
      <c r="B212" s="8">
        <v>44500.33336805556</v>
      </c>
      <c r="C212" s="6" t="s">
        <v>26</v>
      </c>
      <c r="D212" s="6" t="s">
        <v>660</v>
      </c>
      <c r="E212" s="6" t="s">
        <v>28</v>
      </c>
      <c r="F212" s="6" t="s">
        <v>34</v>
      </c>
      <c r="G212" s="6" t="s">
        <v>661</v>
      </c>
      <c r="H212" s="9" t="s">
        <v>662</v>
      </c>
      <c r="I212" s="10">
        <v>1.0</v>
      </c>
      <c r="J212" s="10">
        <v>1104.0</v>
      </c>
      <c r="K212" s="10">
        <v>1256.0</v>
      </c>
      <c r="L212" s="10">
        <v>249.0</v>
      </c>
      <c r="M212" s="10">
        <v>52.0</v>
      </c>
      <c r="N212" s="10">
        <v>1104.0</v>
      </c>
      <c r="O212" s="6" t="s">
        <v>31</v>
      </c>
      <c r="P212" s="11">
        <f t="shared" si="1"/>
        <v>262</v>
      </c>
    </row>
    <row r="213" ht="18.0" customHeight="1">
      <c r="A213" s="7">
        <v>44504.0</v>
      </c>
      <c r="B213" s="8">
        <v>44504.41670138889</v>
      </c>
      <c r="C213" s="6" t="s">
        <v>26</v>
      </c>
      <c r="D213" s="6" t="s">
        <v>663</v>
      </c>
      <c r="E213" s="6" t="s">
        <v>28</v>
      </c>
      <c r="F213" s="6" t="s">
        <v>34</v>
      </c>
      <c r="G213" s="6" t="s">
        <v>664</v>
      </c>
      <c r="H213" s="9" t="s">
        <v>665</v>
      </c>
      <c r="I213" s="10">
        <v>1.0</v>
      </c>
      <c r="J213" s="10">
        <v>7330.0</v>
      </c>
      <c r="K213" s="10">
        <v>7398.0</v>
      </c>
      <c r="L213" s="10">
        <v>130.0</v>
      </c>
      <c r="M213" s="10">
        <v>27.0</v>
      </c>
      <c r="N213" s="10">
        <v>7330.0</v>
      </c>
      <c r="O213" s="6" t="s">
        <v>31</v>
      </c>
      <c r="P213" s="11">
        <f t="shared" si="1"/>
        <v>262</v>
      </c>
    </row>
    <row r="214" ht="18.0" customHeight="1">
      <c r="A214" s="7">
        <v>44480.0</v>
      </c>
      <c r="B214" s="8">
        <v>44480.83335648148</v>
      </c>
      <c r="C214" s="6" t="s">
        <v>26</v>
      </c>
      <c r="D214" s="6" t="s">
        <v>666</v>
      </c>
      <c r="E214" s="6" t="s">
        <v>28</v>
      </c>
      <c r="F214" s="6" t="s">
        <v>34</v>
      </c>
      <c r="G214" s="6" t="s">
        <v>667</v>
      </c>
      <c r="H214" s="9" t="s">
        <v>668</v>
      </c>
      <c r="I214" s="10">
        <v>1.0</v>
      </c>
      <c r="J214" s="10">
        <v>370.0</v>
      </c>
      <c r="K214" s="10">
        <v>384.0</v>
      </c>
      <c r="L214" s="10">
        <v>96.0</v>
      </c>
      <c r="M214" s="10">
        <v>5.0</v>
      </c>
      <c r="N214" s="10">
        <v>370.0</v>
      </c>
      <c r="O214" s="6" t="s">
        <v>31</v>
      </c>
      <c r="P214" s="11">
        <f t="shared" si="1"/>
        <v>263</v>
      </c>
    </row>
    <row r="215" ht="18.0" customHeight="1">
      <c r="A215" s="7">
        <v>44549.0</v>
      </c>
      <c r="B215" s="8">
        <v>44549.375</v>
      </c>
      <c r="C215" s="6" t="s">
        <v>26</v>
      </c>
      <c r="D215" s="6" t="s">
        <v>669</v>
      </c>
      <c r="E215" s="6" t="s">
        <v>28</v>
      </c>
      <c r="F215" s="6" t="s">
        <v>34</v>
      </c>
      <c r="G215" s="6" t="s">
        <v>670</v>
      </c>
      <c r="H215" s="9" t="s">
        <v>671</v>
      </c>
      <c r="I215" s="10">
        <v>1.0</v>
      </c>
      <c r="J215" s="10">
        <v>10575.0</v>
      </c>
      <c r="K215" s="10">
        <v>10721.0</v>
      </c>
      <c r="L215" s="10">
        <v>185.0</v>
      </c>
      <c r="M215" s="10">
        <v>51.0</v>
      </c>
      <c r="N215" s="10">
        <v>10575.0</v>
      </c>
      <c r="O215" s="6" t="s">
        <v>31</v>
      </c>
      <c r="P215" s="11">
        <f t="shared" si="1"/>
        <v>263</v>
      </c>
    </row>
    <row r="216" ht="18.0" customHeight="1">
      <c r="A216" s="7">
        <v>44492.0</v>
      </c>
      <c r="B216" s="8">
        <v>44492.45836805556</v>
      </c>
      <c r="C216" s="6" t="s">
        <v>26</v>
      </c>
      <c r="D216" s="6" t="s">
        <v>672</v>
      </c>
      <c r="E216" s="6" t="s">
        <v>28</v>
      </c>
      <c r="F216" s="6" t="s">
        <v>34</v>
      </c>
      <c r="G216" s="6" t="s">
        <v>673</v>
      </c>
      <c r="H216" s="9" t="s">
        <v>674</v>
      </c>
      <c r="I216" s="10">
        <v>1.0</v>
      </c>
      <c r="J216" s="10">
        <v>1508.0</v>
      </c>
      <c r="K216" s="10">
        <v>1782.0</v>
      </c>
      <c r="L216" s="10">
        <v>239.0</v>
      </c>
      <c r="M216" s="10">
        <v>27.0</v>
      </c>
      <c r="N216" s="10">
        <v>1508.0</v>
      </c>
      <c r="O216" s="6" t="s">
        <v>31</v>
      </c>
      <c r="P216" s="11">
        <f t="shared" si="1"/>
        <v>264</v>
      </c>
    </row>
    <row r="217" ht="18.0" customHeight="1">
      <c r="A217" s="7">
        <v>44505.0</v>
      </c>
      <c r="B217" s="8">
        <v>44505.375069444446</v>
      </c>
      <c r="C217" s="6" t="s">
        <v>26</v>
      </c>
      <c r="D217" s="6" t="s">
        <v>675</v>
      </c>
      <c r="E217" s="6" t="s">
        <v>28</v>
      </c>
      <c r="F217" s="6" t="s">
        <v>34</v>
      </c>
      <c r="G217" s="6" t="s">
        <v>676</v>
      </c>
      <c r="H217" s="9" t="s">
        <v>677</v>
      </c>
      <c r="I217" s="10">
        <v>1.0</v>
      </c>
      <c r="J217" s="10">
        <v>7929.0</v>
      </c>
      <c r="K217" s="10">
        <v>8023.0</v>
      </c>
      <c r="L217" s="10">
        <v>135.0</v>
      </c>
      <c r="M217" s="10">
        <v>42.0</v>
      </c>
      <c r="N217" s="10">
        <v>7929.0</v>
      </c>
      <c r="O217" s="6" t="s">
        <v>31</v>
      </c>
      <c r="P217" s="11">
        <f t="shared" si="1"/>
        <v>264</v>
      </c>
    </row>
    <row r="218" ht="18.0" customHeight="1">
      <c r="A218" s="7">
        <v>44508.0</v>
      </c>
      <c r="B218" s="8">
        <v>44508.541666666664</v>
      </c>
      <c r="C218" s="6" t="s">
        <v>26</v>
      </c>
      <c r="D218" s="6" t="s">
        <v>678</v>
      </c>
      <c r="E218" s="6" t="s">
        <v>28</v>
      </c>
      <c r="F218" s="6" t="s">
        <v>34</v>
      </c>
      <c r="G218" s="6" t="s">
        <v>679</v>
      </c>
      <c r="H218" s="9" t="s">
        <v>680</v>
      </c>
      <c r="I218" s="10">
        <v>1.0</v>
      </c>
      <c r="J218" s="10">
        <v>7098.0</v>
      </c>
      <c r="K218" s="10">
        <v>7167.0</v>
      </c>
      <c r="L218" s="10">
        <v>106.0</v>
      </c>
      <c r="M218" s="10">
        <v>32.0</v>
      </c>
      <c r="N218" s="10">
        <v>7098.0</v>
      </c>
      <c r="O218" s="6" t="s">
        <v>31</v>
      </c>
      <c r="P218" s="11">
        <f t="shared" si="1"/>
        <v>264</v>
      </c>
    </row>
    <row r="219" ht="18.0" customHeight="1">
      <c r="A219" s="7">
        <v>44510.0</v>
      </c>
      <c r="B219" s="8">
        <v>44510.58400462963</v>
      </c>
      <c r="C219" s="6" t="s">
        <v>50</v>
      </c>
      <c r="D219" s="6" t="s">
        <v>681</v>
      </c>
      <c r="E219" s="6" t="s">
        <v>28</v>
      </c>
      <c r="F219" s="6" t="s">
        <v>229</v>
      </c>
      <c r="G219" s="6" t="s">
        <v>682</v>
      </c>
      <c r="H219" s="9" t="s">
        <v>683</v>
      </c>
      <c r="I219" s="10">
        <v>1.0</v>
      </c>
      <c r="J219" s="10">
        <v>303.0</v>
      </c>
      <c r="K219" s="10">
        <v>307.0</v>
      </c>
      <c r="L219" s="10">
        <v>7.0</v>
      </c>
      <c r="M219" s="10">
        <v>20.0</v>
      </c>
      <c r="N219" s="10">
        <v>303.0</v>
      </c>
      <c r="O219" s="6" t="s">
        <v>53</v>
      </c>
      <c r="P219" s="11">
        <f t="shared" si="1"/>
        <v>264</v>
      </c>
    </row>
    <row r="220" ht="18.0" customHeight="1">
      <c r="A220" s="7">
        <v>44524.0</v>
      </c>
      <c r="B220" s="8">
        <v>44524.83362268518</v>
      </c>
      <c r="C220" s="6" t="s">
        <v>26</v>
      </c>
      <c r="D220" s="6" t="s">
        <v>684</v>
      </c>
      <c r="E220" s="6" t="s">
        <v>61</v>
      </c>
      <c r="F220" s="6" t="s">
        <v>62</v>
      </c>
      <c r="G220" s="6" t="s">
        <v>685</v>
      </c>
      <c r="H220" s="9" t="s">
        <v>686</v>
      </c>
      <c r="I220" s="10">
        <v>1.0</v>
      </c>
      <c r="J220" s="10">
        <v>462.0</v>
      </c>
      <c r="K220" s="10">
        <v>528.0</v>
      </c>
      <c r="L220" s="10">
        <v>30.0</v>
      </c>
      <c r="M220" s="10">
        <v>13.0</v>
      </c>
      <c r="N220" s="10">
        <v>462.0</v>
      </c>
      <c r="O220" s="6" t="s">
        <v>31</v>
      </c>
      <c r="P220" s="11">
        <f t="shared" si="1"/>
        <v>266</v>
      </c>
    </row>
    <row r="221" ht="18.0" customHeight="1">
      <c r="A221" s="7">
        <v>44553.0</v>
      </c>
      <c r="B221" s="8">
        <v>44553.333344907405</v>
      </c>
      <c r="C221" s="6" t="s">
        <v>26</v>
      </c>
      <c r="D221" s="6" t="s">
        <v>687</v>
      </c>
      <c r="E221" s="6" t="s">
        <v>28</v>
      </c>
      <c r="F221" s="6" t="s">
        <v>34</v>
      </c>
      <c r="G221" s="6" t="s">
        <v>688</v>
      </c>
      <c r="H221" s="9" t="s">
        <v>689</v>
      </c>
      <c r="I221" s="10">
        <v>1.0</v>
      </c>
      <c r="J221" s="10">
        <v>2773.0</v>
      </c>
      <c r="K221" s="10">
        <v>3058.0</v>
      </c>
      <c r="L221" s="10">
        <v>386.0</v>
      </c>
      <c r="M221" s="10">
        <v>92.0</v>
      </c>
      <c r="N221" s="10">
        <v>2773.0</v>
      </c>
      <c r="O221" s="6" t="s">
        <v>31</v>
      </c>
      <c r="P221" s="11">
        <f t="shared" si="1"/>
        <v>266</v>
      </c>
    </row>
    <row r="222" ht="18.0" customHeight="1">
      <c r="A222" s="7">
        <v>44493.0</v>
      </c>
      <c r="B222" s="8">
        <v>44493.66667824074</v>
      </c>
      <c r="C222" s="6" t="s">
        <v>26</v>
      </c>
      <c r="D222" s="6" t="s">
        <v>690</v>
      </c>
      <c r="E222" s="6" t="s">
        <v>28</v>
      </c>
      <c r="F222" s="6" t="s">
        <v>34</v>
      </c>
      <c r="G222" s="6" t="s">
        <v>691</v>
      </c>
      <c r="H222" s="9" t="s">
        <v>692</v>
      </c>
      <c r="I222" s="10">
        <v>1.0</v>
      </c>
      <c r="J222" s="10">
        <v>291.0</v>
      </c>
      <c r="K222" s="10">
        <v>310.0</v>
      </c>
      <c r="L222" s="10">
        <v>31.0</v>
      </c>
      <c r="M222" s="10">
        <v>6.0</v>
      </c>
      <c r="N222" s="10">
        <v>291.0</v>
      </c>
      <c r="O222" s="6" t="s">
        <v>31</v>
      </c>
      <c r="P222" s="11">
        <f t="shared" si="1"/>
        <v>269</v>
      </c>
    </row>
    <row r="223" ht="18.0" customHeight="1">
      <c r="A223" s="7">
        <v>44500.0</v>
      </c>
      <c r="B223" s="8">
        <v>44500.68800925926</v>
      </c>
      <c r="C223" s="6" t="s">
        <v>50</v>
      </c>
      <c r="D223" s="6" t="s">
        <v>693</v>
      </c>
      <c r="E223" s="6" t="s">
        <v>28</v>
      </c>
      <c r="F223" s="6" t="s">
        <v>34</v>
      </c>
      <c r="G223" s="6" t="s">
        <v>694</v>
      </c>
      <c r="H223" s="9" t="s">
        <v>695</v>
      </c>
      <c r="I223" s="10">
        <v>1.0</v>
      </c>
      <c r="J223" s="10">
        <v>172.0</v>
      </c>
      <c r="K223" s="10">
        <v>176.0</v>
      </c>
      <c r="L223" s="10">
        <v>1.0</v>
      </c>
      <c r="M223" s="10">
        <v>4.0</v>
      </c>
      <c r="N223" s="10">
        <v>172.0</v>
      </c>
      <c r="O223" s="6" t="s">
        <v>53</v>
      </c>
      <c r="P223" s="11">
        <f t="shared" si="1"/>
        <v>270</v>
      </c>
    </row>
    <row r="224" ht="18.0" customHeight="1">
      <c r="A224" s="7">
        <v>44526.0</v>
      </c>
      <c r="B224" s="8">
        <v>44526.625023148146</v>
      </c>
      <c r="C224" s="6" t="s">
        <v>50</v>
      </c>
      <c r="D224" s="6" t="s">
        <v>696</v>
      </c>
      <c r="E224" s="6" t="s">
        <v>28</v>
      </c>
      <c r="F224" s="6" t="s">
        <v>229</v>
      </c>
      <c r="G224" s="6" t="s">
        <v>697</v>
      </c>
      <c r="H224" s="9" t="s">
        <v>698</v>
      </c>
      <c r="I224" s="10">
        <v>1.0</v>
      </c>
      <c r="J224" s="10">
        <v>95.0</v>
      </c>
      <c r="K224" s="10">
        <v>97.0</v>
      </c>
      <c r="L224" s="10">
        <v>0.0</v>
      </c>
      <c r="M224" s="10">
        <v>1.0</v>
      </c>
      <c r="N224" s="10">
        <v>95.0</v>
      </c>
      <c r="O224" s="6" t="s">
        <v>53</v>
      </c>
      <c r="P224" s="11">
        <f t="shared" si="1"/>
        <v>270</v>
      </c>
    </row>
    <row r="225" ht="18.0" customHeight="1">
      <c r="A225" s="7">
        <v>44477.0</v>
      </c>
      <c r="B225" s="8">
        <v>44477.333344907405</v>
      </c>
      <c r="C225" s="6" t="s">
        <v>26</v>
      </c>
      <c r="D225" s="6" t="s">
        <v>699</v>
      </c>
      <c r="E225" s="6" t="s">
        <v>28</v>
      </c>
      <c r="F225" s="6" t="s">
        <v>34</v>
      </c>
      <c r="G225" s="6" t="s">
        <v>700</v>
      </c>
      <c r="H225" s="9" t="s">
        <v>701</v>
      </c>
      <c r="I225" s="10">
        <v>1.0</v>
      </c>
      <c r="J225" s="10">
        <v>9297.0</v>
      </c>
      <c r="K225" s="10">
        <v>9814.0</v>
      </c>
      <c r="L225" s="10">
        <v>298.0</v>
      </c>
      <c r="M225" s="10">
        <v>142.0</v>
      </c>
      <c r="N225" s="10">
        <v>9297.0</v>
      </c>
      <c r="O225" s="6" t="s">
        <v>31</v>
      </c>
      <c r="P225" s="11">
        <f t="shared" si="1"/>
        <v>271</v>
      </c>
    </row>
    <row r="226" ht="18.0" customHeight="1">
      <c r="A226" s="7">
        <v>44512.0</v>
      </c>
      <c r="B226" s="8">
        <v>44512.458333333336</v>
      </c>
      <c r="C226" s="6" t="s">
        <v>26</v>
      </c>
      <c r="D226" s="6" t="s">
        <v>702</v>
      </c>
      <c r="E226" s="6" t="s">
        <v>28</v>
      </c>
      <c r="F226" s="6" t="s">
        <v>34</v>
      </c>
      <c r="G226" s="6" t="s">
        <v>703</v>
      </c>
      <c r="H226" s="9" t="s">
        <v>704</v>
      </c>
      <c r="I226" s="10">
        <v>1.0</v>
      </c>
      <c r="J226" s="10">
        <v>5681.0</v>
      </c>
      <c r="K226" s="10">
        <v>5778.0</v>
      </c>
      <c r="L226" s="10">
        <v>193.0</v>
      </c>
      <c r="M226" s="10">
        <v>77.0</v>
      </c>
      <c r="N226" s="10">
        <v>5681.0</v>
      </c>
      <c r="O226" s="6" t="s">
        <v>31</v>
      </c>
      <c r="P226" s="11">
        <f t="shared" si="1"/>
        <v>271</v>
      </c>
    </row>
    <row r="227" ht="18.0" customHeight="1">
      <c r="A227" s="7">
        <v>44553.0</v>
      </c>
      <c r="B227" s="8">
        <v>44553.375</v>
      </c>
      <c r="C227" s="6" t="s">
        <v>26</v>
      </c>
      <c r="D227" s="6" t="s">
        <v>705</v>
      </c>
      <c r="E227" s="6" t="s">
        <v>28</v>
      </c>
      <c r="F227" s="6" t="s">
        <v>34</v>
      </c>
      <c r="G227" s="6" t="s">
        <v>706</v>
      </c>
      <c r="H227" s="9" t="s">
        <v>707</v>
      </c>
      <c r="I227" s="10">
        <v>1.0</v>
      </c>
      <c r="J227" s="10">
        <v>909.0</v>
      </c>
      <c r="K227" s="10">
        <v>1012.0</v>
      </c>
      <c r="L227" s="10">
        <v>97.0</v>
      </c>
      <c r="M227" s="10">
        <v>13.0</v>
      </c>
      <c r="N227" s="10">
        <v>909.0</v>
      </c>
      <c r="O227" s="6" t="s">
        <v>31</v>
      </c>
      <c r="P227" s="11">
        <f t="shared" si="1"/>
        <v>272</v>
      </c>
    </row>
    <row r="228" ht="18.0" customHeight="1">
      <c r="A228" s="7">
        <v>44475.0</v>
      </c>
      <c r="B228" s="8">
        <v>44475.583344907405</v>
      </c>
      <c r="C228" s="6" t="s">
        <v>26</v>
      </c>
      <c r="D228" s="6" t="s">
        <v>708</v>
      </c>
      <c r="E228" s="6" t="s">
        <v>33</v>
      </c>
      <c r="F228" s="6" t="s">
        <v>89</v>
      </c>
      <c r="G228" s="6" t="s">
        <v>709</v>
      </c>
      <c r="H228" s="9" t="s">
        <v>710</v>
      </c>
      <c r="I228" s="10">
        <v>1.0</v>
      </c>
      <c r="J228" s="10">
        <v>1201.0</v>
      </c>
      <c r="K228" s="10">
        <v>1344.0</v>
      </c>
      <c r="L228" s="10">
        <v>63.0</v>
      </c>
      <c r="M228" s="10">
        <v>53.0</v>
      </c>
      <c r="N228" s="10">
        <v>1201.0</v>
      </c>
      <c r="O228" s="6" t="s">
        <v>31</v>
      </c>
      <c r="P228" s="11">
        <f t="shared" si="1"/>
        <v>273</v>
      </c>
    </row>
    <row r="229" ht="18.0" customHeight="1">
      <c r="A229" s="7">
        <v>44547.0</v>
      </c>
      <c r="B229" s="8">
        <v>44547.75003472222</v>
      </c>
      <c r="C229" s="6" t="s">
        <v>26</v>
      </c>
      <c r="D229" s="6" t="s">
        <v>711</v>
      </c>
      <c r="E229" s="6" t="s">
        <v>28</v>
      </c>
      <c r="F229" s="6" t="s">
        <v>34</v>
      </c>
      <c r="G229" s="6" t="s">
        <v>712</v>
      </c>
      <c r="H229" s="9" t="s">
        <v>713</v>
      </c>
      <c r="I229" s="10">
        <v>1.0</v>
      </c>
      <c r="J229" s="10">
        <v>170.0</v>
      </c>
      <c r="K229" s="10">
        <v>174.0</v>
      </c>
      <c r="L229" s="10">
        <v>19.0</v>
      </c>
      <c r="N229" s="10">
        <v>170.0</v>
      </c>
      <c r="O229" s="6" t="s">
        <v>31</v>
      </c>
      <c r="P229" s="11">
        <f t="shared" si="1"/>
        <v>274</v>
      </c>
    </row>
    <row r="230" ht="18.0" customHeight="1">
      <c r="A230" s="7">
        <v>44482.0</v>
      </c>
      <c r="B230" s="8">
        <v>44482.83336805556</v>
      </c>
      <c r="C230" s="6" t="s">
        <v>26</v>
      </c>
      <c r="D230" s="6" t="s">
        <v>714</v>
      </c>
      <c r="E230" s="6" t="s">
        <v>28</v>
      </c>
      <c r="F230" s="6" t="s">
        <v>34</v>
      </c>
      <c r="G230" s="6" t="s">
        <v>715</v>
      </c>
      <c r="H230" s="9" t="s">
        <v>716</v>
      </c>
      <c r="I230" s="10">
        <v>1.0</v>
      </c>
      <c r="J230" s="10">
        <v>832.0</v>
      </c>
      <c r="K230" s="10">
        <v>966.0</v>
      </c>
      <c r="L230" s="10">
        <v>110.0</v>
      </c>
      <c r="M230" s="10">
        <v>17.0</v>
      </c>
      <c r="N230" s="10">
        <v>832.0</v>
      </c>
      <c r="O230" s="6" t="s">
        <v>31</v>
      </c>
      <c r="P230" s="11">
        <f t="shared" si="1"/>
        <v>275</v>
      </c>
    </row>
    <row r="231" ht="18.0" customHeight="1">
      <c r="A231" s="7">
        <v>44521.0</v>
      </c>
      <c r="B231" s="8">
        <v>44521.333333333336</v>
      </c>
      <c r="C231" s="6" t="s">
        <v>26</v>
      </c>
      <c r="D231" s="6" t="s">
        <v>717</v>
      </c>
      <c r="E231" s="6" t="s">
        <v>28</v>
      </c>
      <c r="F231" s="6" t="s">
        <v>34</v>
      </c>
      <c r="G231" s="6" t="s">
        <v>718</v>
      </c>
      <c r="H231" s="9" t="s">
        <v>719</v>
      </c>
      <c r="I231" s="10">
        <v>1.0</v>
      </c>
      <c r="J231" s="10">
        <v>12250.0</v>
      </c>
      <c r="K231" s="10">
        <v>13785.0</v>
      </c>
      <c r="L231" s="10">
        <v>1871.0</v>
      </c>
      <c r="M231" s="10">
        <v>281.0</v>
      </c>
      <c r="N231" s="10">
        <v>12250.0</v>
      </c>
      <c r="O231" s="6" t="s">
        <v>31</v>
      </c>
      <c r="P231" s="11">
        <f t="shared" si="1"/>
        <v>275</v>
      </c>
    </row>
    <row r="232" ht="18.0" customHeight="1">
      <c r="A232" s="7">
        <v>44476.0</v>
      </c>
      <c r="B232" s="8">
        <v>44476.70835648148</v>
      </c>
      <c r="C232" s="6" t="s">
        <v>26</v>
      </c>
      <c r="D232" s="6" t="s">
        <v>720</v>
      </c>
      <c r="E232" s="6" t="s">
        <v>28</v>
      </c>
      <c r="F232" s="6" t="s">
        <v>34</v>
      </c>
      <c r="G232" s="6" t="s">
        <v>721</v>
      </c>
      <c r="H232" s="9" t="s">
        <v>722</v>
      </c>
      <c r="I232" s="10">
        <v>1.0</v>
      </c>
      <c r="J232" s="10">
        <v>2795.0</v>
      </c>
      <c r="K232" s="10">
        <v>3687.0</v>
      </c>
      <c r="L232" s="10">
        <v>471.0</v>
      </c>
      <c r="M232" s="10">
        <v>159.0</v>
      </c>
      <c r="N232" s="10">
        <v>2795.0</v>
      </c>
      <c r="O232" s="6" t="s">
        <v>31</v>
      </c>
      <c r="P232" s="11">
        <f t="shared" si="1"/>
        <v>277</v>
      </c>
    </row>
    <row r="233" ht="18.0" customHeight="1">
      <c r="A233" s="7">
        <v>44496.0</v>
      </c>
      <c r="B233" s="8">
        <v>44496.83335648148</v>
      </c>
      <c r="C233" s="6" t="s">
        <v>26</v>
      </c>
      <c r="D233" s="6" t="s">
        <v>723</v>
      </c>
      <c r="E233" s="6" t="s">
        <v>28</v>
      </c>
      <c r="F233" s="6" t="s">
        <v>229</v>
      </c>
      <c r="G233" s="6" t="s">
        <v>724</v>
      </c>
      <c r="H233" s="9" t="s">
        <v>725</v>
      </c>
      <c r="I233" s="10">
        <v>1.0</v>
      </c>
      <c r="J233" s="10">
        <v>580.0</v>
      </c>
      <c r="K233" s="10">
        <v>605.0</v>
      </c>
      <c r="L233" s="10">
        <v>52.0</v>
      </c>
      <c r="M233" s="10">
        <v>24.0</v>
      </c>
      <c r="N233" s="10">
        <v>580.0</v>
      </c>
      <c r="O233" s="6" t="s">
        <v>31</v>
      </c>
      <c r="P233" s="11">
        <f t="shared" si="1"/>
        <v>277</v>
      </c>
    </row>
    <row r="234" ht="18.0" customHeight="1">
      <c r="A234" s="7">
        <v>44546.0</v>
      </c>
      <c r="B234" s="8">
        <v>44546.75005787037</v>
      </c>
      <c r="C234" s="6" t="s">
        <v>26</v>
      </c>
      <c r="D234" s="6" t="s">
        <v>726</v>
      </c>
      <c r="E234" s="6" t="s">
        <v>28</v>
      </c>
      <c r="F234" s="6" t="s">
        <v>34</v>
      </c>
      <c r="G234" s="6" t="s">
        <v>727</v>
      </c>
      <c r="H234" s="9" t="s">
        <v>728</v>
      </c>
      <c r="I234" s="10">
        <v>1.0</v>
      </c>
      <c r="J234" s="10">
        <v>184.0</v>
      </c>
      <c r="K234" s="10">
        <v>187.0</v>
      </c>
      <c r="L234" s="10">
        <v>8.0</v>
      </c>
      <c r="M234" s="10">
        <v>7.0</v>
      </c>
      <c r="N234" s="10">
        <v>184.0</v>
      </c>
      <c r="O234" s="6" t="s">
        <v>31</v>
      </c>
      <c r="P234" s="11">
        <f t="shared" si="1"/>
        <v>279</v>
      </c>
    </row>
    <row r="235" ht="18.0" customHeight="1">
      <c r="A235" s="7">
        <v>44481.0</v>
      </c>
      <c r="B235" s="8">
        <v>44481.66730324074</v>
      </c>
      <c r="C235" s="6" t="s">
        <v>50</v>
      </c>
      <c r="D235" s="6" t="s">
        <v>729</v>
      </c>
      <c r="E235" s="6" t="s">
        <v>28</v>
      </c>
      <c r="F235" s="6" t="s">
        <v>34</v>
      </c>
      <c r="G235" s="6" t="s">
        <v>730</v>
      </c>
      <c r="H235" s="9" t="s">
        <v>731</v>
      </c>
      <c r="I235" s="10">
        <v>1.0</v>
      </c>
      <c r="J235" s="10">
        <v>238.0</v>
      </c>
      <c r="K235" s="10">
        <v>242.0</v>
      </c>
      <c r="L235" s="10">
        <v>4.0</v>
      </c>
      <c r="M235" s="10">
        <v>3.0</v>
      </c>
      <c r="N235" s="10">
        <v>238.0</v>
      </c>
      <c r="O235" s="6" t="s">
        <v>53</v>
      </c>
      <c r="P235" s="11">
        <f t="shared" si="1"/>
        <v>279</v>
      </c>
    </row>
    <row r="236" ht="18.0" customHeight="1">
      <c r="A236" s="7">
        <v>44474.0</v>
      </c>
      <c r="B236" s="8">
        <v>44474.666666666664</v>
      </c>
      <c r="C236" s="6" t="s">
        <v>26</v>
      </c>
      <c r="D236" s="6" t="s">
        <v>732</v>
      </c>
      <c r="E236" s="6" t="s">
        <v>28</v>
      </c>
      <c r="F236" s="6" t="s">
        <v>34</v>
      </c>
      <c r="G236" s="6" t="s">
        <v>733</v>
      </c>
      <c r="H236" s="9" t="s">
        <v>734</v>
      </c>
      <c r="I236" s="10">
        <v>1.0</v>
      </c>
      <c r="J236" s="10">
        <v>1826.0</v>
      </c>
      <c r="K236" s="10">
        <v>2226.0</v>
      </c>
      <c r="L236" s="10">
        <v>319.0</v>
      </c>
      <c r="M236" s="10">
        <v>124.0</v>
      </c>
      <c r="N236" s="10">
        <v>1826.0</v>
      </c>
      <c r="O236" s="6" t="s">
        <v>31</v>
      </c>
      <c r="P236" s="11">
        <f t="shared" si="1"/>
        <v>281</v>
      </c>
    </row>
    <row r="237" ht="18.0" customHeight="1">
      <c r="A237" s="7">
        <v>44485.0</v>
      </c>
      <c r="B237" s="8">
        <v>44485.291666666664</v>
      </c>
      <c r="C237" s="6" t="s">
        <v>26</v>
      </c>
      <c r="D237" s="6" t="s">
        <v>735</v>
      </c>
      <c r="E237" s="6" t="s">
        <v>28</v>
      </c>
      <c r="F237" s="6" t="s">
        <v>34</v>
      </c>
      <c r="G237" s="6" t="s">
        <v>736</v>
      </c>
      <c r="H237" s="9" t="s">
        <v>737</v>
      </c>
      <c r="I237" s="10">
        <v>1.0</v>
      </c>
      <c r="J237" s="10">
        <v>788.0</v>
      </c>
      <c r="K237" s="10">
        <v>847.0</v>
      </c>
      <c r="L237" s="10">
        <v>68.0</v>
      </c>
      <c r="M237" s="10">
        <v>35.0</v>
      </c>
      <c r="N237" s="10">
        <v>788.0</v>
      </c>
      <c r="O237" s="6" t="s">
        <v>31</v>
      </c>
      <c r="P237" s="11">
        <f t="shared" si="1"/>
        <v>283</v>
      </c>
    </row>
    <row r="238" ht="18.0" customHeight="1">
      <c r="A238" s="7">
        <v>44497.0</v>
      </c>
      <c r="B238" s="8">
        <v>44497.91667824074</v>
      </c>
      <c r="C238" s="6" t="s">
        <v>26</v>
      </c>
      <c r="D238" s="6" t="s">
        <v>738</v>
      </c>
      <c r="E238" s="6" t="s">
        <v>61</v>
      </c>
      <c r="F238" s="6" t="s">
        <v>62</v>
      </c>
      <c r="G238" s="6" t="s">
        <v>739</v>
      </c>
      <c r="H238" s="9" t="s">
        <v>740</v>
      </c>
      <c r="I238" s="10">
        <v>1.0</v>
      </c>
      <c r="J238" s="10">
        <v>387.0</v>
      </c>
      <c r="K238" s="10">
        <v>451.0</v>
      </c>
      <c r="L238" s="10">
        <v>19.0</v>
      </c>
      <c r="M238" s="10">
        <v>22.0</v>
      </c>
      <c r="N238" s="10">
        <v>387.0</v>
      </c>
      <c r="O238" s="6" t="s">
        <v>31</v>
      </c>
      <c r="P238" s="11">
        <f t="shared" si="1"/>
        <v>283</v>
      </c>
    </row>
    <row r="239" ht="18.0" customHeight="1">
      <c r="A239" s="7">
        <v>44527.0</v>
      </c>
      <c r="B239" s="8">
        <v>44527.833391203705</v>
      </c>
      <c r="C239" s="6" t="s">
        <v>26</v>
      </c>
      <c r="D239" s="6" t="s">
        <v>741</v>
      </c>
      <c r="E239" s="6" t="s">
        <v>28</v>
      </c>
      <c r="F239" s="6" t="s">
        <v>34</v>
      </c>
      <c r="G239" s="6" t="s">
        <v>742</v>
      </c>
      <c r="H239" s="9" t="s">
        <v>743</v>
      </c>
      <c r="I239" s="10">
        <v>1.0</v>
      </c>
      <c r="J239" s="10">
        <v>4871.0</v>
      </c>
      <c r="K239" s="10">
        <v>5157.0</v>
      </c>
      <c r="L239" s="10">
        <v>149.0</v>
      </c>
      <c r="M239" s="10">
        <v>52.0</v>
      </c>
      <c r="N239" s="10">
        <v>4871.0</v>
      </c>
      <c r="O239" s="6" t="s">
        <v>31</v>
      </c>
      <c r="P239" s="11">
        <f t="shared" si="1"/>
        <v>283</v>
      </c>
    </row>
    <row r="240" ht="18.0" customHeight="1">
      <c r="A240" s="7">
        <v>44510.0</v>
      </c>
      <c r="B240" s="8">
        <v>44510.708344907405</v>
      </c>
      <c r="C240" s="6" t="s">
        <v>26</v>
      </c>
      <c r="D240" s="6" t="s">
        <v>744</v>
      </c>
      <c r="E240" s="6" t="s">
        <v>28</v>
      </c>
      <c r="F240" s="6" t="s">
        <v>34</v>
      </c>
      <c r="G240" s="6" t="s">
        <v>745</v>
      </c>
      <c r="H240" s="9" t="s">
        <v>746</v>
      </c>
      <c r="I240" s="10">
        <v>1.0</v>
      </c>
      <c r="J240" s="10">
        <v>735.0</v>
      </c>
      <c r="K240" s="10">
        <v>774.0</v>
      </c>
      <c r="L240" s="10">
        <v>84.0</v>
      </c>
      <c r="M240" s="10">
        <v>31.0</v>
      </c>
      <c r="N240" s="10">
        <v>735.0</v>
      </c>
      <c r="O240" s="6" t="s">
        <v>31</v>
      </c>
      <c r="P240" s="11">
        <f t="shared" si="1"/>
        <v>284</v>
      </c>
    </row>
    <row r="241" ht="18.0" customHeight="1">
      <c r="A241" s="7">
        <v>44483.0</v>
      </c>
      <c r="B241" s="8">
        <v>44483.54172453703</v>
      </c>
      <c r="C241" s="6" t="s">
        <v>26</v>
      </c>
      <c r="D241" s="6" t="s">
        <v>747</v>
      </c>
      <c r="E241" s="6" t="s">
        <v>61</v>
      </c>
      <c r="F241" s="6" t="s">
        <v>62</v>
      </c>
      <c r="G241" s="6" t="s">
        <v>748</v>
      </c>
      <c r="H241" s="9" t="s">
        <v>749</v>
      </c>
      <c r="I241" s="10">
        <v>1.0</v>
      </c>
      <c r="J241" s="10">
        <v>1088.0</v>
      </c>
      <c r="K241" s="10">
        <v>1209.0</v>
      </c>
      <c r="L241" s="10">
        <v>91.0</v>
      </c>
      <c r="M241" s="10">
        <v>28.0</v>
      </c>
      <c r="N241" s="10">
        <v>1088.0</v>
      </c>
      <c r="O241" s="6" t="s">
        <v>31</v>
      </c>
      <c r="P241" s="11">
        <f t="shared" si="1"/>
        <v>285</v>
      </c>
    </row>
    <row r="242" ht="18.0" customHeight="1">
      <c r="A242" s="7">
        <v>44491.0</v>
      </c>
      <c r="B242" s="8">
        <v>44491.458333333336</v>
      </c>
      <c r="C242" s="6" t="s">
        <v>26</v>
      </c>
      <c r="D242" s="6" t="s">
        <v>750</v>
      </c>
      <c r="E242" s="6" t="s">
        <v>28</v>
      </c>
      <c r="F242" s="6" t="s">
        <v>34</v>
      </c>
      <c r="G242" s="6" t="s">
        <v>751</v>
      </c>
      <c r="H242" s="9" t="s">
        <v>752</v>
      </c>
      <c r="I242" s="10">
        <v>1.0</v>
      </c>
      <c r="J242" s="10">
        <v>2372.0</v>
      </c>
      <c r="K242" s="10">
        <v>3185.0</v>
      </c>
      <c r="L242" s="10">
        <v>597.0</v>
      </c>
      <c r="M242" s="10">
        <v>91.0</v>
      </c>
      <c r="N242" s="10">
        <v>2372.0</v>
      </c>
      <c r="O242" s="6" t="s">
        <v>31</v>
      </c>
      <c r="P242" s="11">
        <f t="shared" si="1"/>
        <v>286</v>
      </c>
    </row>
    <row r="243" ht="18.0" customHeight="1">
      <c r="A243" s="7">
        <v>44551.0</v>
      </c>
      <c r="B243" s="8">
        <v>44551.416666666664</v>
      </c>
      <c r="C243" s="6" t="s">
        <v>26</v>
      </c>
      <c r="D243" s="6" t="s">
        <v>753</v>
      </c>
      <c r="E243" s="6" t="s">
        <v>28</v>
      </c>
      <c r="F243" s="6" t="s">
        <v>34</v>
      </c>
      <c r="G243" s="6" t="s">
        <v>754</v>
      </c>
      <c r="H243" s="9" t="s">
        <v>755</v>
      </c>
      <c r="I243" s="10">
        <v>1.0</v>
      </c>
      <c r="J243" s="10">
        <v>6797.0</v>
      </c>
      <c r="K243" s="10">
        <v>6937.0</v>
      </c>
      <c r="L243" s="10">
        <v>217.0</v>
      </c>
      <c r="M243" s="10">
        <v>51.0</v>
      </c>
      <c r="N243" s="10">
        <v>6797.0</v>
      </c>
      <c r="O243" s="6" t="s">
        <v>31</v>
      </c>
      <c r="P243" s="11">
        <f t="shared" si="1"/>
        <v>288</v>
      </c>
    </row>
    <row r="244" ht="18.0" customHeight="1">
      <c r="A244" s="7">
        <v>44514.0</v>
      </c>
      <c r="B244" s="8">
        <v>44514.375023148146</v>
      </c>
      <c r="C244" s="6" t="s">
        <v>26</v>
      </c>
      <c r="D244" s="6" t="s">
        <v>756</v>
      </c>
      <c r="E244" s="6" t="s">
        <v>28</v>
      </c>
      <c r="F244" s="6" t="s">
        <v>34</v>
      </c>
      <c r="G244" s="6" t="s">
        <v>757</v>
      </c>
      <c r="H244" s="9" t="s">
        <v>758</v>
      </c>
      <c r="I244" s="10">
        <v>1.0</v>
      </c>
      <c r="J244" s="10">
        <v>13410.0</v>
      </c>
      <c r="K244" s="10">
        <v>13941.0</v>
      </c>
      <c r="L244" s="10">
        <v>654.0</v>
      </c>
      <c r="M244" s="10">
        <v>94.0</v>
      </c>
      <c r="N244" s="10">
        <v>13410.0</v>
      </c>
      <c r="O244" s="6" t="s">
        <v>31</v>
      </c>
      <c r="P244" s="11">
        <f t="shared" si="1"/>
        <v>289</v>
      </c>
    </row>
    <row r="245" ht="18.0" customHeight="1">
      <c r="A245" s="7">
        <v>44477.0</v>
      </c>
      <c r="B245" s="8">
        <v>44477.79167824074</v>
      </c>
      <c r="C245" s="6" t="s">
        <v>26</v>
      </c>
      <c r="D245" s="6" t="s">
        <v>759</v>
      </c>
      <c r="E245" s="6" t="s">
        <v>61</v>
      </c>
      <c r="F245" s="6" t="s">
        <v>76</v>
      </c>
      <c r="G245" s="6" t="s">
        <v>760</v>
      </c>
      <c r="H245" s="9" t="s">
        <v>761</v>
      </c>
      <c r="I245" s="10">
        <v>1.0</v>
      </c>
      <c r="J245" s="10">
        <v>11976.0</v>
      </c>
      <c r="K245" s="10">
        <v>16483.0</v>
      </c>
      <c r="L245" s="10">
        <v>242.0</v>
      </c>
      <c r="M245" s="10">
        <v>589.0</v>
      </c>
      <c r="N245" s="10">
        <v>11976.0</v>
      </c>
      <c r="O245" s="6" t="s">
        <v>31</v>
      </c>
      <c r="P245" s="11">
        <f t="shared" si="1"/>
        <v>293</v>
      </c>
    </row>
    <row r="246" ht="18.0" customHeight="1">
      <c r="A246" s="7">
        <v>44485.0</v>
      </c>
      <c r="B246" s="8">
        <v>44485.75001157408</v>
      </c>
      <c r="C246" s="6" t="s">
        <v>26</v>
      </c>
      <c r="D246" s="6" t="s">
        <v>762</v>
      </c>
      <c r="E246" s="6" t="s">
        <v>61</v>
      </c>
      <c r="F246" s="6" t="s">
        <v>62</v>
      </c>
      <c r="G246" s="6" t="s">
        <v>763</v>
      </c>
      <c r="H246" s="9" t="s">
        <v>764</v>
      </c>
      <c r="I246" s="10">
        <v>1.0</v>
      </c>
      <c r="J246" s="10">
        <v>729.0</v>
      </c>
      <c r="K246" s="10">
        <v>840.0</v>
      </c>
      <c r="L246" s="10">
        <v>121.0</v>
      </c>
      <c r="M246" s="10">
        <v>25.0</v>
      </c>
      <c r="N246" s="10">
        <v>729.0</v>
      </c>
      <c r="O246" s="6" t="s">
        <v>31</v>
      </c>
      <c r="P246" s="11">
        <f t="shared" si="1"/>
        <v>293</v>
      </c>
    </row>
    <row r="247" ht="18.0" customHeight="1">
      <c r="A247" s="7">
        <v>44496.0</v>
      </c>
      <c r="B247" s="8">
        <v>44496.54172453703</v>
      </c>
      <c r="C247" s="6" t="s">
        <v>26</v>
      </c>
      <c r="D247" s="6" t="s">
        <v>765</v>
      </c>
      <c r="E247" s="6" t="s">
        <v>28</v>
      </c>
      <c r="F247" s="6" t="s">
        <v>229</v>
      </c>
      <c r="G247" s="6" t="s">
        <v>766</v>
      </c>
      <c r="H247" s="9" t="s">
        <v>767</v>
      </c>
      <c r="I247" s="10">
        <v>1.0</v>
      </c>
      <c r="J247" s="10">
        <v>969.0</v>
      </c>
      <c r="K247" s="10">
        <v>1096.0</v>
      </c>
      <c r="L247" s="10">
        <v>71.0</v>
      </c>
      <c r="M247" s="10">
        <v>22.0</v>
      </c>
      <c r="N247" s="10">
        <v>969.0</v>
      </c>
      <c r="O247" s="6" t="s">
        <v>31</v>
      </c>
      <c r="P247" s="11">
        <f t="shared" si="1"/>
        <v>300</v>
      </c>
    </row>
    <row r="248" ht="18.0" customHeight="1">
      <c r="A248" s="7">
        <v>44481.0</v>
      </c>
      <c r="B248" s="8">
        <v>44481.83335648148</v>
      </c>
      <c r="C248" s="6" t="s">
        <v>26</v>
      </c>
      <c r="D248" s="6" t="s">
        <v>768</v>
      </c>
      <c r="E248" s="6" t="s">
        <v>28</v>
      </c>
      <c r="F248" s="6" t="s">
        <v>34</v>
      </c>
      <c r="G248" s="6" t="s">
        <v>769</v>
      </c>
      <c r="H248" s="9" t="s">
        <v>770</v>
      </c>
      <c r="I248" s="10">
        <v>1.0</v>
      </c>
      <c r="J248" s="10">
        <v>871.0</v>
      </c>
      <c r="K248" s="10">
        <v>911.0</v>
      </c>
      <c r="L248" s="10">
        <v>146.0</v>
      </c>
      <c r="M248" s="10">
        <v>30.0</v>
      </c>
      <c r="N248" s="10">
        <v>871.0</v>
      </c>
      <c r="O248" s="6" t="s">
        <v>31</v>
      </c>
      <c r="P248" s="11">
        <f t="shared" si="1"/>
        <v>301</v>
      </c>
    </row>
    <row r="249" ht="18.0" customHeight="1">
      <c r="A249" s="7">
        <v>44478.0</v>
      </c>
      <c r="B249" s="8">
        <v>44478.666863425926</v>
      </c>
      <c r="C249" s="6" t="s">
        <v>26</v>
      </c>
      <c r="D249" s="6" t="s">
        <v>771</v>
      </c>
      <c r="E249" s="6" t="s">
        <v>28</v>
      </c>
      <c r="F249" s="6" t="s">
        <v>34</v>
      </c>
      <c r="G249" s="6" t="s">
        <v>772</v>
      </c>
      <c r="H249" s="9" t="s">
        <v>773</v>
      </c>
      <c r="I249" s="10">
        <v>1.0</v>
      </c>
      <c r="J249" s="10">
        <v>264.0</v>
      </c>
      <c r="K249" s="10">
        <v>270.0</v>
      </c>
      <c r="L249" s="10">
        <v>16.0</v>
      </c>
      <c r="M249" s="10">
        <v>22.0</v>
      </c>
      <c r="N249" s="10">
        <v>264.0</v>
      </c>
      <c r="O249" s="6" t="s">
        <v>31</v>
      </c>
      <c r="P249" s="11">
        <f t="shared" si="1"/>
        <v>302</v>
      </c>
    </row>
    <row r="250" ht="18.0" customHeight="1">
      <c r="A250" s="7">
        <v>44533.0</v>
      </c>
      <c r="B250" s="8">
        <v>44533.667037037034</v>
      </c>
      <c r="C250" s="6" t="s">
        <v>50</v>
      </c>
      <c r="D250" s="6" t="s">
        <v>774</v>
      </c>
      <c r="E250" s="6" t="s">
        <v>33</v>
      </c>
      <c r="F250" s="6" t="s">
        <v>89</v>
      </c>
      <c r="G250" s="6" t="s">
        <v>775</v>
      </c>
      <c r="H250" s="9" t="s">
        <v>776</v>
      </c>
      <c r="I250" s="10">
        <v>1.0</v>
      </c>
      <c r="J250" s="10">
        <v>126.0</v>
      </c>
      <c r="K250" s="10">
        <v>129.0</v>
      </c>
      <c r="L250" s="10">
        <v>1.0</v>
      </c>
      <c r="M250" s="10">
        <v>6.0</v>
      </c>
      <c r="N250" s="10">
        <v>126.0</v>
      </c>
      <c r="O250" s="6" t="s">
        <v>53</v>
      </c>
      <c r="P250" s="11">
        <f t="shared" si="1"/>
        <v>305</v>
      </c>
    </row>
    <row r="251" ht="18.0" customHeight="1">
      <c r="A251" s="7">
        <v>44508.0</v>
      </c>
      <c r="B251" s="8">
        <v>44508.708344907405</v>
      </c>
      <c r="C251" s="6" t="s">
        <v>26</v>
      </c>
      <c r="D251" s="6" t="s">
        <v>777</v>
      </c>
      <c r="E251" s="6" t="s">
        <v>28</v>
      </c>
      <c r="F251" s="6" t="s">
        <v>34</v>
      </c>
      <c r="G251" s="6" t="s">
        <v>778</v>
      </c>
      <c r="H251" s="9" t="s">
        <v>779</v>
      </c>
      <c r="I251" s="10">
        <v>1.0</v>
      </c>
      <c r="J251" s="10">
        <v>6512.0</v>
      </c>
      <c r="K251" s="10">
        <v>7216.0</v>
      </c>
      <c r="L251" s="10">
        <v>236.0</v>
      </c>
      <c r="M251" s="10">
        <v>244.0</v>
      </c>
      <c r="N251" s="10">
        <v>6512.0</v>
      </c>
      <c r="O251" s="6" t="s">
        <v>31</v>
      </c>
      <c r="P251" s="11">
        <f t="shared" si="1"/>
        <v>306</v>
      </c>
    </row>
    <row r="252" ht="18.0" customHeight="1">
      <c r="A252" s="7">
        <v>44493.0</v>
      </c>
      <c r="B252" s="8">
        <v>44493.75053240741</v>
      </c>
      <c r="C252" s="6" t="s">
        <v>26</v>
      </c>
      <c r="D252" s="6" t="s">
        <v>780</v>
      </c>
      <c r="E252" s="6" t="s">
        <v>61</v>
      </c>
      <c r="F252" s="6" t="s">
        <v>76</v>
      </c>
      <c r="G252" s="6" t="s">
        <v>781</v>
      </c>
      <c r="H252" s="9" t="s">
        <v>782</v>
      </c>
      <c r="I252" s="10">
        <v>1.0</v>
      </c>
      <c r="J252" s="10">
        <v>372.0</v>
      </c>
      <c r="K252" s="10">
        <v>395.0</v>
      </c>
      <c r="L252" s="10">
        <v>46.0</v>
      </c>
      <c r="M252" s="10">
        <v>12.0</v>
      </c>
      <c r="N252" s="10">
        <v>372.0</v>
      </c>
      <c r="O252" s="6" t="s">
        <v>31</v>
      </c>
      <c r="P252" s="11">
        <f t="shared" si="1"/>
        <v>307</v>
      </c>
    </row>
    <row r="253" ht="18.0" customHeight="1">
      <c r="A253" s="7">
        <v>44496.0</v>
      </c>
      <c r="B253" s="8">
        <v>44496.708344907405</v>
      </c>
      <c r="C253" s="6" t="s">
        <v>26</v>
      </c>
      <c r="D253" s="6" t="s">
        <v>783</v>
      </c>
      <c r="E253" s="6" t="s">
        <v>28</v>
      </c>
      <c r="F253" s="6" t="s">
        <v>229</v>
      </c>
      <c r="G253" s="6" t="s">
        <v>784</v>
      </c>
      <c r="H253" s="9" t="s">
        <v>785</v>
      </c>
      <c r="I253" s="10">
        <v>1.0</v>
      </c>
      <c r="J253" s="10">
        <v>1986.0</v>
      </c>
      <c r="K253" s="10">
        <v>2684.0</v>
      </c>
      <c r="L253" s="10">
        <v>311.0</v>
      </c>
      <c r="M253" s="10">
        <v>939.0</v>
      </c>
      <c r="N253" s="10">
        <v>1986.0</v>
      </c>
      <c r="O253" s="6" t="s">
        <v>31</v>
      </c>
      <c r="P253" s="11">
        <f t="shared" si="1"/>
        <v>307</v>
      </c>
    </row>
    <row r="254" ht="18.0" customHeight="1">
      <c r="A254" s="7">
        <v>44549.0</v>
      </c>
      <c r="B254" s="8">
        <v>44549.721655092595</v>
      </c>
      <c r="C254" s="6" t="s">
        <v>50</v>
      </c>
      <c r="D254" s="6" t="s">
        <v>786</v>
      </c>
      <c r="E254" s="6" t="s">
        <v>28</v>
      </c>
      <c r="F254" s="6" t="s">
        <v>34</v>
      </c>
      <c r="G254" s="6" t="s">
        <v>787</v>
      </c>
      <c r="H254" s="9" t="s">
        <v>788</v>
      </c>
      <c r="I254" s="10">
        <v>1.0</v>
      </c>
      <c r="J254" s="10">
        <v>1050.0</v>
      </c>
      <c r="K254" s="10">
        <v>1091.0</v>
      </c>
      <c r="L254" s="10">
        <v>18.0</v>
      </c>
      <c r="M254" s="10">
        <v>189.0</v>
      </c>
      <c r="N254" s="10">
        <v>1050.0</v>
      </c>
      <c r="O254" s="6" t="s">
        <v>53</v>
      </c>
      <c r="P254" s="11">
        <f t="shared" si="1"/>
        <v>310</v>
      </c>
    </row>
    <row r="255" ht="18.0" customHeight="1">
      <c r="A255" s="7">
        <v>44543.0</v>
      </c>
      <c r="B255" s="8">
        <v>44543.64550925926</v>
      </c>
      <c r="C255" s="6" t="s">
        <v>50</v>
      </c>
      <c r="D255" s="6" t="s">
        <v>789</v>
      </c>
      <c r="E255" s="6" t="s">
        <v>61</v>
      </c>
      <c r="F255" s="6" t="s">
        <v>62</v>
      </c>
      <c r="G255" s="6" t="s">
        <v>790</v>
      </c>
      <c r="H255" s="9" t="s">
        <v>791</v>
      </c>
      <c r="I255" s="10">
        <v>1.0</v>
      </c>
      <c r="J255" s="10">
        <v>1663.0</v>
      </c>
      <c r="K255" s="10">
        <v>2001.0</v>
      </c>
      <c r="L255" s="10">
        <v>72.0</v>
      </c>
      <c r="M255" s="10">
        <v>455.0</v>
      </c>
      <c r="N255" s="10">
        <v>1663.0</v>
      </c>
      <c r="O255" s="6" t="s">
        <v>53</v>
      </c>
      <c r="P255" s="11">
        <f t="shared" si="1"/>
        <v>312</v>
      </c>
    </row>
    <row r="256" ht="18.0" customHeight="1">
      <c r="A256" s="7">
        <v>44510.0</v>
      </c>
      <c r="B256" s="8">
        <v>44510.75318287037</v>
      </c>
      <c r="C256" s="6" t="s">
        <v>50</v>
      </c>
      <c r="D256" s="6" t="s">
        <v>792</v>
      </c>
      <c r="E256" s="6" t="s">
        <v>61</v>
      </c>
      <c r="F256" s="6" t="s">
        <v>62</v>
      </c>
      <c r="G256" s="6" t="s">
        <v>793</v>
      </c>
      <c r="H256" s="9" t="s">
        <v>794</v>
      </c>
      <c r="I256" s="10">
        <v>1.0</v>
      </c>
      <c r="J256" s="10">
        <v>436.0</v>
      </c>
      <c r="K256" s="10">
        <v>450.0</v>
      </c>
      <c r="L256" s="10">
        <v>15.0</v>
      </c>
      <c r="M256" s="10">
        <v>60.0</v>
      </c>
      <c r="N256" s="10">
        <v>436.0</v>
      </c>
      <c r="O256" s="6" t="s">
        <v>53</v>
      </c>
      <c r="P256" s="11">
        <f t="shared" si="1"/>
        <v>316</v>
      </c>
    </row>
    <row r="257" ht="18.0" customHeight="1">
      <c r="A257" s="7">
        <v>44544.0</v>
      </c>
      <c r="B257" s="8">
        <v>44544.875</v>
      </c>
      <c r="C257" s="6" t="s">
        <v>50</v>
      </c>
      <c r="D257" s="6" t="s">
        <v>795</v>
      </c>
      <c r="E257" s="6" t="s">
        <v>28</v>
      </c>
      <c r="F257" s="6" t="s">
        <v>34</v>
      </c>
      <c r="G257" s="6" t="s">
        <v>796</v>
      </c>
      <c r="H257" s="9" t="s">
        <v>797</v>
      </c>
      <c r="I257" s="10">
        <v>1.0</v>
      </c>
      <c r="J257" s="10">
        <v>90.0</v>
      </c>
      <c r="K257" s="10">
        <v>93.0</v>
      </c>
      <c r="L257" s="10">
        <v>7.0</v>
      </c>
      <c r="M257" s="10">
        <v>3.0</v>
      </c>
      <c r="N257" s="10">
        <v>90.0</v>
      </c>
      <c r="O257" s="6" t="s">
        <v>53</v>
      </c>
      <c r="P257" s="11">
        <f t="shared" si="1"/>
        <v>316</v>
      </c>
    </row>
    <row r="258" ht="18.0" customHeight="1">
      <c r="A258" s="7">
        <v>44497.0</v>
      </c>
      <c r="B258" s="8">
        <v>44497.42607638889</v>
      </c>
      <c r="C258" s="6" t="s">
        <v>50</v>
      </c>
      <c r="D258" s="6" t="s">
        <v>798</v>
      </c>
      <c r="E258" s="6" t="s">
        <v>28</v>
      </c>
      <c r="F258" s="6" t="s">
        <v>34</v>
      </c>
      <c r="G258" s="6" t="s">
        <v>799</v>
      </c>
      <c r="H258" s="9" t="s">
        <v>800</v>
      </c>
      <c r="I258" s="10">
        <v>1.0</v>
      </c>
      <c r="J258" s="10">
        <v>4064.0</v>
      </c>
      <c r="K258" s="10">
        <v>4392.0</v>
      </c>
      <c r="L258" s="10">
        <v>20.0</v>
      </c>
      <c r="M258" s="10">
        <v>184.0</v>
      </c>
      <c r="N258" s="10">
        <v>4064.0</v>
      </c>
      <c r="O258" s="6" t="s">
        <v>53</v>
      </c>
      <c r="P258" s="11">
        <f t="shared" si="1"/>
        <v>326</v>
      </c>
    </row>
    <row r="259" ht="18.0" customHeight="1">
      <c r="A259" s="7">
        <v>44488.0</v>
      </c>
      <c r="B259" s="8">
        <v>44488.87501157408</v>
      </c>
      <c r="C259" s="6" t="s">
        <v>50</v>
      </c>
      <c r="D259" s="6" t="s">
        <v>801</v>
      </c>
      <c r="E259" s="6" t="s">
        <v>28</v>
      </c>
      <c r="F259" s="6" t="s">
        <v>34</v>
      </c>
      <c r="G259" s="6" t="s">
        <v>802</v>
      </c>
      <c r="H259" s="9" t="s">
        <v>803</v>
      </c>
      <c r="I259" s="10">
        <v>1.0</v>
      </c>
      <c r="J259" s="10">
        <v>124.0</v>
      </c>
      <c r="K259" s="10">
        <v>126.0</v>
      </c>
      <c r="L259" s="10">
        <v>5.0</v>
      </c>
      <c r="M259" s="10">
        <v>5.0</v>
      </c>
      <c r="N259" s="10">
        <v>124.0</v>
      </c>
      <c r="O259" s="6" t="s">
        <v>53</v>
      </c>
      <c r="P259" s="11">
        <f t="shared" si="1"/>
        <v>327</v>
      </c>
    </row>
    <row r="260" ht="18.0" customHeight="1">
      <c r="A260" s="7">
        <v>44480.0</v>
      </c>
      <c r="B260" s="8">
        <v>44480.458391203705</v>
      </c>
      <c r="C260" s="6" t="s">
        <v>26</v>
      </c>
      <c r="D260" s="6" t="s">
        <v>804</v>
      </c>
      <c r="E260" s="6" t="s">
        <v>28</v>
      </c>
      <c r="F260" s="6" t="s">
        <v>34</v>
      </c>
      <c r="G260" s="6" t="s">
        <v>805</v>
      </c>
      <c r="H260" s="9" t="s">
        <v>806</v>
      </c>
      <c r="I260" s="10">
        <v>1.0</v>
      </c>
      <c r="J260" s="10">
        <v>687.0</v>
      </c>
      <c r="K260" s="10">
        <v>778.0</v>
      </c>
      <c r="L260" s="10">
        <v>40.0</v>
      </c>
      <c r="M260" s="10">
        <v>49.0</v>
      </c>
      <c r="N260" s="10">
        <v>687.0</v>
      </c>
      <c r="O260" s="6" t="s">
        <v>31</v>
      </c>
      <c r="P260" s="11">
        <f t="shared" si="1"/>
        <v>328</v>
      </c>
    </row>
    <row r="261" ht="18.0" customHeight="1">
      <c r="A261" s="7">
        <v>44516.0</v>
      </c>
      <c r="B261" s="8">
        <v>44516.875023148146</v>
      </c>
      <c r="C261" s="6" t="s">
        <v>50</v>
      </c>
      <c r="D261" s="6" t="s">
        <v>807</v>
      </c>
      <c r="E261" s="6" t="s">
        <v>28</v>
      </c>
      <c r="F261" s="6" t="s">
        <v>34</v>
      </c>
      <c r="G261" s="6" t="s">
        <v>808</v>
      </c>
      <c r="H261" s="9" t="s">
        <v>809</v>
      </c>
      <c r="I261" s="10">
        <v>1.0</v>
      </c>
      <c r="J261" s="10">
        <v>162.0</v>
      </c>
      <c r="K261" s="10">
        <v>164.0</v>
      </c>
      <c r="L261" s="10">
        <v>11.0</v>
      </c>
      <c r="M261" s="10">
        <v>8.0</v>
      </c>
      <c r="N261" s="10">
        <v>162.0</v>
      </c>
      <c r="O261" s="6" t="s">
        <v>53</v>
      </c>
      <c r="P261" s="11">
        <f t="shared" si="1"/>
        <v>330</v>
      </c>
    </row>
    <row r="262" ht="18.0" customHeight="1">
      <c r="A262" s="7">
        <v>44479.0</v>
      </c>
      <c r="B262" s="8">
        <v>44479.50001157408</v>
      </c>
      <c r="C262" s="6" t="s">
        <v>26</v>
      </c>
      <c r="D262" s="6" t="s">
        <v>810</v>
      </c>
      <c r="E262" s="6" t="s">
        <v>28</v>
      </c>
      <c r="F262" s="6" t="s">
        <v>34</v>
      </c>
      <c r="G262" s="6" t="s">
        <v>811</v>
      </c>
      <c r="H262" s="9" t="s">
        <v>812</v>
      </c>
      <c r="I262" s="10">
        <v>1.0</v>
      </c>
      <c r="J262" s="10">
        <v>4033.0</v>
      </c>
      <c r="K262" s="10">
        <v>4594.0</v>
      </c>
      <c r="L262" s="10">
        <v>234.0</v>
      </c>
      <c r="M262" s="10">
        <v>56.0</v>
      </c>
      <c r="N262" s="10">
        <v>4033.0</v>
      </c>
      <c r="O262" s="6" t="s">
        <v>31</v>
      </c>
      <c r="P262" s="11">
        <f t="shared" si="1"/>
        <v>332</v>
      </c>
    </row>
    <row r="263" ht="18.0" customHeight="1">
      <c r="A263" s="7">
        <v>44530.0</v>
      </c>
      <c r="B263" s="8">
        <v>44530.41706018519</v>
      </c>
      <c r="C263" s="6" t="s">
        <v>26</v>
      </c>
      <c r="D263" s="6" t="s">
        <v>813</v>
      </c>
      <c r="E263" s="6" t="s">
        <v>61</v>
      </c>
      <c r="F263" s="6" t="s">
        <v>62</v>
      </c>
      <c r="G263" s="6" t="s">
        <v>814</v>
      </c>
      <c r="H263" s="9" t="s">
        <v>815</v>
      </c>
      <c r="I263" s="10">
        <v>1.0</v>
      </c>
      <c r="J263" s="10">
        <v>738.0</v>
      </c>
      <c r="K263" s="10">
        <v>779.0</v>
      </c>
      <c r="L263" s="10">
        <v>27.0</v>
      </c>
      <c r="M263" s="10">
        <v>22.0</v>
      </c>
      <c r="N263" s="10">
        <v>738.0</v>
      </c>
      <c r="O263" s="6" t="s">
        <v>31</v>
      </c>
      <c r="P263" s="11">
        <f t="shared" si="1"/>
        <v>339</v>
      </c>
    </row>
    <row r="264" ht="18.0" customHeight="1">
      <c r="A264" s="7">
        <v>44547.0</v>
      </c>
      <c r="B264" s="8">
        <v>44547.583333333336</v>
      </c>
      <c r="C264" s="6" t="s">
        <v>50</v>
      </c>
      <c r="D264" s="6" t="s">
        <v>816</v>
      </c>
      <c r="E264" s="6" t="s">
        <v>28</v>
      </c>
      <c r="F264" s="6" t="s">
        <v>229</v>
      </c>
      <c r="G264" s="6" t="s">
        <v>817</v>
      </c>
      <c r="H264" s="9" t="s">
        <v>818</v>
      </c>
      <c r="I264" s="10">
        <v>1.0</v>
      </c>
      <c r="J264" s="10">
        <v>112.0</v>
      </c>
      <c r="K264" s="10">
        <v>115.0</v>
      </c>
      <c r="L264" s="10">
        <v>2.0</v>
      </c>
      <c r="M264" s="10">
        <v>3.0</v>
      </c>
      <c r="N264" s="10">
        <v>112.0</v>
      </c>
      <c r="O264" s="6" t="s">
        <v>53</v>
      </c>
      <c r="P264" s="11">
        <f t="shared" si="1"/>
        <v>342</v>
      </c>
    </row>
    <row r="265" ht="18.0" customHeight="1">
      <c r="A265" s="7">
        <v>44499.0</v>
      </c>
      <c r="B265" s="8">
        <v>44499.91667824074</v>
      </c>
      <c r="C265" s="6" t="s">
        <v>26</v>
      </c>
      <c r="D265" s="6" t="s">
        <v>819</v>
      </c>
      <c r="E265" s="6" t="s">
        <v>61</v>
      </c>
      <c r="F265" s="6" t="s">
        <v>62</v>
      </c>
      <c r="G265" s="6" t="s">
        <v>820</v>
      </c>
      <c r="H265" s="9" t="s">
        <v>821</v>
      </c>
      <c r="I265" s="10">
        <v>1.0</v>
      </c>
      <c r="J265" s="10">
        <v>374.0</v>
      </c>
      <c r="K265" s="10">
        <v>490.0</v>
      </c>
      <c r="L265" s="10">
        <v>24.0</v>
      </c>
      <c r="M265" s="10">
        <v>13.0</v>
      </c>
      <c r="N265" s="10">
        <v>374.0</v>
      </c>
      <c r="O265" s="6" t="s">
        <v>31</v>
      </c>
      <c r="P265" s="11">
        <f t="shared" si="1"/>
        <v>343</v>
      </c>
    </row>
    <row r="266" ht="18.0" customHeight="1">
      <c r="A266" s="7">
        <v>44545.0</v>
      </c>
      <c r="B266" s="8">
        <v>44545.62568287037</v>
      </c>
      <c r="C266" s="6" t="s">
        <v>50</v>
      </c>
      <c r="D266" s="6" t="s">
        <v>822</v>
      </c>
      <c r="E266" s="6" t="s">
        <v>28</v>
      </c>
      <c r="F266" s="6" t="s">
        <v>229</v>
      </c>
      <c r="G266" s="6" t="s">
        <v>823</v>
      </c>
      <c r="H266" s="9" t="s">
        <v>824</v>
      </c>
      <c r="I266" s="10">
        <v>1.0</v>
      </c>
      <c r="J266" s="10">
        <v>139.0</v>
      </c>
      <c r="K266" s="10">
        <v>142.0</v>
      </c>
      <c r="L266" s="10">
        <v>0.0</v>
      </c>
      <c r="M266" s="10">
        <v>10.0</v>
      </c>
      <c r="N266" s="10">
        <v>139.0</v>
      </c>
      <c r="O266" s="6" t="s">
        <v>53</v>
      </c>
      <c r="P266" s="11">
        <f t="shared" si="1"/>
        <v>344</v>
      </c>
    </row>
    <row r="267" ht="18.0" customHeight="1">
      <c r="A267" s="7">
        <v>44485.0</v>
      </c>
      <c r="B267" s="8">
        <v>44485.41667824074</v>
      </c>
      <c r="C267" s="6" t="s">
        <v>26</v>
      </c>
      <c r="D267" s="6" t="s">
        <v>825</v>
      </c>
      <c r="E267" s="6" t="s">
        <v>28</v>
      </c>
      <c r="F267" s="6" t="s">
        <v>34</v>
      </c>
      <c r="G267" s="6" t="s">
        <v>826</v>
      </c>
      <c r="H267" s="9" t="s">
        <v>827</v>
      </c>
      <c r="I267" s="10">
        <v>1.0</v>
      </c>
      <c r="J267" s="10">
        <v>765.0</v>
      </c>
      <c r="K267" s="10">
        <v>883.0</v>
      </c>
      <c r="L267" s="10">
        <v>104.0</v>
      </c>
      <c r="M267" s="10">
        <v>24.0</v>
      </c>
      <c r="N267" s="10">
        <v>765.0</v>
      </c>
      <c r="O267" s="6" t="s">
        <v>31</v>
      </c>
      <c r="P267" s="11">
        <f t="shared" si="1"/>
        <v>346</v>
      </c>
    </row>
    <row r="268" ht="18.0" customHeight="1">
      <c r="A268" s="7">
        <v>44484.0</v>
      </c>
      <c r="B268" s="8">
        <v>44484.64619212963</v>
      </c>
      <c r="C268" s="6" t="s">
        <v>50</v>
      </c>
      <c r="D268" s="6" t="s">
        <v>828</v>
      </c>
      <c r="E268" s="6" t="s">
        <v>28</v>
      </c>
      <c r="F268" s="6" t="s">
        <v>34</v>
      </c>
      <c r="G268" s="6" t="s">
        <v>829</v>
      </c>
      <c r="H268" s="9" t="s">
        <v>830</v>
      </c>
      <c r="I268" s="10">
        <v>1.0</v>
      </c>
      <c r="J268" s="10">
        <v>278.0</v>
      </c>
      <c r="K268" s="10">
        <v>282.0</v>
      </c>
      <c r="L268" s="10">
        <v>9.0</v>
      </c>
      <c r="M268" s="10">
        <v>5.0</v>
      </c>
      <c r="N268" s="10">
        <v>278.0</v>
      </c>
      <c r="O268" s="6" t="s">
        <v>53</v>
      </c>
      <c r="P268" s="11">
        <f t="shared" si="1"/>
        <v>348</v>
      </c>
    </row>
    <row r="269" ht="18.0" customHeight="1">
      <c r="A269" s="7">
        <v>44539.0</v>
      </c>
      <c r="B269" s="8">
        <v>44539.584027777775</v>
      </c>
      <c r="C269" s="6" t="s">
        <v>50</v>
      </c>
      <c r="D269" s="6" t="s">
        <v>831</v>
      </c>
      <c r="E269" s="6" t="s">
        <v>61</v>
      </c>
      <c r="F269" s="6" t="s">
        <v>62</v>
      </c>
      <c r="G269" s="6" t="s">
        <v>832</v>
      </c>
      <c r="H269" s="9" t="s">
        <v>833</v>
      </c>
      <c r="I269" s="10">
        <v>1.0</v>
      </c>
      <c r="J269" s="10">
        <v>163.0</v>
      </c>
      <c r="K269" s="10">
        <v>170.0</v>
      </c>
      <c r="L269" s="10">
        <v>3.0</v>
      </c>
      <c r="M269" s="10">
        <v>9.0</v>
      </c>
      <c r="N269" s="10">
        <v>163.0</v>
      </c>
      <c r="O269" s="6" t="s">
        <v>53</v>
      </c>
      <c r="P269" s="11">
        <f t="shared" si="1"/>
        <v>353</v>
      </c>
    </row>
    <row r="270" ht="18.0" customHeight="1">
      <c r="A270" s="7">
        <v>44470.0</v>
      </c>
      <c r="B270" s="8">
        <v>44470.62548611111</v>
      </c>
      <c r="C270" s="6" t="s">
        <v>26</v>
      </c>
      <c r="D270" s="6" t="s">
        <v>834</v>
      </c>
      <c r="E270" s="6" t="s">
        <v>28</v>
      </c>
      <c r="F270" s="6" t="s">
        <v>34</v>
      </c>
      <c r="G270" s="6" t="s">
        <v>835</v>
      </c>
      <c r="H270" s="9" t="s">
        <v>836</v>
      </c>
      <c r="I270" s="10">
        <v>1.0</v>
      </c>
      <c r="J270" s="10">
        <v>284.0</v>
      </c>
      <c r="K270" s="10">
        <v>291.0</v>
      </c>
      <c r="L270" s="10">
        <v>14.0</v>
      </c>
      <c r="M270" s="10">
        <v>14.0</v>
      </c>
      <c r="N270" s="10">
        <v>284.0</v>
      </c>
      <c r="O270" s="6" t="s">
        <v>31</v>
      </c>
      <c r="P270" s="11">
        <f t="shared" si="1"/>
        <v>355</v>
      </c>
    </row>
    <row r="271" ht="18.0" customHeight="1">
      <c r="A271" s="7">
        <v>44471.0</v>
      </c>
      <c r="B271" s="8">
        <v>44471.625497685185</v>
      </c>
      <c r="C271" s="6" t="s">
        <v>26</v>
      </c>
      <c r="D271" s="6" t="s">
        <v>837</v>
      </c>
      <c r="E271" s="6" t="s">
        <v>28</v>
      </c>
      <c r="F271" s="6" t="s">
        <v>34</v>
      </c>
      <c r="G271" s="6" t="s">
        <v>838</v>
      </c>
      <c r="H271" s="9" t="s">
        <v>839</v>
      </c>
      <c r="I271" s="10">
        <v>1.0</v>
      </c>
      <c r="J271" s="10">
        <v>256.0</v>
      </c>
      <c r="K271" s="10">
        <v>271.0</v>
      </c>
      <c r="L271" s="10">
        <v>41.0</v>
      </c>
      <c r="M271" s="10">
        <v>10.0</v>
      </c>
      <c r="N271" s="10">
        <v>256.0</v>
      </c>
      <c r="O271" s="6" t="s">
        <v>31</v>
      </c>
      <c r="P271" s="11">
        <f t="shared" si="1"/>
        <v>355</v>
      </c>
    </row>
    <row r="272" ht="18.0" customHeight="1">
      <c r="A272" s="7">
        <v>44477.0</v>
      </c>
      <c r="B272" s="8">
        <v>44477.62532407408</v>
      </c>
      <c r="C272" s="6" t="s">
        <v>26</v>
      </c>
      <c r="D272" s="6" t="s">
        <v>840</v>
      </c>
      <c r="E272" s="6" t="s">
        <v>28</v>
      </c>
      <c r="F272" s="6" t="s">
        <v>34</v>
      </c>
      <c r="G272" s="6" t="s">
        <v>841</v>
      </c>
      <c r="H272" s="9" t="s">
        <v>842</v>
      </c>
      <c r="I272" s="10">
        <v>1.0</v>
      </c>
      <c r="J272" s="10">
        <v>347.0</v>
      </c>
      <c r="K272" s="10">
        <v>412.0</v>
      </c>
      <c r="L272" s="10">
        <v>34.0</v>
      </c>
      <c r="M272" s="10">
        <v>12.0</v>
      </c>
      <c r="N272" s="10">
        <v>347.0</v>
      </c>
      <c r="O272" s="6" t="s">
        <v>31</v>
      </c>
      <c r="P272" s="11">
        <f t="shared" si="1"/>
        <v>355</v>
      </c>
    </row>
    <row r="273" ht="18.0" customHeight="1">
      <c r="A273" s="7">
        <v>44518.0</v>
      </c>
      <c r="B273" s="8">
        <v>44518.833958333336</v>
      </c>
      <c r="C273" s="6" t="s">
        <v>26</v>
      </c>
      <c r="D273" s="6" t="s">
        <v>843</v>
      </c>
      <c r="E273" s="6" t="s">
        <v>33</v>
      </c>
      <c r="F273" s="6" t="s">
        <v>89</v>
      </c>
      <c r="G273" s="6" t="s">
        <v>844</v>
      </c>
      <c r="H273" s="9" t="s">
        <v>845</v>
      </c>
      <c r="I273" s="10">
        <v>1.0</v>
      </c>
      <c r="J273" s="10">
        <v>241.0</v>
      </c>
      <c r="K273" s="10">
        <v>265.0</v>
      </c>
      <c r="L273" s="10">
        <v>23.0</v>
      </c>
      <c r="M273" s="10">
        <v>4.0</v>
      </c>
      <c r="N273" s="10">
        <v>241.0</v>
      </c>
      <c r="O273" s="6" t="s">
        <v>31</v>
      </c>
      <c r="P273" s="11">
        <f t="shared" si="1"/>
        <v>355</v>
      </c>
    </row>
    <row r="274" ht="18.0" customHeight="1">
      <c r="A274" s="7">
        <v>44546.0</v>
      </c>
      <c r="B274" s="8">
        <v>44546.7815162037</v>
      </c>
      <c r="C274" s="6" t="s">
        <v>26</v>
      </c>
      <c r="D274" s="6" t="s">
        <v>846</v>
      </c>
      <c r="E274" s="6" t="s">
        <v>61</v>
      </c>
      <c r="F274" s="6" t="s">
        <v>62</v>
      </c>
      <c r="G274" s="6" t="s">
        <v>847</v>
      </c>
      <c r="H274" s="9" t="s">
        <v>848</v>
      </c>
      <c r="I274" s="10">
        <v>1.0</v>
      </c>
      <c r="J274" s="10">
        <v>308.0</v>
      </c>
      <c r="K274" s="10">
        <v>449.0</v>
      </c>
      <c r="L274" s="10">
        <v>201.0</v>
      </c>
      <c r="M274" s="10">
        <v>72.0</v>
      </c>
      <c r="N274" s="10">
        <v>308.0</v>
      </c>
      <c r="O274" s="6" t="s">
        <v>31</v>
      </c>
      <c r="P274" s="11">
        <f t="shared" si="1"/>
        <v>355</v>
      </c>
    </row>
    <row r="275" ht="18.0" customHeight="1">
      <c r="A275" s="7">
        <v>44503.0</v>
      </c>
      <c r="B275" s="8">
        <v>44503.69159722222</v>
      </c>
      <c r="C275" s="6" t="s">
        <v>50</v>
      </c>
      <c r="D275" s="6" t="s">
        <v>849</v>
      </c>
      <c r="E275" s="6" t="s">
        <v>28</v>
      </c>
      <c r="F275" s="6" t="s">
        <v>229</v>
      </c>
      <c r="G275" s="6" t="s">
        <v>850</v>
      </c>
      <c r="H275" s="9" t="s">
        <v>851</v>
      </c>
      <c r="I275" s="10">
        <v>1.0</v>
      </c>
      <c r="J275" s="10">
        <v>914.0</v>
      </c>
      <c r="K275" s="10">
        <v>930.0</v>
      </c>
      <c r="L275" s="10">
        <v>32.0</v>
      </c>
      <c r="M275" s="10">
        <v>114.0</v>
      </c>
      <c r="N275" s="10">
        <v>914.0</v>
      </c>
      <c r="O275" s="6" t="s">
        <v>53</v>
      </c>
      <c r="P275" s="11">
        <f t="shared" si="1"/>
        <v>356</v>
      </c>
    </row>
    <row r="276" ht="18.0" customHeight="1">
      <c r="A276" s="7">
        <v>44500.0</v>
      </c>
      <c r="B276" s="8">
        <v>44500.58961805556</v>
      </c>
      <c r="C276" s="6" t="s">
        <v>26</v>
      </c>
      <c r="D276" s="6" t="s">
        <v>852</v>
      </c>
      <c r="E276" s="6" t="s">
        <v>61</v>
      </c>
      <c r="F276" s="6" t="s">
        <v>62</v>
      </c>
      <c r="G276" s="6" t="s">
        <v>853</v>
      </c>
      <c r="H276" s="9" t="s">
        <v>854</v>
      </c>
      <c r="I276" s="10">
        <v>1.0</v>
      </c>
      <c r="J276" s="10">
        <v>344.0</v>
      </c>
      <c r="K276" s="10">
        <v>386.0</v>
      </c>
      <c r="L276" s="10">
        <v>31.0</v>
      </c>
      <c r="M276" s="10">
        <v>7.0</v>
      </c>
      <c r="N276" s="10">
        <v>344.0</v>
      </c>
      <c r="O276" s="6" t="s">
        <v>31</v>
      </c>
      <c r="P276" s="11">
        <f t="shared" si="1"/>
        <v>357</v>
      </c>
    </row>
    <row r="277" ht="18.0" customHeight="1">
      <c r="A277" s="7">
        <v>44487.0</v>
      </c>
      <c r="B277" s="8">
        <v>44487.58388888889</v>
      </c>
      <c r="C277" s="6" t="s">
        <v>50</v>
      </c>
      <c r="D277" s="6" t="s">
        <v>855</v>
      </c>
      <c r="E277" s="6" t="s">
        <v>28</v>
      </c>
      <c r="F277" s="6" t="s">
        <v>34</v>
      </c>
      <c r="G277" s="6" t="s">
        <v>856</v>
      </c>
      <c r="H277" s="9" t="s">
        <v>857</v>
      </c>
      <c r="I277" s="10">
        <v>1.0</v>
      </c>
      <c r="J277" s="10">
        <v>110.0</v>
      </c>
      <c r="K277" s="10">
        <v>111.0</v>
      </c>
      <c r="L277" s="10">
        <v>0.0</v>
      </c>
      <c r="M277" s="10">
        <v>5.0</v>
      </c>
      <c r="N277" s="10">
        <v>110.0</v>
      </c>
      <c r="O277" s="6" t="s">
        <v>53</v>
      </c>
      <c r="P277" s="11">
        <f t="shared" si="1"/>
        <v>357</v>
      </c>
    </row>
    <row r="278" ht="18.0" customHeight="1">
      <c r="A278" s="7">
        <v>44499.0</v>
      </c>
      <c r="B278" s="8">
        <v>44499.58362268518</v>
      </c>
      <c r="C278" s="6" t="s">
        <v>50</v>
      </c>
      <c r="D278" s="6" t="s">
        <v>858</v>
      </c>
      <c r="E278" s="6" t="s">
        <v>61</v>
      </c>
      <c r="F278" s="6" t="s">
        <v>62</v>
      </c>
      <c r="G278" s="6" t="s">
        <v>859</v>
      </c>
      <c r="H278" s="9" t="s">
        <v>860</v>
      </c>
      <c r="I278" s="10">
        <v>1.0</v>
      </c>
      <c r="J278" s="10">
        <v>387.0</v>
      </c>
      <c r="K278" s="10">
        <v>439.0</v>
      </c>
      <c r="L278" s="10">
        <v>6.0</v>
      </c>
      <c r="M278" s="10">
        <v>24.0</v>
      </c>
      <c r="N278" s="10">
        <v>387.0</v>
      </c>
      <c r="O278" s="6" t="s">
        <v>53</v>
      </c>
      <c r="P278" s="11">
        <f t="shared" si="1"/>
        <v>357</v>
      </c>
    </row>
    <row r="279" ht="18.0" customHeight="1">
      <c r="A279" s="7">
        <v>44481.0</v>
      </c>
      <c r="B279" s="8">
        <v>44481.750289351854</v>
      </c>
      <c r="C279" s="6" t="s">
        <v>50</v>
      </c>
      <c r="D279" s="6" t="s">
        <v>861</v>
      </c>
      <c r="E279" s="6" t="s">
        <v>28</v>
      </c>
      <c r="F279" s="6" t="s">
        <v>229</v>
      </c>
      <c r="G279" s="6" t="s">
        <v>862</v>
      </c>
      <c r="H279" s="9" t="s">
        <v>863</v>
      </c>
      <c r="I279" s="10">
        <v>1.0</v>
      </c>
      <c r="J279" s="10">
        <v>151.0</v>
      </c>
      <c r="K279" s="10">
        <v>152.0</v>
      </c>
      <c r="L279" s="10">
        <v>4.0</v>
      </c>
      <c r="M279" s="10">
        <v>4.0</v>
      </c>
      <c r="N279" s="10">
        <v>151.0</v>
      </c>
      <c r="O279" s="6" t="s">
        <v>53</v>
      </c>
      <c r="P279" s="11">
        <f t="shared" si="1"/>
        <v>358</v>
      </c>
    </row>
    <row r="280" ht="18.0" customHeight="1">
      <c r="A280" s="7">
        <v>44543.0</v>
      </c>
      <c r="B280" s="8">
        <v>44543.840266203704</v>
      </c>
      <c r="C280" s="6" t="s">
        <v>50</v>
      </c>
      <c r="D280" s="6" t="s">
        <v>864</v>
      </c>
      <c r="E280" s="6" t="s">
        <v>72</v>
      </c>
      <c r="F280" s="6" t="s">
        <v>44</v>
      </c>
      <c r="G280" s="6" t="s">
        <v>865</v>
      </c>
      <c r="H280" s="9" t="s">
        <v>866</v>
      </c>
      <c r="I280" s="10">
        <v>1.0</v>
      </c>
      <c r="J280" s="10">
        <v>61.0</v>
      </c>
      <c r="K280" s="10">
        <v>61.0</v>
      </c>
      <c r="L280" s="10">
        <v>0.0</v>
      </c>
      <c r="N280" s="10">
        <v>61.0</v>
      </c>
      <c r="O280" s="6" t="s">
        <v>53</v>
      </c>
      <c r="P280" s="11">
        <f t="shared" si="1"/>
        <v>359</v>
      </c>
    </row>
    <row r="281" ht="18.0" customHeight="1">
      <c r="A281" s="7">
        <v>44475.0</v>
      </c>
      <c r="B281" s="8">
        <v>44475.750625</v>
      </c>
      <c r="C281" s="6" t="s">
        <v>50</v>
      </c>
      <c r="D281" s="6" t="s">
        <v>867</v>
      </c>
      <c r="E281" s="6" t="s">
        <v>28</v>
      </c>
      <c r="F281" s="6" t="s">
        <v>34</v>
      </c>
      <c r="G281" s="6" t="s">
        <v>868</v>
      </c>
      <c r="H281" s="9" t="s">
        <v>869</v>
      </c>
      <c r="I281" s="10">
        <v>1.0</v>
      </c>
      <c r="J281" s="10">
        <v>1831.0</v>
      </c>
      <c r="K281" s="10">
        <v>1872.0</v>
      </c>
      <c r="L281" s="10">
        <v>44.0</v>
      </c>
      <c r="M281" s="10">
        <v>222.0</v>
      </c>
      <c r="N281" s="10">
        <v>1831.0</v>
      </c>
      <c r="O281" s="6" t="s">
        <v>53</v>
      </c>
      <c r="P281" s="11">
        <f t="shared" si="1"/>
        <v>361</v>
      </c>
    </row>
    <row r="282" ht="18.0" customHeight="1">
      <c r="A282" s="7">
        <v>44513.0</v>
      </c>
      <c r="B282" s="8">
        <v>44513.875023148146</v>
      </c>
      <c r="C282" s="6" t="s">
        <v>26</v>
      </c>
      <c r="D282" s="6" t="s">
        <v>870</v>
      </c>
      <c r="E282" s="6" t="s">
        <v>61</v>
      </c>
      <c r="F282" s="6" t="s">
        <v>76</v>
      </c>
      <c r="G282" s="6" t="s">
        <v>871</v>
      </c>
      <c r="H282" s="9" t="s">
        <v>872</v>
      </c>
      <c r="I282" s="10">
        <v>1.0</v>
      </c>
      <c r="J282" s="10">
        <v>1196.0</v>
      </c>
      <c r="K282" s="10">
        <v>1432.0</v>
      </c>
      <c r="L282" s="10">
        <v>47.0</v>
      </c>
      <c r="M282" s="10">
        <v>48.0</v>
      </c>
      <c r="N282" s="10">
        <v>1196.0</v>
      </c>
      <c r="O282" s="6" t="s">
        <v>31</v>
      </c>
      <c r="P282" s="11">
        <f t="shared" si="1"/>
        <v>362</v>
      </c>
    </row>
    <row r="283" ht="18.0" customHeight="1">
      <c r="A283" s="7">
        <v>44481.0</v>
      </c>
      <c r="B283" s="8">
        <v>44481.62594907408</v>
      </c>
      <c r="C283" s="6" t="s">
        <v>50</v>
      </c>
      <c r="D283" s="6" t="s">
        <v>873</v>
      </c>
      <c r="E283" s="6" t="s">
        <v>28</v>
      </c>
      <c r="F283" s="6" t="s">
        <v>34</v>
      </c>
      <c r="G283" s="6" t="s">
        <v>874</v>
      </c>
      <c r="H283" s="9" t="s">
        <v>875</v>
      </c>
      <c r="I283" s="10">
        <v>1.0</v>
      </c>
      <c r="J283" s="10">
        <v>571.0</v>
      </c>
      <c r="K283" s="10">
        <v>577.0</v>
      </c>
      <c r="L283" s="10">
        <v>75.0</v>
      </c>
      <c r="M283" s="10">
        <v>25.0</v>
      </c>
      <c r="N283" s="10">
        <v>571.0</v>
      </c>
      <c r="O283" s="6" t="s">
        <v>53</v>
      </c>
      <c r="P283" s="11">
        <f t="shared" si="1"/>
        <v>364</v>
      </c>
    </row>
    <row r="284" ht="18.0" customHeight="1">
      <c r="A284" s="7">
        <v>44486.0</v>
      </c>
      <c r="B284" s="8">
        <v>44486.667291666665</v>
      </c>
      <c r="C284" s="6" t="s">
        <v>50</v>
      </c>
      <c r="D284" s="6" t="s">
        <v>876</v>
      </c>
      <c r="E284" s="6" t="s">
        <v>28</v>
      </c>
      <c r="F284" s="6" t="s">
        <v>34</v>
      </c>
      <c r="G284" s="6" t="s">
        <v>877</v>
      </c>
      <c r="H284" s="9" t="s">
        <v>878</v>
      </c>
      <c r="I284" s="10">
        <v>1.0</v>
      </c>
      <c r="J284" s="10">
        <v>94.0</v>
      </c>
      <c r="K284" s="10">
        <v>96.0</v>
      </c>
      <c r="L284" s="10">
        <v>3.0</v>
      </c>
      <c r="M284" s="10">
        <v>3.0</v>
      </c>
      <c r="N284" s="10">
        <v>94.0</v>
      </c>
      <c r="O284" s="6" t="s">
        <v>53</v>
      </c>
      <c r="P284" s="11">
        <f t="shared" si="1"/>
        <v>365</v>
      </c>
    </row>
    <row r="285" ht="18.0" customHeight="1">
      <c r="A285" s="7">
        <v>44555.0</v>
      </c>
      <c r="B285" s="8">
        <v>44555.87501157408</v>
      </c>
      <c r="C285" s="6" t="s">
        <v>50</v>
      </c>
      <c r="D285" s="6" t="s">
        <v>879</v>
      </c>
      <c r="E285" s="6" t="s">
        <v>61</v>
      </c>
      <c r="F285" s="6" t="s">
        <v>62</v>
      </c>
      <c r="G285" s="6" t="s">
        <v>880</v>
      </c>
      <c r="H285" s="9" t="s">
        <v>881</v>
      </c>
      <c r="I285" s="10">
        <v>1.0</v>
      </c>
      <c r="J285" s="10">
        <v>121.0</v>
      </c>
      <c r="K285" s="10">
        <v>129.0</v>
      </c>
      <c r="L285" s="10">
        <v>1.0</v>
      </c>
      <c r="M285" s="10">
        <v>6.0</v>
      </c>
      <c r="N285" s="10">
        <v>121.0</v>
      </c>
      <c r="O285" s="6" t="s">
        <v>53</v>
      </c>
      <c r="P285" s="11">
        <f t="shared" si="1"/>
        <v>367</v>
      </c>
    </row>
    <row r="286" ht="18.0" customHeight="1">
      <c r="A286" s="7">
        <v>44486.0</v>
      </c>
      <c r="B286" s="8">
        <v>44486.541863425926</v>
      </c>
      <c r="C286" s="6" t="s">
        <v>26</v>
      </c>
      <c r="D286" s="6" t="s">
        <v>882</v>
      </c>
      <c r="E286" s="6" t="s">
        <v>61</v>
      </c>
      <c r="F286" s="6" t="s">
        <v>76</v>
      </c>
      <c r="G286" s="6" t="s">
        <v>883</v>
      </c>
      <c r="H286" s="9" t="s">
        <v>884</v>
      </c>
      <c r="I286" s="10">
        <v>1.0</v>
      </c>
      <c r="J286" s="10">
        <v>234.0</v>
      </c>
      <c r="K286" s="10">
        <v>249.0</v>
      </c>
      <c r="L286" s="10">
        <v>19.0</v>
      </c>
      <c r="M286" s="10">
        <v>10.0</v>
      </c>
      <c r="N286" s="10">
        <v>234.0</v>
      </c>
      <c r="O286" s="6" t="s">
        <v>31</v>
      </c>
      <c r="P286" s="11">
        <f t="shared" si="1"/>
        <v>370</v>
      </c>
    </row>
    <row r="287" ht="18.0" customHeight="1">
      <c r="A287" s="7">
        <v>44484.0</v>
      </c>
      <c r="B287" s="8">
        <v>44484.79180555556</v>
      </c>
      <c r="C287" s="6" t="s">
        <v>26</v>
      </c>
      <c r="D287" s="6" t="s">
        <v>885</v>
      </c>
      <c r="E287" s="6" t="s">
        <v>61</v>
      </c>
      <c r="F287" s="6" t="s">
        <v>76</v>
      </c>
      <c r="G287" s="6" t="s">
        <v>886</v>
      </c>
      <c r="H287" s="9" t="s">
        <v>887</v>
      </c>
      <c r="I287" s="10">
        <v>1.0</v>
      </c>
      <c r="J287" s="10">
        <v>274.0</v>
      </c>
      <c r="K287" s="10">
        <v>300.0</v>
      </c>
      <c r="L287" s="10">
        <v>46.0</v>
      </c>
      <c r="M287" s="10">
        <v>56.0</v>
      </c>
      <c r="N287" s="10">
        <v>274.0</v>
      </c>
      <c r="O287" s="6" t="s">
        <v>31</v>
      </c>
      <c r="P287" s="11">
        <f t="shared" si="1"/>
        <v>383</v>
      </c>
    </row>
    <row r="288" ht="18.0" customHeight="1">
      <c r="A288" s="7">
        <v>44524.0</v>
      </c>
      <c r="B288" s="8">
        <v>44524.632314814815</v>
      </c>
      <c r="C288" s="6" t="s">
        <v>50</v>
      </c>
      <c r="D288" s="6" t="s">
        <v>888</v>
      </c>
      <c r="E288" s="6" t="s">
        <v>28</v>
      </c>
      <c r="F288" s="6" t="s">
        <v>34</v>
      </c>
      <c r="G288" s="6" t="s">
        <v>889</v>
      </c>
      <c r="H288" s="9" t="s">
        <v>890</v>
      </c>
      <c r="I288" s="10">
        <v>1.0</v>
      </c>
      <c r="J288" s="10">
        <v>197.0</v>
      </c>
      <c r="K288" s="10">
        <v>199.0</v>
      </c>
      <c r="L288" s="10">
        <v>0.0</v>
      </c>
      <c r="M288" s="10">
        <v>14.0</v>
      </c>
      <c r="N288" s="10">
        <v>197.0</v>
      </c>
      <c r="O288" s="6" t="s">
        <v>53</v>
      </c>
      <c r="P288" s="11">
        <f t="shared" si="1"/>
        <v>391</v>
      </c>
    </row>
    <row r="289" ht="18.0" customHeight="1">
      <c r="A289" s="7">
        <v>44488.0</v>
      </c>
      <c r="B289" s="8">
        <v>44488.58363425926</v>
      </c>
      <c r="C289" s="6" t="s">
        <v>50</v>
      </c>
      <c r="D289" s="6" t="s">
        <v>891</v>
      </c>
      <c r="E289" s="6" t="s">
        <v>28</v>
      </c>
      <c r="F289" s="6" t="s">
        <v>34</v>
      </c>
      <c r="G289" s="6" t="s">
        <v>892</v>
      </c>
      <c r="H289" s="9" t="s">
        <v>893</v>
      </c>
      <c r="I289" s="10">
        <v>1.0</v>
      </c>
      <c r="J289" s="10">
        <v>91.0</v>
      </c>
      <c r="K289" s="10">
        <v>92.0</v>
      </c>
      <c r="L289" s="10">
        <v>0.0</v>
      </c>
      <c r="N289" s="10">
        <v>91.0</v>
      </c>
      <c r="O289" s="6" t="s">
        <v>53</v>
      </c>
      <c r="P289" s="11">
        <f t="shared" si="1"/>
        <v>396</v>
      </c>
    </row>
    <row r="290" ht="18.0" customHeight="1">
      <c r="A290" s="7">
        <v>44509.0</v>
      </c>
      <c r="B290" s="8">
        <v>44509.833391203705</v>
      </c>
      <c r="C290" s="6" t="s">
        <v>26</v>
      </c>
      <c r="D290" s="6" t="s">
        <v>894</v>
      </c>
      <c r="E290" s="6" t="s">
        <v>28</v>
      </c>
      <c r="F290" s="6" t="s">
        <v>34</v>
      </c>
      <c r="G290" s="6" t="s">
        <v>895</v>
      </c>
      <c r="H290" s="9" t="s">
        <v>896</v>
      </c>
      <c r="I290" s="10">
        <v>1.0</v>
      </c>
      <c r="J290" s="10">
        <v>526.0</v>
      </c>
      <c r="K290" s="10">
        <v>554.0</v>
      </c>
      <c r="L290" s="10">
        <v>55.0</v>
      </c>
      <c r="M290" s="10">
        <v>15.0</v>
      </c>
      <c r="N290" s="10">
        <v>526.0</v>
      </c>
      <c r="O290" s="6" t="s">
        <v>31</v>
      </c>
      <c r="P290" s="11">
        <f t="shared" si="1"/>
        <v>399</v>
      </c>
    </row>
    <row r="291" ht="18.0" customHeight="1">
      <c r="A291" s="7">
        <v>44524.0</v>
      </c>
      <c r="B291" s="8">
        <v>44524.541666666664</v>
      </c>
      <c r="C291" s="6" t="s">
        <v>50</v>
      </c>
      <c r="D291" s="6" t="s">
        <v>897</v>
      </c>
      <c r="E291" s="6" t="s">
        <v>28</v>
      </c>
      <c r="F291" s="6" t="s">
        <v>34</v>
      </c>
      <c r="G291" s="6" t="s">
        <v>898</v>
      </c>
      <c r="H291" s="9" t="s">
        <v>899</v>
      </c>
      <c r="I291" s="10">
        <v>1.0</v>
      </c>
      <c r="J291" s="10">
        <v>378.0</v>
      </c>
      <c r="K291" s="10">
        <v>381.0</v>
      </c>
      <c r="L291" s="10">
        <v>8.0</v>
      </c>
      <c r="M291" s="10">
        <v>22.0</v>
      </c>
      <c r="N291" s="10">
        <v>378.0</v>
      </c>
      <c r="O291" s="6" t="s">
        <v>53</v>
      </c>
      <c r="P291" s="11">
        <f t="shared" si="1"/>
        <v>401</v>
      </c>
    </row>
    <row r="292" ht="18.0" customHeight="1">
      <c r="A292" s="7">
        <v>44474.0</v>
      </c>
      <c r="B292" s="8">
        <v>44474.50042824074</v>
      </c>
      <c r="C292" s="6" t="s">
        <v>26</v>
      </c>
      <c r="D292" s="6" t="s">
        <v>900</v>
      </c>
      <c r="E292" s="6" t="s">
        <v>33</v>
      </c>
      <c r="F292" s="6" t="s">
        <v>89</v>
      </c>
      <c r="G292" s="6" t="s">
        <v>901</v>
      </c>
      <c r="H292" s="9" t="s">
        <v>902</v>
      </c>
      <c r="I292" s="10">
        <v>1.0</v>
      </c>
      <c r="J292" s="10">
        <v>269.0</v>
      </c>
      <c r="K292" s="10">
        <v>301.0</v>
      </c>
      <c r="L292" s="10">
        <v>17.0</v>
      </c>
      <c r="M292" s="10">
        <v>7.0</v>
      </c>
      <c r="N292" s="10">
        <v>269.0</v>
      </c>
      <c r="O292" s="6" t="s">
        <v>31</v>
      </c>
      <c r="P292" s="11">
        <f t="shared" si="1"/>
        <v>404</v>
      </c>
    </row>
    <row r="293" ht="18.0" customHeight="1">
      <c r="A293" s="7">
        <v>44523.0</v>
      </c>
      <c r="B293" s="8">
        <v>44523.91670138889</v>
      </c>
      <c r="C293" s="6" t="s">
        <v>26</v>
      </c>
      <c r="D293" s="6" t="s">
        <v>903</v>
      </c>
      <c r="E293" s="6" t="s">
        <v>28</v>
      </c>
      <c r="F293" s="6" t="s">
        <v>34</v>
      </c>
      <c r="G293" s="6" t="s">
        <v>904</v>
      </c>
      <c r="H293" s="9" t="s">
        <v>905</v>
      </c>
      <c r="I293" s="10">
        <v>1.0</v>
      </c>
      <c r="J293" s="10">
        <v>20183.0</v>
      </c>
      <c r="K293" s="10">
        <v>20868.0</v>
      </c>
      <c r="L293" s="10">
        <v>279.0</v>
      </c>
      <c r="M293" s="10">
        <v>166.0</v>
      </c>
      <c r="N293" s="10">
        <v>20183.0</v>
      </c>
      <c r="O293" s="6" t="s">
        <v>31</v>
      </c>
      <c r="P293" s="11">
        <f t="shared" si="1"/>
        <v>409</v>
      </c>
    </row>
    <row r="294" ht="18.0" customHeight="1">
      <c r="A294" s="7">
        <v>44527.0</v>
      </c>
      <c r="B294" s="8">
        <v>44527.375023148146</v>
      </c>
      <c r="C294" s="6" t="s">
        <v>26</v>
      </c>
      <c r="D294" s="6" t="s">
        <v>906</v>
      </c>
      <c r="E294" s="6" t="s">
        <v>28</v>
      </c>
      <c r="F294" s="6" t="s">
        <v>34</v>
      </c>
      <c r="G294" s="6" t="s">
        <v>904</v>
      </c>
      <c r="H294" s="9" t="s">
        <v>907</v>
      </c>
      <c r="I294" s="10">
        <v>1.0</v>
      </c>
      <c r="J294" s="10">
        <v>22476.0</v>
      </c>
      <c r="K294" s="10">
        <v>22980.0</v>
      </c>
      <c r="L294" s="10">
        <v>154.0</v>
      </c>
      <c r="M294" s="10">
        <v>61.0</v>
      </c>
      <c r="N294" s="10">
        <v>22476.0</v>
      </c>
      <c r="O294" s="6" t="s">
        <v>31</v>
      </c>
      <c r="P294" s="11">
        <f t="shared" si="1"/>
        <v>409</v>
      </c>
    </row>
    <row r="295" ht="18.0" customHeight="1">
      <c r="A295" s="7">
        <v>44474.0</v>
      </c>
      <c r="B295" s="8">
        <v>44474.67722222222</v>
      </c>
      <c r="C295" s="6" t="s">
        <v>50</v>
      </c>
      <c r="D295" s="6" t="s">
        <v>908</v>
      </c>
      <c r="E295" s="6" t="s">
        <v>61</v>
      </c>
      <c r="F295" s="6" t="s">
        <v>62</v>
      </c>
      <c r="G295" s="6" t="s">
        <v>909</v>
      </c>
      <c r="H295" s="9" t="s">
        <v>910</v>
      </c>
      <c r="I295" s="10">
        <v>1.0</v>
      </c>
      <c r="J295" s="10">
        <v>1271.0</v>
      </c>
      <c r="K295" s="10">
        <v>1321.0</v>
      </c>
      <c r="L295" s="10">
        <v>15.0</v>
      </c>
      <c r="M295" s="10">
        <v>61.0</v>
      </c>
      <c r="N295" s="10">
        <v>1271.0</v>
      </c>
      <c r="O295" s="6" t="s">
        <v>53</v>
      </c>
      <c r="P295" s="11">
        <f t="shared" si="1"/>
        <v>411</v>
      </c>
    </row>
    <row r="296" ht="18.0" customHeight="1">
      <c r="A296" s="7">
        <v>44489.0</v>
      </c>
      <c r="B296" s="8">
        <v>44489.75</v>
      </c>
      <c r="C296" s="6" t="s">
        <v>50</v>
      </c>
      <c r="D296" s="6" t="s">
        <v>911</v>
      </c>
      <c r="E296" s="6" t="s">
        <v>61</v>
      </c>
      <c r="F296" s="6" t="s">
        <v>62</v>
      </c>
      <c r="G296" s="6" t="s">
        <v>912</v>
      </c>
      <c r="H296" s="9" t="s">
        <v>913</v>
      </c>
      <c r="I296" s="10">
        <v>1.0</v>
      </c>
      <c r="J296" s="10">
        <v>1389.0</v>
      </c>
      <c r="K296" s="10">
        <v>1459.0</v>
      </c>
      <c r="L296" s="10">
        <v>6.0</v>
      </c>
      <c r="M296" s="10">
        <v>79.0</v>
      </c>
      <c r="N296" s="10">
        <v>1389.0</v>
      </c>
      <c r="O296" s="6" t="s">
        <v>53</v>
      </c>
      <c r="P296" s="11">
        <f t="shared" si="1"/>
        <v>419</v>
      </c>
    </row>
    <row r="297" ht="18.0" customHeight="1">
      <c r="A297" s="7">
        <v>44499.0</v>
      </c>
      <c r="B297" s="8">
        <v>44499.66668981482</v>
      </c>
      <c r="C297" s="6" t="s">
        <v>26</v>
      </c>
      <c r="D297" s="6" t="s">
        <v>914</v>
      </c>
      <c r="E297" s="6" t="s">
        <v>61</v>
      </c>
      <c r="F297" s="6" t="s">
        <v>76</v>
      </c>
      <c r="G297" s="6" t="s">
        <v>915</v>
      </c>
      <c r="H297" s="9" t="s">
        <v>916</v>
      </c>
      <c r="I297" s="10">
        <v>1.0</v>
      </c>
      <c r="J297" s="10">
        <v>1228.0</v>
      </c>
      <c r="K297" s="10">
        <v>1372.0</v>
      </c>
      <c r="L297" s="10">
        <v>90.0</v>
      </c>
      <c r="M297" s="10">
        <v>69.0</v>
      </c>
      <c r="N297" s="10">
        <v>1228.0</v>
      </c>
      <c r="O297" s="6" t="s">
        <v>31</v>
      </c>
      <c r="P297" s="11">
        <f t="shared" si="1"/>
        <v>426</v>
      </c>
    </row>
    <row r="298" ht="18.0" customHeight="1">
      <c r="A298" s="7">
        <v>44474.0</v>
      </c>
      <c r="B298" s="8">
        <v>44474.87501157408</v>
      </c>
      <c r="C298" s="6" t="s">
        <v>50</v>
      </c>
      <c r="D298" s="6" t="s">
        <v>917</v>
      </c>
      <c r="E298" s="6" t="s">
        <v>28</v>
      </c>
      <c r="F298" s="6" t="s">
        <v>34</v>
      </c>
      <c r="G298" s="6" t="s">
        <v>918</v>
      </c>
      <c r="H298" s="9" t="s">
        <v>919</v>
      </c>
      <c r="I298" s="10">
        <v>1.0</v>
      </c>
      <c r="J298" s="10">
        <v>218.0</v>
      </c>
      <c r="K298" s="10">
        <v>225.0</v>
      </c>
      <c r="L298" s="10">
        <v>20.0</v>
      </c>
      <c r="M298" s="10">
        <v>11.0</v>
      </c>
      <c r="N298" s="10">
        <v>218.0</v>
      </c>
      <c r="O298" s="6" t="s">
        <v>53</v>
      </c>
      <c r="P298" s="11">
        <f t="shared" si="1"/>
        <v>426</v>
      </c>
    </row>
    <row r="299" ht="18.0" customHeight="1">
      <c r="A299" s="7">
        <v>44486.0</v>
      </c>
      <c r="B299" s="8">
        <v>44486.60789351852</v>
      </c>
      <c r="C299" s="6" t="s">
        <v>50</v>
      </c>
      <c r="D299" s="6" t="s">
        <v>920</v>
      </c>
      <c r="E299" s="6" t="s">
        <v>28</v>
      </c>
      <c r="F299" s="6" t="s">
        <v>34</v>
      </c>
      <c r="G299" s="6" t="s">
        <v>921</v>
      </c>
      <c r="H299" s="9" t="s">
        <v>922</v>
      </c>
      <c r="I299" s="10">
        <v>1.0</v>
      </c>
      <c r="J299" s="10">
        <v>103.0</v>
      </c>
      <c r="K299" s="10">
        <v>106.0</v>
      </c>
      <c r="L299" s="10">
        <v>0.0</v>
      </c>
      <c r="M299" s="10">
        <v>3.0</v>
      </c>
      <c r="N299" s="10">
        <v>103.0</v>
      </c>
      <c r="O299" s="6" t="s">
        <v>53</v>
      </c>
      <c r="P299" s="11">
        <f t="shared" si="1"/>
        <v>427</v>
      </c>
    </row>
    <row r="300" ht="18.0" customHeight="1">
      <c r="A300" s="7">
        <v>44530.0</v>
      </c>
      <c r="B300" s="8">
        <v>44530.87503472222</v>
      </c>
      <c r="C300" s="6" t="s">
        <v>50</v>
      </c>
      <c r="D300" s="6" t="s">
        <v>923</v>
      </c>
      <c r="E300" s="6" t="s">
        <v>28</v>
      </c>
      <c r="F300" s="6" t="s">
        <v>34</v>
      </c>
      <c r="G300" s="6" t="s">
        <v>924</v>
      </c>
      <c r="H300" s="9" t="s">
        <v>925</v>
      </c>
      <c r="I300" s="10">
        <v>1.0</v>
      </c>
      <c r="J300" s="10">
        <v>156.0</v>
      </c>
      <c r="K300" s="10">
        <v>161.0</v>
      </c>
      <c r="L300" s="10">
        <v>14.0</v>
      </c>
      <c r="M300" s="10">
        <v>9.0</v>
      </c>
      <c r="N300" s="10">
        <v>156.0</v>
      </c>
      <c r="O300" s="6" t="s">
        <v>53</v>
      </c>
      <c r="P300" s="11">
        <f t="shared" si="1"/>
        <v>432</v>
      </c>
    </row>
    <row r="301" ht="18.0" customHeight="1">
      <c r="A301" s="7">
        <v>44550.0</v>
      </c>
      <c r="B301" s="8">
        <v>44550.83336805556</v>
      </c>
      <c r="C301" s="6" t="s">
        <v>50</v>
      </c>
      <c r="D301" s="6" t="s">
        <v>926</v>
      </c>
      <c r="E301" s="6" t="s">
        <v>28</v>
      </c>
      <c r="F301" s="6" t="s">
        <v>34</v>
      </c>
      <c r="G301" s="6" t="s">
        <v>927</v>
      </c>
      <c r="H301" s="9" t="s">
        <v>928</v>
      </c>
      <c r="I301" s="10">
        <v>1.0</v>
      </c>
      <c r="J301" s="10">
        <v>75.0</v>
      </c>
      <c r="K301" s="10">
        <v>76.0</v>
      </c>
      <c r="L301" s="10">
        <v>0.0</v>
      </c>
      <c r="M301" s="10">
        <v>2.0</v>
      </c>
      <c r="N301" s="10">
        <v>75.0</v>
      </c>
      <c r="O301" s="6" t="s">
        <v>53</v>
      </c>
      <c r="P301" s="11">
        <f t="shared" si="1"/>
        <v>434</v>
      </c>
    </row>
    <row r="302" ht="18.0" customHeight="1">
      <c r="A302" s="7">
        <v>44502.0</v>
      </c>
      <c r="B302" s="8">
        <v>44502.875023148146</v>
      </c>
      <c r="C302" s="6" t="s">
        <v>50</v>
      </c>
      <c r="D302" s="6" t="s">
        <v>929</v>
      </c>
      <c r="E302" s="6" t="s">
        <v>28</v>
      </c>
      <c r="F302" s="6" t="s">
        <v>34</v>
      </c>
      <c r="G302" s="6" t="s">
        <v>930</v>
      </c>
      <c r="H302" s="9" t="s">
        <v>931</v>
      </c>
      <c r="I302" s="10">
        <v>1.0</v>
      </c>
      <c r="J302" s="10">
        <v>195.0</v>
      </c>
      <c r="K302" s="10">
        <v>200.0</v>
      </c>
      <c r="L302" s="10">
        <v>11.0</v>
      </c>
      <c r="M302" s="10">
        <v>5.0</v>
      </c>
      <c r="N302" s="10">
        <v>195.0</v>
      </c>
      <c r="O302" s="6" t="s">
        <v>53</v>
      </c>
      <c r="P302" s="11">
        <f t="shared" si="1"/>
        <v>435</v>
      </c>
    </row>
    <row r="303" ht="18.0" customHeight="1">
      <c r="A303" s="7">
        <v>44476.0</v>
      </c>
      <c r="B303" s="8">
        <v>44476.87567129629</v>
      </c>
      <c r="C303" s="6" t="s">
        <v>26</v>
      </c>
      <c r="D303" s="6" t="s">
        <v>932</v>
      </c>
      <c r="E303" s="6" t="s">
        <v>33</v>
      </c>
      <c r="F303" s="6" t="s">
        <v>89</v>
      </c>
      <c r="G303" s="6" t="s">
        <v>933</v>
      </c>
      <c r="H303" s="9" t="s">
        <v>934</v>
      </c>
      <c r="I303" s="10">
        <v>1.0</v>
      </c>
      <c r="J303" s="10">
        <v>174.0</v>
      </c>
      <c r="K303" s="10">
        <v>195.0</v>
      </c>
      <c r="L303" s="10">
        <v>27.0</v>
      </c>
      <c r="M303" s="10"/>
      <c r="N303" s="10">
        <v>174.0</v>
      </c>
      <c r="O303" s="6" t="s">
        <v>31</v>
      </c>
      <c r="P303" s="11">
        <f t="shared" si="1"/>
        <v>437</v>
      </c>
    </row>
    <row r="304" ht="18.0" customHeight="1">
      <c r="A304" s="7">
        <v>44482.0</v>
      </c>
      <c r="B304" s="8">
        <v>44482.41667824074</v>
      </c>
      <c r="C304" s="6" t="s">
        <v>26</v>
      </c>
      <c r="D304" s="6" t="s">
        <v>935</v>
      </c>
      <c r="E304" s="6" t="s">
        <v>28</v>
      </c>
      <c r="F304" s="6" t="s">
        <v>34</v>
      </c>
      <c r="G304" s="6" t="s">
        <v>936</v>
      </c>
      <c r="H304" s="9" t="s">
        <v>937</v>
      </c>
      <c r="I304" s="10">
        <v>1.0</v>
      </c>
      <c r="J304" s="10">
        <v>1696.0</v>
      </c>
      <c r="K304" s="10">
        <v>1775.0</v>
      </c>
      <c r="L304" s="10">
        <v>285.0</v>
      </c>
      <c r="M304" s="10">
        <v>46.0</v>
      </c>
      <c r="N304" s="10">
        <v>1696.0</v>
      </c>
      <c r="O304" s="6" t="s">
        <v>31</v>
      </c>
      <c r="P304" s="11">
        <f t="shared" si="1"/>
        <v>437</v>
      </c>
    </row>
    <row r="305" ht="18.0" customHeight="1">
      <c r="A305" s="7">
        <v>44519.0</v>
      </c>
      <c r="B305" s="8">
        <v>44519.83341435185</v>
      </c>
      <c r="C305" s="6" t="s">
        <v>26</v>
      </c>
      <c r="D305" s="6" t="s">
        <v>938</v>
      </c>
      <c r="E305" s="6" t="s">
        <v>61</v>
      </c>
      <c r="F305" s="6" t="s">
        <v>62</v>
      </c>
      <c r="G305" s="6" t="s">
        <v>939</v>
      </c>
      <c r="H305" s="9" t="s">
        <v>940</v>
      </c>
      <c r="I305" s="10">
        <v>1.0</v>
      </c>
      <c r="J305" s="10">
        <v>527.0</v>
      </c>
      <c r="K305" s="10">
        <v>638.0</v>
      </c>
      <c r="L305" s="10">
        <v>21.0</v>
      </c>
      <c r="M305" s="10">
        <v>17.0</v>
      </c>
      <c r="N305" s="10">
        <v>527.0</v>
      </c>
      <c r="O305" s="6" t="s">
        <v>31</v>
      </c>
      <c r="P305" s="11">
        <f t="shared" si="1"/>
        <v>438</v>
      </c>
    </row>
    <row r="306" ht="18.0" customHeight="1">
      <c r="A306" s="7">
        <v>44508.0</v>
      </c>
      <c r="B306" s="8">
        <v>44508.62501157408</v>
      </c>
      <c r="C306" s="6" t="s">
        <v>26</v>
      </c>
      <c r="D306" s="6" t="s">
        <v>941</v>
      </c>
      <c r="E306" s="6" t="s">
        <v>28</v>
      </c>
      <c r="F306" s="6" t="s">
        <v>34</v>
      </c>
      <c r="G306" s="6" t="s">
        <v>942</v>
      </c>
      <c r="H306" s="9" t="s">
        <v>943</v>
      </c>
      <c r="I306" s="10">
        <v>1.0</v>
      </c>
      <c r="J306" s="10">
        <v>539.0</v>
      </c>
      <c r="K306" s="10">
        <v>555.0</v>
      </c>
      <c r="L306" s="10">
        <v>37.0</v>
      </c>
      <c r="M306" s="10">
        <v>24.0</v>
      </c>
      <c r="N306" s="10">
        <v>539.0</v>
      </c>
      <c r="O306" s="6" t="s">
        <v>31</v>
      </c>
      <c r="P306" s="11">
        <f t="shared" si="1"/>
        <v>450</v>
      </c>
    </row>
    <row r="307" ht="18.0" customHeight="1">
      <c r="A307" s="7">
        <v>44470.0</v>
      </c>
      <c r="B307" s="8">
        <v>44470.66672453703</v>
      </c>
      <c r="C307" s="6" t="s">
        <v>50</v>
      </c>
      <c r="D307" s="6" t="s">
        <v>944</v>
      </c>
      <c r="E307" s="6" t="s">
        <v>28</v>
      </c>
      <c r="F307" s="6" t="s">
        <v>34</v>
      </c>
      <c r="G307" s="6" t="s">
        <v>945</v>
      </c>
      <c r="H307" s="9" t="s">
        <v>946</v>
      </c>
      <c r="I307" s="10">
        <v>1.0</v>
      </c>
      <c r="J307" s="10">
        <v>108.0</v>
      </c>
      <c r="K307" s="10">
        <v>109.0</v>
      </c>
      <c r="L307" s="10">
        <v>0.0</v>
      </c>
      <c r="N307" s="10">
        <v>108.0</v>
      </c>
      <c r="O307" s="6" t="s">
        <v>53</v>
      </c>
      <c r="P307" s="11">
        <f t="shared" si="1"/>
        <v>453</v>
      </c>
    </row>
    <row r="308" ht="18.0" customHeight="1">
      <c r="A308" s="7">
        <v>44546.0</v>
      </c>
      <c r="B308" s="8">
        <v>44546.83335648148</v>
      </c>
      <c r="C308" s="6" t="s">
        <v>26</v>
      </c>
      <c r="D308" s="6" t="s">
        <v>947</v>
      </c>
      <c r="E308" s="6" t="s">
        <v>28</v>
      </c>
      <c r="F308" s="6" t="s">
        <v>34</v>
      </c>
      <c r="G308" s="6" t="s">
        <v>948</v>
      </c>
      <c r="H308" s="9" t="s">
        <v>949</v>
      </c>
      <c r="I308" s="10">
        <v>1.0</v>
      </c>
      <c r="J308" s="10">
        <v>21816.0</v>
      </c>
      <c r="K308" s="10">
        <v>22184.0</v>
      </c>
      <c r="L308" s="10">
        <v>161.0</v>
      </c>
      <c r="M308" s="10">
        <v>51.0</v>
      </c>
      <c r="N308" s="10">
        <v>21816.0</v>
      </c>
      <c r="O308" s="6" t="s">
        <v>31</v>
      </c>
      <c r="P308" s="11">
        <f t="shared" si="1"/>
        <v>455</v>
      </c>
    </row>
    <row r="309" ht="18.0" customHeight="1">
      <c r="A309" s="7">
        <v>44482.0</v>
      </c>
      <c r="B309" s="8">
        <v>44482.58341435185</v>
      </c>
      <c r="C309" s="6" t="s">
        <v>50</v>
      </c>
      <c r="D309" s="6" t="s">
        <v>950</v>
      </c>
      <c r="E309" s="6" t="s">
        <v>61</v>
      </c>
      <c r="F309" s="6" t="s">
        <v>62</v>
      </c>
      <c r="G309" s="6" t="s">
        <v>951</v>
      </c>
      <c r="H309" s="9" t="s">
        <v>952</v>
      </c>
      <c r="I309" s="10">
        <v>1.0</v>
      </c>
      <c r="J309" s="10">
        <v>382.0</v>
      </c>
      <c r="K309" s="10">
        <v>389.0</v>
      </c>
      <c r="L309" s="10">
        <v>15.0</v>
      </c>
      <c r="M309" s="10">
        <v>29.0</v>
      </c>
      <c r="N309" s="10">
        <v>382.0</v>
      </c>
      <c r="O309" s="6" t="s">
        <v>53</v>
      </c>
      <c r="P309" s="11">
        <f t="shared" si="1"/>
        <v>463</v>
      </c>
    </row>
    <row r="310" ht="18.0" customHeight="1">
      <c r="A310" s="7">
        <v>44472.0</v>
      </c>
      <c r="B310" s="8">
        <v>44472.679930555554</v>
      </c>
      <c r="C310" s="6" t="s">
        <v>50</v>
      </c>
      <c r="D310" s="6" t="s">
        <v>953</v>
      </c>
      <c r="E310" s="6" t="s">
        <v>61</v>
      </c>
      <c r="F310" s="6" t="s">
        <v>62</v>
      </c>
      <c r="G310" s="6" t="s">
        <v>954</v>
      </c>
      <c r="H310" s="9" t="s">
        <v>955</v>
      </c>
      <c r="I310" s="10">
        <v>1.0</v>
      </c>
      <c r="J310" s="10">
        <v>461.0</v>
      </c>
      <c r="K310" s="10">
        <v>493.0</v>
      </c>
      <c r="L310" s="10">
        <v>16.0</v>
      </c>
      <c r="M310" s="10">
        <v>40.0</v>
      </c>
      <c r="N310" s="10">
        <v>461.0</v>
      </c>
      <c r="O310" s="6" t="s">
        <v>53</v>
      </c>
      <c r="P310" s="11">
        <f t="shared" si="1"/>
        <v>470</v>
      </c>
    </row>
    <row r="311" ht="18.0" customHeight="1">
      <c r="A311" s="7">
        <v>44528.0</v>
      </c>
      <c r="B311" s="8">
        <v>44528.541666666664</v>
      </c>
      <c r="C311" s="6" t="s">
        <v>26</v>
      </c>
      <c r="D311" s="6" t="s">
        <v>956</v>
      </c>
      <c r="E311" s="6" t="s">
        <v>28</v>
      </c>
      <c r="F311" s="6" t="s">
        <v>34</v>
      </c>
      <c r="G311" s="6" t="s">
        <v>957</v>
      </c>
      <c r="H311" s="9" t="s">
        <v>958</v>
      </c>
      <c r="I311" s="10">
        <v>1.0</v>
      </c>
      <c r="J311" s="10">
        <v>7416.0</v>
      </c>
      <c r="K311" s="10">
        <v>9090.0</v>
      </c>
      <c r="L311" s="10">
        <v>1337.0</v>
      </c>
      <c r="M311" s="10">
        <v>652.0</v>
      </c>
      <c r="N311" s="10">
        <v>7416.0</v>
      </c>
      <c r="O311" s="6" t="s">
        <v>31</v>
      </c>
      <c r="P311" s="11">
        <f t="shared" si="1"/>
        <v>472</v>
      </c>
    </row>
    <row r="312" ht="18.0" customHeight="1">
      <c r="A312" s="7">
        <v>44482.0</v>
      </c>
      <c r="B312" s="8">
        <v>44482.66724537037</v>
      </c>
      <c r="C312" s="6" t="s">
        <v>26</v>
      </c>
      <c r="D312" s="6" t="s">
        <v>959</v>
      </c>
      <c r="E312" s="6" t="s">
        <v>28</v>
      </c>
      <c r="F312" s="6" t="s">
        <v>34</v>
      </c>
      <c r="G312" s="6" t="s">
        <v>960</v>
      </c>
      <c r="H312" s="9" t="s">
        <v>961</v>
      </c>
      <c r="I312" s="10">
        <v>1.0</v>
      </c>
      <c r="J312" s="10">
        <v>2400.0</v>
      </c>
      <c r="K312" s="10">
        <v>2740.0</v>
      </c>
      <c r="L312" s="10">
        <v>210.0</v>
      </c>
      <c r="M312" s="10">
        <v>254.0</v>
      </c>
      <c r="N312" s="10">
        <v>2400.0</v>
      </c>
      <c r="O312" s="6" t="s">
        <v>31</v>
      </c>
      <c r="P312" s="11">
        <f t="shared" si="1"/>
        <v>473</v>
      </c>
    </row>
    <row r="313" ht="18.0" customHeight="1">
      <c r="A313" s="7">
        <v>44475.0</v>
      </c>
      <c r="B313" s="8">
        <v>44475.68817129629</v>
      </c>
      <c r="C313" s="6" t="s">
        <v>50</v>
      </c>
      <c r="D313" s="6" t="s">
        <v>962</v>
      </c>
      <c r="E313" s="6" t="s">
        <v>28</v>
      </c>
      <c r="F313" s="6" t="s">
        <v>229</v>
      </c>
      <c r="G313" s="6" t="s">
        <v>963</v>
      </c>
      <c r="H313" s="9" t="s">
        <v>964</v>
      </c>
      <c r="I313" s="10">
        <v>1.0</v>
      </c>
      <c r="J313" s="10">
        <v>1139.0</v>
      </c>
      <c r="K313" s="10">
        <v>1164.0</v>
      </c>
      <c r="L313" s="10">
        <v>55.0</v>
      </c>
      <c r="M313" s="10">
        <v>157.0</v>
      </c>
      <c r="N313" s="10">
        <v>1139.0</v>
      </c>
      <c r="O313" s="6" t="s">
        <v>53</v>
      </c>
      <c r="P313" s="11">
        <f t="shared" si="1"/>
        <v>473</v>
      </c>
    </row>
    <row r="314" ht="18.0" customHeight="1">
      <c r="A314" s="7">
        <v>44537.0</v>
      </c>
      <c r="B314" s="8">
        <v>44537.58341435185</v>
      </c>
      <c r="C314" s="6" t="s">
        <v>50</v>
      </c>
      <c r="D314" s="6" t="s">
        <v>965</v>
      </c>
      <c r="E314" s="6" t="s">
        <v>61</v>
      </c>
      <c r="F314" s="6" t="s">
        <v>62</v>
      </c>
      <c r="G314" s="6" t="s">
        <v>966</v>
      </c>
      <c r="H314" s="9" t="s">
        <v>967</v>
      </c>
      <c r="I314" s="10">
        <v>1.0</v>
      </c>
      <c r="J314" s="10">
        <v>106.0</v>
      </c>
      <c r="K314" s="10">
        <v>107.0</v>
      </c>
      <c r="L314" s="10">
        <v>8.0</v>
      </c>
      <c r="M314" s="10">
        <v>6.0</v>
      </c>
      <c r="N314" s="10">
        <v>106.0</v>
      </c>
      <c r="O314" s="6" t="s">
        <v>53</v>
      </c>
      <c r="P314" s="11">
        <f t="shared" si="1"/>
        <v>483</v>
      </c>
    </row>
    <row r="315" ht="18.0" customHeight="1">
      <c r="A315" s="7">
        <v>44486.0</v>
      </c>
      <c r="B315" s="8">
        <v>44486.62505787037</v>
      </c>
      <c r="C315" s="6" t="s">
        <v>26</v>
      </c>
      <c r="D315" s="6" t="s">
        <v>968</v>
      </c>
      <c r="E315" s="6" t="s">
        <v>61</v>
      </c>
      <c r="F315" s="6" t="s">
        <v>62</v>
      </c>
      <c r="G315" s="6" t="s">
        <v>969</v>
      </c>
      <c r="H315" s="9" t="s">
        <v>970</v>
      </c>
      <c r="I315" s="10">
        <v>1.0</v>
      </c>
      <c r="J315" s="10">
        <v>577.0</v>
      </c>
      <c r="K315" s="10">
        <v>678.0</v>
      </c>
      <c r="L315" s="10">
        <v>63.0</v>
      </c>
      <c r="M315" s="10">
        <v>20.0</v>
      </c>
      <c r="N315" s="10">
        <v>577.0</v>
      </c>
      <c r="O315" s="6" t="s">
        <v>31</v>
      </c>
      <c r="P315" s="11">
        <f t="shared" si="1"/>
        <v>484</v>
      </c>
    </row>
    <row r="316" ht="18.0" customHeight="1">
      <c r="A316" s="7">
        <v>44503.0</v>
      </c>
      <c r="B316" s="8">
        <v>44503.66706018519</v>
      </c>
      <c r="C316" s="6" t="s">
        <v>50</v>
      </c>
      <c r="D316" s="6" t="s">
        <v>971</v>
      </c>
      <c r="E316" s="6" t="s">
        <v>61</v>
      </c>
      <c r="F316" s="6" t="s">
        <v>62</v>
      </c>
      <c r="G316" s="6" t="s">
        <v>972</v>
      </c>
      <c r="H316" s="9" t="s">
        <v>973</v>
      </c>
      <c r="I316" s="10">
        <v>1.0</v>
      </c>
      <c r="J316" s="10">
        <v>478.0</v>
      </c>
      <c r="K316" s="10">
        <v>484.0</v>
      </c>
      <c r="L316" s="10">
        <v>5.0</v>
      </c>
      <c r="M316" s="10">
        <v>18.0</v>
      </c>
      <c r="N316" s="10">
        <v>478.0</v>
      </c>
      <c r="O316" s="6" t="s">
        <v>53</v>
      </c>
      <c r="P316" s="11">
        <f t="shared" si="1"/>
        <v>491</v>
      </c>
    </row>
    <row r="317" ht="18.0" customHeight="1">
      <c r="A317" s="7">
        <v>44511.0</v>
      </c>
      <c r="B317" s="8">
        <v>44511.66704861111</v>
      </c>
      <c r="C317" s="6" t="s">
        <v>50</v>
      </c>
      <c r="D317" s="6" t="s">
        <v>974</v>
      </c>
      <c r="E317" s="6" t="s">
        <v>61</v>
      </c>
      <c r="F317" s="6" t="s">
        <v>62</v>
      </c>
      <c r="G317" s="6" t="s">
        <v>975</v>
      </c>
      <c r="H317" s="9" t="s">
        <v>976</v>
      </c>
      <c r="I317" s="10">
        <v>1.0</v>
      </c>
      <c r="J317" s="10">
        <v>611.0</v>
      </c>
      <c r="K317" s="10">
        <v>623.0</v>
      </c>
      <c r="L317" s="10">
        <v>7.0</v>
      </c>
      <c r="M317" s="10">
        <v>6.0</v>
      </c>
      <c r="N317" s="10">
        <v>611.0</v>
      </c>
      <c r="O317" s="6" t="s">
        <v>53</v>
      </c>
      <c r="P317" s="11">
        <f t="shared" si="1"/>
        <v>491</v>
      </c>
    </row>
    <row r="318" ht="18.0" customHeight="1">
      <c r="A318" s="7">
        <v>44481.0</v>
      </c>
      <c r="B318" s="8">
        <v>44481.791921296295</v>
      </c>
      <c r="C318" s="6" t="s">
        <v>26</v>
      </c>
      <c r="D318" s="6" t="s">
        <v>977</v>
      </c>
      <c r="E318" s="6" t="s">
        <v>61</v>
      </c>
      <c r="F318" s="6" t="s">
        <v>62</v>
      </c>
      <c r="G318" s="6" t="s">
        <v>978</v>
      </c>
      <c r="H318" s="9" t="s">
        <v>979</v>
      </c>
      <c r="I318" s="10">
        <v>1.0</v>
      </c>
      <c r="J318" s="10">
        <v>444.0</v>
      </c>
      <c r="K318" s="10">
        <v>523.0</v>
      </c>
      <c r="L318" s="10">
        <v>37.0</v>
      </c>
      <c r="M318" s="10">
        <v>12.0</v>
      </c>
      <c r="N318" s="10">
        <v>444.0</v>
      </c>
      <c r="O318" s="6" t="s">
        <v>31</v>
      </c>
      <c r="P318" s="11">
        <f t="shared" si="1"/>
        <v>492</v>
      </c>
    </row>
    <row r="319" ht="18.0" customHeight="1">
      <c r="A319" s="7">
        <v>44477.0</v>
      </c>
      <c r="B319" s="8">
        <v>44477.489583333336</v>
      </c>
      <c r="C319" s="6" t="s">
        <v>50</v>
      </c>
      <c r="D319" s="6" t="s">
        <v>980</v>
      </c>
      <c r="E319" s="6" t="s">
        <v>61</v>
      </c>
      <c r="F319" s="6" t="s">
        <v>62</v>
      </c>
      <c r="G319" s="6" t="s">
        <v>981</v>
      </c>
      <c r="H319" s="9" t="s">
        <v>982</v>
      </c>
      <c r="I319" s="10">
        <v>1.0</v>
      </c>
      <c r="J319" s="10">
        <v>141.0</v>
      </c>
      <c r="K319" s="10">
        <v>145.0</v>
      </c>
      <c r="L319" s="10">
        <v>2.0</v>
      </c>
      <c r="M319" s="10">
        <v>1.0</v>
      </c>
      <c r="N319" s="10">
        <v>141.0</v>
      </c>
      <c r="O319" s="6" t="s">
        <v>53</v>
      </c>
      <c r="P319" s="11">
        <f t="shared" si="1"/>
        <v>495</v>
      </c>
    </row>
    <row r="320" ht="18.0" customHeight="1">
      <c r="A320" s="7">
        <v>44496.0</v>
      </c>
      <c r="B320" s="8">
        <v>44496.60428240741</v>
      </c>
      <c r="C320" s="6" t="s">
        <v>50</v>
      </c>
      <c r="D320" s="6" t="s">
        <v>983</v>
      </c>
      <c r="E320" s="6" t="s">
        <v>61</v>
      </c>
      <c r="F320" s="6" t="s">
        <v>62</v>
      </c>
      <c r="G320" s="6" t="s">
        <v>984</v>
      </c>
      <c r="H320" s="9" t="s">
        <v>985</v>
      </c>
      <c r="I320" s="10">
        <v>1.0</v>
      </c>
      <c r="J320" s="10">
        <v>5307.0</v>
      </c>
      <c r="K320" s="10">
        <v>5448.0</v>
      </c>
      <c r="L320" s="10">
        <v>92.0</v>
      </c>
      <c r="M320" s="10">
        <v>514.0</v>
      </c>
      <c r="N320" s="10">
        <v>5307.0</v>
      </c>
      <c r="O320" s="6" t="s">
        <v>53</v>
      </c>
      <c r="P320" s="11">
        <f t="shared" si="1"/>
        <v>500</v>
      </c>
    </row>
    <row r="321" ht="18.0" customHeight="1">
      <c r="A321" s="7">
        <v>44555.0</v>
      </c>
      <c r="B321" s="8">
        <v>44555.687685185185</v>
      </c>
      <c r="C321" s="6" t="s">
        <v>50</v>
      </c>
      <c r="D321" s="6" t="s">
        <v>986</v>
      </c>
      <c r="E321" s="6" t="s">
        <v>28</v>
      </c>
      <c r="F321" s="6" t="s">
        <v>229</v>
      </c>
      <c r="G321" s="6" t="s">
        <v>987</v>
      </c>
      <c r="H321" s="9" t="s">
        <v>988</v>
      </c>
      <c r="I321" s="10">
        <v>1.0</v>
      </c>
      <c r="J321" s="10">
        <v>261.0</v>
      </c>
      <c r="K321" s="10">
        <v>263.0</v>
      </c>
      <c r="L321" s="10">
        <v>1.0</v>
      </c>
      <c r="M321" s="10">
        <v>2.0</v>
      </c>
      <c r="N321" s="10">
        <v>261.0</v>
      </c>
      <c r="O321" s="6" t="s">
        <v>53</v>
      </c>
      <c r="P321" s="11">
        <f t="shared" si="1"/>
        <v>500</v>
      </c>
    </row>
    <row r="322" ht="18.0" customHeight="1">
      <c r="A322" s="7">
        <v>44550.0</v>
      </c>
      <c r="B322" s="8">
        <v>44550.62511574074</v>
      </c>
      <c r="C322" s="6" t="s">
        <v>50</v>
      </c>
      <c r="D322" s="6" t="s">
        <v>989</v>
      </c>
      <c r="E322" s="6" t="s">
        <v>61</v>
      </c>
      <c r="F322" s="6" t="s">
        <v>62</v>
      </c>
      <c r="G322" s="6" t="s">
        <v>990</v>
      </c>
      <c r="H322" s="9" t="s">
        <v>991</v>
      </c>
      <c r="I322" s="10">
        <v>1.0</v>
      </c>
      <c r="J322" s="10">
        <v>180.0</v>
      </c>
      <c r="K322" s="10">
        <v>187.0</v>
      </c>
      <c r="L322" s="10">
        <v>6.0</v>
      </c>
      <c r="M322" s="10">
        <v>17.0</v>
      </c>
      <c r="N322" s="10">
        <v>180.0</v>
      </c>
      <c r="O322" s="6" t="s">
        <v>53</v>
      </c>
      <c r="P322" s="11">
        <f t="shared" si="1"/>
        <v>502</v>
      </c>
    </row>
    <row r="323" ht="18.0" customHeight="1">
      <c r="A323" s="7">
        <v>44505.0</v>
      </c>
      <c r="B323" s="8">
        <v>44505.66677083333</v>
      </c>
      <c r="C323" s="6" t="s">
        <v>50</v>
      </c>
      <c r="D323" s="6" t="s">
        <v>992</v>
      </c>
      <c r="E323" s="6" t="s">
        <v>61</v>
      </c>
      <c r="F323" s="6" t="s">
        <v>62</v>
      </c>
      <c r="G323" s="6" t="s">
        <v>993</v>
      </c>
      <c r="H323" s="9" t="s">
        <v>994</v>
      </c>
      <c r="I323" s="10">
        <v>1.0</v>
      </c>
      <c r="J323" s="10">
        <v>133.0</v>
      </c>
      <c r="K323" s="10">
        <v>136.0</v>
      </c>
      <c r="L323" s="10">
        <v>2.0</v>
      </c>
      <c r="M323" s="10">
        <v>8.0</v>
      </c>
      <c r="N323" s="10">
        <v>133.0</v>
      </c>
      <c r="O323" s="6" t="s">
        <v>53</v>
      </c>
      <c r="P323" s="11">
        <f t="shared" si="1"/>
        <v>509</v>
      </c>
    </row>
    <row r="324" ht="18.0" customHeight="1">
      <c r="A324" s="7">
        <v>44476.0</v>
      </c>
      <c r="B324" s="8">
        <v>44476.48962962963</v>
      </c>
      <c r="C324" s="6" t="s">
        <v>50</v>
      </c>
      <c r="D324" s="6" t="s">
        <v>995</v>
      </c>
      <c r="E324" s="6" t="s">
        <v>61</v>
      </c>
      <c r="F324" s="6" t="s">
        <v>62</v>
      </c>
      <c r="G324" s="6" t="s">
        <v>996</v>
      </c>
      <c r="H324" s="9" t="s">
        <v>997</v>
      </c>
      <c r="I324" s="10">
        <v>1.0</v>
      </c>
      <c r="J324" s="10">
        <v>261.0</v>
      </c>
      <c r="K324" s="10">
        <v>268.0</v>
      </c>
      <c r="L324" s="10">
        <v>0.0</v>
      </c>
      <c r="M324" s="10">
        <v>8.0</v>
      </c>
      <c r="N324" s="10">
        <v>261.0</v>
      </c>
      <c r="O324" s="6" t="s">
        <v>53</v>
      </c>
      <c r="P324" s="11">
        <f t="shared" si="1"/>
        <v>523</v>
      </c>
    </row>
    <row r="325" ht="18.0" customHeight="1">
      <c r="A325" s="7">
        <v>44516.0</v>
      </c>
      <c r="B325" s="8">
        <v>44516.79172453703</v>
      </c>
      <c r="C325" s="6" t="s">
        <v>26</v>
      </c>
      <c r="D325" s="6" t="s">
        <v>998</v>
      </c>
      <c r="E325" s="6" t="s">
        <v>28</v>
      </c>
      <c r="F325" s="6" t="s">
        <v>34</v>
      </c>
      <c r="G325" s="6" t="s">
        <v>999</v>
      </c>
      <c r="H325" s="9" t="s">
        <v>1000</v>
      </c>
      <c r="I325" s="10">
        <v>1.0</v>
      </c>
      <c r="J325" s="10">
        <v>909.0</v>
      </c>
      <c r="K325" s="10">
        <v>1136.0</v>
      </c>
      <c r="L325" s="10">
        <v>41.0</v>
      </c>
      <c r="M325" s="10">
        <v>31.0</v>
      </c>
      <c r="N325" s="10">
        <v>909.0</v>
      </c>
      <c r="O325" s="6" t="s">
        <v>31</v>
      </c>
      <c r="P325" s="11">
        <f t="shared" si="1"/>
        <v>526</v>
      </c>
    </row>
    <row r="326" ht="18.0" customHeight="1">
      <c r="A326" s="7">
        <v>44538.0</v>
      </c>
      <c r="B326" s="8">
        <v>44538.625127314815</v>
      </c>
      <c r="C326" s="6" t="s">
        <v>50</v>
      </c>
      <c r="D326" s="6" t="s">
        <v>1001</v>
      </c>
      <c r="E326" s="6" t="s">
        <v>28</v>
      </c>
      <c r="F326" s="6" t="s">
        <v>229</v>
      </c>
      <c r="G326" s="6" t="s">
        <v>1002</v>
      </c>
      <c r="H326" s="9" t="s">
        <v>1003</v>
      </c>
      <c r="I326" s="10">
        <v>1.0</v>
      </c>
      <c r="J326" s="10">
        <v>218.0</v>
      </c>
      <c r="K326" s="10">
        <v>224.0</v>
      </c>
      <c r="L326" s="10">
        <v>3.0</v>
      </c>
      <c r="M326" s="10">
        <v>33.0</v>
      </c>
      <c r="N326" s="10">
        <v>218.0</v>
      </c>
      <c r="O326" s="6" t="s">
        <v>53</v>
      </c>
      <c r="P326" s="11">
        <f t="shared" si="1"/>
        <v>527</v>
      </c>
    </row>
    <row r="327" ht="18.0" customHeight="1">
      <c r="A327" s="7">
        <v>44545.0</v>
      </c>
      <c r="B327" s="8">
        <v>44545.542129629626</v>
      </c>
      <c r="C327" s="6" t="s">
        <v>50</v>
      </c>
      <c r="D327" s="6" t="s">
        <v>1004</v>
      </c>
      <c r="E327" s="6" t="s">
        <v>28</v>
      </c>
      <c r="F327" s="6" t="s">
        <v>229</v>
      </c>
      <c r="G327" s="6" t="s">
        <v>1005</v>
      </c>
      <c r="H327" s="9" t="s">
        <v>1006</v>
      </c>
      <c r="I327" s="10">
        <v>1.0</v>
      </c>
      <c r="J327" s="10">
        <v>169.0</v>
      </c>
      <c r="K327" s="10">
        <v>173.0</v>
      </c>
      <c r="L327" s="10">
        <v>10.0</v>
      </c>
      <c r="M327" s="10">
        <v>16.0</v>
      </c>
      <c r="N327" s="10">
        <v>169.0</v>
      </c>
      <c r="O327" s="6" t="s">
        <v>53</v>
      </c>
      <c r="P327" s="11">
        <f t="shared" si="1"/>
        <v>528</v>
      </c>
    </row>
    <row r="328" ht="18.0" customHeight="1">
      <c r="A328" s="7">
        <v>44496.0</v>
      </c>
      <c r="B328" s="8">
        <v>44496.70836805556</v>
      </c>
      <c r="C328" s="6" t="s">
        <v>50</v>
      </c>
      <c r="D328" s="6" t="s">
        <v>1007</v>
      </c>
      <c r="E328" s="6" t="s">
        <v>28</v>
      </c>
      <c r="F328" s="6" t="s">
        <v>229</v>
      </c>
      <c r="G328" s="6" t="s">
        <v>1008</v>
      </c>
      <c r="H328" s="9" t="s">
        <v>1009</v>
      </c>
      <c r="I328" s="10">
        <v>1.0</v>
      </c>
      <c r="J328" s="10">
        <v>227.0</v>
      </c>
      <c r="K328" s="10">
        <v>231.0</v>
      </c>
      <c r="L328" s="10">
        <v>7.0</v>
      </c>
      <c r="M328" s="10">
        <v>11.0</v>
      </c>
      <c r="N328" s="10">
        <v>227.0</v>
      </c>
      <c r="O328" s="6" t="s">
        <v>53</v>
      </c>
      <c r="P328" s="11">
        <f t="shared" si="1"/>
        <v>537</v>
      </c>
    </row>
    <row r="329" ht="18.0" customHeight="1">
      <c r="A329" s="7">
        <v>44522.0</v>
      </c>
      <c r="B329" s="8">
        <v>44522.75001157408</v>
      </c>
      <c r="C329" s="6" t="s">
        <v>50</v>
      </c>
      <c r="D329" s="6" t="s">
        <v>1010</v>
      </c>
      <c r="E329" s="6" t="s">
        <v>28</v>
      </c>
      <c r="F329" s="6" t="s">
        <v>34</v>
      </c>
      <c r="G329" s="6" t="s">
        <v>1011</v>
      </c>
      <c r="H329" s="9" t="s">
        <v>1012</v>
      </c>
      <c r="I329" s="10">
        <v>1.0</v>
      </c>
      <c r="J329" s="10">
        <v>85.0</v>
      </c>
      <c r="K329" s="10">
        <v>88.0</v>
      </c>
      <c r="L329" s="10">
        <v>0.0</v>
      </c>
      <c r="M329" s="10">
        <v>1.0</v>
      </c>
      <c r="N329" s="10">
        <v>85.0</v>
      </c>
      <c r="O329" s="6" t="s">
        <v>53</v>
      </c>
      <c r="P329" s="11">
        <f t="shared" si="1"/>
        <v>540</v>
      </c>
    </row>
    <row r="330" ht="18.0" customHeight="1">
      <c r="A330" s="7">
        <v>44487.0</v>
      </c>
      <c r="B330" s="8">
        <v>44487.77172453704</v>
      </c>
      <c r="C330" s="6" t="s">
        <v>26</v>
      </c>
      <c r="D330" s="6" t="s">
        <v>1013</v>
      </c>
      <c r="E330" s="6" t="s">
        <v>28</v>
      </c>
      <c r="F330" s="6" t="s">
        <v>34</v>
      </c>
      <c r="G330" s="6" t="s">
        <v>1014</v>
      </c>
      <c r="H330" s="9" t="s">
        <v>1015</v>
      </c>
      <c r="I330" s="10">
        <v>1.0</v>
      </c>
      <c r="J330" s="10">
        <v>1195.0</v>
      </c>
      <c r="K330" s="10">
        <v>1317.0</v>
      </c>
      <c r="L330" s="10">
        <v>174.0</v>
      </c>
      <c r="M330" s="10">
        <v>45.0</v>
      </c>
      <c r="N330" s="10">
        <v>1195.0</v>
      </c>
      <c r="O330" s="6" t="s">
        <v>31</v>
      </c>
      <c r="P330" s="11">
        <f t="shared" si="1"/>
        <v>543</v>
      </c>
    </row>
    <row r="331" ht="18.0" customHeight="1">
      <c r="A331" s="7">
        <v>44501.0</v>
      </c>
      <c r="B331" s="8">
        <v>44501.75001157408</v>
      </c>
      <c r="C331" s="6" t="s">
        <v>50</v>
      </c>
      <c r="D331" s="6" t="s">
        <v>1016</v>
      </c>
      <c r="E331" s="6" t="s">
        <v>28</v>
      </c>
      <c r="F331" s="6" t="s">
        <v>34</v>
      </c>
      <c r="G331" s="6" t="s">
        <v>1017</v>
      </c>
      <c r="H331" s="9" t="s">
        <v>1018</v>
      </c>
      <c r="I331" s="10">
        <v>1.0</v>
      </c>
      <c r="J331" s="10">
        <v>383.0</v>
      </c>
      <c r="K331" s="10">
        <v>387.0</v>
      </c>
      <c r="L331" s="10">
        <v>4.0</v>
      </c>
      <c r="M331" s="10">
        <v>29.0</v>
      </c>
      <c r="N331" s="10">
        <v>383.0</v>
      </c>
      <c r="O331" s="6" t="s">
        <v>53</v>
      </c>
      <c r="P331" s="11">
        <f t="shared" si="1"/>
        <v>548</v>
      </c>
    </row>
    <row r="332" ht="18.0" customHeight="1">
      <c r="A332" s="7">
        <v>44471.0</v>
      </c>
      <c r="B332" s="8">
        <v>44471.675520833334</v>
      </c>
      <c r="C332" s="6" t="s">
        <v>50</v>
      </c>
      <c r="D332" s="6" t="s">
        <v>1019</v>
      </c>
      <c r="E332" s="6" t="s">
        <v>61</v>
      </c>
      <c r="F332" s="6" t="s">
        <v>62</v>
      </c>
      <c r="G332" s="6" t="s">
        <v>1020</v>
      </c>
      <c r="H332" s="9" t="s">
        <v>1021</v>
      </c>
      <c r="I332" s="10">
        <v>1.0</v>
      </c>
      <c r="J332" s="10">
        <v>517.0</v>
      </c>
      <c r="K332" s="10">
        <v>549.0</v>
      </c>
      <c r="L332" s="10">
        <v>16.0</v>
      </c>
      <c r="M332" s="10">
        <v>48.0</v>
      </c>
      <c r="N332" s="10">
        <v>517.0</v>
      </c>
      <c r="O332" s="6" t="s">
        <v>53</v>
      </c>
      <c r="P332" s="11">
        <f t="shared" si="1"/>
        <v>556</v>
      </c>
    </row>
    <row r="333" ht="18.0" customHeight="1">
      <c r="A333" s="7">
        <v>44549.0</v>
      </c>
      <c r="B333" s="8">
        <v>44549.870046296295</v>
      </c>
      <c r="C333" s="6" t="s">
        <v>50</v>
      </c>
      <c r="D333" s="6" t="s">
        <v>1022</v>
      </c>
      <c r="E333" s="6" t="s">
        <v>28</v>
      </c>
      <c r="F333" s="6" t="s">
        <v>229</v>
      </c>
      <c r="G333" s="6" t="s">
        <v>1023</v>
      </c>
      <c r="H333" s="9" t="s">
        <v>1024</v>
      </c>
      <c r="I333" s="10">
        <v>1.0</v>
      </c>
      <c r="J333" s="10">
        <v>1052.0</v>
      </c>
      <c r="K333" s="10">
        <v>1066.0</v>
      </c>
      <c r="L333" s="10">
        <v>15.0</v>
      </c>
      <c r="M333" s="10">
        <v>58.0</v>
      </c>
      <c r="N333" s="10">
        <v>1052.0</v>
      </c>
      <c r="O333" s="6" t="s">
        <v>53</v>
      </c>
      <c r="P333" s="11">
        <f t="shared" si="1"/>
        <v>559</v>
      </c>
    </row>
    <row r="334" ht="18.0" customHeight="1">
      <c r="A334" s="7">
        <v>44475.0</v>
      </c>
      <c r="B334" s="8">
        <v>44475.65335648148</v>
      </c>
      <c r="C334" s="6" t="s">
        <v>50</v>
      </c>
      <c r="D334" s="6" t="s">
        <v>1025</v>
      </c>
      <c r="E334" s="6" t="s">
        <v>61</v>
      </c>
      <c r="F334" s="6" t="s">
        <v>62</v>
      </c>
      <c r="G334" s="6" t="s">
        <v>1026</v>
      </c>
      <c r="H334" s="9" t="s">
        <v>1027</v>
      </c>
      <c r="I334" s="10">
        <v>1.0</v>
      </c>
      <c r="J334" s="10">
        <v>628.0</v>
      </c>
      <c r="K334" s="10">
        <v>642.0</v>
      </c>
      <c r="L334" s="10">
        <v>7.0</v>
      </c>
      <c r="M334" s="10">
        <v>33.0</v>
      </c>
      <c r="N334" s="10">
        <v>628.0</v>
      </c>
      <c r="O334" s="6" t="s">
        <v>53</v>
      </c>
      <c r="P334" s="11">
        <f t="shared" si="1"/>
        <v>561</v>
      </c>
    </row>
    <row r="335" ht="18.0" customHeight="1">
      <c r="A335" s="7">
        <v>44474.0</v>
      </c>
      <c r="B335" s="8">
        <v>44474.42178240741</v>
      </c>
      <c r="C335" s="6" t="s">
        <v>50</v>
      </c>
      <c r="D335" s="6" t="s">
        <v>1028</v>
      </c>
      <c r="E335" s="6" t="s">
        <v>28</v>
      </c>
      <c r="F335" s="6" t="s">
        <v>34</v>
      </c>
      <c r="G335" s="6" t="s">
        <v>1029</v>
      </c>
      <c r="H335" s="9" t="s">
        <v>1030</v>
      </c>
      <c r="I335" s="10">
        <v>1.0</v>
      </c>
      <c r="J335" s="10">
        <v>74.0</v>
      </c>
      <c r="K335" s="10">
        <v>74.0</v>
      </c>
      <c r="L335" s="10">
        <v>3.0</v>
      </c>
      <c r="N335" s="10">
        <v>74.0</v>
      </c>
      <c r="O335" s="6" t="s">
        <v>53</v>
      </c>
      <c r="P335" s="11">
        <f t="shared" si="1"/>
        <v>564</v>
      </c>
    </row>
    <row r="336" ht="18.0" customHeight="1">
      <c r="A336" s="7">
        <v>44477.0</v>
      </c>
      <c r="B336" s="8">
        <v>44477.58351851852</v>
      </c>
      <c r="C336" s="6" t="s">
        <v>50</v>
      </c>
      <c r="D336" s="6" t="s">
        <v>1031</v>
      </c>
      <c r="E336" s="6" t="s">
        <v>28</v>
      </c>
      <c r="F336" s="6" t="s">
        <v>34</v>
      </c>
      <c r="G336" s="6" t="s">
        <v>1032</v>
      </c>
      <c r="H336" s="9" t="s">
        <v>1033</v>
      </c>
      <c r="I336" s="10">
        <v>1.0</v>
      </c>
      <c r="J336" s="10">
        <v>584.0</v>
      </c>
      <c r="K336" s="10">
        <v>597.0</v>
      </c>
      <c r="L336" s="10">
        <v>10.0</v>
      </c>
      <c r="M336" s="10">
        <v>14.0</v>
      </c>
      <c r="N336" s="10">
        <v>584.0</v>
      </c>
      <c r="O336" s="6" t="s">
        <v>53</v>
      </c>
      <c r="P336" s="11">
        <f t="shared" si="1"/>
        <v>567</v>
      </c>
    </row>
    <row r="337" ht="18.0" customHeight="1">
      <c r="A337" s="7">
        <v>44489.0</v>
      </c>
      <c r="B337" s="8">
        <v>44489.67017361111</v>
      </c>
      <c r="C337" s="6" t="s">
        <v>50</v>
      </c>
      <c r="D337" s="6" t="s">
        <v>1034</v>
      </c>
      <c r="E337" s="6" t="s">
        <v>28</v>
      </c>
      <c r="F337" s="6" t="s">
        <v>229</v>
      </c>
      <c r="G337" s="6" t="s">
        <v>1035</v>
      </c>
      <c r="H337" s="9" t="s">
        <v>1036</v>
      </c>
      <c r="I337" s="10">
        <v>1.0</v>
      </c>
      <c r="J337" s="10">
        <v>512.0</v>
      </c>
      <c r="K337" s="10">
        <v>518.0</v>
      </c>
      <c r="L337" s="10">
        <v>6.0</v>
      </c>
      <c r="M337" s="10">
        <v>15.0</v>
      </c>
      <c r="N337" s="10">
        <v>512.0</v>
      </c>
      <c r="O337" s="6" t="s">
        <v>53</v>
      </c>
      <c r="P337" s="11">
        <f t="shared" si="1"/>
        <v>579</v>
      </c>
    </row>
    <row r="338" ht="18.0" customHeight="1">
      <c r="A338" s="7">
        <v>44505.0</v>
      </c>
      <c r="B338" s="8">
        <v>44505.57957175926</v>
      </c>
      <c r="C338" s="6" t="s">
        <v>50</v>
      </c>
      <c r="D338" s="6" t="s">
        <v>1037</v>
      </c>
      <c r="E338" s="6" t="s">
        <v>61</v>
      </c>
      <c r="F338" s="6" t="s">
        <v>62</v>
      </c>
      <c r="G338" s="6" t="s">
        <v>1038</v>
      </c>
      <c r="H338" s="9" t="s">
        <v>1039</v>
      </c>
      <c r="I338" s="10">
        <v>1.0</v>
      </c>
      <c r="J338" s="10">
        <v>1545.0</v>
      </c>
      <c r="K338" s="10">
        <v>1570.0</v>
      </c>
      <c r="L338" s="10">
        <v>20.0</v>
      </c>
      <c r="M338" s="10">
        <v>69.0</v>
      </c>
      <c r="N338" s="10">
        <v>1545.0</v>
      </c>
      <c r="O338" s="6" t="s">
        <v>53</v>
      </c>
      <c r="P338" s="11">
        <f t="shared" si="1"/>
        <v>582</v>
      </c>
    </row>
    <row r="339" ht="18.0" customHeight="1">
      <c r="A339" s="7">
        <v>44550.0</v>
      </c>
      <c r="B339" s="8">
        <v>44550.75</v>
      </c>
      <c r="C339" s="6" t="s">
        <v>50</v>
      </c>
      <c r="D339" s="6" t="s">
        <v>1040</v>
      </c>
      <c r="E339" s="6" t="s">
        <v>61</v>
      </c>
      <c r="F339" s="6" t="s">
        <v>62</v>
      </c>
      <c r="G339" s="6" t="s">
        <v>1041</v>
      </c>
      <c r="H339" s="9" t="s">
        <v>1042</v>
      </c>
      <c r="I339" s="10">
        <v>1.0</v>
      </c>
      <c r="J339" s="10">
        <v>105.0</v>
      </c>
      <c r="K339" s="10">
        <v>107.0</v>
      </c>
      <c r="L339" s="10">
        <v>1.0</v>
      </c>
      <c r="M339" s="10">
        <v>9.0</v>
      </c>
      <c r="N339" s="10">
        <v>105.0</v>
      </c>
      <c r="O339" s="6" t="s">
        <v>53</v>
      </c>
      <c r="P339" s="11">
        <f t="shared" si="1"/>
        <v>586</v>
      </c>
    </row>
    <row r="340" ht="18.0" customHeight="1">
      <c r="A340" s="7">
        <v>44508.0</v>
      </c>
      <c r="B340" s="8">
        <v>44508.54001157408</v>
      </c>
      <c r="C340" s="6" t="s">
        <v>50</v>
      </c>
      <c r="D340" s="6" t="s">
        <v>1043</v>
      </c>
      <c r="E340" s="6" t="s">
        <v>28</v>
      </c>
      <c r="F340" s="6" t="s">
        <v>229</v>
      </c>
      <c r="G340" s="6" t="s">
        <v>1044</v>
      </c>
      <c r="H340" s="9" t="s">
        <v>1045</v>
      </c>
      <c r="I340" s="10">
        <v>1.0</v>
      </c>
      <c r="J340" s="10">
        <v>2988.0</v>
      </c>
      <c r="K340" s="10">
        <v>3060.0</v>
      </c>
      <c r="L340" s="10">
        <v>40.0</v>
      </c>
      <c r="M340" s="10">
        <v>67.0</v>
      </c>
      <c r="N340" s="10">
        <v>2988.0</v>
      </c>
      <c r="O340" s="6" t="s">
        <v>53</v>
      </c>
      <c r="P340" s="11">
        <f t="shared" si="1"/>
        <v>590</v>
      </c>
    </row>
    <row r="341" ht="18.0" customHeight="1">
      <c r="A341" s="7">
        <v>44492.0</v>
      </c>
      <c r="B341" s="8">
        <v>44492.545219907406</v>
      </c>
      <c r="C341" s="6" t="s">
        <v>26</v>
      </c>
      <c r="D341" s="6" t="s">
        <v>1046</v>
      </c>
      <c r="E341" s="6" t="s">
        <v>28</v>
      </c>
      <c r="F341" s="6" t="s">
        <v>34</v>
      </c>
      <c r="G341" s="6" t="s">
        <v>1047</v>
      </c>
      <c r="H341" s="9" t="s">
        <v>1048</v>
      </c>
      <c r="I341" s="10">
        <v>1.0</v>
      </c>
      <c r="J341" s="10">
        <v>1913.0</v>
      </c>
      <c r="K341" s="10">
        <v>2142.0</v>
      </c>
      <c r="L341" s="10">
        <v>253.0</v>
      </c>
      <c r="M341" s="10">
        <v>52.0</v>
      </c>
      <c r="N341" s="10">
        <v>1913.0</v>
      </c>
      <c r="O341" s="6" t="s">
        <v>31</v>
      </c>
      <c r="P341" s="11">
        <f t="shared" si="1"/>
        <v>598</v>
      </c>
    </row>
    <row r="342" ht="18.0" customHeight="1">
      <c r="A342" s="7">
        <v>44492.0</v>
      </c>
      <c r="B342" s="8">
        <v>44492.8750462963</v>
      </c>
      <c r="C342" s="6" t="s">
        <v>26</v>
      </c>
      <c r="D342" s="6" t="s">
        <v>1049</v>
      </c>
      <c r="E342" s="6" t="s">
        <v>72</v>
      </c>
      <c r="F342" s="6" t="s">
        <v>44</v>
      </c>
      <c r="G342" s="6" t="s">
        <v>1050</v>
      </c>
      <c r="H342" s="9" t="s">
        <v>1051</v>
      </c>
      <c r="I342" s="10">
        <v>1.0</v>
      </c>
      <c r="J342" s="10">
        <v>276.0</v>
      </c>
      <c r="K342" s="10">
        <v>311.0</v>
      </c>
      <c r="L342" s="10">
        <v>52.0</v>
      </c>
      <c r="M342" s="10">
        <v>3.0</v>
      </c>
      <c r="N342" s="10">
        <v>276.0</v>
      </c>
      <c r="O342" s="6" t="s">
        <v>31</v>
      </c>
      <c r="P342" s="11">
        <f t="shared" si="1"/>
        <v>602</v>
      </c>
    </row>
    <row r="343" ht="18.0" customHeight="1">
      <c r="A343" s="7">
        <v>44476.0</v>
      </c>
      <c r="B343" s="8">
        <v>44476.583715277775</v>
      </c>
      <c r="C343" s="6" t="s">
        <v>50</v>
      </c>
      <c r="D343" s="6" t="s">
        <v>1052</v>
      </c>
      <c r="E343" s="6" t="s">
        <v>61</v>
      </c>
      <c r="F343" s="6" t="s">
        <v>62</v>
      </c>
      <c r="G343" s="6" t="s">
        <v>1053</v>
      </c>
      <c r="H343" s="9" t="s">
        <v>1054</v>
      </c>
      <c r="I343" s="10">
        <v>1.0</v>
      </c>
      <c r="J343" s="10">
        <v>145.0</v>
      </c>
      <c r="K343" s="10">
        <v>148.0</v>
      </c>
      <c r="L343" s="10">
        <v>0.0</v>
      </c>
      <c r="M343" s="10">
        <v>2.0</v>
      </c>
      <c r="N343" s="10">
        <v>145.0</v>
      </c>
      <c r="O343" s="6" t="s">
        <v>53</v>
      </c>
      <c r="P343" s="11">
        <f t="shared" si="1"/>
        <v>604</v>
      </c>
    </row>
    <row r="344" ht="18.0" customHeight="1">
      <c r="A344" s="7">
        <v>44549.0</v>
      </c>
      <c r="B344" s="8">
        <v>44549.583344907405</v>
      </c>
      <c r="C344" s="6" t="s">
        <v>26</v>
      </c>
      <c r="D344" s="6" t="s">
        <v>1055</v>
      </c>
      <c r="E344" s="6" t="s">
        <v>28</v>
      </c>
      <c r="F344" s="6" t="s">
        <v>34</v>
      </c>
      <c r="G344" s="6" t="s">
        <v>1056</v>
      </c>
      <c r="H344" s="9" t="s">
        <v>1057</v>
      </c>
      <c r="I344" s="10">
        <v>1.0</v>
      </c>
      <c r="J344" s="10">
        <v>325.0</v>
      </c>
      <c r="K344" s="10">
        <v>332.0</v>
      </c>
      <c r="L344" s="10">
        <v>17.0</v>
      </c>
      <c r="M344" s="10">
        <v>3.0</v>
      </c>
      <c r="N344" s="10">
        <v>325.0</v>
      </c>
      <c r="O344" s="6" t="s">
        <v>31</v>
      </c>
      <c r="P344" s="11">
        <f t="shared" si="1"/>
        <v>628</v>
      </c>
    </row>
    <row r="345" ht="18.0" customHeight="1">
      <c r="A345" s="7">
        <v>44477.0</v>
      </c>
      <c r="B345" s="8">
        <v>44477.64596064815</v>
      </c>
      <c r="C345" s="6" t="s">
        <v>50</v>
      </c>
      <c r="D345" s="6" t="s">
        <v>1058</v>
      </c>
      <c r="E345" s="6" t="s">
        <v>28</v>
      </c>
      <c r="F345" s="6" t="s">
        <v>34</v>
      </c>
      <c r="G345" s="6" t="s">
        <v>1059</v>
      </c>
      <c r="H345" s="9" t="s">
        <v>1060</v>
      </c>
      <c r="I345" s="10">
        <v>1.0</v>
      </c>
      <c r="J345" s="10">
        <v>451.0</v>
      </c>
      <c r="K345" s="10">
        <v>465.0</v>
      </c>
      <c r="L345" s="10">
        <v>1.0</v>
      </c>
      <c r="M345" s="10">
        <v>26.0</v>
      </c>
      <c r="N345" s="10">
        <v>451.0</v>
      </c>
      <c r="O345" s="6" t="s">
        <v>53</v>
      </c>
      <c r="P345" s="11">
        <f t="shared" si="1"/>
        <v>631</v>
      </c>
    </row>
    <row r="346" ht="18.0" customHeight="1">
      <c r="A346" s="7">
        <v>44540.0</v>
      </c>
      <c r="B346" s="8">
        <v>44540.50366898148</v>
      </c>
      <c r="C346" s="6" t="s">
        <v>50</v>
      </c>
      <c r="D346" s="6" t="s">
        <v>1061</v>
      </c>
      <c r="E346" s="6" t="s">
        <v>28</v>
      </c>
      <c r="F346" s="6" t="s">
        <v>34</v>
      </c>
      <c r="G346" s="6" t="s">
        <v>1062</v>
      </c>
      <c r="H346" s="9" t="s">
        <v>1063</v>
      </c>
      <c r="I346" s="10">
        <v>1.0</v>
      </c>
      <c r="J346" s="10">
        <v>876.0</v>
      </c>
      <c r="K346" s="10">
        <v>906.0</v>
      </c>
      <c r="L346" s="10">
        <v>54.0</v>
      </c>
      <c r="M346" s="10">
        <v>187.0</v>
      </c>
      <c r="N346" s="10">
        <v>876.0</v>
      </c>
      <c r="O346" s="6" t="s">
        <v>53</v>
      </c>
      <c r="P346" s="11">
        <f t="shared" si="1"/>
        <v>633</v>
      </c>
    </row>
    <row r="347" ht="18.0" customHeight="1">
      <c r="A347" s="7">
        <v>44492.0</v>
      </c>
      <c r="B347" s="8">
        <v>44492.541238425925</v>
      </c>
      <c r="C347" s="6" t="s">
        <v>26</v>
      </c>
      <c r="D347" s="6" t="s">
        <v>1064</v>
      </c>
      <c r="E347" s="6" t="s">
        <v>28</v>
      </c>
      <c r="F347" s="6" t="s">
        <v>34</v>
      </c>
      <c r="G347" s="6" t="s">
        <v>1065</v>
      </c>
      <c r="H347" s="9" t="s">
        <v>1066</v>
      </c>
      <c r="I347" s="10">
        <v>1.0</v>
      </c>
      <c r="J347" s="10">
        <v>456.0</v>
      </c>
      <c r="K347" s="10">
        <v>489.0</v>
      </c>
      <c r="L347" s="10">
        <v>18.0</v>
      </c>
      <c r="M347" s="10">
        <v>16.0</v>
      </c>
      <c r="N347" s="10">
        <v>456.0</v>
      </c>
      <c r="O347" s="6" t="s">
        <v>31</v>
      </c>
      <c r="P347" s="11">
        <f t="shared" si="1"/>
        <v>635</v>
      </c>
    </row>
    <row r="348" ht="18.0" customHeight="1">
      <c r="A348" s="7">
        <v>44531.0</v>
      </c>
      <c r="B348" s="8">
        <v>44531.59082175926</v>
      </c>
      <c r="C348" s="6" t="s">
        <v>50</v>
      </c>
      <c r="D348" s="6" t="s">
        <v>1067</v>
      </c>
      <c r="E348" s="6" t="s">
        <v>61</v>
      </c>
      <c r="F348" s="6" t="s">
        <v>62</v>
      </c>
      <c r="G348" s="6" t="s">
        <v>1068</v>
      </c>
      <c r="H348" s="9" t="s">
        <v>1069</v>
      </c>
      <c r="I348" s="10">
        <v>1.0</v>
      </c>
      <c r="J348" s="10">
        <v>60.0</v>
      </c>
      <c r="K348" s="10">
        <v>60.0</v>
      </c>
      <c r="L348" s="10">
        <v>0.0</v>
      </c>
      <c r="M348" s="10">
        <v>6.0</v>
      </c>
      <c r="N348" s="10">
        <v>60.0</v>
      </c>
      <c r="O348" s="6" t="s">
        <v>53</v>
      </c>
      <c r="P348" s="11">
        <f t="shared" si="1"/>
        <v>645</v>
      </c>
    </row>
    <row r="349" ht="18.0" customHeight="1">
      <c r="A349" s="7">
        <v>44479.0</v>
      </c>
      <c r="B349" s="8">
        <v>44479.640173611115</v>
      </c>
      <c r="C349" s="6" t="s">
        <v>50</v>
      </c>
      <c r="D349" s="6" t="s">
        <v>1070</v>
      </c>
      <c r="E349" s="6" t="s">
        <v>61</v>
      </c>
      <c r="F349" s="6" t="s">
        <v>62</v>
      </c>
      <c r="G349" s="6" t="s">
        <v>1071</v>
      </c>
      <c r="H349" s="9" t="s">
        <v>1072</v>
      </c>
      <c r="I349" s="10">
        <v>1.0</v>
      </c>
      <c r="J349" s="10">
        <v>141.0</v>
      </c>
      <c r="K349" s="10">
        <v>147.0</v>
      </c>
      <c r="L349" s="10">
        <v>2.0</v>
      </c>
      <c r="M349" s="10">
        <v>2.0</v>
      </c>
      <c r="N349" s="10">
        <v>141.0</v>
      </c>
      <c r="O349" s="6" t="s">
        <v>53</v>
      </c>
      <c r="P349" s="11">
        <f t="shared" si="1"/>
        <v>655</v>
      </c>
    </row>
    <row r="350" ht="18.0" customHeight="1">
      <c r="A350" s="7">
        <v>44480.0</v>
      </c>
      <c r="B350" s="8">
        <v>44480.70836805556</v>
      </c>
      <c r="C350" s="6" t="s">
        <v>26</v>
      </c>
      <c r="D350" s="6" t="s">
        <v>1073</v>
      </c>
      <c r="E350" s="6" t="s">
        <v>28</v>
      </c>
      <c r="F350" s="6" t="s">
        <v>34</v>
      </c>
      <c r="G350" s="6" t="s">
        <v>1074</v>
      </c>
      <c r="H350" s="9" t="s">
        <v>1075</v>
      </c>
      <c r="I350" s="10">
        <v>1.0</v>
      </c>
      <c r="J350" s="10">
        <v>348.0</v>
      </c>
      <c r="K350" s="10">
        <v>377.0</v>
      </c>
      <c r="L350" s="10">
        <v>29.0</v>
      </c>
      <c r="M350" s="10">
        <v>10.0</v>
      </c>
      <c r="N350" s="10">
        <v>348.0</v>
      </c>
      <c r="O350" s="6" t="s">
        <v>31</v>
      </c>
      <c r="P350" s="11">
        <f t="shared" si="1"/>
        <v>667</v>
      </c>
    </row>
    <row r="351" ht="18.0" customHeight="1">
      <c r="A351" s="7">
        <v>44526.0</v>
      </c>
      <c r="B351" s="8">
        <v>44526.691041666665</v>
      </c>
      <c r="C351" s="6" t="s">
        <v>50</v>
      </c>
      <c r="D351" s="6" t="s">
        <v>1076</v>
      </c>
      <c r="E351" s="6" t="s">
        <v>61</v>
      </c>
      <c r="F351" s="6" t="s">
        <v>62</v>
      </c>
      <c r="G351" s="6" t="s">
        <v>1077</v>
      </c>
      <c r="H351" s="9" t="s">
        <v>1078</v>
      </c>
      <c r="I351" s="10">
        <v>1.0</v>
      </c>
      <c r="J351" s="10">
        <v>840.0</v>
      </c>
      <c r="K351" s="10">
        <v>872.0</v>
      </c>
      <c r="L351" s="10">
        <v>6.0</v>
      </c>
      <c r="M351" s="10">
        <v>33.0</v>
      </c>
      <c r="N351" s="10">
        <v>840.0</v>
      </c>
      <c r="O351" s="6" t="s">
        <v>53</v>
      </c>
      <c r="P351" s="11">
        <f t="shared" si="1"/>
        <v>688</v>
      </c>
    </row>
    <row r="352" ht="18.0" customHeight="1">
      <c r="A352" s="7">
        <v>44527.0</v>
      </c>
      <c r="B352" s="8">
        <v>44527.41667824074</v>
      </c>
      <c r="C352" s="6" t="s">
        <v>50</v>
      </c>
      <c r="D352" s="6" t="s">
        <v>1079</v>
      </c>
      <c r="E352" s="6" t="s">
        <v>33</v>
      </c>
      <c r="F352" s="6" t="s">
        <v>89</v>
      </c>
      <c r="G352" s="6" t="s">
        <v>1080</v>
      </c>
      <c r="H352" s="9" t="s">
        <v>1081</v>
      </c>
      <c r="I352" s="10">
        <v>1.0</v>
      </c>
      <c r="J352" s="10">
        <v>481.0</v>
      </c>
      <c r="K352" s="10">
        <v>494.0</v>
      </c>
      <c r="L352" s="10">
        <v>0.0</v>
      </c>
      <c r="M352" s="10">
        <v>13.0</v>
      </c>
      <c r="N352" s="10">
        <v>481.0</v>
      </c>
      <c r="O352" s="6" t="s">
        <v>53</v>
      </c>
      <c r="P352" s="11">
        <f t="shared" si="1"/>
        <v>688</v>
      </c>
    </row>
    <row r="353" ht="18.0" customHeight="1">
      <c r="A353" s="7">
        <v>44532.0</v>
      </c>
      <c r="B353" s="8">
        <v>44532.54226851852</v>
      </c>
      <c r="C353" s="6" t="s">
        <v>50</v>
      </c>
      <c r="D353" s="6" t="s">
        <v>1082</v>
      </c>
      <c r="E353" s="6" t="s">
        <v>72</v>
      </c>
      <c r="F353" s="6" t="s">
        <v>44</v>
      </c>
      <c r="G353" s="6" t="s">
        <v>1083</v>
      </c>
      <c r="H353" s="9" t="s">
        <v>1084</v>
      </c>
      <c r="I353" s="10">
        <v>1.0</v>
      </c>
      <c r="J353" s="10">
        <v>179.0</v>
      </c>
      <c r="K353" s="10">
        <v>182.0</v>
      </c>
      <c r="L353" s="10">
        <v>2.0</v>
      </c>
      <c r="M353" s="10">
        <v>2.0</v>
      </c>
      <c r="N353" s="10">
        <v>179.0</v>
      </c>
      <c r="O353" s="6" t="s">
        <v>53</v>
      </c>
      <c r="P353" s="11">
        <f t="shared" si="1"/>
        <v>689</v>
      </c>
    </row>
    <row r="354" ht="18.0" customHeight="1">
      <c r="A354" s="7">
        <v>44534.0</v>
      </c>
      <c r="B354" s="8">
        <v>44534.45836805556</v>
      </c>
      <c r="C354" s="6" t="s">
        <v>50</v>
      </c>
      <c r="D354" s="6" t="s">
        <v>1085</v>
      </c>
      <c r="E354" s="6" t="s">
        <v>61</v>
      </c>
      <c r="F354" s="6" t="s">
        <v>62</v>
      </c>
      <c r="G354" s="6" t="s">
        <v>1086</v>
      </c>
      <c r="H354" s="9" t="s">
        <v>1087</v>
      </c>
      <c r="I354" s="10">
        <v>1.0</v>
      </c>
      <c r="J354" s="10">
        <v>366.0</v>
      </c>
      <c r="K354" s="10">
        <v>381.0</v>
      </c>
      <c r="L354" s="10">
        <v>3.0</v>
      </c>
      <c r="M354" s="10">
        <v>9.0</v>
      </c>
      <c r="N354" s="10">
        <v>366.0</v>
      </c>
      <c r="O354" s="6" t="s">
        <v>53</v>
      </c>
      <c r="P354" s="11">
        <f t="shared" si="1"/>
        <v>690</v>
      </c>
    </row>
    <row r="355" ht="18.0" customHeight="1">
      <c r="A355" s="7">
        <v>44533.0</v>
      </c>
      <c r="B355" s="8">
        <v>44533.62510416667</v>
      </c>
      <c r="C355" s="6" t="s">
        <v>50</v>
      </c>
      <c r="D355" s="6" t="s">
        <v>1088</v>
      </c>
      <c r="E355" s="6" t="s">
        <v>61</v>
      </c>
      <c r="F355" s="6" t="s">
        <v>62</v>
      </c>
      <c r="G355" s="6" t="s">
        <v>1089</v>
      </c>
      <c r="H355" s="9" t="s">
        <v>1090</v>
      </c>
      <c r="I355" s="10">
        <v>1.0</v>
      </c>
      <c r="J355" s="10">
        <v>195.0</v>
      </c>
      <c r="K355" s="10">
        <v>199.0</v>
      </c>
      <c r="L355" s="10">
        <v>0.0</v>
      </c>
      <c r="M355" s="10">
        <v>16.0</v>
      </c>
      <c r="N355" s="10">
        <v>195.0</v>
      </c>
      <c r="O355" s="6" t="s">
        <v>53</v>
      </c>
      <c r="P355" s="11">
        <f t="shared" si="1"/>
        <v>712</v>
      </c>
    </row>
    <row r="356" ht="18.0" customHeight="1">
      <c r="A356" s="7">
        <v>44547.0</v>
      </c>
      <c r="B356" s="8">
        <v>44547.41673611111</v>
      </c>
      <c r="C356" s="6" t="s">
        <v>50</v>
      </c>
      <c r="D356" s="6" t="s">
        <v>1091</v>
      </c>
      <c r="E356" s="6" t="s">
        <v>72</v>
      </c>
      <c r="F356" s="6" t="s">
        <v>44</v>
      </c>
      <c r="G356" s="6" t="s">
        <v>1092</v>
      </c>
      <c r="H356" s="9" t="s">
        <v>1093</v>
      </c>
      <c r="I356" s="10">
        <v>1.0</v>
      </c>
      <c r="J356" s="10">
        <v>81.0</v>
      </c>
      <c r="K356" s="10">
        <v>81.0</v>
      </c>
      <c r="L356" s="10">
        <v>0.0</v>
      </c>
      <c r="N356" s="10">
        <v>81.0</v>
      </c>
      <c r="O356" s="6" t="s">
        <v>53</v>
      </c>
      <c r="P356" s="11">
        <f t="shared" si="1"/>
        <v>715</v>
      </c>
    </row>
    <row r="357" ht="18.0" customHeight="1">
      <c r="A357" s="7">
        <v>44491.0</v>
      </c>
      <c r="B357" s="8">
        <v>44491.833657407406</v>
      </c>
      <c r="C357" s="6" t="s">
        <v>26</v>
      </c>
      <c r="D357" s="6" t="s">
        <v>1094</v>
      </c>
      <c r="E357" s="6" t="s">
        <v>61</v>
      </c>
      <c r="F357" s="6" t="s">
        <v>76</v>
      </c>
      <c r="G357" s="6" t="s">
        <v>1095</v>
      </c>
      <c r="H357" s="9" t="s">
        <v>1096</v>
      </c>
      <c r="I357" s="10">
        <v>1.0</v>
      </c>
      <c r="J357" s="10">
        <v>310.0</v>
      </c>
      <c r="K357" s="10">
        <v>349.0</v>
      </c>
      <c r="L357" s="10">
        <v>47.0</v>
      </c>
      <c r="M357" s="10">
        <v>8.0</v>
      </c>
      <c r="N357" s="10">
        <v>310.0</v>
      </c>
      <c r="O357" s="6" t="s">
        <v>31</v>
      </c>
      <c r="P357" s="11">
        <f t="shared" si="1"/>
        <v>727</v>
      </c>
    </row>
    <row r="358" ht="18.0" customHeight="1">
      <c r="A358" s="7">
        <v>44549.0</v>
      </c>
      <c r="B358" s="8">
        <v>44549.86306712963</v>
      </c>
      <c r="C358" s="6" t="s">
        <v>50</v>
      </c>
      <c r="D358" s="6" t="s">
        <v>1097</v>
      </c>
      <c r="E358" s="6" t="s">
        <v>28</v>
      </c>
      <c r="F358" s="6" t="s">
        <v>34</v>
      </c>
      <c r="G358" s="6" t="s">
        <v>1098</v>
      </c>
      <c r="H358" s="9" t="s">
        <v>1099</v>
      </c>
      <c r="I358" s="10">
        <v>1.0</v>
      </c>
      <c r="J358" s="10">
        <v>28705.0</v>
      </c>
      <c r="K358" s="10">
        <v>28953.0</v>
      </c>
      <c r="L358" s="10">
        <v>61.0</v>
      </c>
      <c r="M358" s="10">
        <v>437.0</v>
      </c>
      <c r="N358" s="10">
        <v>28705.0</v>
      </c>
      <c r="O358" s="6" t="s">
        <v>53</v>
      </c>
      <c r="P358" s="11">
        <f t="shared" si="1"/>
        <v>727</v>
      </c>
    </row>
    <row r="359" ht="18.0" customHeight="1">
      <c r="A359" s="7">
        <v>44544.0</v>
      </c>
      <c r="B359" s="8">
        <v>44544.64586805556</v>
      </c>
      <c r="C359" s="6" t="s">
        <v>50</v>
      </c>
      <c r="D359" s="6" t="s">
        <v>1100</v>
      </c>
      <c r="E359" s="6" t="s">
        <v>61</v>
      </c>
      <c r="F359" s="6" t="s">
        <v>62</v>
      </c>
      <c r="G359" s="6" t="s">
        <v>1101</v>
      </c>
      <c r="H359" s="9" t="s">
        <v>1102</v>
      </c>
      <c r="I359" s="10">
        <v>1.0</v>
      </c>
      <c r="J359" s="10">
        <v>233.0</v>
      </c>
      <c r="K359" s="10">
        <v>238.0</v>
      </c>
      <c r="L359" s="10">
        <v>0.0</v>
      </c>
      <c r="M359" s="10">
        <v>8.0</v>
      </c>
      <c r="N359" s="10">
        <v>233.0</v>
      </c>
      <c r="O359" s="6" t="s">
        <v>53</v>
      </c>
      <c r="P359" s="11">
        <f t="shared" si="1"/>
        <v>737</v>
      </c>
    </row>
    <row r="360" ht="18.0" customHeight="1">
      <c r="A360" s="7">
        <v>44541.0</v>
      </c>
      <c r="B360" s="8">
        <v>44541.62501157408</v>
      </c>
      <c r="C360" s="6" t="s">
        <v>50</v>
      </c>
      <c r="D360" s="6" t="s">
        <v>1103</v>
      </c>
      <c r="E360" s="6" t="s">
        <v>61</v>
      </c>
      <c r="F360" s="6" t="s">
        <v>62</v>
      </c>
      <c r="G360" s="6" t="s">
        <v>1104</v>
      </c>
      <c r="H360" s="9" t="s">
        <v>1105</v>
      </c>
      <c r="I360" s="10">
        <v>1.0</v>
      </c>
      <c r="J360" s="10">
        <v>566.0</v>
      </c>
      <c r="K360" s="10">
        <v>583.0</v>
      </c>
      <c r="L360" s="10">
        <v>0.0</v>
      </c>
      <c r="M360" s="10">
        <v>8.0</v>
      </c>
      <c r="N360" s="10">
        <v>566.0</v>
      </c>
      <c r="O360" s="6" t="s">
        <v>53</v>
      </c>
      <c r="P360" s="11">
        <f t="shared" si="1"/>
        <v>740</v>
      </c>
    </row>
    <row r="361" ht="18.0" customHeight="1">
      <c r="A361" s="7">
        <v>44480.0</v>
      </c>
      <c r="B361" s="8">
        <v>44480.512083333335</v>
      </c>
      <c r="C361" s="6" t="s">
        <v>50</v>
      </c>
      <c r="D361" s="6" t="s">
        <v>1106</v>
      </c>
      <c r="E361" s="6" t="s">
        <v>33</v>
      </c>
      <c r="F361" s="6" t="s">
        <v>34</v>
      </c>
      <c r="G361" s="6" t="s">
        <v>1107</v>
      </c>
      <c r="H361" s="9" t="s">
        <v>1108</v>
      </c>
      <c r="I361" s="10">
        <v>1.0</v>
      </c>
      <c r="J361" s="10">
        <v>1579.0</v>
      </c>
      <c r="K361" s="10">
        <v>1613.0</v>
      </c>
      <c r="L361" s="10">
        <v>4.0</v>
      </c>
      <c r="M361" s="10">
        <v>30.0</v>
      </c>
      <c r="N361" s="10">
        <v>1579.0</v>
      </c>
      <c r="O361" s="6" t="s">
        <v>53</v>
      </c>
      <c r="P361" s="11">
        <f t="shared" si="1"/>
        <v>741</v>
      </c>
    </row>
    <row r="362" ht="18.0" customHeight="1">
      <c r="A362" s="7">
        <v>44550.0</v>
      </c>
      <c r="B362" s="8">
        <v>44550.520833333336</v>
      </c>
      <c r="C362" s="6" t="s">
        <v>50</v>
      </c>
      <c r="D362" s="6" t="s">
        <v>1109</v>
      </c>
      <c r="E362" s="6" t="s">
        <v>28</v>
      </c>
      <c r="F362" s="6" t="s">
        <v>34</v>
      </c>
      <c r="G362" s="6" t="s">
        <v>1110</v>
      </c>
      <c r="H362" s="9" t="s">
        <v>1111</v>
      </c>
      <c r="I362" s="10">
        <v>1.0</v>
      </c>
      <c r="J362" s="10">
        <v>2934.0</v>
      </c>
      <c r="K362" s="10">
        <v>2992.0</v>
      </c>
      <c r="L362" s="10">
        <v>21.0</v>
      </c>
      <c r="M362" s="10">
        <v>56.0</v>
      </c>
      <c r="N362" s="10">
        <v>2934.0</v>
      </c>
      <c r="O362" s="6" t="s">
        <v>53</v>
      </c>
      <c r="P362" s="11">
        <f t="shared" si="1"/>
        <v>742</v>
      </c>
    </row>
    <row r="363" ht="18.0" customHeight="1">
      <c r="A363" s="7">
        <v>44528.0</v>
      </c>
      <c r="B363" s="8">
        <v>44528.70144675926</v>
      </c>
      <c r="C363" s="6" t="s">
        <v>26</v>
      </c>
      <c r="D363" s="6" t="s">
        <v>1112</v>
      </c>
      <c r="E363" s="6" t="s">
        <v>72</v>
      </c>
      <c r="F363" s="6" t="s">
        <v>44</v>
      </c>
      <c r="G363" s="6" t="s">
        <v>1113</v>
      </c>
      <c r="H363" s="9" t="s">
        <v>1114</v>
      </c>
      <c r="I363" s="10">
        <v>1.0</v>
      </c>
      <c r="J363" s="10">
        <v>678.0</v>
      </c>
      <c r="K363" s="10">
        <v>747.0</v>
      </c>
      <c r="L363" s="10">
        <v>222.0</v>
      </c>
      <c r="M363" s="10">
        <v>57.0</v>
      </c>
      <c r="N363" s="10">
        <v>678.0</v>
      </c>
      <c r="O363" s="6" t="s">
        <v>31</v>
      </c>
      <c r="P363" s="11">
        <f t="shared" si="1"/>
        <v>758</v>
      </c>
    </row>
    <row r="364" ht="18.0" customHeight="1">
      <c r="A364" s="7">
        <v>44488.0</v>
      </c>
      <c r="B364" s="8">
        <v>44488.833333333336</v>
      </c>
      <c r="C364" s="6" t="s">
        <v>26</v>
      </c>
      <c r="D364" s="6" t="s">
        <v>1115</v>
      </c>
      <c r="E364" s="6" t="s">
        <v>61</v>
      </c>
      <c r="F364" s="6" t="s">
        <v>76</v>
      </c>
      <c r="G364" s="6" t="s">
        <v>1116</v>
      </c>
      <c r="H364" s="9" t="s">
        <v>1117</v>
      </c>
      <c r="I364" s="10">
        <v>1.0</v>
      </c>
      <c r="J364" s="10">
        <v>417.0</v>
      </c>
      <c r="K364" s="10">
        <v>506.0</v>
      </c>
      <c r="L364" s="10">
        <v>36.0</v>
      </c>
      <c r="M364" s="10">
        <v>21.0</v>
      </c>
      <c r="N364" s="10">
        <v>417.0</v>
      </c>
      <c r="O364" s="6" t="s">
        <v>31</v>
      </c>
      <c r="P364" s="11">
        <f t="shared" si="1"/>
        <v>767</v>
      </c>
    </row>
    <row r="365" ht="18.0" customHeight="1">
      <c r="A365" s="7">
        <v>44489.0</v>
      </c>
      <c r="B365" s="8">
        <v>44489.83336805556</v>
      </c>
      <c r="C365" s="6" t="s">
        <v>26</v>
      </c>
      <c r="D365" s="6" t="s">
        <v>1118</v>
      </c>
      <c r="E365" s="6" t="s">
        <v>61</v>
      </c>
      <c r="F365" s="6" t="s">
        <v>76</v>
      </c>
      <c r="G365" s="6" t="s">
        <v>1116</v>
      </c>
      <c r="H365" s="9" t="s">
        <v>1119</v>
      </c>
      <c r="I365" s="10">
        <v>1.0</v>
      </c>
      <c r="J365" s="10">
        <v>281.0</v>
      </c>
      <c r="K365" s="10">
        <v>305.0</v>
      </c>
      <c r="L365" s="10">
        <v>23.0</v>
      </c>
      <c r="M365" s="10">
        <v>12.0</v>
      </c>
      <c r="N365" s="10">
        <v>281.0</v>
      </c>
      <c r="O365" s="6" t="s">
        <v>31</v>
      </c>
      <c r="P365" s="11">
        <f t="shared" si="1"/>
        <v>767</v>
      </c>
    </row>
    <row r="366" ht="18.0" customHeight="1">
      <c r="A366" s="7">
        <v>44474.0</v>
      </c>
      <c r="B366" s="8">
        <v>44474.750081018516</v>
      </c>
      <c r="C366" s="6" t="s">
        <v>50</v>
      </c>
      <c r="D366" s="6" t="s">
        <v>1120</v>
      </c>
      <c r="E366" s="6" t="s">
        <v>61</v>
      </c>
      <c r="F366" s="6" t="s">
        <v>62</v>
      </c>
      <c r="G366" s="6" t="s">
        <v>1121</v>
      </c>
      <c r="H366" s="9" t="s">
        <v>1122</v>
      </c>
      <c r="I366" s="10">
        <v>1.0</v>
      </c>
      <c r="J366" s="10">
        <v>163.0</v>
      </c>
      <c r="K366" s="10">
        <v>165.0</v>
      </c>
      <c r="L366" s="10">
        <v>0.0</v>
      </c>
      <c r="M366" s="10">
        <v>3.0</v>
      </c>
      <c r="N366" s="10">
        <v>163.0</v>
      </c>
      <c r="O366" s="6" t="s">
        <v>53</v>
      </c>
      <c r="P366" s="11">
        <f t="shared" si="1"/>
        <v>768</v>
      </c>
    </row>
    <row r="367" ht="18.0" customHeight="1">
      <c r="A367" s="7">
        <v>44471.0</v>
      </c>
      <c r="B367" s="8">
        <v>44471.8803125</v>
      </c>
      <c r="C367" s="6" t="s">
        <v>50</v>
      </c>
      <c r="D367" s="6" t="s">
        <v>1123</v>
      </c>
      <c r="E367" s="6" t="s">
        <v>28</v>
      </c>
      <c r="F367" s="6" t="s">
        <v>34</v>
      </c>
      <c r="G367" s="6" t="s">
        <v>1124</v>
      </c>
      <c r="H367" s="9" t="s">
        <v>1125</v>
      </c>
      <c r="I367" s="10">
        <v>1.0</v>
      </c>
      <c r="J367" s="10">
        <v>482.0</v>
      </c>
      <c r="K367" s="10">
        <v>483.0</v>
      </c>
      <c r="L367" s="10">
        <v>7.0</v>
      </c>
      <c r="M367" s="10">
        <v>5.0</v>
      </c>
      <c r="N367" s="10">
        <v>482.0</v>
      </c>
      <c r="O367" s="6" t="s">
        <v>53</v>
      </c>
      <c r="P367" s="11">
        <f t="shared" si="1"/>
        <v>784</v>
      </c>
    </row>
    <row r="368" ht="18.0" customHeight="1">
      <c r="A368" s="7">
        <v>44470.0</v>
      </c>
      <c r="B368" s="8">
        <v>44470.93769675926</v>
      </c>
      <c r="C368" s="6" t="s">
        <v>50</v>
      </c>
      <c r="D368" s="6" t="s">
        <v>1126</v>
      </c>
      <c r="E368" s="6" t="s">
        <v>28</v>
      </c>
      <c r="F368" s="6" t="s">
        <v>34</v>
      </c>
      <c r="G368" s="6" t="s">
        <v>1127</v>
      </c>
      <c r="H368" s="9" t="s">
        <v>1128</v>
      </c>
      <c r="I368" s="10">
        <v>1.0</v>
      </c>
      <c r="J368" s="10">
        <v>4684.0</v>
      </c>
      <c r="K368" s="10">
        <v>5203.0</v>
      </c>
      <c r="L368" s="10">
        <v>55.0</v>
      </c>
      <c r="M368" s="10">
        <v>545.0</v>
      </c>
      <c r="N368" s="10">
        <v>4684.0</v>
      </c>
      <c r="O368" s="6" t="s">
        <v>53</v>
      </c>
      <c r="P368" s="11">
        <f t="shared" si="1"/>
        <v>786</v>
      </c>
    </row>
    <row r="369" ht="18.0" customHeight="1">
      <c r="A369" s="7">
        <v>44480.0</v>
      </c>
      <c r="B369" s="8">
        <v>44480.66694444444</v>
      </c>
      <c r="C369" s="6" t="s">
        <v>26</v>
      </c>
      <c r="D369" s="6" t="s">
        <v>1129</v>
      </c>
      <c r="E369" s="6" t="s">
        <v>28</v>
      </c>
      <c r="F369" s="6" t="s">
        <v>34</v>
      </c>
      <c r="G369" s="6" t="s">
        <v>1130</v>
      </c>
      <c r="H369" s="9" t="s">
        <v>1131</v>
      </c>
      <c r="I369" s="10">
        <v>1.0</v>
      </c>
      <c r="J369" s="10">
        <v>10675.0</v>
      </c>
      <c r="K369" s="10">
        <v>11193.0</v>
      </c>
      <c r="L369" s="10">
        <v>1187.0</v>
      </c>
      <c r="M369" s="10">
        <v>387.0</v>
      </c>
      <c r="N369" s="10">
        <v>10675.0</v>
      </c>
      <c r="O369" s="6" t="s">
        <v>31</v>
      </c>
      <c r="P369" s="11">
        <f t="shared" si="1"/>
        <v>794</v>
      </c>
    </row>
    <row r="370" ht="18.0" customHeight="1">
      <c r="A370" s="7">
        <v>44523.0</v>
      </c>
      <c r="B370" s="8">
        <v>44523.67590277778</v>
      </c>
      <c r="C370" s="6" t="s">
        <v>50</v>
      </c>
      <c r="D370" s="6" t="s">
        <v>1132</v>
      </c>
      <c r="E370" s="6" t="s">
        <v>61</v>
      </c>
      <c r="F370" s="6" t="s">
        <v>62</v>
      </c>
      <c r="G370" s="6" t="s">
        <v>1133</v>
      </c>
      <c r="H370" s="9" t="s">
        <v>1134</v>
      </c>
      <c r="I370" s="10">
        <v>1.0</v>
      </c>
      <c r="J370" s="10">
        <v>229.0</v>
      </c>
      <c r="K370" s="10">
        <v>231.0</v>
      </c>
      <c r="L370" s="10">
        <v>0.0</v>
      </c>
      <c r="M370" s="10">
        <v>9.0</v>
      </c>
      <c r="N370" s="10">
        <v>229.0</v>
      </c>
      <c r="O370" s="6" t="s">
        <v>53</v>
      </c>
      <c r="P370" s="11">
        <f t="shared" si="1"/>
        <v>794</v>
      </c>
    </row>
    <row r="371" ht="18.0" customHeight="1">
      <c r="A371" s="7">
        <v>44471.0</v>
      </c>
      <c r="B371" s="8">
        <v>44471.62509259259</v>
      </c>
      <c r="C371" s="6" t="s">
        <v>50</v>
      </c>
      <c r="D371" s="6" t="s">
        <v>1135</v>
      </c>
      <c r="E371" s="6" t="s">
        <v>28</v>
      </c>
      <c r="F371" s="6" t="s">
        <v>34</v>
      </c>
      <c r="G371" s="6" t="s">
        <v>1136</v>
      </c>
      <c r="H371" s="9" t="s">
        <v>1137</v>
      </c>
      <c r="I371" s="10">
        <v>1.0</v>
      </c>
      <c r="J371" s="10">
        <v>2952.0</v>
      </c>
      <c r="K371" s="10">
        <v>3015.0</v>
      </c>
      <c r="L371" s="10">
        <v>43.0</v>
      </c>
      <c r="M371" s="10">
        <v>130.0</v>
      </c>
      <c r="N371" s="10">
        <v>2952.0</v>
      </c>
      <c r="O371" s="6" t="s">
        <v>53</v>
      </c>
      <c r="P371" s="11">
        <f t="shared" si="1"/>
        <v>799</v>
      </c>
    </row>
    <row r="372" ht="18.0" customHeight="1">
      <c r="A372" s="7">
        <v>44491.0</v>
      </c>
      <c r="B372" s="8">
        <v>44491.58369212963</v>
      </c>
      <c r="C372" s="6" t="s">
        <v>26</v>
      </c>
      <c r="D372" s="6" t="s">
        <v>1138</v>
      </c>
      <c r="E372" s="6" t="s">
        <v>28</v>
      </c>
      <c r="F372" s="6" t="s">
        <v>34</v>
      </c>
      <c r="G372" s="6" t="s">
        <v>1139</v>
      </c>
      <c r="H372" s="9" t="s">
        <v>1140</v>
      </c>
      <c r="I372" s="10">
        <v>1.0</v>
      </c>
      <c r="J372" s="10">
        <v>319.0</v>
      </c>
      <c r="K372" s="10">
        <v>347.0</v>
      </c>
      <c r="L372" s="10">
        <v>41.0</v>
      </c>
      <c r="M372" s="10">
        <v>21.0</v>
      </c>
      <c r="N372" s="10">
        <v>319.0</v>
      </c>
      <c r="O372" s="6" t="s">
        <v>31</v>
      </c>
      <c r="P372" s="11">
        <f t="shared" si="1"/>
        <v>801</v>
      </c>
    </row>
    <row r="373" ht="18.0" customHeight="1">
      <c r="A373" s="7">
        <v>44470.0</v>
      </c>
      <c r="B373" s="8">
        <v>44470.93457175926</v>
      </c>
      <c r="C373" s="6" t="s">
        <v>50</v>
      </c>
      <c r="D373" s="6" t="s">
        <v>1141</v>
      </c>
      <c r="E373" s="6" t="s">
        <v>28</v>
      </c>
      <c r="F373" s="6" t="s">
        <v>34</v>
      </c>
      <c r="G373" s="6" t="s">
        <v>1142</v>
      </c>
      <c r="H373" s="9" t="s">
        <v>1143</v>
      </c>
      <c r="I373" s="10">
        <v>1.0</v>
      </c>
      <c r="J373" s="10">
        <v>1034.0</v>
      </c>
      <c r="K373" s="10">
        <v>1049.0</v>
      </c>
      <c r="L373" s="10">
        <v>27.0</v>
      </c>
      <c r="M373" s="10">
        <v>14.0</v>
      </c>
      <c r="N373" s="10">
        <v>1034.0</v>
      </c>
      <c r="O373" s="6" t="s">
        <v>53</v>
      </c>
      <c r="P373" s="11">
        <f t="shared" si="1"/>
        <v>803</v>
      </c>
    </row>
    <row r="374" ht="18.0" customHeight="1">
      <c r="A374" s="7">
        <v>44489.0</v>
      </c>
      <c r="B374" s="8">
        <v>44489.70856481481</v>
      </c>
      <c r="C374" s="6" t="s">
        <v>26</v>
      </c>
      <c r="D374" s="6" t="s">
        <v>1144</v>
      </c>
      <c r="E374" s="6" t="s">
        <v>28</v>
      </c>
      <c r="F374" s="6" t="s">
        <v>34</v>
      </c>
      <c r="G374" s="6" t="s">
        <v>1145</v>
      </c>
      <c r="H374" s="9" t="s">
        <v>1146</v>
      </c>
      <c r="I374" s="10">
        <v>1.0</v>
      </c>
      <c r="J374" s="10">
        <v>324.0</v>
      </c>
      <c r="K374" s="10">
        <v>332.0</v>
      </c>
      <c r="L374" s="10">
        <v>35.0</v>
      </c>
      <c r="M374" s="10">
        <v>7.0</v>
      </c>
      <c r="N374" s="10">
        <v>324.0</v>
      </c>
      <c r="O374" s="6" t="s">
        <v>31</v>
      </c>
      <c r="P374" s="11">
        <f t="shared" si="1"/>
        <v>809</v>
      </c>
    </row>
    <row r="375" ht="18.0" customHeight="1">
      <c r="A375" s="7">
        <v>44555.0</v>
      </c>
      <c r="B375" s="8">
        <v>44555.62501157408</v>
      </c>
      <c r="C375" s="6" t="s">
        <v>50</v>
      </c>
      <c r="D375" s="6" t="s">
        <v>1147</v>
      </c>
      <c r="E375" s="6" t="s">
        <v>28</v>
      </c>
      <c r="F375" s="6" t="s">
        <v>34</v>
      </c>
      <c r="G375" s="6" t="s">
        <v>1148</v>
      </c>
      <c r="H375" s="9" t="s">
        <v>1149</v>
      </c>
      <c r="I375" s="10">
        <v>1.0</v>
      </c>
      <c r="J375" s="10">
        <v>239.0</v>
      </c>
      <c r="K375" s="10">
        <v>249.0</v>
      </c>
      <c r="L375" s="10">
        <v>4.0</v>
      </c>
      <c r="M375" s="10">
        <v>6.0</v>
      </c>
      <c r="N375" s="10">
        <v>239.0</v>
      </c>
      <c r="O375" s="6" t="s">
        <v>53</v>
      </c>
      <c r="P375" s="11">
        <f t="shared" si="1"/>
        <v>821</v>
      </c>
    </row>
    <row r="376" ht="18.0" customHeight="1">
      <c r="A376" s="7">
        <v>44508.0</v>
      </c>
      <c r="B376" s="8">
        <v>44508.875069444446</v>
      </c>
      <c r="C376" s="6" t="s">
        <v>26</v>
      </c>
      <c r="D376" s="6" t="s">
        <v>1150</v>
      </c>
      <c r="E376" s="6" t="s">
        <v>28</v>
      </c>
      <c r="F376" s="6" t="s">
        <v>34</v>
      </c>
      <c r="G376" s="6" t="s">
        <v>1151</v>
      </c>
      <c r="H376" s="9" t="s">
        <v>1152</v>
      </c>
      <c r="I376" s="10">
        <v>1.0</v>
      </c>
      <c r="J376" s="10">
        <v>1472.0</v>
      </c>
      <c r="K376" s="10">
        <v>1552.0</v>
      </c>
      <c r="L376" s="10">
        <v>260.0</v>
      </c>
      <c r="M376" s="10">
        <v>55.0</v>
      </c>
      <c r="N376" s="10">
        <v>1472.0</v>
      </c>
      <c r="O376" s="6" t="s">
        <v>31</v>
      </c>
      <c r="P376" s="11">
        <f t="shared" si="1"/>
        <v>822</v>
      </c>
    </row>
    <row r="377" ht="18.0" customHeight="1">
      <c r="A377" s="7">
        <v>44489.0</v>
      </c>
      <c r="B377" s="8">
        <v>44489.56886574074</v>
      </c>
      <c r="C377" s="6" t="s">
        <v>50</v>
      </c>
      <c r="D377" s="6" t="s">
        <v>1153</v>
      </c>
      <c r="E377" s="6" t="s">
        <v>61</v>
      </c>
      <c r="F377" s="6" t="s">
        <v>62</v>
      </c>
      <c r="G377" s="6" t="s">
        <v>1154</v>
      </c>
      <c r="H377" s="9" t="s">
        <v>1155</v>
      </c>
      <c r="I377" s="10">
        <v>1.0</v>
      </c>
      <c r="J377" s="10">
        <v>571.0</v>
      </c>
      <c r="K377" s="10">
        <v>592.0</v>
      </c>
      <c r="L377" s="10">
        <v>14.0</v>
      </c>
      <c r="M377" s="10">
        <v>29.0</v>
      </c>
      <c r="N377" s="10">
        <v>571.0</v>
      </c>
      <c r="O377" s="6" t="s">
        <v>53</v>
      </c>
      <c r="P377" s="11">
        <f t="shared" si="1"/>
        <v>828</v>
      </c>
    </row>
    <row r="378" ht="18.0" customHeight="1">
      <c r="A378" s="7">
        <v>44511.0</v>
      </c>
      <c r="B378" s="8">
        <v>44511.5834837963</v>
      </c>
      <c r="C378" s="6" t="s">
        <v>50</v>
      </c>
      <c r="D378" s="6" t="s">
        <v>1156</v>
      </c>
      <c r="E378" s="6" t="s">
        <v>28</v>
      </c>
      <c r="F378" s="6" t="s">
        <v>34</v>
      </c>
      <c r="G378" s="6" t="s">
        <v>1157</v>
      </c>
      <c r="H378" s="9" t="s">
        <v>1158</v>
      </c>
      <c r="I378" s="10">
        <v>1.0</v>
      </c>
      <c r="J378" s="10">
        <v>329.0</v>
      </c>
      <c r="K378" s="10">
        <v>334.0</v>
      </c>
      <c r="L378" s="10">
        <v>25.0</v>
      </c>
      <c r="M378" s="10">
        <v>32.0</v>
      </c>
      <c r="N378" s="10">
        <v>329.0</v>
      </c>
      <c r="O378" s="6" t="s">
        <v>53</v>
      </c>
      <c r="P378" s="11">
        <f t="shared" si="1"/>
        <v>831</v>
      </c>
    </row>
    <row r="379" ht="18.0" customHeight="1">
      <c r="A379" s="7">
        <v>44506.0</v>
      </c>
      <c r="B379" s="8">
        <v>44506.79167824074</v>
      </c>
      <c r="C379" s="6" t="s">
        <v>26</v>
      </c>
      <c r="D379" s="6" t="s">
        <v>1159</v>
      </c>
      <c r="E379" s="6" t="s">
        <v>28</v>
      </c>
      <c r="F379" s="6" t="s">
        <v>34</v>
      </c>
      <c r="G379" s="6" t="s">
        <v>1160</v>
      </c>
      <c r="H379" s="9" t="s">
        <v>1161</v>
      </c>
      <c r="I379" s="10">
        <v>1.0</v>
      </c>
      <c r="J379" s="10">
        <v>489.0</v>
      </c>
      <c r="K379" s="10">
        <v>504.0</v>
      </c>
      <c r="L379" s="10">
        <v>51.0</v>
      </c>
      <c r="M379" s="10">
        <v>15.0</v>
      </c>
      <c r="N379" s="10">
        <v>489.0</v>
      </c>
      <c r="O379" s="6" t="s">
        <v>31</v>
      </c>
      <c r="P379" s="11">
        <f t="shared" si="1"/>
        <v>833</v>
      </c>
    </row>
    <row r="380" ht="18.0" customHeight="1">
      <c r="A380" s="7">
        <v>44492.0</v>
      </c>
      <c r="B380" s="8">
        <v>44492.50019675926</v>
      </c>
      <c r="C380" s="6" t="s">
        <v>26</v>
      </c>
      <c r="D380" s="6" t="s">
        <v>1162</v>
      </c>
      <c r="E380" s="6" t="s">
        <v>28</v>
      </c>
      <c r="F380" s="6" t="s">
        <v>34</v>
      </c>
      <c r="G380" s="6" t="s">
        <v>1163</v>
      </c>
      <c r="H380" s="9" t="s">
        <v>1164</v>
      </c>
      <c r="I380" s="10">
        <v>1.0</v>
      </c>
      <c r="J380" s="10">
        <v>658.0</v>
      </c>
      <c r="K380" s="10">
        <v>771.0</v>
      </c>
      <c r="L380" s="10">
        <v>28.0</v>
      </c>
      <c r="M380" s="10">
        <v>77.0</v>
      </c>
      <c r="N380" s="10">
        <v>658.0</v>
      </c>
      <c r="O380" s="6" t="s">
        <v>31</v>
      </c>
      <c r="P380" s="11">
        <f t="shared" si="1"/>
        <v>834</v>
      </c>
    </row>
    <row r="381" ht="18.0" customHeight="1">
      <c r="A381" s="7">
        <v>44527.0</v>
      </c>
      <c r="B381" s="8">
        <v>44527.583344907405</v>
      </c>
      <c r="C381" s="6" t="s">
        <v>50</v>
      </c>
      <c r="D381" s="6" t="s">
        <v>1165</v>
      </c>
      <c r="E381" s="6" t="s">
        <v>28</v>
      </c>
      <c r="F381" s="6" t="s">
        <v>34</v>
      </c>
      <c r="G381" s="6" t="s">
        <v>1166</v>
      </c>
      <c r="H381" s="9" t="s">
        <v>1167</v>
      </c>
      <c r="I381" s="10">
        <v>1.0</v>
      </c>
      <c r="J381" s="10">
        <v>201.0</v>
      </c>
      <c r="K381" s="10">
        <v>203.0</v>
      </c>
      <c r="L381" s="10">
        <v>5.0</v>
      </c>
      <c r="M381" s="10">
        <v>7.0</v>
      </c>
      <c r="N381" s="10">
        <v>201.0</v>
      </c>
      <c r="O381" s="6" t="s">
        <v>53</v>
      </c>
      <c r="P381" s="11">
        <f t="shared" si="1"/>
        <v>835</v>
      </c>
    </row>
    <row r="382" ht="18.0" customHeight="1">
      <c r="A382" s="7">
        <v>44522.0</v>
      </c>
      <c r="B382" s="8">
        <v>44522.66670138889</v>
      </c>
      <c r="C382" s="6" t="s">
        <v>26</v>
      </c>
      <c r="D382" s="6" t="s">
        <v>1168</v>
      </c>
      <c r="E382" s="6" t="s">
        <v>28</v>
      </c>
      <c r="F382" s="6" t="s">
        <v>34</v>
      </c>
      <c r="G382" s="6" t="s">
        <v>1169</v>
      </c>
      <c r="H382" s="9" t="s">
        <v>1170</v>
      </c>
      <c r="I382" s="10">
        <v>1.0</v>
      </c>
      <c r="J382" s="10">
        <v>8603.0</v>
      </c>
      <c r="K382" s="10">
        <v>9301.0</v>
      </c>
      <c r="L382" s="10">
        <v>619.0</v>
      </c>
      <c r="M382" s="10">
        <v>231.0</v>
      </c>
      <c r="N382" s="10">
        <v>8603.0</v>
      </c>
      <c r="O382" s="6" t="s">
        <v>31</v>
      </c>
      <c r="P382" s="11">
        <f t="shared" si="1"/>
        <v>879</v>
      </c>
    </row>
    <row r="383" ht="18.0" customHeight="1">
      <c r="A383" s="7">
        <v>44515.0</v>
      </c>
      <c r="B383" s="8">
        <v>44515.64865740741</v>
      </c>
      <c r="C383" s="6" t="s">
        <v>50</v>
      </c>
      <c r="D383" s="6" t="s">
        <v>1171</v>
      </c>
      <c r="E383" s="6" t="s">
        <v>61</v>
      </c>
      <c r="F383" s="6" t="s">
        <v>62</v>
      </c>
      <c r="G383" s="6" t="s">
        <v>1172</v>
      </c>
      <c r="H383" s="9" t="s">
        <v>1173</v>
      </c>
      <c r="I383" s="10">
        <v>1.0</v>
      </c>
      <c r="J383" s="10">
        <v>1450.0</v>
      </c>
      <c r="K383" s="10">
        <v>1724.0</v>
      </c>
      <c r="L383" s="10">
        <v>246.0</v>
      </c>
      <c r="M383" s="10">
        <v>194.0</v>
      </c>
      <c r="N383" s="10">
        <v>1450.0</v>
      </c>
      <c r="O383" s="6" t="s">
        <v>53</v>
      </c>
      <c r="P383" s="11">
        <f t="shared" si="1"/>
        <v>879</v>
      </c>
    </row>
    <row r="384" ht="18.0" customHeight="1">
      <c r="A384" s="7">
        <v>44478.0</v>
      </c>
      <c r="B384" s="8">
        <v>44478.64129629629</v>
      </c>
      <c r="C384" s="6" t="s">
        <v>50</v>
      </c>
      <c r="D384" s="6" t="s">
        <v>1174</v>
      </c>
      <c r="E384" s="6" t="s">
        <v>33</v>
      </c>
      <c r="F384" s="6" t="s">
        <v>34</v>
      </c>
      <c r="G384" s="6" t="s">
        <v>1175</v>
      </c>
      <c r="H384" s="9" t="s">
        <v>1176</v>
      </c>
      <c r="I384" s="10">
        <v>1.0</v>
      </c>
      <c r="J384" s="10">
        <v>1089.0</v>
      </c>
      <c r="K384" s="10">
        <v>1108.0</v>
      </c>
      <c r="L384" s="10">
        <v>34.0</v>
      </c>
      <c r="M384" s="10">
        <v>23.0</v>
      </c>
      <c r="N384" s="10">
        <v>1089.0</v>
      </c>
      <c r="O384" s="6" t="s">
        <v>53</v>
      </c>
      <c r="P384" s="11">
        <f t="shared" si="1"/>
        <v>880</v>
      </c>
    </row>
    <row r="385" ht="18.0" customHeight="1">
      <c r="A385" s="7">
        <v>44515.0</v>
      </c>
      <c r="B385" s="8">
        <v>44515.60471064815</v>
      </c>
      <c r="C385" s="6" t="s">
        <v>50</v>
      </c>
      <c r="D385" s="6" t="s">
        <v>1177</v>
      </c>
      <c r="E385" s="6" t="s">
        <v>28</v>
      </c>
      <c r="F385" s="6" t="s">
        <v>34</v>
      </c>
      <c r="G385" s="6" t="s">
        <v>1178</v>
      </c>
      <c r="H385" s="9" t="s">
        <v>1179</v>
      </c>
      <c r="I385" s="10">
        <v>1.0</v>
      </c>
      <c r="J385" s="10">
        <v>1049.0</v>
      </c>
      <c r="K385" s="10">
        <v>1061.0</v>
      </c>
      <c r="L385" s="10">
        <v>7.0</v>
      </c>
      <c r="M385" s="10">
        <v>9.0</v>
      </c>
      <c r="N385" s="10">
        <v>1049.0</v>
      </c>
      <c r="O385" s="6" t="s">
        <v>53</v>
      </c>
      <c r="P385" s="11">
        <f t="shared" si="1"/>
        <v>881</v>
      </c>
    </row>
    <row r="386" ht="18.0" customHeight="1">
      <c r="A386" s="7">
        <v>44545.0</v>
      </c>
      <c r="B386" s="8">
        <v>44545.413449074076</v>
      </c>
      <c r="C386" s="6" t="s">
        <v>50</v>
      </c>
      <c r="D386" s="6" t="s">
        <v>1180</v>
      </c>
      <c r="E386" s="6" t="s">
        <v>28</v>
      </c>
      <c r="F386" s="6" t="s">
        <v>34</v>
      </c>
      <c r="G386" s="6" t="s">
        <v>1181</v>
      </c>
      <c r="H386" s="9" t="s">
        <v>1182</v>
      </c>
      <c r="I386" s="10">
        <v>1.0</v>
      </c>
      <c r="J386" s="10">
        <v>96.0</v>
      </c>
      <c r="K386" s="10">
        <v>99.0</v>
      </c>
      <c r="L386" s="10">
        <v>0.0</v>
      </c>
      <c r="M386" s="10">
        <v>19.0</v>
      </c>
      <c r="N386" s="10">
        <v>96.0</v>
      </c>
      <c r="O386" s="6" t="s">
        <v>53</v>
      </c>
      <c r="P386" s="11">
        <f t="shared" si="1"/>
        <v>900</v>
      </c>
    </row>
    <row r="387" ht="18.0" customHeight="1">
      <c r="A387" s="7">
        <v>44524.0</v>
      </c>
      <c r="B387" s="8">
        <v>44524.66667824074</v>
      </c>
      <c r="C387" s="6" t="s">
        <v>26</v>
      </c>
      <c r="D387" s="6" t="s">
        <v>1183</v>
      </c>
      <c r="E387" s="6" t="s">
        <v>28</v>
      </c>
      <c r="F387" s="6" t="s">
        <v>34</v>
      </c>
      <c r="G387" s="6" t="s">
        <v>1184</v>
      </c>
      <c r="H387" s="9" t="s">
        <v>1185</v>
      </c>
      <c r="I387" s="10">
        <v>1.0</v>
      </c>
      <c r="J387" s="10">
        <v>255.0</v>
      </c>
      <c r="K387" s="10">
        <v>264.0</v>
      </c>
      <c r="L387" s="10">
        <v>24.0</v>
      </c>
      <c r="M387" s="10">
        <v>10.0</v>
      </c>
      <c r="N387" s="10">
        <v>255.0</v>
      </c>
      <c r="O387" s="6" t="s">
        <v>31</v>
      </c>
      <c r="P387" s="11">
        <f t="shared" si="1"/>
        <v>903</v>
      </c>
    </row>
    <row r="388" ht="18.0" customHeight="1">
      <c r="A388" s="7">
        <v>44477.0</v>
      </c>
      <c r="B388" s="8">
        <v>44477.722233796296</v>
      </c>
      <c r="C388" s="6" t="s">
        <v>50</v>
      </c>
      <c r="D388" s="6" t="s">
        <v>1186</v>
      </c>
      <c r="E388" s="6" t="s">
        <v>33</v>
      </c>
      <c r="G388" s="6" t="s">
        <v>1187</v>
      </c>
      <c r="H388" s="9" t="s">
        <v>1188</v>
      </c>
      <c r="I388" s="10">
        <v>1.0</v>
      </c>
      <c r="J388" s="10">
        <v>93.0</v>
      </c>
      <c r="K388" s="10">
        <v>93.0</v>
      </c>
      <c r="L388" s="10">
        <v>1.0</v>
      </c>
      <c r="M388" s="10">
        <v>1.0</v>
      </c>
      <c r="N388" s="10">
        <v>93.0</v>
      </c>
      <c r="O388" s="6" t="s">
        <v>53</v>
      </c>
      <c r="P388" s="11">
        <f t="shared" si="1"/>
        <v>904</v>
      </c>
    </row>
    <row r="389" ht="18.0" customHeight="1">
      <c r="A389" s="7">
        <v>44476.0</v>
      </c>
      <c r="B389" s="8">
        <v>44476.69006944444</v>
      </c>
      <c r="C389" s="6" t="s">
        <v>50</v>
      </c>
      <c r="D389" s="6" t="s">
        <v>1189</v>
      </c>
      <c r="E389" s="6" t="s">
        <v>33</v>
      </c>
      <c r="G389" s="6" t="s">
        <v>1190</v>
      </c>
      <c r="H389" s="9" t="s">
        <v>1191</v>
      </c>
      <c r="I389" s="10">
        <v>1.0</v>
      </c>
      <c r="J389" s="10">
        <v>63.0</v>
      </c>
      <c r="K389" s="10">
        <v>63.0</v>
      </c>
      <c r="L389" s="10">
        <v>0.0</v>
      </c>
      <c r="M389" s="10">
        <v>7.0</v>
      </c>
      <c r="N389" s="10">
        <v>63.0</v>
      </c>
      <c r="O389" s="6" t="s">
        <v>53</v>
      </c>
      <c r="P389" s="11">
        <f t="shared" si="1"/>
        <v>905</v>
      </c>
    </row>
    <row r="390" ht="18.0" customHeight="1">
      <c r="A390" s="7">
        <v>44515.0</v>
      </c>
      <c r="B390" s="8">
        <v>44515.65321759259</v>
      </c>
      <c r="C390" s="6" t="s">
        <v>50</v>
      </c>
      <c r="D390" s="6" t="s">
        <v>1192</v>
      </c>
      <c r="E390" s="6" t="s">
        <v>28</v>
      </c>
      <c r="F390" s="6" t="s">
        <v>34</v>
      </c>
      <c r="G390" s="6" t="s">
        <v>1193</v>
      </c>
      <c r="H390" s="9" t="s">
        <v>1194</v>
      </c>
      <c r="I390" s="10">
        <v>1.0</v>
      </c>
      <c r="J390" s="10">
        <v>482.0</v>
      </c>
      <c r="K390" s="10">
        <v>489.0</v>
      </c>
      <c r="L390" s="10">
        <v>0.0</v>
      </c>
      <c r="M390" s="10">
        <v>6.0</v>
      </c>
      <c r="N390" s="10">
        <v>482.0</v>
      </c>
      <c r="O390" s="6" t="s">
        <v>53</v>
      </c>
      <c r="P390" s="11">
        <f t="shared" si="1"/>
        <v>908</v>
      </c>
    </row>
    <row r="391" ht="18.0" customHeight="1">
      <c r="A391" s="7">
        <v>44473.0</v>
      </c>
      <c r="B391" s="8">
        <v>44473.458344907405</v>
      </c>
      <c r="C391" s="6" t="s">
        <v>26</v>
      </c>
      <c r="D391" s="6" t="s">
        <v>1195</v>
      </c>
      <c r="E391" s="6" t="s">
        <v>28</v>
      </c>
      <c r="F391" s="6" t="s">
        <v>34</v>
      </c>
      <c r="G391" s="6" t="s">
        <v>1196</v>
      </c>
      <c r="H391" s="9" t="s">
        <v>1197</v>
      </c>
      <c r="I391" s="10">
        <v>1.0</v>
      </c>
      <c r="J391" s="10">
        <v>307.0</v>
      </c>
      <c r="K391" s="10">
        <v>316.0</v>
      </c>
      <c r="L391" s="10">
        <v>56.0</v>
      </c>
      <c r="M391" s="10">
        <v>7.0</v>
      </c>
      <c r="N391" s="10">
        <v>307.0</v>
      </c>
      <c r="O391" s="6" t="s">
        <v>31</v>
      </c>
      <c r="P391" s="11">
        <f t="shared" si="1"/>
        <v>910</v>
      </c>
    </row>
    <row r="392" ht="18.0" customHeight="1">
      <c r="A392" s="7">
        <v>44482.0</v>
      </c>
      <c r="B392" s="8">
        <v>44482.50001157408</v>
      </c>
      <c r="C392" s="6" t="s">
        <v>26</v>
      </c>
      <c r="D392" s="6" t="s">
        <v>1198</v>
      </c>
      <c r="E392" s="6" t="s">
        <v>28</v>
      </c>
      <c r="F392" s="6" t="s">
        <v>34</v>
      </c>
      <c r="G392" s="6" t="s">
        <v>1199</v>
      </c>
      <c r="H392" s="9" t="s">
        <v>1200</v>
      </c>
      <c r="I392" s="10">
        <v>1.0</v>
      </c>
      <c r="J392" s="10">
        <v>226.0</v>
      </c>
      <c r="K392" s="10">
        <v>234.0</v>
      </c>
      <c r="L392" s="10">
        <v>32.0</v>
      </c>
      <c r="M392" s="10">
        <v>9.0</v>
      </c>
      <c r="N392" s="10">
        <v>226.0</v>
      </c>
      <c r="O392" s="6" t="s">
        <v>31</v>
      </c>
      <c r="P392" s="11">
        <f t="shared" si="1"/>
        <v>910</v>
      </c>
    </row>
    <row r="393" ht="18.0" customHeight="1">
      <c r="A393" s="7">
        <v>44486.0</v>
      </c>
      <c r="B393" s="8">
        <v>44486.458333333336</v>
      </c>
      <c r="C393" s="6" t="s">
        <v>26</v>
      </c>
      <c r="D393" s="6" t="s">
        <v>1201</v>
      </c>
      <c r="E393" s="6" t="s">
        <v>28</v>
      </c>
      <c r="F393" s="6" t="s">
        <v>34</v>
      </c>
      <c r="G393" s="6" t="s">
        <v>1202</v>
      </c>
      <c r="H393" s="9" t="s">
        <v>1203</v>
      </c>
      <c r="I393" s="10">
        <v>1.0</v>
      </c>
      <c r="J393" s="10">
        <v>158.0</v>
      </c>
      <c r="K393" s="10">
        <v>162.0</v>
      </c>
      <c r="L393" s="10">
        <v>14.0</v>
      </c>
      <c r="M393" s="10">
        <v>1.0</v>
      </c>
      <c r="N393" s="10">
        <v>158.0</v>
      </c>
      <c r="O393" s="6" t="s">
        <v>31</v>
      </c>
      <c r="P393" s="11">
        <f t="shared" si="1"/>
        <v>911</v>
      </c>
    </row>
    <row r="394" ht="18.0" customHeight="1">
      <c r="A394" s="7">
        <v>44498.0</v>
      </c>
      <c r="B394" s="8">
        <v>44498.45837962963</v>
      </c>
      <c r="C394" s="6" t="s">
        <v>26</v>
      </c>
      <c r="D394" s="6" t="s">
        <v>1204</v>
      </c>
      <c r="E394" s="6" t="s">
        <v>28</v>
      </c>
      <c r="F394" s="6" t="s">
        <v>34</v>
      </c>
      <c r="G394" s="6" t="s">
        <v>1205</v>
      </c>
      <c r="H394" s="9" t="s">
        <v>1206</v>
      </c>
      <c r="I394" s="10">
        <v>1.0</v>
      </c>
      <c r="J394" s="10">
        <v>172.0</v>
      </c>
      <c r="K394" s="10">
        <v>178.0</v>
      </c>
      <c r="L394" s="10">
        <v>33.0</v>
      </c>
      <c r="M394" s="10">
        <v>1.0</v>
      </c>
      <c r="N394" s="10">
        <v>172.0</v>
      </c>
      <c r="O394" s="6" t="s">
        <v>31</v>
      </c>
      <c r="P394" s="11">
        <f t="shared" si="1"/>
        <v>911</v>
      </c>
    </row>
    <row r="395" ht="18.0" customHeight="1">
      <c r="A395" s="7">
        <v>44490.0</v>
      </c>
      <c r="B395" s="8">
        <v>44490.45836805556</v>
      </c>
      <c r="C395" s="6" t="s">
        <v>26</v>
      </c>
      <c r="D395" s="6" t="s">
        <v>1207</v>
      </c>
      <c r="E395" s="6" t="s">
        <v>28</v>
      </c>
      <c r="F395" s="6" t="s">
        <v>34</v>
      </c>
      <c r="G395" s="6" t="s">
        <v>1208</v>
      </c>
      <c r="H395" s="9" t="s">
        <v>1209</v>
      </c>
      <c r="I395" s="10">
        <v>1.0</v>
      </c>
      <c r="J395" s="10">
        <v>186.0</v>
      </c>
      <c r="K395" s="10">
        <v>191.0</v>
      </c>
      <c r="L395" s="10">
        <v>30.0</v>
      </c>
      <c r="M395" s="10">
        <v>5.0</v>
      </c>
      <c r="N395" s="10">
        <v>186.0</v>
      </c>
      <c r="O395" s="6" t="s">
        <v>31</v>
      </c>
      <c r="P395" s="11">
        <f t="shared" si="1"/>
        <v>916</v>
      </c>
    </row>
    <row r="396" ht="18.0" customHeight="1">
      <c r="A396" s="7">
        <v>44550.0</v>
      </c>
      <c r="B396" s="8">
        <v>44550.416666666664</v>
      </c>
      <c r="C396" s="6" t="s">
        <v>26</v>
      </c>
      <c r="D396" s="6" t="s">
        <v>1210</v>
      </c>
      <c r="E396" s="6" t="s">
        <v>28</v>
      </c>
      <c r="F396" s="6" t="s">
        <v>34</v>
      </c>
      <c r="G396" s="6" t="s">
        <v>1211</v>
      </c>
      <c r="H396" s="9" t="s">
        <v>1212</v>
      </c>
      <c r="I396" s="10">
        <v>1.0</v>
      </c>
      <c r="J396" s="10">
        <v>190.0</v>
      </c>
      <c r="K396" s="10">
        <v>194.0</v>
      </c>
      <c r="L396" s="10">
        <v>30.0</v>
      </c>
      <c r="M396" s="10">
        <v>6.0</v>
      </c>
      <c r="N396" s="10">
        <v>190.0</v>
      </c>
      <c r="O396" s="6" t="s">
        <v>31</v>
      </c>
      <c r="P396" s="11">
        <f t="shared" si="1"/>
        <v>918</v>
      </c>
    </row>
    <row r="397" ht="18.0" customHeight="1">
      <c r="A397" s="7">
        <v>44518.0</v>
      </c>
      <c r="B397" s="8">
        <v>44518.708333333336</v>
      </c>
      <c r="C397" s="6" t="s">
        <v>26</v>
      </c>
      <c r="D397" s="6" t="s">
        <v>1213</v>
      </c>
      <c r="E397" s="6" t="s">
        <v>28</v>
      </c>
      <c r="F397" s="6" t="s">
        <v>34</v>
      </c>
      <c r="G397" s="6" t="s">
        <v>1214</v>
      </c>
      <c r="H397" s="9" t="s">
        <v>1215</v>
      </c>
      <c r="I397" s="10">
        <v>1.0</v>
      </c>
      <c r="J397" s="10">
        <v>447.0</v>
      </c>
      <c r="K397" s="10">
        <v>465.0</v>
      </c>
      <c r="L397" s="10">
        <v>36.0</v>
      </c>
      <c r="M397" s="10">
        <v>5.0</v>
      </c>
      <c r="N397" s="10">
        <v>447.0</v>
      </c>
      <c r="O397" s="6" t="s">
        <v>31</v>
      </c>
      <c r="P397" s="11">
        <f t="shared" si="1"/>
        <v>919</v>
      </c>
    </row>
    <row r="398" ht="18.0" customHeight="1">
      <c r="A398" s="7">
        <v>44478.0</v>
      </c>
      <c r="B398" s="8">
        <v>44478.71833333333</v>
      </c>
      <c r="C398" s="6" t="s">
        <v>50</v>
      </c>
      <c r="D398" s="6" t="s">
        <v>1216</v>
      </c>
      <c r="E398" s="6" t="s">
        <v>33</v>
      </c>
      <c r="G398" s="6" t="s">
        <v>1217</v>
      </c>
      <c r="H398" s="9" t="s">
        <v>1218</v>
      </c>
      <c r="I398" s="10">
        <v>1.0</v>
      </c>
      <c r="J398" s="10">
        <v>39.0</v>
      </c>
      <c r="K398" s="10">
        <v>39.0</v>
      </c>
      <c r="L398" s="10">
        <v>0.0</v>
      </c>
      <c r="M398" s="10">
        <v>3.0</v>
      </c>
      <c r="N398" s="10">
        <v>39.0</v>
      </c>
      <c r="O398" s="6" t="s">
        <v>53</v>
      </c>
      <c r="P398" s="11">
        <f t="shared" si="1"/>
        <v>919</v>
      </c>
    </row>
    <row r="399" ht="18.0" customHeight="1">
      <c r="A399" s="7">
        <v>44500.0</v>
      </c>
      <c r="B399" s="8">
        <v>44500.45837962963</v>
      </c>
      <c r="C399" s="6" t="s">
        <v>26</v>
      </c>
      <c r="D399" s="6" t="s">
        <v>1219</v>
      </c>
      <c r="E399" s="6" t="s">
        <v>28</v>
      </c>
      <c r="F399" s="6" t="s">
        <v>34</v>
      </c>
      <c r="G399" s="6" t="s">
        <v>1220</v>
      </c>
      <c r="H399" s="9" t="s">
        <v>1221</v>
      </c>
      <c r="I399" s="10">
        <v>1.0</v>
      </c>
      <c r="J399" s="10">
        <v>157.0</v>
      </c>
      <c r="K399" s="10">
        <v>163.0</v>
      </c>
      <c r="L399" s="10">
        <v>30.0</v>
      </c>
      <c r="M399" s="10">
        <v>3.0</v>
      </c>
      <c r="N399" s="10">
        <v>157.0</v>
      </c>
      <c r="O399" s="6" t="s">
        <v>31</v>
      </c>
      <c r="P399" s="11">
        <f t="shared" si="1"/>
        <v>920</v>
      </c>
    </row>
    <row r="400" ht="18.0" customHeight="1">
      <c r="A400" s="7">
        <v>44483.0</v>
      </c>
      <c r="B400" s="8">
        <v>44483.79560185185</v>
      </c>
      <c r="C400" s="6" t="s">
        <v>26</v>
      </c>
      <c r="D400" s="6" t="s">
        <v>1222</v>
      </c>
      <c r="E400" s="6" t="s">
        <v>61</v>
      </c>
      <c r="F400" s="6" t="s">
        <v>76</v>
      </c>
      <c r="G400" s="6" t="s">
        <v>1223</v>
      </c>
      <c r="H400" s="9" t="s">
        <v>1224</v>
      </c>
      <c r="I400" s="10">
        <v>1.0</v>
      </c>
      <c r="J400" s="10">
        <v>852.0</v>
      </c>
      <c r="K400" s="10">
        <v>901.0</v>
      </c>
      <c r="L400" s="10">
        <v>31.0</v>
      </c>
      <c r="M400" s="10">
        <v>41.0</v>
      </c>
      <c r="N400" s="10">
        <v>852.0</v>
      </c>
      <c r="O400" s="6" t="s">
        <v>31</v>
      </c>
      <c r="P400" s="11">
        <f t="shared" si="1"/>
        <v>922</v>
      </c>
    </row>
    <row r="401" ht="18.0" customHeight="1">
      <c r="A401" s="7">
        <v>44553.0</v>
      </c>
      <c r="B401" s="8">
        <v>44553.416666666664</v>
      </c>
      <c r="C401" s="6" t="s">
        <v>26</v>
      </c>
      <c r="D401" s="6" t="s">
        <v>1225</v>
      </c>
      <c r="E401" s="6" t="s">
        <v>28</v>
      </c>
      <c r="F401" s="6" t="s">
        <v>34</v>
      </c>
      <c r="G401" s="6" t="s">
        <v>1226</v>
      </c>
      <c r="H401" s="9" t="s">
        <v>1227</v>
      </c>
      <c r="I401" s="10">
        <v>1.0</v>
      </c>
      <c r="J401" s="10">
        <v>177.0</v>
      </c>
      <c r="K401" s="10">
        <v>180.0</v>
      </c>
      <c r="L401" s="10">
        <v>16.0</v>
      </c>
      <c r="N401" s="10">
        <v>177.0</v>
      </c>
      <c r="O401" s="6" t="s">
        <v>31</v>
      </c>
      <c r="P401" s="11">
        <f t="shared" si="1"/>
        <v>928</v>
      </c>
    </row>
    <row r="402" ht="18.0" customHeight="1">
      <c r="A402" s="7">
        <v>44547.0</v>
      </c>
      <c r="B402" s="8">
        <v>44547.333333333336</v>
      </c>
      <c r="C402" s="6" t="s">
        <v>26</v>
      </c>
      <c r="D402" s="6" t="s">
        <v>1228</v>
      </c>
      <c r="E402" s="6" t="s">
        <v>28</v>
      </c>
      <c r="F402" s="6" t="s">
        <v>34</v>
      </c>
      <c r="G402" s="6" t="s">
        <v>1229</v>
      </c>
      <c r="H402" s="9" t="s">
        <v>1230</v>
      </c>
      <c r="I402" s="10">
        <v>1.0</v>
      </c>
      <c r="J402" s="10">
        <v>206.0</v>
      </c>
      <c r="K402" s="10">
        <v>218.0</v>
      </c>
      <c r="L402" s="10">
        <v>23.0</v>
      </c>
      <c r="M402" s="10">
        <v>3.0</v>
      </c>
      <c r="N402" s="10">
        <v>206.0</v>
      </c>
      <c r="O402" s="6" t="s">
        <v>31</v>
      </c>
      <c r="P402" s="11">
        <f t="shared" si="1"/>
        <v>933</v>
      </c>
    </row>
    <row r="403" ht="18.0" customHeight="1">
      <c r="A403" s="7">
        <v>44548.0</v>
      </c>
      <c r="B403" s="8">
        <v>44548.625</v>
      </c>
      <c r="C403" s="6" t="s">
        <v>26</v>
      </c>
      <c r="D403" s="6" t="s">
        <v>1231</v>
      </c>
      <c r="E403" s="6" t="s">
        <v>28</v>
      </c>
      <c r="F403" s="6" t="s">
        <v>34</v>
      </c>
      <c r="G403" s="6" t="s">
        <v>1232</v>
      </c>
      <c r="H403" s="9" t="s">
        <v>1233</v>
      </c>
      <c r="I403" s="10">
        <v>1.0</v>
      </c>
      <c r="J403" s="10">
        <v>162.0</v>
      </c>
      <c r="K403" s="10">
        <v>167.0</v>
      </c>
      <c r="L403" s="10">
        <v>25.0</v>
      </c>
      <c r="M403" s="10">
        <v>4.0</v>
      </c>
      <c r="N403" s="10">
        <v>162.0</v>
      </c>
      <c r="O403" s="6" t="s">
        <v>31</v>
      </c>
      <c r="P403" s="11">
        <f t="shared" si="1"/>
        <v>935</v>
      </c>
    </row>
    <row r="404" ht="18.0" customHeight="1">
      <c r="A404" s="7">
        <v>44551.0</v>
      </c>
      <c r="B404" s="8">
        <v>44551.583333333336</v>
      </c>
      <c r="C404" s="6" t="s">
        <v>26</v>
      </c>
      <c r="D404" s="6" t="s">
        <v>1234</v>
      </c>
      <c r="E404" s="6" t="s">
        <v>28</v>
      </c>
      <c r="F404" s="6" t="s">
        <v>229</v>
      </c>
      <c r="G404" s="6" t="s">
        <v>1235</v>
      </c>
      <c r="H404" s="9" t="s">
        <v>1236</v>
      </c>
      <c r="I404" s="10">
        <v>1.0</v>
      </c>
      <c r="J404" s="10">
        <v>1252.0</v>
      </c>
      <c r="K404" s="10">
        <v>1332.0</v>
      </c>
      <c r="L404" s="10">
        <v>90.0</v>
      </c>
      <c r="M404" s="10">
        <v>173.0</v>
      </c>
      <c r="N404" s="10">
        <v>1252.0</v>
      </c>
      <c r="O404" s="6" t="s">
        <v>31</v>
      </c>
      <c r="P404" s="11">
        <f t="shared" si="1"/>
        <v>939</v>
      </c>
    </row>
    <row r="405" ht="18.0" customHeight="1">
      <c r="A405" s="7">
        <v>44503.0</v>
      </c>
      <c r="B405" s="8">
        <v>44503.65280092593</v>
      </c>
      <c r="C405" s="6" t="s">
        <v>50</v>
      </c>
      <c r="D405" s="6" t="s">
        <v>1237</v>
      </c>
      <c r="E405" s="6" t="s">
        <v>28</v>
      </c>
      <c r="F405" s="6" t="s">
        <v>34</v>
      </c>
      <c r="G405" s="6" t="s">
        <v>1238</v>
      </c>
      <c r="H405" s="9" t="s">
        <v>1239</v>
      </c>
      <c r="I405" s="10">
        <v>1.0</v>
      </c>
      <c r="J405" s="10">
        <v>655.0</v>
      </c>
      <c r="K405" s="10">
        <v>661.0</v>
      </c>
      <c r="L405" s="10">
        <v>4.0</v>
      </c>
      <c r="M405" s="10">
        <v>7.0</v>
      </c>
      <c r="N405" s="10">
        <v>655.0</v>
      </c>
      <c r="O405" s="6" t="s">
        <v>53</v>
      </c>
      <c r="P405" s="11">
        <f t="shared" si="1"/>
        <v>954</v>
      </c>
    </row>
    <row r="406" ht="18.0" customHeight="1">
      <c r="A406" s="7">
        <v>44506.0</v>
      </c>
      <c r="B406" s="8">
        <v>44506.49736111111</v>
      </c>
      <c r="C406" s="6" t="s">
        <v>50</v>
      </c>
      <c r="D406" s="6" t="s">
        <v>1240</v>
      </c>
      <c r="E406" s="6" t="s">
        <v>28</v>
      </c>
      <c r="F406" s="6" t="s">
        <v>34</v>
      </c>
      <c r="G406" s="6" t="s">
        <v>1241</v>
      </c>
      <c r="H406" s="9" t="s">
        <v>1242</v>
      </c>
      <c r="I406" s="10">
        <v>1.0</v>
      </c>
      <c r="J406" s="10">
        <v>931.0</v>
      </c>
      <c r="K406" s="10">
        <v>943.0</v>
      </c>
      <c r="L406" s="10">
        <v>19.0</v>
      </c>
      <c r="M406" s="10">
        <v>20.0</v>
      </c>
      <c r="N406" s="10">
        <v>931.0</v>
      </c>
      <c r="O406" s="6" t="s">
        <v>53</v>
      </c>
      <c r="P406" s="11">
        <f t="shared" si="1"/>
        <v>958</v>
      </c>
    </row>
    <row r="407" ht="18.0" customHeight="1">
      <c r="A407" s="7">
        <v>44516.0</v>
      </c>
      <c r="B407" s="8">
        <v>44516.750023148146</v>
      </c>
      <c r="C407" s="6" t="s">
        <v>50</v>
      </c>
      <c r="D407" s="6" t="s">
        <v>1243</v>
      </c>
      <c r="E407" s="6" t="s">
        <v>61</v>
      </c>
      <c r="F407" s="6" t="s">
        <v>62</v>
      </c>
      <c r="G407" s="6" t="s">
        <v>1244</v>
      </c>
      <c r="H407" s="9" t="s">
        <v>1245</v>
      </c>
      <c r="I407" s="10">
        <v>1.0</v>
      </c>
      <c r="J407" s="10">
        <v>493.0</v>
      </c>
      <c r="K407" s="10">
        <v>501.0</v>
      </c>
      <c r="L407" s="10">
        <v>10.0</v>
      </c>
      <c r="M407" s="10">
        <v>41.0</v>
      </c>
      <c r="N407" s="10">
        <v>493.0</v>
      </c>
      <c r="O407" s="6" t="s">
        <v>53</v>
      </c>
      <c r="P407" s="11">
        <f t="shared" si="1"/>
        <v>964</v>
      </c>
    </row>
    <row r="408" ht="18.0" customHeight="1">
      <c r="A408" s="7">
        <v>44514.0</v>
      </c>
      <c r="B408" s="8">
        <v>44514.708344907405</v>
      </c>
      <c r="C408" s="6" t="s">
        <v>50</v>
      </c>
      <c r="D408" s="6" t="s">
        <v>1246</v>
      </c>
      <c r="E408" s="6" t="s">
        <v>28</v>
      </c>
      <c r="F408" s="6" t="s">
        <v>34</v>
      </c>
      <c r="G408" s="6" t="s">
        <v>1247</v>
      </c>
      <c r="H408" s="9" t="s">
        <v>1248</v>
      </c>
      <c r="I408" s="10">
        <v>1.0</v>
      </c>
      <c r="J408" s="10">
        <v>1306.0</v>
      </c>
      <c r="K408" s="10">
        <v>1324.0</v>
      </c>
      <c r="L408" s="10">
        <v>15.0</v>
      </c>
      <c r="M408" s="10">
        <v>33.0</v>
      </c>
      <c r="N408" s="10">
        <v>1306.0</v>
      </c>
      <c r="O408" s="6" t="s">
        <v>53</v>
      </c>
      <c r="P408" s="11">
        <f t="shared" si="1"/>
        <v>965</v>
      </c>
    </row>
    <row r="409" ht="18.0" customHeight="1">
      <c r="A409" s="7">
        <v>44502.0</v>
      </c>
      <c r="B409" s="8">
        <v>44502.77284722222</v>
      </c>
      <c r="C409" s="6" t="s">
        <v>50</v>
      </c>
      <c r="D409" s="6" t="s">
        <v>1249</v>
      </c>
      <c r="E409" s="6" t="s">
        <v>61</v>
      </c>
      <c r="F409" s="6" t="s">
        <v>62</v>
      </c>
      <c r="G409" s="6" t="s">
        <v>1250</v>
      </c>
      <c r="H409" s="9" t="s">
        <v>1251</v>
      </c>
      <c r="I409" s="10">
        <v>1.0</v>
      </c>
      <c r="J409" s="10">
        <v>1327.0</v>
      </c>
      <c r="K409" s="10">
        <v>1740.0</v>
      </c>
      <c r="L409" s="10">
        <v>742.0</v>
      </c>
      <c r="M409" s="10">
        <v>268.0</v>
      </c>
      <c r="N409" s="10">
        <v>1327.0</v>
      </c>
      <c r="O409" s="6" t="s">
        <v>53</v>
      </c>
      <c r="P409" s="11">
        <f t="shared" si="1"/>
        <v>971</v>
      </c>
    </row>
    <row r="410" ht="18.0" customHeight="1">
      <c r="A410" s="7">
        <v>44525.0</v>
      </c>
      <c r="B410" s="8">
        <v>44525.500023148146</v>
      </c>
      <c r="C410" s="6" t="s">
        <v>26</v>
      </c>
      <c r="D410" s="6" t="s">
        <v>1252</v>
      </c>
      <c r="E410" s="6" t="s">
        <v>28</v>
      </c>
      <c r="F410" s="6" t="s">
        <v>34</v>
      </c>
      <c r="G410" s="6" t="s">
        <v>1253</v>
      </c>
      <c r="H410" s="9" t="s">
        <v>1254</v>
      </c>
      <c r="I410" s="10">
        <v>1.0</v>
      </c>
      <c r="J410" s="10">
        <v>208.0</v>
      </c>
      <c r="K410" s="10">
        <v>214.0</v>
      </c>
      <c r="L410" s="10">
        <v>17.0</v>
      </c>
      <c r="M410" s="10">
        <v>2.0</v>
      </c>
      <c r="N410" s="10">
        <v>208.0</v>
      </c>
      <c r="O410" s="6" t="s">
        <v>31</v>
      </c>
      <c r="P410" s="11">
        <f t="shared" si="1"/>
        <v>972</v>
      </c>
    </row>
    <row r="411" ht="18.0" customHeight="1">
      <c r="A411" s="7">
        <v>44517.0</v>
      </c>
      <c r="B411" s="8">
        <v>44517.541666666664</v>
      </c>
      <c r="C411" s="6" t="s">
        <v>26</v>
      </c>
      <c r="D411" s="6" t="s">
        <v>1255</v>
      </c>
      <c r="E411" s="6" t="s">
        <v>28</v>
      </c>
      <c r="F411" s="6" t="s">
        <v>34</v>
      </c>
      <c r="G411" s="6" t="s">
        <v>1256</v>
      </c>
      <c r="H411" s="9" t="s">
        <v>1257</v>
      </c>
      <c r="I411" s="10">
        <v>1.0</v>
      </c>
      <c r="J411" s="10">
        <v>219.0</v>
      </c>
      <c r="K411" s="10">
        <v>228.0</v>
      </c>
      <c r="L411" s="10">
        <v>33.0</v>
      </c>
      <c r="M411" s="10">
        <v>5.0</v>
      </c>
      <c r="N411" s="10">
        <v>219.0</v>
      </c>
      <c r="O411" s="6" t="s">
        <v>31</v>
      </c>
      <c r="P411" s="11">
        <f t="shared" si="1"/>
        <v>974</v>
      </c>
    </row>
    <row r="412" ht="18.0" customHeight="1">
      <c r="A412" s="7">
        <v>44528.0</v>
      </c>
      <c r="B412" s="8">
        <v>44528.458344907405</v>
      </c>
      <c r="C412" s="6" t="s">
        <v>26</v>
      </c>
      <c r="D412" s="6" t="s">
        <v>1258</v>
      </c>
      <c r="E412" s="6" t="s">
        <v>28</v>
      </c>
      <c r="F412" s="6" t="s">
        <v>34</v>
      </c>
      <c r="G412" s="6" t="s">
        <v>1259</v>
      </c>
      <c r="H412" s="9" t="s">
        <v>1260</v>
      </c>
      <c r="I412" s="10">
        <v>1.0</v>
      </c>
      <c r="J412" s="10">
        <v>479.0</v>
      </c>
      <c r="K412" s="10">
        <v>496.0</v>
      </c>
      <c r="L412" s="10">
        <v>60.0</v>
      </c>
      <c r="M412" s="10">
        <v>11.0</v>
      </c>
      <c r="N412" s="10">
        <v>479.0</v>
      </c>
      <c r="O412" s="6" t="s">
        <v>31</v>
      </c>
      <c r="P412" s="11">
        <f t="shared" si="1"/>
        <v>980</v>
      </c>
    </row>
    <row r="413" ht="18.0" customHeight="1">
      <c r="A413" s="7">
        <v>44521.0</v>
      </c>
      <c r="B413" s="8">
        <v>44521.41668981482</v>
      </c>
      <c r="C413" s="6" t="s">
        <v>26</v>
      </c>
      <c r="D413" s="6" t="s">
        <v>1261</v>
      </c>
      <c r="E413" s="6" t="s">
        <v>28</v>
      </c>
      <c r="F413" s="6" t="s">
        <v>34</v>
      </c>
      <c r="G413" s="6" t="s">
        <v>1262</v>
      </c>
      <c r="H413" s="9" t="s">
        <v>1263</v>
      </c>
      <c r="I413" s="10">
        <v>1.0</v>
      </c>
      <c r="J413" s="10">
        <v>203.0</v>
      </c>
      <c r="K413" s="10">
        <v>212.0</v>
      </c>
      <c r="L413" s="10">
        <v>33.0</v>
      </c>
      <c r="M413" s="10">
        <v>4.0</v>
      </c>
      <c r="N413" s="10">
        <v>203.0</v>
      </c>
      <c r="O413" s="6" t="s">
        <v>31</v>
      </c>
      <c r="P413" s="11">
        <f t="shared" si="1"/>
        <v>984</v>
      </c>
    </row>
    <row r="414" ht="18.0" customHeight="1">
      <c r="A414" s="7">
        <v>44548.0</v>
      </c>
      <c r="B414" s="8">
        <v>44548.541666666664</v>
      </c>
      <c r="C414" s="6" t="s">
        <v>26</v>
      </c>
      <c r="D414" s="6" t="s">
        <v>1264</v>
      </c>
      <c r="E414" s="6" t="s">
        <v>28</v>
      </c>
      <c r="F414" s="6" t="s">
        <v>34</v>
      </c>
      <c r="G414" s="6" t="s">
        <v>1265</v>
      </c>
      <c r="H414" s="9" t="s">
        <v>1266</v>
      </c>
      <c r="I414" s="10">
        <v>1.0</v>
      </c>
      <c r="J414" s="10">
        <v>7253.0</v>
      </c>
      <c r="K414" s="10">
        <v>7680.0</v>
      </c>
      <c r="L414" s="10">
        <v>724.0</v>
      </c>
      <c r="M414" s="10">
        <v>247.0</v>
      </c>
      <c r="N414" s="10">
        <v>7253.0</v>
      </c>
      <c r="O414" s="6" t="s">
        <v>31</v>
      </c>
      <c r="P414" s="11">
        <f t="shared" si="1"/>
        <v>987</v>
      </c>
    </row>
    <row r="415" ht="18.0" customHeight="1">
      <c r="A415" s="7">
        <v>44553.0</v>
      </c>
      <c r="B415" s="8">
        <v>44553.583333333336</v>
      </c>
      <c r="C415" s="6" t="s">
        <v>26</v>
      </c>
      <c r="D415" s="6" t="s">
        <v>1267</v>
      </c>
      <c r="E415" s="6" t="s">
        <v>28</v>
      </c>
      <c r="F415" s="6" t="s">
        <v>34</v>
      </c>
      <c r="G415" s="6" t="s">
        <v>1268</v>
      </c>
      <c r="H415" s="9" t="s">
        <v>1269</v>
      </c>
      <c r="I415" s="10">
        <v>1.0</v>
      </c>
      <c r="J415" s="10">
        <v>4518.0</v>
      </c>
      <c r="K415" s="10">
        <v>4546.0</v>
      </c>
      <c r="L415" s="10">
        <v>29.0</v>
      </c>
      <c r="M415" s="10">
        <v>18.0</v>
      </c>
      <c r="N415" s="10">
        <v>4518.0</v>
      </c>
      <c r="O415" s="6" t="s">
        <v>31</v>
      </c>
      <c r="P415" s="11">
        <f t="shared" si="1"/>
        <v>990</v>
      </c>
    </row>
    <row r="416" ht="18.0" customHeight="1">
      <c r="A416" s="7">
        <v>44504.0</v>
      </c>
      <c r="B416" s="8">
        <v>44504.7671875</v>
      </c>
      <c r="C416" s="6" t="s">
        <v>50</v>
      </c>
      <c r="D416" s="6" t="s">
        <v>1270</v>
      </c>
      <c r="E416" s="6" t="s">
        <v>61</v>
      </c>
      <c r="F416" s="6" t="s">
        <v>62</v>
      </c>
      <c r="G416" s="6" t="s">
        <v>1271</v>
      </c>
      <c r="H416" s="9" t="s">
        <v>1272</v>
      </c>
      <c r="I416" s="10">
        <v>1.0</v>
      </c>
      <c r="J416" s="10">
        <v>959.0</v>
      </c>
      <c r="K416" s="10">
        <v>1289.0</v>
      </c>
      <c r="L416" s="10">
        <v>919.0</v>
      </c>
      <c r="M416" s="10">
        <v>145.0</v>
      </c>
      <c r="N416" s="10">
        <v>959.0</v>
      </c>
      <c r="O416" s="6" t="s">
        <v>53</v>
      </c>
      <c r="P416" s="11">
        <f t="shared" si="1"/>
        <v>993</v>
      </c>
    </row>
    <row r="417" ht="18.0" customHeight="1">
      <c r="A417" s="7">
        <v>44506.0</v>
      </c>
      <c r="B417" s="8">
        <v>44506.762025462966</v>
      </c>
      <c r="C417" s="6" t="s">
        <v>50</v>
      </c>
      <c r="D417" s="6" t="s">
        <v>1273</v>
      </c>
      <c r="E417" s="6" t="s">
        <v>61</v>
      </c>
      <c r="F417" s="6" t="s">
        <v>62</v>
      </c>
      <c r="G417" s="6" t="s">
        <v>1274</v>
      </c>
      <c r="H417" s="9" t="s">
        <v>1275</v>
      </c>
      <c r="I417" s="10">
        <v>1.0</v>
      </c>
      <c r="J417" s="10">
        <v>731.0</v>
      </c>
      <c r="K417" s="10">
        <v>975.0</v>
      </c>
      <c r="L417" s="10">
        <v>347.0</v>
      </c>
      <c r="M417" s="10">
        <v>113.0</v>
      </c>
      <c r="N417" s="10">
        <v>731.0</v>
      </c>
      <c r="O417" s="6" t="s">
        <v>53</v>
      </c>
      <c r="P417" s="11">
        <f t="shared" si="1"/>
        <v>993</v>
      </c>
    </row>
    <row r="418" ht="18.0" customHeight="1">
      <c r="A418" s="7">
        <v>44503.0</v>
      </c>
      <c r="B418" s="8">
        <v>44503.77442129629</v>
      </c>
      <c r="C418" s="6" t="s">
        <v>50</v>
      </c>
      <c r="D418" s="6" t="s">
        <v>1276</v>
      </c>
      <c r="E418" s="6" t="s">
        <v>61</v>
      </c>
      <c r="F418" s="6" t="s">
        <v>62</v>
      </c>
      <c r="G418" s="6" t="s">
        <v>1277</v>
      </c>
      <c r="H418" s="9" t="s">
        <v>1278</v>
      </c>
      <c r="I418" s="10">
        <v>1.0</v>
      </c>
      <c r="J418" s="10">
        <v>1103.0</v>
      </c>
      <c r="K418" s="10">
        <v>1558.0</v>
      </c>
      <c r="L418" s="10">
        <v>717.0</v>
      </c>
      <c r="M418" s="10">
        <v>192.0</v>
      </c>
      <c r="N418" s="10">
        <v>1103.0</v>
      </c>
      <c r="O418" s="6" t="s">
        <v>53</v>
      </c>
      <c r="P418" s="11">
        <f t="shared" si="1"/>
        <v>994</v>
      </c>
    </row>
    <row r="419" ht="18.0" customHeight="1">
      <c r="A419" s="7">
        <v>44505.0</v>
      </c>
      <c r="B419" s="8">
        <v>44505.767696759256</v>
      </c>
      <c r="C419" s="6" t="s">
        <v>50</v>
      </c>
      <c r="D419" s="6" t="s">
        <v>1279</v>
      </c>
      <c r="E419" s="6" t="s">
        <v>61</v>
      </c>
      <c r="F419" s="6" t="s">
        <v>62</v>
      </c>
      <c r="G419" s="6" t="s">
        <v>1280</v>
      </c>
      <c r="H419" s="9" t="s">
        <v>1281</v>
      </c>
      <c r="I419" s="10">
        <v>1.0</v>
      </c>
      <c r="J419" s="10">
        <v>591.0</v>
      </c>
      <c r="K419" s="10">
        <v>843.0</v>
      </c>
      <c r="L419" s="10">
        <v>317.0</v>
      </c>
      <c r="M419" s="10">
        <v>98.0</v>
      </c>
      <c r="N419" s="10">
        <v>591.0</v>
      </c>
      <c r="O419" s="6" t="s">
        <v>53</v>
      </c>
      <c r="P419" s="11">
        <f t="shared" si="1"/>
        <v>994</v>
      </c>
    </row>
    <row r="420" ht="18.0" customHeight="1">
      <c r="A420" s="7">
        <v>44505.0</v>
      </c>
      <c r="B420" s="8">
        <v>44505.87105324074</v>
      </c>
      <c r="C420" s="6" t="s">
        <v>50</v>
      </c>
      <c r="D420" s="6" t="s">
        <v>1282</v>
      </c>
      <c r="E420" s="6" t="s">
        <v>61</v>
      </c>
      <c r="F420" s="6" t="s">
        <v>62</v>
      </c>
      <c r="G420" s="6" t="s">
        <v>1280</v>
      </c>
      <c r="H420" s="9" t="s">
        <v>1283</v>
      </c>
      <c r="I420" s="10">
        <v>1.0</v>
      </c>
      <c r="J420" s="10">
        <v>665.0</v>
      </c>
      <c r="K420" s="10">
        <v>817.0</v>
      </c>
      <c r="L420" s="10">
        <v>312.0</v>
      </c>
      <c r="M420" s="10">
        <v>49.0</v>
      </c>
      <c r="N420" s="10">
        <v>665.0</v>
      </c>
      <c r="O420" s="6" t="s">
        <v>53</v>
      </c>
      <c r="P420" s="11">
        <f t="shared" si="1"/>
        <v>994</v>
      </c>
    </row>
    <row r="421" ht="18.0" customHeight="1">
      <c r="A421" s="7">
        <v>44507.0</v>
      </c>
      <c r="B421" s="8">
        <v>44507.759375</v>
      </c>
      <c r="C421" s="6" t="s">
        <v>50</v>
      </c>
      <c r="D421" s="6" t="s">
        <v>1284</v>
      </c>
      <c r="E421" s="6" t="s">
        <v>61</v>
      </c>
      <c r="F421" s="6" t="s">
        <v>62</v>
      </c>
      <c r="G421" s="6" t="s">
        <v>1285</v>
      </c>
      <c r="H421" s="9" t="s">
        <v>1286</v>
      </c>
      <c r="I421" s="10">
        <v>1.0</v>
      </c>
      <c r="J421" s="10">
        <v>675.0</v>
      </c>
      <c r="K421" s="10">
        <v>893.0</v>
      </c>
      <c r="L421" s="10">
        <v>412.0</v>
      </c>
      <c r="M421" s="10">
        <v>99.0</v>
      </c>
      <c r="N421" s="10">
        <v>675.0</v>
      </c>
      <c r="O421" s="6" t="s">
        <v>53</v>
      </c>
      <c r="P421" s="11">
        <f t="shared" si="1"/>
        <v>994</v>
      </c>
    </row>
    <row r="422" ht="18.0" customHeight="1">
      <c r="A422" s="7">
        <v>44507.0</v>
      </c>
      <c r="B422" s="8">
        <v>44507.88118055555</v>
      </c>
      <c r="C422" s="6" t="s">
        <v>50</v>
      </c>
      <c r="D422" s="6" t="s">
        <v>1287</v>
      </c>
      <c r="E422" s="6" t="s">
        <v>61</v>
      </c>
      <c r="F422" s="6" t="s">
        <v>62</v>
      </c>
      <c r="G422" s="6" t="s">
        <v>1285</v>
      </c>
      <c r="H422" s="9" t="s">
        <v>1288</v>
      </c>
      <c r="I422" s="10">
        <v>1.0</v>
      </c>
      <c r="J422" s="10">
        <v>876.0</v>
      </c>
      <c r="K422" s="10">
        <v>1323.0</v>
      </c>
      <c r="L422" s="10">
        <v>760.0</v>
      </c>
      <c r="M422" s="10">
        <v>71.0</v>
      </c>
      <c r="N422" s="10">
        <v>876.0</v>
      </c>
      <c r="O422" s="6" t="s">
        <v>53</v>
      </c>
      <c r="P422" s="11">
        <f t="shared" si="1"/>
        <v>994</v>
      </c>
    </row>
    <row r="423" ht="18.0" customHeight="1">
      <c r="A423" s="7">
        <v>44503.0</v>
      </c>
      <c r="B423" s="8">
        <v>44503.45835648148</v>
      </c>
      <c r="C423" s="6" t="s">
        <v>26</v>
      </c>
      <c r="D423" s="6" t="s">
        <v>1289</v>
      </c>
      <c r="E423" s="6" t="s">
        <v>28</v>
      </c>
      <c r="F423" s="6" t="s">
        <v>34</v>
      </c>
      <c r="G423" s="6" t="s">
        <v>1290</v>
      </c>
      <c r="H423" s="9" t="s">
        <v>1291</v>
      </c>
      <c r="I423" s="10">
        <v>1.0</v>
      </c>
      <c r="J423" s="10">
        <v>257.0</v>
      </c>
      <c r="K423" s="10">
        <v>261.0</v>
      </c>
      <c r="L423" s="10">
        <v>28.0</v>
      </c>
      <c r="M423" s="10">
        <v>12.0</v>
      </c>
      <c r="N423" s="10">
        <v>257.0</v>
      </c>
      <c r="O423" s="6" t="s">
        <v>31</v>
      </c>
      <c r="P423" s="11">
        <f t="shared" si="1"/>
        <v>998</v>
      </c>
    </row>
    <row r="424" ht="18.0" customHeight="1">
      <c r="A424" s="7">
        <v>44506.0</v>
      </c>
      <c r="B424" s="8">
        <v>44506.62501157408</v>
      </c>
      <c r="C424" s="6" t="s">
        <v>26</v>
      </c>
      <c r="D424" s="6" t="s">
        <v>1292</v>
      </c>
      <c r="E424" s="6" t="s">
        <v>28</v>
      </c>
      <c r="F424" s="6" t="s">
        <v>34</v>
      </c>
      <c r="G424" s="6" t="s">
        <v>1293</v>
      </c>
      <c r="H424" s="9" t="s">
        <v>1294</v>
      </c>
      <c r="I424" s="10">
        <v>1.0</v>
      </c>
      <c r="J424" s="10">
        <v>210.0</v>
      </c>
      <c r="K424" s="10">
        <v>224.0</v>
      </c>
      <c r="L424" s="10">
        <v>25.0</v>
      </c>
      <c r="M424" s="10">
        <v>2.0</v>
      </c>
      <c r="N424" s="10">
        <v>210.0</v>
      </c>
      <c r="O424" s="6" t="s">
        <v>31</v>
      </c>
      <c r="P424" s="11">
        <f t="shared" si="1"/>
        <v>998</v>
      </c>
    </row>
    <row r="425" ht="18.0" customHeight="1">
      <c r="A425" s="7">
        <v>44502.0</v>
      </c>
      <c r="B425" s="8">
        <v>44502.41569444445</v>
      </c>
      <c r="C425" s="6" t="s">
        <v>50</v>
      </c>
      <c r="D425" s="6" t="s">
        <v>1295</v>
      </c>
      <c r="E425" s="6" t="s">
        <v>28</v>
      </c>
      <c r="F425" s="6" t="s">
        <v>34</v>
      </c>
      <c r="G425" s="6" t="s">
        <v>1296</v>
      </c>
      <c r="H425" s="9" t="s">
        <v>1297</v>
      </c>
      <c r="I425" s="10">
        <v>1.0</v>
      </c>
      <c r="J425" s="10">
        <v>2273.0</v>
      </c>
      <c r="K425" s="10">
        <v>2313.0</v>
      </c>
      <c r="L425" s="10">
        <v>44.0</v>
      </c>
      <c r="M425" s="10">
        <v>177.0</v>
      </c>
      <c r="N425" s="10">
        <v>2273.0</v>
      </c>
      <c r="O425" s="6" t="s">
        <v>53</v>
      </c>
      <c r="P425" s="11">
        <f t="shared" si="1"/>
        <v>1009</v>
      </c>
    </row>
    <row r="426" ht="18.0" customHeight="1">
      <c r="A426" s="7">
        <v>44540.0</v>
      </c>
      <c r="B426" s="8">
        <v>44540.75015046296</v>
      </c>
      <c r="C426" s="6" t="s">
        <v>50</v>
      </c>
      <c r="D426" s="6" t="s">
        <v>1298</v>
      </c>
      <c r="E426" s="6" t="s">
        <v>61</v>
      </c>
      <c r="F426" s="6" t="s">
        <v>62</v>
      </c>
      <c r="G426" s="6" t="s">
        <v>1299</v>
      </c>
      <c r="H426" s="9" t="s">
        <v>1300</v>
      </c>
      <c r="I426" s="10">
        <v>1.0</v>
      </c>
      <c r="J426" s="10">
        <v>341.0</v>
      </c>
      <c r="K426" s="10">
        <v>350.0</v>
      </c>
      <c r="L426" s="10">
        <v>10.0</v>
      </c>
      <c r="M426" s="10">
        <v>28.0</v>
      </c>
      <c r="N426" s="10">
        <v>341.0</v>
      </c>
      <c r="O426" s="6" t="s">
        <v>53</v>
      </c>
      <c r="P426" s="11">
        <f t="shared" si="1"/>
        <v>1011</v>
      </c>
    </row>
    <row r="427" ht="18.0" customHeight="1">
      <c r="A427" s="7">
        <v>44529.0</v>
      </c>
      <c r="B427" s="8">
        <v>44529.68659722222</v>
      </c>
      <c r="C427" s="6" t="s">
        <v>50</v>
      </c>
      <c r="D427" s="6" t="s">
        <v>1301</v>
      </c>
      <c r="E427" s="6" t="s">
        <v>61</v>
      </c>
      <c r="F427" s="6" t="s">
        <v>62</v>
      </c>
      <c r="G427" s="6" t="s">
        <v>1302</v>
      </c>
      <c r="H427" s="9" t="s">
        <v>1303</v>
      </c>
      <c r="I427" s="10">
        <v>1.0</v>
      </c>
      <c r="J427" s="10">
        <v>501.0</v>
      </c>
      <c r="K427" s="10">
        <v>686.0</v>
      </c>
      <c r="L427" s="10">
        <v>220.0</v>
      </c>
      <c r="M427" s="10">
        <v>110.0</v>
      </c>
      <c r="N427" s="10">
        <v>501.0</v>
      </c>
      <c r="O427" s="6" t="s">
        <v>53</v>
      </c>
      <c r="P427" s="11">
        <f t="shared" si="1"/>
        <v>1014</v>
      </c>
    </row>
    <row r="428" ht="18.0" customHeight="1">
      <c r="A428" s="7">
        <v>44515.0</v>
      </c>
      <c r="B428" s="8">
        <v>44515.54982638889</v>
      </c>
      <c r="C428" s="6" t="s">
        <v>50</v>
      </c>
      <c r="D428" s="6" t="s">
        <v>1304</v>
      </c>
      <c r="E428" s="6" t="s">
        <v>61</v>
      </c>
      <c r="F428" s="6" t="s">
        <v>62</v>
      </c>
      <c r="G428" s="6" t="s">
        <v>1305</v>
      </c>
      <c r="H428" s="9" t="s">
        <v>1306</v>
      </c>
      <c r="I428" s="10">
        <v>1.0</v>
      </c>
      <c r="J428" s="10">
        <v>422.0</v>
      </c>
      <c r="K428" s="10">
        <v>432.0</v>
      </c>
      <c r="L428" s="10">
        <v>10.0</v>
      </c>
      <c r="M428" s="10">
        <v>16.0</v>
      </c>
      <c r="N428" s="10">
        <v>422.0</v>
      </c>
      <c r="O428" s="6" t="s">
        <v>53</v>
      </c>
      <c r="P428" s="11">
        <f t="shared" si="1"/>
        <v>1019</v>
      </c>
    </row>
    <row r="429" ht="18.0" customHeight="1">
      <c r="A429" s="7">
        <v>44495.0</v>
      </c>
      <c r="B429" s="8">
        <v>44495.472916666666</v>
      </c>
      <c r="C429" s="6" t="s">
        <v>50</v>
      </c>
      <c r="D429" s="6" t="s">
        <v>1307</v>
      </c>
      <c r="E429" s="6" t="s">
        <v>28</v>
      </c>
      <c r="F429" s="6" t="s">
        <v>34</v>
      </c>
      <c r="G429" s="6" t="s">
        <v>1308</v>
      </c>
      <c r="H429" s="9" t="s">
        <v>1309</v>
      </c>
      <c r="I429" s="10">
        <v>1.0</v>
      </c>
      <c r="J429" s="10">
        <v>1179.0</v>
      </c>
      <c r="K429" s="10">
        <v>1204.0</v>
      </c>
      <c r="L429" s="10">
        <v>17.0</v>
      </c>
      <c r="M429" s="10">
        <v>57.0</v>
      </c>
      <c r="N429" s="10">
        <v>1179.0</v>
      </c>
      <c r="O429" s="6" t="s">
        <v>53</v>
      </c>
      <c r="P429" s="11">
        <f t="shared" si="1"/>
        <v>1032</v>
      </c>
    </row>
    <row r="430" ht="18.0" customHeight="1">
      <c r="A430" s="7">
        <v>44516.0</v>
      </c>
      <c r="B430" s="8">
        <v>44516.62501157408</v>
      </c>
      <c r="C430" s="6" t="s">
        <v>50</v>
      </c>
      <c r="D430" s="6" t="s">
        <v>1310</v>
      </c>
      <c r="E430" s="6" t="s">
        <v>28</v>
      </c>
      <c r="F430" s="6" t="s">
        <v>229</v>
      </c>
      <c r="G430" s="6" t="s">
        <v>1311</v>
      </c>
      <c r="H430" s="9" t="s">
        <v>1312</v>
      </c>
      <c r="I430" s="10">
        <v>1.0</v>
      </c>
      <c r="J430" s="10">
        <v>2390.0</v>
      </c>
      <c r="K430" s="10">
        <v>2429.0</v>
      </c>
      <c r="L430" s="10">
        <v>5.0</v>
      </c>
      <c r="M430" s="10">
        <v>17.0</v>
      </c>
      <c r="N430" s="10">
        <v>2390.0</v>
      </c>
      <c r="O430" s="6" t="s">
        <v>53</v>
      </c>
      <c r="P430" s="11">
        <f t="shared" si="1"/>
        <v>1041</v>
      </c>
    </row>
    <row r="431" ht="18.0" customHeight="1">
      <c r="A431" s="7">
        <v>44512.0</v>
      </c>
      <c r="B431" s="8">
        <v>44512.61215277778</v>
      </c>
      <c r="C431" s="6" t="s">
        <v>50</v>
      </c>
      <c r="D431" s="6" t="s">
        <v>1313</v>
      </c>
      <c r="E431" s="6" t="s">
        <v>28</v>
      </c>
      <c r="F431" s="6" t="s">
        <v>34</v>
      </c>
      <c r="G431" s="6" t="s">
        <v>1314</v>
      </c>
      <c r="H431" s="9" t="s">
        <v>1315</v>
      </c>
      <c r="I431" s="10">
        <v>1.0</v>
      </c>
      <c r="J431" s="10">
        <v>322.0</v>
      </c>
      <c r="K431" s="10">
        <v>324.0</v>
      </c>
      <c r="L431" s="10">
        <v>3.0</v>
      </c>
      <c r="M431" s="10">
        <v>5.0</v>
      </c>
      <c r="N431" s="10">
        <v>322.0</v>
      </c>
      <c r="O431" s="6" t="s">
        <v>53</v>
      </c>
      <c r="P431" s="11">
        <f t="shared" si="1"/>
        <v>1053</v>
      </c>
    </row>
    <row r="432" ht="18.0" customHeight="1">
      <c r="A432" s="7">
        <v>44480.0</v>
      </c>
      <c r="B432" s="8">
        <v>44480.5</v>
      </c>
      <c r="C432" s="6" t="s">
        <v>26</v>
      </c>
      <c r="D432" s="6" t="s">
        <v>1316</v>
      </c>
      <c r="E432" s="6" t="s">
        <v>28</v>
      </c>
      <c r="F432" s="6" t="s">
        <v>34</v>
      </c>
      <c r="G432" s="6" t="s">
        <v>1317</v>
      </c>
      <c r="H432" s="9" t="s">
        <v>1318</v>
      </c>
      <c r="I432" s="10">
        <v>1.0</v>
      </c>
      <c r="J432" s="10">
        <v>3652.0</v>
      </c>
      <c r="K432" s="10">
        <v>4714.0</v>
      </c>
      <c r="L432" s="10">
        <v>985.0</v>
      </c>
      <c r="M432" s="10">
        <v>216.0</v>
      </c>
      <c r="N432" s="10">
        <v>3652.0</v>
      </c>
      <c r="O432" s="6" t="s">
        <v>31</v>
      </c>
      <c r="P432" s="11">
        <f t="shared" si="1"/>
        <v>1058</v>
      </c>
    </row>
    <row r="433" ht="18.0" customHeight="1">
      <c r="A433" s="7">
        <v>44486.0</v>
      </c>
      <c r="B433" s="8">
        <v>44486.708333333336</v>
      </c>
      <c r="C433" s="6" t="s">
        <v>26</v>
      </c>
      <c r="D433" s="6" t="s">
        <v>1319</v>
      </c>
      <c r="E433" s="6" t="s">
        <v>28</v>
      </c>
      <c r="F433" s="6" t="s">
        <v>34</v>
      </c>
      <c r="G433" s="6" t="s">
        <v>1320</v>
      </c>
      <c r="H433" s="9" t="s">
        <v>1321</v>
      </c>
      <c r="I433" s="10">
        <v>1.0</v>
      </c>
      <c r="J433" s="10">
        <v>1285.0</v>
      </c>
      <c r="K433" s="10">
        <v>1324.0</v>
      </c>
      <c r="L433" s="10">
        <v>116.0</v>
      </c>
      <c r="M433" s="10">
        <v>90.0</v>
      </c>
      <c r="N433" s="10">
        <v>1285.0</v>
      </c>
      <c r="O433" s="6" t="s">
        <v>31</v>
      </c>
      <c r="P433" s="11">
        <f t="shared" si="1"/>
        <v>1062</v>
      </c>
    </row>
    <row r="434" ht="18.0" customHeight="1">
      <c r="A434" s="7">
        <v>44480.0</v>
      </c>
      <c r="B434" s="8">
        <v>44480.37501157408</v>
      </c>
      <c r="C434" s="6" t="s">
        <v>26</v>
      </c>
      <c r="D434" s="6" t="s">
        <v>1322</v>
      </c>
      <c r="E434" s="6" t="s">
        <v>28</v>
      </c>
      <c r="F434" s="6" t="s">
        <v>34</v>
      </c>
      <c r="G434" s="6" t="s">
        <v>1323</v>
      </c>
      <c r="H434" s="9" t="s">
        <v>1324</v>
      </c>
      <c r="I434" s="10">
        <v>1.0</v>
      </c>
      <c r="J434" s="10">
        <v>1534.0</v>
      </c>
      <c r="K434" s="10">
        <v>1589.0</v>
      </c>
      <c r="L434" s="10">
        <v>157.0</v>
      </c>
      <c r="M434" s="10">
        <v>94.0</v>
      </c>
      <c r="N434" s="10">
        <v>1534.0</v>
      </c>
      <c r="O434" s="6" t="s">
        <v>31</v>
      </c>
      <c r="P434" s="11">
        <f t="shared" si="1"/>
        <v>1084</v>
      </c>
    </row>
    <row r="435" ht="18.0" customHeight="1">
      <c r="A435" s="7">
        <v>44516.0</v>
      </c>
      <c r="B435" s="8">
        <v>44516.8055787037</v>
      </c>
      <c r="C435" s="6" t="s">
        <v>50</v>
      </c>
      <c r="D435" s="6" t="s">
        <v>1325</v>
      </c>
      <c r="E435" s="6" t="s">
        <v>28</v>
      </c>
      <c r="F435" s="6" t="s">
        <v>229</v>
      </c>
      <c r="G435" s="6" t="s">
        <v>1326</v>
      </c>
      <c r="H435" s="9" t="s">
        <v>1327</v>
      </c>
      <c r="I435" s="10">
        <v>1.0</v>
      </c>
      <c r="J435" s="10">
        <v>2032.0</v>
      </c>
      <c r="K435" s="10">
        <v>2063.0</v>
      </c>
      <c r="L435" s="10">
        <v>13.0</v>
      </c>
      <c r="M435" s="10">
        <v>14.0</v>
      </c>
      <c r="N435" s="10">
        <v>2032.0</v>
      </c>
      <c r="O435" s="6" t="s">
        <v>53</v>
      </c>
      <c r="P435" s="11">
        <f t="shared" si="1"/>
        <v>1093</v>
      </c>
    </row>
    <row r="436" ht="18.0" customHeight="1">
      <c r="A436" s="7">
        <v>44475.0</v>
      </c>
      <c r="B436" s="8">
        <v>44475.409270833334</v>
      </c>
      <c r="C436" s="6" t="s">
        <v>50</v>
      </c>
      <c r="D436" s="6" t="s">
        <v>1328</v>
      </c>
      <c r="E436" s="6" t="s">
        <v>33</v>
      </c>
      <c r="F436" s="6" t="s">
        <v>34</v>
      </c>
      <c r="G436" s="6" t="s">
        <v>1329</v>
      </c>
      <c r="H436" s="9" t="s">
        <v>1330</v>
      </c>
      <c r="I436" s="10">
        <v>1.0</v>
      </c>
      <c r="J436" s="10">
        <v>250.0</v>
      </c>
      <c r="K436" s="10">
        <v>250.0</v>
      </c>
      <c r="L436" s="10">
        <v>4.0</v>
      </c>
      <c r="M436" s="10">
        <v>14.0</v>
      </c>
      <c r="N436" s="10">
        <v>250.0</v>
      </c>
      <c r="O436" s="6" t="s">
        <v>53</v>
      </c>
      <c r="P436" s="11">
        <f t="shared" si="1"/>
        <v>1095</v>
      </c>
    </row>
    <row r="437" ht="18.0" customHeight="1">
      <c r="A437" s="7">
        <v>44514.0</v>
      </c>
      <c r="B437" s="8">
        <v>44514.558912037035</v>
      </c>
      <c r="C437" s="6" t="s">
        <v>50</v>
      </c>
      <c r="D437" s="6" t="s">
        <v>1331</v>
      </c>
      <c r="E437" s="6" t="s">
        <v>28</v>
      </c>
      <c r="F437" s="6" t="s">
        <v>229</v>
      </c>
      <c r="G437" s="6" t="s">
        <v>1332</v>
      </c>
      <c r="H437" s="9" t="s">
        <v>1333</v>
      </c>
      <c r="I437" s="10">
        <v>1.0</v>
      </c>
      <c r="J437" s="10">
        <v>2476.0</v>
      </c>
      <c r="K437" s="10">
        <v>2529.0</v>
      </c>
      <c r="L437" s="10">
        <v>4.0</v>
      </c>
      <c r="M437" s="10">
        <v>211.0</v>
      </c>
      <c r="N437" s="10">
        <v>2476.0</v>
      </c>
      <c r="O437" s="6" t="s">
        <v>53</v>
      </c>
      <c r="P437" s="11">
        <f t="shared" si="1"/>
        <v>1107</v>
      </c>
    </row>
    <row r="438" ht="18.0" customHeight="1">
      <c r="A438" s="7">
        <v>44518.0</v>
      </c>
      <c r="B438" s="8">
        <v>44518.3750462963</v>
      </c>
      <c r="C438" s="6" t="s">
        <v>50</v>
      </c>
      <c r="D438" s="6" t="s">
        <v>1334</v>
      </c>
      <c r="E438" s="6" t="s">
        <v>28</v>
      </c>
      <c r="F438" s="6" t="s">
        <v>34</v>
      </c>
      <c r="G438" s="6" t="s">
        <v>1335</v>
      </c>
      <c r="H438" s="9" t="s">
        <v>1336</v>
      </c>
      <c r="I438" s="10">
        <v>1.0</v>
      </c>
      <c r="J438" s="10">
        <v>1193.0</v>
      </c>
      <c r="K438" s="10">
        <v>1261.0</v>
      </c>
      <c r="L438" s="10">
        <v>10.0</v>
      </c>
      <c r="M438" s="10">
        <v>57.0</v>
      </c>
      <c r="N438" s="10">
        <v>1193.0</v>
      </c>
      <c r="O438" s="6" t="s">
        <v>53</v>
      </c>
      <c r="P438" s="11">
        <f t="shared" si="1"/>
        <v>1141</v>
      </c>
    </row>
    <row r="439" ht="18.0" customHeight="1">
      <c r="A439" s="7">
        <v>44518.0</v>
      </c>
      <c r="B439" s="8">
        <v>44518.78136574074</v>
      </c>
      <c r="C439" s="6" t="s">
        <v>50</v>
      </c>
      <c r="D439" s="6" t="s">
        <v>1337</v>
      </c>
      <c r="E439" s="6" t="s">
        <v>61</v>
      </c>
      <c r="F439" s="6" t="s">
        <v>62</v>
      </c>
      <c r="G439" s="6" t="s">
        <v>1338</v>
      </c>
      <c r="H439" s="9" t="s">
        <v>1339</v>
      </c>
      <c r="I439" s="10">
        <v>1.0</v>
      </c>
      <c r="J439" s="10">
        <v>223.0</v>
      </c>
      <c r="K439" s="10">
        <v>225.0</v>
      </c>
      <c r="L439" s="10">
        <v>0.0</v>
      </c>
      <c r="M439" s="10">
        <v>9.0</v>
      </c>
      <c r="N439" s="10">
        <v>223.0</v>
      </c>
      <c r="O439" s="6" t="s">
        <v>53</v>
      </c>
      <c r="P439" s="11">
        <f t="shared" si="1"/>
        <v>1145</v>
      </c>
    </row>
    <row r="440" ht="18.0" customHeight="1">
      <c r="A440" s="7">
        <v>44517.0</v>
      </c>
      <c r="B440" s="8">
        <v>44517.458344907405</v>
      </c>
      <c r="C440" s="6" t="s">
        <v>50</v>
      </c>
      <c r="D440" s="6" t="s">
        <v>1340</v>
      </c>
      <c r="E440" s="6" t="s">
        <v>28</v>
      </c>
      <c r="F440" s="6" t="s">
        <v>34</v>
      </c>
      <c r="G440" s="6" t="s">
        <v>1341</v>
      </c>
      <c r="H440" s="9" t="s">
        <v>1342</v>
      </c>
      <c r="I440" s="10">
        <v>1.0</v>
      </c>
      <c r="J440" s="10">
        <v>1181.0</v>
      </c>
      <c r="K440" s="10">
        <v>1208.0</v>
      </c>
      <c r="L440" s="10">
        <v>7.0</v>
      </c>
      <c r="M440" s="10">
        <v>22.0</v>
      </c>
      <c r="N440" s="10">
        <v>1181.0</v>
      </c>
      <c r="O440" s="6" t="s">
        <v>53</v>
      </c>
      <c r="P440" s="11">
        <f t="shared" si="1"/>
        <v>1153</v>
      </c>
    </row>
    <row r="441" ht="18.0" customHeight="1">
      <c r="A441" s="7">
        <v>44509.0</v>
      </c>
      <c r="B441" s="8">
        <v>44509.607465277775</v>
      </c>
      <c r="C441" s="6" t="s">
        <v>50</v>
      </c>
      <c r="D441" s="6" t="s">
        <v>1343</v>
      </c>
      <c r="E441" s="6" t="s">
        <v>28</v>
      </c>
      <c r="F441" s="6" t="s">
        <v>34</v>
      </c>
      <c r="G441" s="6" t="s">
        <v>1344</v>
      </c>
      <c r="H441" s="9" t="s">
        <v>1345</v>
      </c>
      <c r="I441" s="10">
        <v>1.0</v>
      </c>
      <c r="J441" s="10">
        <v>1106.0</v>
      </c>
      <c r="K441" s="10">
        <v>1275.0</v>
      </c>
      <c r="L441" s="10">
        <v>4.0</v>
      </c>
      <c r="M441" s="10">
        <v>28.0</v>
      </c>
      <c r="N441" s="10">
        <v>1106.0</v>
      </c>
      <c r="O441" s="6" t="s">
        <v>53</v>
      </c>
      <c r="P441" s="11">
        <f t="shared" si="1"/>
        <v>1154</v>
      </c>
    </row>
    <row r="442" ht="18.0" customHeight="1">
      <c r="A442" s="7">
        <v>44517.0</v>
      </c>
      <c r="B442" s="8">
        <v>44517.625023148146</v>
      </c>
      <c r="C442" s="6" t="s">
        <v>50</v>
      </c>
      <c r="D442" s="6" t="s">
        <v>1346</v>
      </c>
      <c r="E442" s="6" t="s">
        <v>61</v>
      </c>
      <c r="F442" s="6" t="s">
        <v>62</v>
      </c>
      <c r="G442" s="6" t="s">
        <v>1347</v>
      </c>
      <c r="H442" s="9" t="s">
        <v>1348</v>
      </c>
      <c r="I442" s="10">
        <v>1.0</v>
      </c>
      <c r="J442" s="10">
        <v>602.0</v>
      </c>
      <c r="K442" s="10">
        <v>612.0</v>
      </c>
      <c r="L442" s="10">
        <v>1.0</v>
      </c>
      <c r="M442" s="10">
        <v>77.0</v>
      </c>
      <c r="N442" s="10">
        <v>602.0</v>
      </c>
      <c r="O442" s="6" t="s">
        <v>53</v>
      </c>
      <c r="P442" s="11">
        <f t="shared" si="1"/>
        <v>1156</v>
      </c>
    </row>
    <row r="443" ht="18.0" customHeight="1">
      <c r="A443" s="7">
        <v>44518.0</v>
      </c>
      <c r="B443" s="8">
        <v>44518.489583333336</v>
      </c>
      <c r="C443" s="6" t="s">
        <v>50</v>
      </c>
      <c r="D443" s="6" t="s">
        <v>1349</v>
      </c>
      <c r="E443" s="6" t="s">
        <v>61</v>
      </c>
      <c r="F443" s="6" t="s">
        <v>62</v>
      </c>
      <c r="G443" s="6" t="s">
        <v>1350</v>
      </c>
      <c r="H443" s="9" t="s">
        <v>1351</v>
      </c>
      <c r="I443" s="10">
        <v>1.0</v>
      </c>
      <c r="J443" s="10">
        <v>311.0</v>
      </c>
      <c r="K443" s="10">
        <v>315.0</v>
      </c>
      <c r="L443" s="10">
        <v>0.0</v>
      </c>
      <c r="M443" s="10">
        <v>3.0</v>
      </c>
      <c r="N443" s="10">
        <v>311.0</v>
      </c>
      <c r="O443" s="6" t="s">
        <v>53</v>
      </c>
      <c r="P443" s="11">
        <f t="shared" si="1"/>
        <v>1165</v>
      </c>
    </row>
    <row r="444" ht="18.0" customHeight="1">
      <c r="A444" s="7">
        <v>44516.0</v>
      </c>
      <c r="B444" s="8">
        <v>44516.46184027778</v>
      </c>
      <c r="C444" s="6" t="s">
        <v>50</v>
      </c>
      <c r="D444" s="6" t="s">
        <v>1352</v>
      </c>
      <c r="E444" s="6" t="s">
        <v>28</v>
      </c>
      <c r="F444" s="6" t="s">
        <v>34</v>
      </c>
      <c r="G444" s="6" t="s">
        <v>1353</v>
      </c>
      <c r="H444" s="9" t="s">
        <v>1354</v>
      </c>
      <c r="I444" s="10">
        <v>1.0</v>
      </c>
      <c r="J444" s="10">
        <v>1661.0</v>
      </c>
      <c r="K444" s="10">
        <v>1885.0</v>
      </c>
      <c r="L444" s="10">
        <v>39.0</v>
      </c>
      <c r="M444" s="10">
        <v>86.0</v>
      </c>
      <c r="N444" s="10">
        <v>1661.0</v>
      </c>
      <c r="O444" s="6" t="s">
        <v>53</v>
      </c>
      <c r="P444" s="11">
        <f t="shared" si="1"/>
        <v>1172</v>
      </c>
    </row>
    <row r="445" ht="18.0" customHeight="1">
      <c r="A445" s="7">
        <v>44517.0</v>
      </c>
      <c r="B445" s="8">
        <v>44517.3750462963</v>
      </c>
      <c r="C445" s="6" t="s">
        <v>50</v>
      </c>
      <c r="D445" s="6" t="s">
        <v>1355</v>
      </c>
      <c r="E445" s="6" t="s">
        <v>28</v>
      </c>
      <c r="F445" s="6" t="s">
        <v>34</v>
      </c>
      <c r="G445" s="6" t="s">
        <v>1356</v>
      </c>
      <c r="H445" s="9" t="s">
        <v>1357</v>
      </c>
      <c r="I445" s="10">
        <v>1.0</v>
      </c>
      <c r="J445" s="10">
        <v>821.0</v>
      </c>
      <c r="K445" s="10">
        <v>827.0</v>
      </c>
      <c r="L445" s="10">
        <v>8.0</v>
      </c>
      <c r="M445" s="10">
        <v>45.0</v>
      </c>
      <c r="N445" s="10">
        <v>821.0</v>
      </c>
      <c r="O445" s="6" t="s">
        <v>53</v>
      </c>
      <c r="P445" s="11">
        <f t="shared" si="1"/>
        <v>1174</v>
      </c>
    </row>
    <row r="446" ht="18.0" customHeight="1">
      <c r="A446" s="7">
        <v>44513.0</v>
      </c>
      <c r="B446" s="8">
        <v>44513.582708333335</v>
      </c>
      <c r="C446" s="6" t="s">
        <v>50</v>
      </c>
      <c r="D446" s="6" t="s">
        <v>1358</v>
      </c>
      <c r="E446" s="6" t="s">
        <v>28</v>
      </c>
      <c r="F446" s="6" t="s">
        <v>34</v>
      </c>
      <c r="G446" s="6" t="s">
        <v>1359</v>
      </c>
      <c r="H446" s="9" t="s">
        <v>1360</v>
      </c>
      <c r="I446" s="10">
        <v>1.0</v>
      </c>
      <c r="J446" s="10">
        <v>2917.0</v>
      </c>
      <c r="K446" s="10">
        <v>2995.0</v>
      </c>
      <c r="L446" s="10">
        <v>21.0</v>
      </c>
      <c r="M446" s="10">
        <v>222.0</v>
      </c>
      <c r="N446" s="10">
        <v>2917.0</v>
      </c>
      <c r="O446" s="6" t="s">
        <v>53</v>
      </c>
      <c r="P446" s="11">
        <f t="shared" si="1"/>
        <v>1183</v>
      </c>
    </row>
    <row r="447" ht="18.0" customHeight="1">
      <c r="A447" s="7">
        <v>44520.0</v>
      </c>
      <c r="B447" s="8">
        <v>44520.786770833336</v>
      </c>
      <c r="C447" s="6" t="s">
        <v>50</v>
      </c>
      <c r="D447" s="6" t="s">
        <v>1361</v>
      </c>
      <c r="E447" s="6" t="s">
        <v>28</v>
      </c>
      <c r="F447" s="6" t="s">
        <v>34</v>
      </c>
      <c r="G447" s="6" t="s">
        <v>1362</v>
      </c>
      <c r="H447" s="9" t="s">
        <v>1363</v>
      </c>
      <c r="I447" s="10">
        <v>1.0</v>
      </c>
      <c r="J447" s="10">
        <v>5022.0</v>
      </c>
      <c r="K447" s="10">
        <v>5572.0</v>
      </c>
      <c r="L447" s="10">
        <v>64.0</v>
      </c>
      <c r="M447" s="10">
        <v>478.0</v>
      </c>
      <c r="N447" s="10">
        <v>5022.0</v>
      </c>
      <c r="O447" s="6" t="s">
        <v>53</v>
      </c>
      <c r="P447" s="11">
        <f t="shared" si="1"/>
        <v>1192</v>
      </c>
    </row>
    <row r="448" ht="18.0" customHeight="1">
      <c r="A448" s="7">
        <v>44476.0</v>
      </c>
      <c r="B448" s="8">
        <v>44476.63263888889</v>
      </c>
      <c r="C448" s="6" t="s">
        <v>50</v>
      </c>
      <c r="D448" s="6" t="s">
        <v>1364</v>
      </c>
      <c r="E448" s="6" t="s">
        <v>33</v>
      </c>
      <c r="F448" s="6" t="s">
        <v>34</v>
      </c>
      <c r="G448" s="6" t="s">
        <v>1365</v>
      </c>
      <c r="H448" s="9" t="s">
        <v>1366</v>
      </c>
      <c r="I448" s="10">
        <v>1.0</v>
      </c>
      <c r="J448" s="10">
        <v>1252.0</v>
      </c>
      <c r="K448" s="10">
        <v>1259.0</v>
      </c>
      <c r="L448" s="10">
        <v>18.0</v>
      </c>
      <c r="M448" s="10">
        <v>75.0</v>
      </c>
      <c r="N448" s="10">
        <v>1252.0</v>
      </c>
      <c r="O448" s="6" t="s">
        <v>53</v>
      </c>
      <c r="P448" s="11">
        <f t="shared" si="1"/>
        <v>1196</v>
      </c>
    </row>
    <row r="449" ht="18.0" customHeight="1">
      <c r="A449" s="7">
        <v>44547.0</v>
      </c>
      <c r="B449" s="8">
        <v>44547.5562037037</v>
      </c>
      <c r="C449" s="6" t="s">
        <v>50</v>
      </c>
      <c r="D449" s="6" t="s">
        <v>1367</v>
      </c>
      <c r="E449" s="6" t="s">
        <v>28</v>
      </c>
      <c r="F449" s="6" t="s">
        <v>34</v>
      </c>
      <c r="G449" s="6" t="s">
        <v>1368</v>
      </c>
      <c r="H449" s="9" t="s">
        <v>1369</v>
      </c>
      <c r="I449" s="10">
        <v>1.0</v>
      </c>
      <c r="J449" s="10">
        <v>963.0</v>
      </c>
      <c r="K449" s="10">
        <v>979.0</v>
      </c>
      <c r="L449" s="10">
        <v>53.0</v>
      </c>
      <c r="M449" s="10">
        <v>65.0</v>
      </c>
      <c r="N449" s="10">
        <v>963.0</v>
      </c>
      <c r="O449" s="6" t="s">
        <v>53</v>
      </c>
      <c r="P449" s="11">
        <f t="shared" si="1"/>
        <v>1211</v>
      </c>
    </row>
    <row r="450" ht="18.0" customHeight="1">
      <c r="A450" s="7">
        <v>44509.0</v>
      </c>
      <c r="B450" s="8">
        <v>44509.39586805556</v>
      </c>
      <c r="C450" s="6" t="s">
        <v>50</v>
      </c>
      <c r="D450" s="6" t="s">
        <v>1370</v>
      </c>
      <c r="E450" s="6" t="s">
        <v>28</v>
      </c>
      <c r="F450" s="6" t="s">
        <v>34</v>
      </c>
      <c r="G450" s="6" t="s">
        <v>1371</v>
      </c>
      <c r="H450" s="9" t="s">
        <v>1372</v>
      </c>
      <c r="I450" s="10">
        <v>1.0</v>
      </c>
      <c r="J450" s="10">
        <v>1602.0</v>
      </c>
      <c r="K450" s="10">
        <v>1623.0</v>
      </c>
      <c r="L450" s="10">
        <v>43.0</v>
      </c>
      <c r="M450" s="10">
        <v>283.0</v>
      </c>
      <c r="N450" s="10">
        <v>1602.0</v>
      </c>
      <c r="O450" s="6" t="s">
        <v>53</v>
      </c>
      <c r="P450" s="11">
        <f t="shared" si="1"/>
        <v>1212</v>
      </c>
    </row>
    <row r="451" ht="18.0" customHeight="1">
      <c r="A451" s="7">
        <v>44548.0</v>
      </c>
      <c r="B451" s="8">
        <v>44548.55069444444</v>
      </c>
      <c r="C451" s="6" t="s">
        <v>50</v>
      </c>
      <c r="D451" s="6" t="s">
        <v>1373</v>
      </c>
      <c r="E451" s="6" t="s">
        <v>28</v>
      </c>
      <c r="F451" s="6" t="s">
        <v>34</v>
      </c>
      <c r="G451" s="6" t="s">
        <v>1374</v>
      </c>
      <c r="H451" s="9" t="s">
        <v>1375</v>
      </c>
      <c r="I451" s="10">
        <v>1.0</v>
      </c>
      <c r="J451" s="10">
        <v>262.0</v>
      </c>
      <c r="K451" s="10">
        <v>262.0</v>
      </c>
      <c r="L451" s="10">
        <v>5.0</v>
      </c>
      <c r="M451" s="10">
        <v>7.0</v>
      </c>
      <c r="N451" s="10">
        <v>262.0</v>
      </c>
      <c r="O451" s="6" t="s">
        <v>53</v>
      </c>
      <c r="P451" s="11">
        <f t="shared" si="1"/>
        <v>1213</v>
      </c>
    </row>
    <row r="452" ht="18.0" customHeight="1">
      <c r="A452" s="7">
        <v>44490.0</v>
      </c>
      <c r="B452" s="8">
        <v>44490.58375</v>
      </c>
      <c r="C452" s="6" t="s">
        <v>26</v>
      </c>
      <c r="D452" s="6" t="s">
        <v>1376</v>
      </c>
      <c r="E452" s="6" t="s">
        <v>28</v>
      </c>
      <c r="F452" s="6" t="s">
        <v>34</v>
      </c>
      <c r="G452" s="6" t="s">
        <v>1377</v>
      </c>
      <c r="H452" s="9" t="s">
        <v>1378</v>
      </c>
      <c r="I452" s="10">
        <v>1.0</v>
      </c>
      <c r="J452" s="10">
        <v>4950.0</v>
      </c>
      <c r="K452" s="10">
        <v>5662.0</v>
      </c>
      <c r="L452" s="10">
        <v>647.0</v>
      </c>
      <c r="M452" s="10">
        <v>539.0</v>
      </c>
      <c r="N452" s="10">
        <v>4950.0</v>
      </c>
      <c r="O452" s="6" t="s">
        <v>31</v>
      </c>
      <c r="P452" s="11">
        <f t="shared" si="1"/>
        <v>1216</v>
      </c>
    </row>
    <row r="453" ht="18.0" customHeight="1">
      <c r="A453" s="7">
        <v>44546.0</v>
      </c>
      <c r="B453" s="8">
        <v>44546.856782407405</v>
      </c>
      <c r="C453" s="6" t="s">
        <v>50</v>
      </c>
      <c r="D453" s="6" t="s">
        <v>1379</v>
      </c>
      <c r="E453" s="6" t="s">
        <v>28</v>
      </c>
      <c r="F453" s="6" t="s">
        <v>34</v>
      </c>
      <c r="G453" s="6" t="s">
        <v>1380</v>
      </c>
      <c r="H453" s="9" t="s">
        <v>1381</v>
      </c>
      <c r="I453" s="10">
        <v>1.0</v>
      </c>
      <c r="J453" s="10">
        <v>1483.0</v>
      </c>
      <c r="K453" s="10">
        <v>1504.0</v>
      </c>
      <c r="L453" s="10">
        <v>29.0</v>
      </c>
      <c r="M453" s="10">
        <v>35.0</v>
      </c>
      <c r="N453" s="10">
        <v>1483.0</v>
      </c>
      <c r="O453" s="6" t="s">
        <v>53</v>
      </c>
      <c r="P453" s="11">
        <f t="shared" si="1"/>
        <v>1219</v>
      </c>
    </row>
    <row r="454" ht="18.0" customHeight="1">
      <c r="A454" s="7">
        <v>44521.0</v>
      </c>
      <c r="B454" s="8">
        <v>44521.621041666665</v>
      </c>
      <c r="C454" s="6" t="s">
        <v>50</v>
      </c>
      <c r="D454" s="6" t="s">
        <v>1382</v>
      </c>
      <c r="E454" s="6" t="s">
        <v>28</v>
      </c>
      <c r="F454" s="6" t="s">
        <v>34</v>
      </c>
      <c r="G454" s="6" t="s">
        <v>1383</v>
      </c>
      <c r="H454" s="9" t="s">
        <v>1384</v>
      </c>
      <c r="I454" s="10">
        <v>1.0</v>
      </c>
      <c r="J454" s="10">
        <v>5988.0</v>
      </c>
      <c r="K454" s="10">
        <v>6579.0</v>
      </c>
      <c r="L454" s="10">
        <v>65.0</v>
      </c>
      <c r="M454" s="10">
        <v>395.0</v>
      </c>
      <c r="N454" s="10">
        <v>5988.0</v>
      </c>
      <c r="O454" s="6" t="s">
        <v>53</v>
      </c>
      <c r="P454" s="11">
        <f t="shared" si="1"/>
        <v>1222</v>
      </c>
    </row>
    <row r="455" ht="18.0" customHeight="1">
      <c r="A455" s="7">
        <v>44549.0</v>
      </c>
      <c r="B455" s="8">
        <v>44549.54613425926</v>
      </c>
      <c r="C455" s="6" t="s">
        <v>50</v>
      </c>
      <c r="D455" s="6" t="s">
        <v>1385</v>
      </c>
      <c r="E455" s="6" t="s">
        <v>28</v>
      </c>
      <c r="F455" s="6" t="s">
        <v>34</v>
      </c>
      <c r="G455" s="6" t="s">
        <v>1386</v>
      </c>
      <c r="H455" s="9" t="s">
        <v>1387</v>
      </c>
      <c r="I455" s="10">
        <v>1.0</v>
      </c>
      <c r="J455" s="10">
        <v>353.0</v>
      </c>
      <c r="K455" s="10">
        <v>355.0</v>
      </c>
      <c r="L455" s="10">
        <v>3.0</v>
      </c>
      <c r="M455" s="10">
        <v>11.0</v>
      </c>
      <c r="N455" s="10">
        <v>353.0</v>
      </c>
      <c r="O455" s="6" t="s">
        <v>53</v>
      </c>
      <c r="P455" s="11">
        <f t="shared" si="1"/>
        <v>1231</v>
      </c>
    </row>
    <row r="456" ht="18.0" customHeight="1">
      <c r="A456" s="7">
        <v>44517.0</v>
      </c>
      <c r="B456" s="8">
        <v>44517.76175925926</v>
      </c>
      <c r="C456" s="6" t="s">
        <v>50</v>
      </c>
      <c r="D456" s="6" t="s">
        <v>1388</v>
      </c>
      <c r="E456" s="6" t="s">
        <v>28</v>
      </c>
      <c r="F456" s="6" t="s">
        <v>34</v>
      </c>
      <c r="G456" s="6" t="s">
        <v>1389</v>
      </c>
      <c r="H456" s="9" t="s">
        <v>1390</v>
      </c>
      <c r="I456" s="10">
        <v>1.0</v>
      </c>
      <c r="J456" s="10">
        <v>1439.0</v>
      </c>
      <c r="K456" s="10">
        <v>1467.0</v>
      </c>
      <c r="L456" s="10">
        <v>12.0</v>
      </c>
      <c r="M456" s="10">
        <v>51.0</v>
      </c>
      <c r="N456" s="10">
        <v>1439.0</v>
      </c>
      <c r="O456" s="6" t="s">
        <v>53</v>
      </c>
      <c r="P456" s="11">
        <f t="shared" si="1"/>
        <v>1236</v>
      </c>
    </row>
    <row r="457" ht="18.0" customHeight="1">
      <c r="A457" s="7">
        <v>44518.0</v>
      </c>
      <c r="B457" s="8">
        <v>44518.71876157408</v>
      </c>
      <c r="C457" s="6" t="s">
        <v>50</v>
      </c>
      <c r="D457" s="6" t="s">
        <v>1391</v>
      </c>
      <c r="E457" s="6" t="s">
        <v>28</v>
      </c>
      <c r="F457" s="6" t="s">
        <v>34</v>
      </c>
      <c r="G457" s="6" t="s">
        <v>1392</v>
      </c>
      <c r="H457" s="9" t="s">
        <v>1393</v>
      </c>
      <c r="I457" s="10">
        <v>1.0</v>
      </c>
      <c r="J457" s="10">
        <v>2469.0</v>
      </c>
      <c r="K457" s="10">
        <v>3021.0</v>
      </c>
      <c r="L457" s="10">
        <v>40.0</v>
      </c>
      <c r="M457" s="10">
        <v>104.0</v>
      </c>
      <c r="N457" s="10">
        <v>2469.0</v>
      </c>
      <c r="O457" s="6" t="s">
        <v>53</v>
      </c>
      <c r="P457" s="11">
        <f t="shared" si="1"/>
        <v>1239</v>
      </c>
    </row>
    <row r="458" ht="18.0" customHeight="1">
      <c r="A458" s="7">
        <v>44529.0</v>
      </c>
      <c r="B458" s="8">
        <v>44529.666712962964</v>
      </c>
      <c r="C458" s="6" t="s">
        <v>50</v>
      </c>
      <c r="D458" s="6" t="s">
        <v>1394</v>
      </c>
      <c r="E458" s="6" t="s">
        <v>28</v>
      </c>
      <c r="F458" s="6" t="s">
        <v>34</v>
      </c>
      <c r="G458" s="6" t="s">
        <v>1395</v>
      </c>
      <c r="H458" s="9" t="s">
        <v>1396</v>
      </c>
      <c r="I458" s="10">
        <v>1.0</v>
      </c>
      <c r="J458" s="10">
        <v>203.0</v>
      </c>
      <c r="K458" s="10">
        <v>203.0</v>
      </c>
      <c r="L458" s="10">
        <v>0.0</v>
      </c>
      <c r="M458" s="10">
        <v>2.0</v>
      </c>
      <c r="N458" s="10">
        <v>203.0</v>
      </c>
      <c r="O458" s="6" t="s">
        <v>53</v>
      </c>
      <c r="P458" s="11">
        <f t="shared" si="1"/>
        <v>1241</v>
      </c>
    </row>
    <row r="459" ht="18.0" customHeight="1">
      <c r="A459" s="7">
        <v>44547.0</v>
      </c>
      <c r="B459" s="8">
        <v>44547.64616898148</v>
      </c>
      <c r="C459" s="6" t="s">
        <v>50</v>
      </c>
      <c r="D459" s="6" t="s">
        <v>1397</v>
      </c>
      <c r="E459" s="6" t="s">
        <v>28</v>
      </c>
      <c r="F459" s="6" t="s">
        <v>34</v>
      </c>
      <c r="G459" s="6" t="s">
        <v>1398</v>
      </c>
      <c r="H459" s="9" t="s">
        <v>1399</v>
      </c>
      <c r="I459" s="10">
        <v>1.0</v>
      </c>
      <c r="J459" s="10">
        <v>2460.0</v>
      </c>
      <c r="K459" s="10">
        <v>2600.0</v>
      </c>
      <c r="L459" s="10">
        <v>20.0</v>
      </c>
      <c r="M459" s="10">
        <v>112.0</v>
      </c>
      <c r="N459" s="10">
        <v>2460.0</v>
      </c>
      <c r="O459" s="6" t="s">
        <v>53</v>
      </c>
      <c r="P459" s="11">
        <f t="shared" si="1"/>
        <v>1245</v>
      </c>
    </row>
    <row r="460" ht="18.0" customHeight="1">
      <c r="A460" s="7">
        <v>44518.0</v>
      </c>
      <c r="B460" s="8">
        <v>44518.8403587963</v>
      </c>
      <c r="C460" s="6" t="s">
        <v>50</v>
      </c>
      <c r="D460" s="6" t="s">
        <v>1400</v>
      </c>
      <c r="E460" s="6" t="s">
        <v>28</v>
      </c>
      <c r="F460" s="6" t="s">
        <v>229</v>
      </c>
      <c r="G460" s="6" t="s">
        <v>1401</v>
      </c>
      <c r="H460" s="9" t="s">
        <v>1402</v>
      </c>
      <c r="I460" s="10">
        <v>1.0</v>
      </c>
      <c r="J460" s="10">
        <v>3332.0</v>
      </c>
      <c r="K460" s="10">
        <v>3418.0</v>
      </c>
      <c r="L460" s="10">
        <v>22.0</v>
      </c>
      <c r="M460" s="10">
        <v>123.0</v>
      </c>
      <c r="N460" s="10">
        <v>3332.0</v>
      </c>
      <c r="O460" s="6" t="s">
        <v>53</v>
      </c>
      <c r="P460" s="11">
        <f t="shared" si="1"/>
        <v>1249</v>
      </c>
    </row>
    <row r="461" ht="18.0" customHeight="1">
      <c r="A461" s="7">
        <v>44547.0</v>
      </c>
      <c r="B461" s="8">
        <v>44547.87383101852</v>
      </c>
      <c r="C461" s="6" t="s">
        <v>50</v>
      </c>
      <c r="D461" s="6" t="s">
        <v>1403</v>
      </c>
      <c r="E461" s="6" t="s">
        <v>28</v>
      </c>
      <c r="F461" s="6" t="s">
        <v>34</v>
      </c>
      <c r="G461" s="6" t="s">
        <v>1404</v>
      </c>
      <c r="H461" s="9" t="s">
        <v>1405</v>
      </c>
      <c r="I461" s="10">
        <v>1.0</v>
      </c>
      <c r="J461" s="10">
        <v>956.0</v>
      </c>
      <c r="K461" s="10">
        <v>961.0</v>
      </c>
      <c r="L461" s="10">
        <v>14.0</v>
      </c>
      <c r="M461" s="10">
        <v>10.0</v>
      </c>
      <c r="N461" s="10">
        <v>956.0</v>
      </c>
      <c r="O461" s="6" t="s">
        <v>53</v>
      </c>
      <c r="P461" s="11">
        <f t="shared" si="1"/>
        <v>1268</v>
      </c>
    </row>
    <row r="462" ht="18.0" customHeight="1">
      <c r="A462" s="7">
        <v>44470.0</v>
      </c>
      <c r="B462" s="8">
        <v>44470.50071759259</v>
      </c>
      <c r="C462" s="6" t="s">
        <v>50</v>
      </c>
      <c r="D462" s="6" t="s">
        <v>1406</v>
      </c>
      <c r="E462" s="6" t="s">
        <v>28</v>
      </c>
      <c r="F462" s="6" t="s">
        <v>34</v>
      </c>
      <c r="G462" s="6" t="s">
        <v>1407</v>
      </c>
      <c r="H462" s="9" t="s">
        <v>1408</v>
      </c>
      <c r="I462" s="10">
        <v>1.0</v>
      </c>
      <c r="J462" s="10">
        <v>1091.0</v>
      </c>
      <c r="K462" s="10">
        <v>1111.0</v>
      </c>
      <c r="L462" s="10">
        <v>13.0</v>
      </c>
      <c r="M462" s="10">
        <v>49.0</v>
      </c>
      <c r="N462" s="10">
        <v>1091.0</v>
      </c>
      <c r="O462" s="6" t="s">
        <v>53</v>
      </c>
      <c r="P462" s="11">
        <f t="shared" si="1"/>
        <v>1273</v>
      </c>
    </row>
    <row r="463" ht="18.0" customHeight="1">
      <c r="A463" s="7">
        <v>44547.0</v>
      </c>
      <c r="B463" s="8">
        <v>44547.686527777776</v>
      </c>
      <c r="C463" s="6" t="s">
        <v>50</v>
      </c>
      <c r="D463" s="6" t="s">
        <v>1409</v>
      </c>
      <c r="E463" s="6" t="s">
        <v>28</v>
      </c>
      <c r="F463" s="6" t="s">
        <v>34</v>
      </c>
      <c r="G463" s="6" t="s">
        <v>1410</v>
      </c>
      <c r="H463" s="9" t="s">
        <v>1411</v>
      </c>
      <c r="I463" s="10">
        <v>1.0</v>
      </c>
      <c r="J463" s="10">
        <v>218.0</v>
      </c>
      <c r="K463" s="10">
        <v>218.0</v>
      </c>
      <c r="L463" s="10">
        <v>0.0</v>
      </c>
      <c r="M463" s="10">
        <v>5.0</v>
      </c>
      <c r="N463" s="10">
        <v>218.0</v>
      </c>
      <c r="O463" s="6" t="s">
        <v>53</v>
      </c>
      <c r="P463" s="11">
        <f t="shared" si="1"/>
        <v>1274</v>
      </c>
    </row>
    <row r="464" ht="18.0" customHeight="1">
      <c r="A464" s="7">
        <v>44522.0</v>
      </c>
      <c r="B464" s="8">
        <v>44522.48226851852</v>
      </c>
      <c r="C464" s="6" t="s">
        <v>50</v>
      </c>
      <c r="D464" s="6" t="s">
        <v>1412</v>
      </c>
      <c r="E464" s="6" t="s">
        <v>61</v>
      </c>
      <c r="F464" s="6" t="s">
        <v>62</v>
      </c>
      <c r="G464" s="6" t="s">
        <v>1413</v>
      </c>
      <c r="H464" s="9" t="s">
        <v>1414</v>
      </c>
      <c r="I464" s="10">
        <v>1.0</v>
      </c>
      <c r="J464" s="10">
        <v>426.0</v>
      </c>
      <c r="K464" s="10">
        <v>435.0</v>
      </c>
      <c r="L464" s="10">
        <v>0.0</v>
      </c>
      <c r="M464" s="10">
        <v>21.0</v>
      </c>
      <c r="N464" s="10">
        <v>426.0</v>
      </c>
      <c r="O464" s="6" t="s">
        <v>53</v>
      </c>
      <c r="P464" s="11">
        <f t="shared" si="1"/>
        <v>1294</v>
      </c>
    </row>
    <row r="465" ht="18.0" customHeight="1">
      <c r="A465" s="7">
        <v>44527.0</v>
      </c>
      <c r="B465" s="8">
        <v>44527.54174768519</v>
      </c>
      <c r="C465" s="6" t="s">
        <v>50</v>
      </c>
      <c r="D465" s="6" t="s">
        <v>1415</v>
      </c>
      <c r="E465" s="6" t="s">
        <v>61</v>
      </c>
      <c r="F465" s="6" t="s">
        <v>62</v>
      </c>
      <c r="G465" s="6" t="s">
        <v>1416</v>
      </c>
      <c r="H465" s="9" t="s">
        <v>1417</v>
      </c>
      <c r="I465" s="10">
        <v>1.0</v>
      </c>
      <c r="J465" s="10">
        <v>169.0</v>
      </c>
      <c r="K465" s="10">
        <v>176.0</v>
      </c>
      <c r="L465" s="10">
        <v>0.0</v>
      </c>
      <c r="M465" s="10">
        <v>16.0</v>
      </c>
      <c r="N465" s="10">
        <v>169.0</v>
      </c>
      <c r="O465" s="6" t="s">
        <v>53</v>
      </c>
      <c r="P465" s="11">
        <f t="shared" si="1"/>
        <v>1300</v>
      </c>
    </row>
    <row r="466" ht="18.0" customHeight="1">
      <c r="A466" s="7">
        <v>44549.0</v>
      </c>
      <c r="B466" s="8">
        <v>44549.626863425925</v>
      </c>
      <c r="C466" s="6" t="s">
        <v>50</v>
      </c>
      <c r="D466" s="6" t="s">
        <v>1418</v>
      </c>
      <c r="E466" s="6" t="s">
        <v>72</v>
      </c>
      <c r="F466" s="6" t="s">
        <v>44</v>
      </c>
      <c r="G466" s="6" t="s">
        <v>1419</v>
      </c>
      <c r="H466" s="9" t="s">
        <v>1420</v>
      </c>
      <c r="I466" s="10">
        <v>1.0</v>
      </c>
      <c r="J466" s="10">
        <v>59.0</v>
      </c>
      <c r="K466" s="10">
        <v>60.0</v>
      </c>
      <c r="L466" s="10">
        <v>1.0</v>
      </c>
      <c r="M466" s="10">
        <v>1.0</v>
      </c>
      <c r="N466" s="10">
        <v>59.0</v>
      </c>
      <c r="O466" s="6" t="s">
        <v>53</v>
      </c>
      <c r="P466" s="11">
        <f t="shared" si="1"/>
        <v>1301</v>
      </c>
    </row>
    <row r="467" ht="18.0" customHeight="1">
      <c r="A467" s="7">
        <v>44521.0</v>
      </c>
      <c r="B467" s="8">
        <v>44521.65060185185</v>
      </c>
      <c r="C467" s="6" t="s">
        <v>50</v>
      </c>
      <c r="D467" s="6" t="s">
        <v>1421</v>
      </c>
      <c r="E467" s="6" t="s">
        <v>28</v>
      </c>
      <c r="F467" s="6" t="s">
        <v>229</v>
      </c>
      <c r="G467" s="6" t="s">
        <v>1422</v>
      </c>
      <c r="H467" s="9" t="s">
        <v>1423</v>
      </c>
      <c r="I467" s="10">
        <v>1.0</v>
      </c>
      <c r="J467" s="10">
        <v>1048.0</v>
      </c>
      <c r="K467" s="10">
        <v>1058.0</v>
      </c>
      <c r="L467" s="10">
        <v>17.0</v>
      </c>
      <c r="M467" s="10">
        <v>41.0</v>
      </c>
      <c r="N467" s="10">
        <v>1048.0</v>
      </c>
      <c r="O467" s="6" t="s">
        <v>53</v>
      </c>
      <c r="P467" s="11">
        <f t="shared" si="1"/>
        <v>1324</v>
      </c>
    </row>
    <row r="468" ht="18.0" customHeight="1">
      <c r="A468" s="7">
        <v>44529.0</v>
      </c>
      <c r="B468" s="8">
        <v>44529.6875</v>
      </c>
      <c r="C468" s="6" t="s">
        <v>50</v>
      </c>
      <c r="D468" s="6" t="s">
        <v>1424</v>
      </c>
      <c r="E468" s="6" t="s">
        <v>33</v>
      </c>
      <c r="F468" s="6" t="s">
        <v>89</v>
      </c>
      <c r="G468" s="6" t="s">
        <v>1425</v>
      </c>
      <c r="H468" s="9" t="s">
        <v>1426</v>
      </c>
      <c r="I468" s="10">
        <v>1.0</v>
      </c>
      <c r="J468" s="10">
        <v>45.0</v>
      </c>
      <c r="K468" s="10">
        <v>46.0</v>
      </c>
      <c r="L468" s="10">
        <v>0.0</v>
      </c>
      <c r="M468" s="10">
        <v>2.0</v>
      </c>
      <c r="N468" s="10">
        <v>45.0</v>
      </c>
      <c r="O468" s="6" t="s">
        <v>53</v>
      </c>
      <c r="P468" s="11">
        <f t="shared" si="1"/>
        <v>1335</v>
      </c>
    </row>
    <row r="469" ht="18.0" customHeight="1">
      <c r="A469" s="7">
        <v>44470.0</v>
      </c>
      <c r="B469" s="8">
        <v>44470.625069444446</v>
      </c>
      <c r="C469" s="6" t="s">
        <v>50</v>
      </c>
      <c r="D469" s="6" t="s">
        <v>1427</v>
      </c>
      <c r="E469" s="6" t="s">
        <v>28</v>
      </c>
      <c r="F469" s="6" t="s">
        <v>34</v>
      </c>
      <c r="G469" s="6" t="s">
        <v>1428</v>
      </c>
      <c r="H469" s="9" t="s">
        <v>1429</v>
      </c>
      <c r="I469" s="10">
        <v>1.0</v>
      </c>
      <c r="J469" s="10">
        <v>2465.0</v>
      </c>
      <c r="K469" s="10">
        <v>2758.0</v>
      </c>
      <c r="L469" s="10">
        <v>30.0</v>
      </c>
      <c r="M469" s="10">
        <v>132.0</v>
      </c>
      <c r="N469" s="10">
        <v>2465.0</v>
      </c>
      <c r="O469" s="6" t="s">
        <v>53</v>
      </c>
      <c r="P469" s="11">
        <f t="shared" si="1"/>
        <v>1339</v>
      </c>
    </row>
    <row r="470" ht="18.0" customHeight="1">
      <c r="A470" s="7">
        <v>44548.0</v>
      </c>
      <c r="B470" s="8">
        <v>44548.86114583333</v>
      </c>
      <c r="C470" s="6" t="s">
        <v>50</v>
      </c>
      <c r="D470" s="6" t="s">
        <v>1430</v>
      </c>
      <c r="E470" s="6" t="s">
        <v>28</v>
      </c>
      <c r="F470" s="6" t="s">
        <v>34</v>
      </c>
      <c r="G470" s="6" t="s">
        <v>1431</v>
      </c>
      <c r="H470" s="9" t="s">
        <v>1432</v>
      </c>
      <c r="I470" s="10">
        <v>1.0</v>
      </c>
      <c r="J470" s="10">
        <v>893.0</v>
      </c>
      <c r="K470" s="10">
        <v>895.0</v>
      </c>
      <c r="L470" s="10">
        <v>12.0</v>
      </c>
      <c r="M470" s="10">
        <v>14.0</v>
      </c>
      <c r="N470" s="10">
        <v>893.0</v>
      </c>
      <c r="O470" s="6" t="s">
        <v>53</v>
      </c>
      <c r="P470" s="11">
        <f t="shared" si="1"/>
        <v>1339</v>
      </c>
    </row>
    <row r="471" ht="18.0" customHeight="1">
      <c r="A471" s="7">
        <v>44537.0</v>
      </c>
      <c r="B471" s="8">
        <v>44537.645844907405</v>
      </c>
      <c r="C471" s="6" t="s">
        <v>50</v>
      </c>
      <c r="D471" s="6" t="s">
        <v>1433</v>
      </c>
      <c r="E471" s="6" t="s">
        <v>61</v>
      </c>
      <c r="F471" s="6" t="s">
        <v>62</v>
      </c>
      <c r="G471" s="6" t="s">
        <v>1434</v>
      </c>
      <c r="H471" s="9" t="s">
        <v>1435</v>
      </c>
      <c r="I471" s="10">
        <v>1.0</v>
      </c>
      <c r="J471" s="10">
        <v>76.0</v>
      </c>
      <c r="K471" s="10">
        <v>77.0</v>
      </c>
      <c r="L471" s="10">
        <v>0.0</v>
      </c>
      <c r="M471" s="10">
        <v>2.0</v>
      </c>
      <c r="N471" s="10">
        <v>76.0</v>
      </c>
      <c r="O471" s="6" t="s">
        <v>53</v>
      </c>
      <c r="P471" s="11">
        <f t="shared" si="1"/>
        <v>1368</v>
      </c>
    </row>
    <row r="472" ht="18.0" customHeight="1">
      <c r="A472" s="7">
        <v>44472.0</v>
      </c>
      <c r="B472" s="8">
        <v>44472.88178240741</v>
      </c>
      <c r="C472" s="6" t="s">
        <v>50</v>
      </c>
      <c r="D472" s="6" t="s">
        <v>1436</v>
      </c>
      <c r="E472" s="6" t="s">
        <v>28</v>
      </c>
      <c r="F472" s="6" t="s">
        <v>229</v>
      </c>
      <c r="G472" s="6" t="s">
        <v>1437</v>
      </c>
      <c r="H472" s="9" t="s">
        <v>1438</v>
      </c>
      <c r="I472" s="10">
        <v>1.0</v>
      </c>
      <c r="J472" s="10">
        <v>229.0</v>
      </c>
      <c r="K472" s="10">
        <v>231.0</v>
      </c>
      <c r="L472" s="10">
        <v>4.0</v>
      </c>
      <c r="M472" s="10">
        <v>3.0</v>
      </c>
      <c r="N472" s="10">
        <v>229.0</v>
      </c>
      <c r="O472" s="6" t="s">
        <v>53</v>
      </c>
      <c r="P472" s="11">
        <f t="shared" si="1"/>
        <v>1371</v>
      </c>
    </row>
    <row r="473" ht="18.0" customHeight="1">
      <c r="A473" s="7">
        <v>44523.0</v>
      </c>
      <c r="B473" s="8">
        <v>44523.626296296294</v>
      </c>
      <c r="C473" s="6" t="s">
        <v>50</v>
      </c>
      <c r="D473" s="6" t="s">
        <v>1439</v>
      </c>
      <c r="E473" s="6" t="s">
        <v>28</v>
      </c>
      <c r="F473" s="6" t="s">
        <v>34</v>
      </c>
      <c r="G473" s="6" t="s">
        <v>1440</v>
      </c>
      <c r="H473" s="9" t="s">
        <v>1441</v>
      </c>
      <c r="I473" s="10">
        <v>1.0</v>
      </c>
      <c r="J473" s="10">
        <v>987.0</v>
      </c>
      <c r="K473" s="10">
        <v>1012.0</v>
      </c>
      <c r="L473" s="10">
        <v>4.0</v>
      </c>
      <c r="M473" s="10">
        <v>25.0</v>
      </c>
      <c r="N473" s="10">
        <v>987.0</v>
      </c>
      <c r="O473" s="6" t="s">
        <v>53</v>
      </c>
      <c r="P473" s="11">
        <f t="shared" si="1"/>
        <v>1374</v>
      </c>
    </row>
    <row r="474" ht="18.0" customHeight="1">
      <c r="A474" s="7">
        <v>44529.0</v>
      </c>
      <c r="B474" s="8">
        <v>44529.54167824074</v>
      </c>
      <c r="C474" s="6" t="s">
        <v>50</v>
      </c>
      <c r="D474" s="6" t="s">
        <v>1442</v>
      </c>
      <c r="E474" s="6" t="s">
        <v>28</v>
      </c>
      <c r="F474" s="6" t="s">
        <v>34</v>
      </c>
      <c r="G474" s="6" t="s">
        <v>1443</v>
      </c>
      <c r="H474" s="9" t="s">
        <v>1444</v>
      </c>
      <c r="I474" s="10">
        <v>1.0</v>
      </c>
      <c r="J474" s="10">
        <v>1088.0</v>
      </c>
      <c r="K474" s="10">
        <v>1113.0</v>
      </c>
      <c r="L474" s="10">
        <v>20.0</v>
      </c>
      <c r="M474" s="10">
        <v>34.0</v>
      </c>
      <c r="N474" s="10">
        <v>1088.0</v>
      </c>
      <c r="O474" s="6" t="s">
        <v>53</v>
      </c>
      <c r="P474" s="11">
        <f t="shared" si="1"/>
        <v>1394</v>
      </c>
    </row>
    <row r="475" ht="18.0" customHeight="1">
      <c r="A475" s="7">
        <v>44546.0</v>
      </c>
      <c r="B475" s="8">
        <v>44546.395844907405</v>
      </c>
      <c r="C475" s="6" t="s">
        <v>50</v>
      </c>
      <c r="D475" s="6" t="s">
        <v>1445</v>
      </c>
      <c r="E475" s="6" t="s">
        <v>61</v>
      </c>
      <c r="F475" s="6" t="s">
        <v>62</v>
      </c>
      <c r="G475" s="6" t="s">
        <v>1446</v>
      </c>
      <c r="H475" s="9" t="s">
        <v>1447</v>
      </c>
      <c r="I475" s="10">
        <v>1.0</v>
      </c>
      <c r="J475" s="10">
        <v>2495.0</v>
      </c>
      <c r="K475" s="10">
        <v>2552.0</v>
      </c>
      <c r="L475" s="10">
        <v>3.0</v>
      </c>
      <c r="M475" s="10">
        <v>45.0</v>
      </c>
      <c r="N475" s="10">
        <v>2495.0</v>
      </c>
      <c r="O475" s="6" t="s">
        <v>53</v>
      </c>
      <c r="P475" s="11">
        <f t="shared" si="1"/>
        <v>1403</v>
      </c>
    </row>
    <row r="476" ht="18.0" customHeight="1">
      <c r="A476" s="7">
        <v>44546.0</v>
      </c>
      <c r="B476" s="8">
        <v>44546.565474537034</v>
      </c>
      <c r="C476" s="6" t="s">
        <v>50</v>
      </c>
      <c r="D476" s="6" t="s">
        <v>1448</v>
      </c>
      <c r="E476" s="6" t="s">
        <v>28</v>
      </c>
      <c r="F476" s="6" t="s">
        <v>34</v>
      </c>
      <c r="G476" s="6" t="s">
        <v>1449</v>
      </c>
      <c r="H476" s="9" t="s">
        <v>1450</v>
      </c>
      <c r="I476" s="10">
        <v>1.0</v>
      </c>
      <c r="J476" s="10">
        <v>1247.0</v>
      </c>
      <c r="K476" s="10">
        <v>1275.0</v>
      </c>
      <c r="L476" s="10">
        <v>30.0</v>
      </c>
      <c r="M476" s="10">
        <v>71.0</v>
      </c>
      <c r="N476" s="10">
        <v>1247.0</v>
      </c>
      <c r="O476" s="6" t="s">
        <v>53</v>
      </c>
      <c r="P476" s="11">
        <f t="shared" si="1"/>
        <v>1407</v>
      </c>
    </row>
    <row r="477" ht="18.0" customHeight="1">
      <c r="A477" s="7">
        <v>44544.0</v>
      </c>
      <c r="B477" s="8">
        <v>44544.74623842593</v>
      </c>
      <c r="C477" s="6" t="s">
        <v>50</v>
      </c>
      <c r="D477" s="6" t="s">
        <v>1451</v>
      </c>
      <c r="E477" s="6" t="s">
        <v>61</v>
      </c>
      <c r="F477" s="6" t="s">
        <v>62</v>
      </c>
      <c r="G477" s="6" t="s">
        <v>1452</v>
      </c>
      <c r="H477" s="9" t="s">
        <v>1453</v>
      </c>
      <c r="I477" s="10">
        <v>1.0</v>
      </c>
      <c r="J477" s="10">
        <v>134.0</v>
      </c>
      <c r="K477" s="10">
        <v>137.0</v>
      </c>
      <c r="L477" s="10">
        <v>0.0</v>
      </c>
      <c r="M477" s="10">
        <v>3.0</v>
      </c>
      <c r="N477" s="10">
        <v>134.0</v>
      </c>
      <c r="O477" s="6" t="s">
        <v>53</v>
      </c>
      <c r="P477" s="11">
        <f t="shared" si="1"/>
        <v>1410</v>
      </c>
    </row>
    <row r="478" ht="18.0" customHeight="1">
      <c r="A478" s="7">
        <v>44472.0</v>
      </c>
      <c r="B478" s="8">
        <v>44472.89579861111</v>
      </c>
      <c r="C478" s="6" t="s">
        <v>50</v>
      </c>
      <c r="D478" s="6" t="s">
        <v>1454</v>
      </c>
      <c r="E478" s="6" t="s">
        <v>28</v>
      </c>
      <c r="F478" s="6" t="s">
        <v>34</v>
      </c>
      <c r="G478" s="6" t="s">
        <v>1455</v>
      </c>
      <c r="H478" s="9" t="s">
        <v>1456</v>
      </c>
      <c r="I478" s="10">
        <v>1.0</v>
      </c>
      <c r="J478" s="10">
        <v>447.0</v>
      </c>
      <c r="K478" s="10">
        <v>451.0</v>
      </c>
      <c r="L478" s="10">
        <v>3.0</v>
      </c>
      <c r="M478" s="10">
        <v>6.0</v>
      </c>
      <c r="N478" s="10">
        <v>447.0</v>
      </c>
      <c r="O478" s="6" t="s">
        <v>53</v>
      </c>
      <c r="P478" s="11">
        <f t="shared" si="1"/>
        <v>1413</v>
      </c>
    </row>
    <row r="479" ht="18.0" customHeight="1">
      <c r="A479" s="7">
        <v>44529.0</v>
      </c>
      <c r="B479" s="8">
        <v>44529.89931712963</v>
      </c>
      <c r="C479" s="6" t="s">
        <v>50</v>
      </c>
      <c r="D479" s="6" t="s">
        <v>1457</v>
      </c>
      <c r="E479" s="6" t="s">
        <v>28</v>
      </c>
      <c r="F479" s="6" t="s">
        <v>34</v>
      </c>
      <c r="G479" s="6" t="s">
        <v>1458</v>
      </c>
      <c r="H479" s="9" t="s">
        <v>1459</v>
      </c>
      <c r="I479" s="10">
        <v>1.0</v>
      </c>
      <c r="J479" s="10">
        <v>929.0</v>
      </c>
      <c r="K479" s="10">
        <v>937.0</v>
      </c>
      <c r="L479" s="10">
        <v>16.0</v>
      </c>
      <c r="M479" s="10">
        <v>9.0</v>
      </c>
      <c r="N479" s="10">
        <v>929.0</v>
      </c>
      <c r="O479" s="6" t="s">
        <v>53</v>
      </c>
      <c r="P479" s="11">
        <f t="shared" si="1"/>
        <v>1416</v>
      </c>
    </row>
    <row r="480" ht="18.0" customHeight="1">
      <c r="A480" s="7">
        <v>44518.0</v>
      </c>
      <c r="B480" s="8">
        <v>44518.67832175926</v>
      </c>
      <c r="C480" s="6" t="s">
        <v>50</v>
      </c>
      <c r="D480" s="6" t="s">
        <v>1460</v>
      </c>
      <c r="E480" s="6" t="s">
        <v>28</v>
      </c>
      <c r="F480" s="6" t="s">
        <v>34</v>
      </c>
      <c r="G480" s="6" t="s">
        <v>1461</v>
      </c>
      <c r="H480" s="9" t="s">
        <v>1462</v>
      </c>
      <c r="I480" s="10">
        <v>1.0</v>
      </c>
      <c r="J480" s="10">
        <v>1843.0</v>
      </c>
      <c r="K480" s="10">
        <v>1874.0</v>
      </c>
      <c r="L480" s="10">
        <v>53.0</v>
      </c>
      <c r="M480" s="10">
        <v>49.0</v>
      </c>
      <c r="N480" s="10">
        <v>1843.0</v>
      </c>
      <c r="O480" s="6" t="s">
        <v>53</v>
      </c>
      <c r="P480" s="11">
        <f t="shared" si="1"/>
        <v>1431</v>
      </c>
    </row>
    <row r="481" ht="18.0" customHeight="1">
      <c r="A481" s="7">
        <v>44518.0</v>
      </c>
      <c r="B481" s="8">
        <v>44518.58329861111</v>
      </c>
      <c r="C481" s="6" t="s">
        <v>50</v>
      </c>
      <c r="D481" s="6" t="s">
        <v>1463</v>
      </c>
      <c r="E481" s="6" t="s">
        <v>28</v>
      </c>
      <c r="F481" s="6" t="s">
        <v>34</v>
      </c>
      <c r="G481" s="6" t="s">
        <v>1464</v>
      </c>
      <c r="H481" s="9" t="s">
        <v>1465</v>
      </c>
      <c r="I481" s="10">
        <v>1.0</v>
      </c>
      <c r="J481" s="10">
        <v>2002.0</v>
      </c>
      <c r="K481" s="10">
        <v>2043.0</v>
      </c>
      <c r="L481" s="10">
        <v>16.0</v>
      </c>
      <c r="M481" s="10">
        <v>367.0</v>
      </c>
      <c r="N481" s="10">
        <v>2002.0</v>
      </c>
      <c r="O481" s="6" t="s">
        <v>53</v>
      </c>
      <c r="P481" s="11">
        <f t="shared" si="1"/>
        <v>1443</v>
      </c>
    </row>
    <row r="482" ht="18.0" customHeight="1">
      <c r="A482" s="7">
        <v>44536.0</v>
      </c>
      <c r="B482" s="8">
        <v>44536.54168981482</v>
      </c>
      <c r="C482" s="6" t="s">
        <v>50</v>
      </c>
      <c r="D482" s="6" t="s">
        <v>1466</v>
      </c>
      <c r="E482" s="6" t="s">
        <v>28</v>
      </c>
      <c r="F482" s="6" t="s">
        <v>34</v>
      </c>
      <c r="G482" s="6" t="s">
        <v>1467</v>
      </c>
      <c r="H482" s="9" t="s">
        <v>1468</v>
      </c>
      <c r="I482" s="10">
        <v>1.0</v>
      </c>
      <c r="J482" s="10">
        <v>1237.0</v>
      </c>
      <c r="K482" s="10">
        <v>1257.0</v>
      </c>
      <c r="L482" s="10">
        <v>19.0</v>
      </c>
      <c r="M482" s="10">
        <v>27.0</v>
      </c>
      <c r="N482" s="10">
        <v>1237.0</v>
      </c>
      <c r="O482" s="6" t="s">
        <v>53</v>
      </c>
      <c r="P482" s="11">
        <f t="shared" si="1"/>
        <v>1463</v>
      </c>
    </row>
    <row r="483" ht="18.0" customHeight="1">
      <c r="A483" s="7">
        <v>44542.0</v>
      </c>
      <c r="B483" s="8">
        <v>44542.85474537037</v>
      </c>
      <c r="C483" s="6" t="s">
        <v>50</v>
      </c>
      <c r="D483" s="6" t="s">
        <v>1469</v>
      </c>
      <c r="E483" s="6" t="s">
        <v>28</v>
      </c>
      <c r="F483" s="6" t="s">
        <v>34</v>
      </c>
      <c r="G483" s="6" t="s">
        <v>1470</v>
      </c>
      <c r="H483" s="9" t="s">
        <v>1471</v>
      </c>
      <c r="I483" s="10">
        <v>1.0</v>
      </c>
      <c r="J483" s="10">
        <v>1111.0</v>
      </c>
      <c r="K483" s="10">
        <v>1132.0</v>
      </c>
      <c r="L483" s="10">
        <v>14.0</v>
      </c>
      <c r="M483" s="10">
        <v>33.0</v>
      </c>
      <c r="N483" s="10">
        <v>1111.0</v>
      </c>
      <c r="O483" s="6" t="s">
        <v>53</v>
      </c>
      <c r="P483" s="11">
        <f t="shared" si="1"/>
        <v>1466</v>
      </c>
    </row>
    <row r="484" ht="18.0" customHeight="1">
      <c r="A484" s="7">
        <v>44520.0</v>
      </c>
      <c r="B484" s="8">
        <v>44520.354166666664</v>
      </c>
      <c r="C484" s="6" t="s">
        <v>50</v>
      </c>
      <c r="D484" s="6" t="s">
        <v>1472</v>
      </c>
      <c r="E484" s="6" t="s">
        <v>28</v>
      </c>
      <c r="F484" s="6" t="s">
        <v>34</v>
      </c>
      <c r="G484" s="6" t="s">
        <v>1473</v>
      </c>
      <c r="H484" s="9" t="s">
        <v>1474</v>
      </c>
      <c r="I484" s="10">
        <v>1.0</v>
      </c>
      <c r="J484" s="10">
        <v>952.0</v>
      </c>
      <c r="K484" s="10">
        <v>971.0</v>
      </c>
      <c r="L484" s="10">
        <v>7.0</v>
      </c>
      <c r="M484" s="10">
        <v>45.0</v>
      </c>
      <c r="N484" s="10">
        <v>952.0</v>
      </c>
      <c r="O484" s="6" t="s">
        <v>53</v>
      </c>
      <c r="P484" s="11">
        <f t="shared" si="1"/>
        <v>1481</v>
      </c>
    </row>
    <row r="485" ht="18.0" customHeight="1">
      <c r="A485" s="7">
        <v>44519.0</v>
      </c>
      <c r="B485" s="8">
        <v>44519.333391203705</v>
      </c>
      <c r="C485" s="6" t="s">
        <v>50</v>
      </c>
      <c r="D485" s="6" t="s">
        <v>1475</v>
      </c>
      <c r="E485" s="6" t="s">
        <v>28</v>
      </c>
      <c r="F485" s="6" t="s">
        <v>34</v>
      </c>
      <c r="G485" s="6" t="s">
        <v>1476</v>
      </c>
      <c r="H485" s="9" t="s">
        <v>1477</v>
      </c>
      <c r="I485" s="10">
        <v>1.0</v>
      </c>
      <c r="J485" s="10">
        <v>1948.0</v>
      </c>
      <c r="K485" s="10">
        <v>2087.0</v>
      </c>
      <c r="L485" s="10">
        <v>18.0</v>
      </c>
      <c r="M485" s="10">
        <v>359.0</v>
      </c>
      <c r="N485" s="10">
        <v>1948.0</v>
      </c>
      <c r="O485" s="6" t="s">
        <v>53</v>
      </c>
      <c r="P485" s="11">
        <f t="shared" si="1"/>
        <v>1482</v>
      </c>
    </row>
    <row r="486" ht="18.0" customHeight="1">
      <c r="A486" s="7">
        <v>44520.0</v>
      </c>
      <c r="B486" s="8">
        <v>44520.455671296295</v>
      </c>
      <c r="C486" s="6" t="s">
        <v>50</v>
      </c>
      <c r="D486" s="6" t="s">
        <v>1478</v>
      </c>
      <c r="E486" s="6" t="s">
        <v>28</v>
      </c>
      <c r="F486" s="6" t="s">
        <v>34</v>
      </c>
      <c r="G486" s="6" t="s">
        <v>1479</v>
      </c>
      <c r="H486" s="9" t="s">
        <v>1480</v>
      </c>
      <c r="I486" s="10">
        <v>1.0</v>
      </c>
      <c r="J486" s="10">
        <v>899.0</v>
      </c>
      <c r="K486" s="10">
        <v>1074.0</v>
      </c>
      <c r="L486" s="10">
        <v>10.0</v>
      </c>
      <c r="M486" s="10">
        <v>49.0</v>
      </c>
      <c r="N486" s="10">
        <v>899.0</v>
      </c>
      <c r="O486" s="6" t="s">
        <v>53</v>
      </c>
      <c r="P486" s="11">
        <f t="shared" si="1"/>
        <v>1492</v>
      </c>
    </row>
    <row r="487" ht="18.0" customHeight="1">
      <c r="A487" s="7">
        <v>44521.0</v>
      </c>
      <c r="B487" s="8">
        <v>44521.35420138889</v>
      </c>
      <c r="C487" s="6" t="s">
        <v>50</v>
      </c>
      <c r="D487" s="6" t="s">
        <v>1481</v>
      </c>
      <c r="E487" s="6" t="s">
        <v>28</v>
      </c>
      <c r="F487" s="6" t="s">
        <v>34</v>
      </c>
      <c r="G487" s="6" t="s">
        <v>1482</v>
      </c>
      <c r="H487" s="9" t="s">
        <v>1483</v>
      </c>
      <c r="I487" s="10">
        <v>1.0</v>
      </c>
      <c r="J487" s="10">
        <v>1156.0</v>
      </c>
      <c r="K487" s="10">
        <v>1180.0</v>
      </c>
      <c r="L487" s="10">
        <v>6.0</v>
      </c>
      <c r="M487" s="10">
        <v>28.0</v>
      </c>
      <c r="N487" s="10">
        <v>1156.0</v>
      </c>
      <c r="O487" s="6" t="s">
        <v>53</v>
      </c>
      <c r="P487" s="11">
        <f t="shared" si="1"/>
        <v>1493</v>
      </c>
    </row>
    <row r="488" ht="18.0" customHeight="1">
      <c r="A488" s="7">
        <v>44533.0</v>
      </c>
      <c r="B488" s="8">
        <v>44533.77092592593</v>
      </c>
      <c r="C488" s="6" t="s">
        <v>50</v>
      </c>
      <c r="D488" s="6" t="s">
        <v>1484</v>
      </c>
      <c r="E488" s="6" t="s">
        <v>61</v>
      </c>
      <c r="F488" s="6" t="s">
        <v>62</v>
      </c>
      <c r="G488" s="6" t="s">
        <v>1485</v>
      </c>
      <c r="H488" s="9" t="s">
        <v>1486</v>
      </c>
      <c r="I488" s="10">
        <v>1.0</v>
      </c>
      <c r="J488" s="10">
        <v>112.0</v>
      </c>
      <c r="K488" s="10">
        <v>115.0</v>
      </c>
      <c r="L488" s="10">
        <v>0.0</v>
      </c>
      <c r="M488" s="10">
        <v>6.0</v>
      </c>
      <c r="N488" s="10">
        <v>112.0</v>
      </c>
      <c r="O488" s="6" t="s">
        <v>53</v>
      </c>
      <c r="P488" s="11">
        <f t="shared" si="1"/>
        <v>1495</v>
      </c>
    </row>
    <row r="489" ht="18.0" customHeight="1">
      <c r="A489" s="7">
        <v>44542.0</v>
      </c>
      <c r="B489" s="8">
        <v>44542.646527777775</v>
      </c>
      <c r="C489" s="6" t="s">
        <v>50</v>
      </c>
      <c r="D489" s="6" t="s">
        <v>1487</v>
      </c>
      <c r="E489" s="6" t="s">
        <v>61</v>
      </c>
      <c r="F489" s="6" t="s">
        <v>62</v>
      </c>
      <c r="G489" s="6" t="s">
        <v>1488</v>
      </c>
      <c r="H489" s="9" t="s">
        <v>1489</v>
      </c>
      <c r="I489" s="10">
        <v>1.0</v>
      </c>
      <c r="J489" s="10">
        <v>962.0</v>
      </c>
      <c r="K489" s="10">
        <v>1054.0</v>
      </c>
      <c r="L489" s="10">
        <v>10.0</v>
      </c>
      <c r="M489" s="10">
        <v>76.0</v>
      </c>
      <c r="N489" s="10">
        <v>962.0</v>
      </c>
      <c r="O489" s="6" t="s">
        <v>53</v>
      </c>
      <c r="P489" s="11">
        <f t="shared" si="1"/>
        <v>1495</v>
      </c>
    </row>
    <row r="490" ht="18.0" customHeight="1">
      <c r="A490" s="7">
        <v>44528.0</v>
      </c>
      <c r="B490" s="8">
        <v>44528.49935185185</v>
      </c>
      <c r="C490" s="6" t="s">
        <v>50</v>
      </c>
      <c r="D490" s="6" t="s">
        <v>1490</v>
      </c>
      <c r="E490" s="6" t="s">
        <v>28</v>
      </c>
      <c r="F490" s="6" t="s">
        <v>34</v>
      </c>
      <c r="G490" s="6" t="s">
        <v>1491</v>
      </c>
      <c r="H490" s="9" t="s">
        <v>1492</v>
      </c>
      <c r="I490" s="10">
        <v>1.0</v>
      </c>
      <c r="J490" s="10">
        <v>958.0</v>
      </c>
      <c r="K490" s="10">
        <v>983.0</v>
      </c>
      <c r="L490" s="10">
        <v>11.0</v>
      </c>
      <c r="M490" s="10">
        <v>21.0</v>
      </c>
      <c r="N490" s="10">
        <v>958.0</v>
      </c>
      <c r="O490" s="6" t="s">
        <v>53</v>
      </c>
      <c r="P490" s="11">
        <f t="shared" si="1"/>
        <v>1521</v>
      </c>
    </row>
    <row r="491" ht="18.0" customHeight="1">
      <c r="A491" s="7">
        <v>44527.0</v>
      </c>
      <c r="B491" s="8">
        <v>44527.49930555555</v>
      </c>
      <c r="C491" s="6" t="s">
        <v>50</v>
      </c>
      <c r="D491" s="6" t="s">
        <v>1493</v>
      </c>
      <c r="E491" s="6" t="s">
        <v>28</v>
      </c>
      <c r="F491" s="6" t="s">
        <v>34</v>
      </c>
      <c r="G491" s="6" t="s">
        <v>1494</v>
      </c>
      <c r="H491" s="9" t="s">
        <v>1495</v>
      </c>
      <c r="I491" s="10">
        <v>1.0</v>
      </c>
      <c r="J491" s="10">
        <v>2017.0</v>
      </c>
      <c r="K491" s="10">
        <v>2067.0</v>
      </c>
      <c r="L491" s="10">
        <v>28.0</v>
      </c>
      <c r="M491" s="10">
        <v>95.0</v>
      </c>
      <c r="N491" s="10">
        <v>2017.0</v>
      </c>
      <c r="O491" s="6" t="s">
        <v>53</v>
      </c>
      <c r="P491" s="11">
        <f t="shared" si="1"/>
        <v>1522</v>
      </c>
    </row>
    <row r="492" ht="18.0" customHeight="1">
      <c r="A492" s="7">
        <v>44545.0</v>
      </c>
      <c r="B492" s="8">
        <v>44545.708344907405</v>
      </c>
      <c r="C492" s="6" t="s">
        <v>50</v>
      </c>
      <c r="D492" s="6" t="s">
        <v>1496</v>
      </c>
      <c r="E492" s="6" t="s">
        <v>61</v>
      </c>
      <c r="F492" s="6" t="s">
        <v>62</v>
      </c>
      <c r="G492" s="6" t="s">
        <v>1497</v>
      </c>
      <c r="H492" s="9" t="s">
        <v>1498</v>
      </c>
      <c r="I492" s="10">
        <v>1.0</v>
      </c>
      <c r="J492" s="10">
        <v>2992.0</v>
      </c>
      <c r="K492" s="10">
        <v>3112.0</v>
      </c>
      <c r="L492" s="10">
        <v>10.0</v>
      </c>
      <c r="M492" s="10">
        <v>123.0</v>
      </c>
      <c r="N492" s="10">
        <v>2992.0</v>
      </c>
      <c r="O492" s="6" t="s">
        <v>53</v>
      </c>
      <c r="P492" s="11">
        <f t="shared" si="1"/>
        <v>1538</v>
      </c>
    </row>
    <row r="493" ht="18.0" customHeight="1">
      <c r="A493" s="7">
        <v>44519.0</v>
      </c>
      <c r="B493" s="8">
        <v>44519.95097222222</v>
      </c>
      <c r="C493" s="6" t="s">
        <v>50</v>
      </c>
      <c r="D493" s="6" t="s">
        <v>1499</v>
      </c>
      <c r="E493" s="6" t="s">
        <v>28</v>
      </c>
      <c r="F493" s="6" t="s">
        <v>229</v>
      </c>
      <c r="G493" s="6" t="s">
        <v>1500</v>
      </c>
      <c r="H493" s="9" t="s">
        <v>1501</v>
      </c>
      <c r="I493" s="10">
        <v>1.0</v>
      </c>
      <c r="J493" s="10">
        <v>974.0</v>
      </c>
      <c r="K493" s="10">
        <v>986.0</v>
      </c>
      <c r="L493" s="10">
        <v>4.0</v>
      </c>
      <c r="M493" s="10">
        <v>38.0</v>
      </c>
      <c r="N493" s="10">
        <v>974.0</v>
      </c>
      <c r="O493" s="6" t="s">
        <v>53</v>
      </c>
      <c r="P493" s="11">
        <f t="shared" si="1"/>
        <v>1539</v>
      </c>
    </row>
    <row r="494" ht="18.0" customHeight="1">
      <c r="A494" s="7">
        <v>44540.0</v>
      </c>
      <c r="B494" s="8">
        <v>44540.583402777775</v>
      </c>
      <c r="C494" s="6" t="s">
        <v>50</v>
      </c>
      <c r="D494" s="6" t="s">
        <v>1502</v>
      </c>
      <c r="E494" s="6" t="s">
        <v>28</v>
      </c>
      <c r="F494" s="6" t="s">
        <v>34</v>
      </c>
      <c r="G494" s="6" t="s">
        <v>1503</v>
      </c>
      <c r="H494" s="9" t="s">
        <v>1504</v>
      </c>
      <c r="I494" s="10">
        <v>1.0</v>
      </c>
      <c r="J494" s="10">
        <v>1058.0</v>
      </c>
      <c r="K494" s="10">
        <v>1080.0</v>
      </c>
      <c r="L494" s="10">
        <v>0.0</v>
      </c>
      <c r="M494" s="10">
        <v>15.0</v>
      </c>
      <c r="N494" s="10">
        <v>1058.0</v>
      </c>
      <c r="O494" s="6" t="s">
        <v>53</v>
      </c>
      <c r="P494" s="11">
        <f t="shared" si="1"/>
        <v>1541</v>
      </c>
    </row>
    <row r="495" ht="18.0" customHeight="1">
      <c r="A495" s="7">
        <v>44542.0</v>
      </c>
      <c r="B495" s="8">
        <v>44542.54168981482</v>
      </c>
      <c r="C495" s="6" t="s">
        <v>50</v>
      </c>
      <c r="D495" s="6" t="s">
        <v>1505</v>
      </c>
      <c r="E495" s="6" t="s">
        <v>28</v>
      </c>
      <c r="F495" s="6" t="s">
        <v>34</v>
      </c>
      <c r="G495" s="6" t="s">
        <v>1506</v>
      </c>
      <c r="H495" s="9" t="s">
        <v>1507</v>
      </c>
      <c r="I495" s="10">
        <v>1.0</v>
      </c>
      <c r="J495" s="10">
        <v>589.0</v>
      </c>
      <c r="K495" s="10">
        <v>598.0</v>
      </c>
      <c r="L495" s="10">
        <v>6.0</v>
      </c>
      <c r="M495" s="10">
        <v>9.0</v>
      </c>
      <c r="N495" s="10">
        <v>589.0</v>
      </c>
      <c r="O495" s="6" t="s">
        <v>53</v>
      </c>
      <c r="P495" s="11">
        <f t="shared" si="1"/>
        <v>1543</v>
      </c>
    </row>
    <row r="496" ht="18.0" customHeight="1">
      <c r="A496" s="7">
        <v>44541.0</v>
      </c>
      <c r="B496" s="8">
        <v>44541.54167824074</v>
      </c>
      <c r="C496" s="6" t="s">
        <v>50</v>
      </c>
      <c r="D496" s="6" t="s">
        <v>1508</v>
      </c>
      <c r="E496" s="6" t="s">
        <v>28</v>
      </c>
      <c r="F496" s="6" t="s">
        <v>34</v>
      </c>
      <c r="G496" s="6" t="s">
        <v>1509</v>
      </c>
      <c r="H496" s="9" t="s">
        <v>1510</v>
      </c>
      <c r="I496" s="10">
        <v>1.0</v>
      </c>
      <c r="J496" s="10">
        <v>1115.0</v>
      </c>
      <c r="K496" s="10">
        <v>1142.0</v>
      </c>
      <c r="L496" s="10">
        <v>13.0</v>
      </c>
      <c r="M496" s="10">
        <v>40.0</v>
      </c>
      <c r="N496" s="10">
        <v>1115.0</v>
      </c>
      <c r="O496" s="6" t="s">
        <v>53</v>
      </c>
      <c r="P496" s="11">
        <f t="shared" si="1"/>
        <v>1547</v>
      </c>
    </row>
    <row r="497" ht="18.0" customHeight="1">
      <c r="A497" s="7">
        <v>44526.0</v>
      </c>
      <c r="B497" s="8">
        <v>44526.83335648148</v>
      </c>
      <c r="C497" s="6" t="s">
        <v>50</v>
      </c>
      <c r="D497" s="6" t="s">
        <v>1511</v>
      </c>
      <c r="E497" s="6" t="s">
        <v>28</v>
      </c>
      <c r="F497" s="6" t="s">
        <v>34</v>
      </c>
      <c r="G497" s="6" t="s">
        <v>1512</v>
      </c>
      <c r="H497" s="9" t="s">
        <v>1513</v>
      </c>
      <c r="I497" s="10">
        <v>1.0</v>
      </c>
      <c r="J497" s="10">
        <v>1816.0</v>
      </c>
      <c r="K497" s="10">
        <v>1917.0</v>
      </c>
      <c r="L497" s="10">
        <v>12.0</v>
      </c>
      <c r="M497" s="10">
        <v>31.0</v>
      </c>
      <c r="N497" s="10">
        <v>1816.0</v>
      </c>
      <c r="O497" s="6" t="s">
        <v>53</v>
      </c>
      <c r="P497" s="11">
        <f t="shared" si="1"/>
        <v>1548</v>
      </c>
    </row>
    <row r="498" ht="18.0" customHeight="1">
      <c r="A498" s="7">
        <v>44521.0</v>
      </c>
      <c r="B498" s="8">
        <v>44521.92974537037</v>
      </c>
      <c r="C498" s="6" t="s">
        <v>50</v>
      </c>
      <c r="D498" s="6" t="s">
        <v>1514</v>
      </c>
      <c r="E498" s="6" t="s">
        <v>28</v>
      </c>
      <c r="F498" s="6" t="s">
        <v>229</v>
      </c>
      <c r="G498" s="6" t="s">
        <v>1515</v>
      </c>
      <c r="H498" s="9" t="s">
        <v>1516</v>
      </c>
      <c r="I498" s="10">
        <v>1.0</v>
      </c>
      <c r="J498" s="10">
        <v>1407.0</v>
      </c>
      <c r="K498" s="10">
        <v>1465.0</v>
      </c>
      <c r="L498" s="10">
        <v>32.0</v>
      </c>
      <c r="M498" s="10">
        <v>77.0</v>
      </c>
      <c r="N498" s="10">
        <v>1407.0</v>
      </c>
      <c r="O498" s="6" t="s">
        <v>53</v>
      </c>
      <c r="P498" s="11">
        <f t="shared" si="1"/>
        <v>1560</v>
      </c>
    </row>
    <row r="499" ht="18.0" customHeight="1">
      <c r="A499" s="7">
        <v>44527.0</v>
      </c>
      <c r="B499" s="8">
        <v>44527.88167824074</v>
      </c>
      <c r="C499" s="6" t="s">
        <v>50</v>
      </c>
      <c r="D499" s="6" t="s">
        <v>1517</v>
      </c>
      <c r="E499" s="6" t="s">
        <v>28</v>
      </c>
      <c r="F499" s="6" t="s">
        <v>34</v>
      </c>
      <c r="G499" s="6" t="s">
        <v>1518</v>
      </c>
      <c r="H499" s="9" t="s">
        <v>1519</v>
      </c>
      <c r="I499" s="10">
        <v>1.0</v>
      </c>
      <c r="J499" s="10">
        <v>169.0</v>
      </c>
      <c r="K499" s="10">
        <v>171.0</v>
      </c>
      <c r="L499" s="10">
        <v>0.0</v>
      </c>
      <c r="M499" s="10">
        <v>3.0</v>
      </c>
      <c r="N499" s="10">
        <v>169.0</v>
      </c>
      <c r="O499" s="6" t="s">
        <v>53</v>
      </c>
      <c r="P499" s="11">
        <f t="shared" si="1"/>
        <v>1567</v>
      </c>
    </row>
    <row r="500" ht="18.0" customHeight="1">
      <c r="A500" s="7">
        <v>44540.0</v>
      </c>
      <c r="B500" s="8">
        <v>44540.708344907405</v>
      </c>
      <c r="C500" s="6" t="s">
        <v>50</v>
      </c>
      <c r="D500" s="6" t="s">
        <v>1520</v>
      </c>
      <c r="E500" s="6" t="s">
        <v>61</v>
      </c>
      <c r="F500" s="6" t="s">
        <v>62</v>
      </c>
      <c r="G500" s="6" t="s">
        <v>1521</v>
      </c>
      <c r="H500" s="9" t="s">
        <v>1522</v>
      </c>
      <c r="I500" s="10">
        <v>1.0</v>
      </c>
      <c r="J500" s="10">
        <v>1720.0</v>
      </c>
      <c r="K500" s="10">
        <v>1749.0</v>
      </c>
      <c r="L500" s="10">
        <v>1.0</v>
      </c>
      <c r="M500" s="10">
        <v>28.0</v>
      </c>
      <c r="N500" s="10">
        <v>1720.0</v>
      </c>
      <c r="O500" s="6" t="s">
        <v>53</v>
      </c>
      <c r="P500" s="11">
        <f t="shared" si="1"/>
        <v>1571</v>
      </c>
    </row>
    <row r="501" ht="18.0" customHeight="1">
      <c r="A501" s="7">
        <v>44535.0</v>
      </c>
      <c r="B501" s="8">
        <v>44535.54167824074</v>
      </c>
      <c r="C501" s="6" t="s">
        <v>50</v>
      </c>
      <c r="D501" s="6" t="s">
        <v>1523</v>
      </c>
      <c r="E501" s="6" t="s">
        <v>28</v>
      </c>
      <c r="F501" s="6" t="s">
        <v>34</v>
      </c>
      <c r="G501" s="6" t="s">
        <v>1524</v>
      </c>
      <c r="H501" s="9" t="s">
        <v>1525</v>
      </c>
      <c r="I501" s="10">
        <v>1.0</v>
      </c>
      <c r="J501" s="10">
        <v>491.0</v>
      </c>
      <c r="K501" s="10">
        <v>499.0</v>
      </c>
      <c r="L501" s="10">
        <v>0.0</v>
      </c>
      <c r="M501" s="10">
        <v>11.0</v>
      </c>
      <c r="N501" s="10">
        <v>491.0</v>
      </c>
      <c r="O501" s="6" t="s">
        <v>53</v>
      </c>
      <c r="P501" s="11">
        <f t="shared" si="1"/>
        <v>1574</v>
      </c>
    </row>
    <row r="502" ht="18.0" customHeight="1">
      <c r="A502" s="7">
        <v>44534.0</v>
      </c>
      <c r="B502" s="8">
        <v>44534.87259259259</v>
      </c>
      <c r="C502" s="6" t="s">
        <v>50</v>
      </c>
      <c r="D502" s="6" t="s">
        <v>1526</v>
      </c>
      <c r="E502" s="6" t="s">
        <v>28</v>
      </c>
      <c r="F502" s="6" t="s">
        <v>34</v>
      </c>
      <c r="G502" s="6" t="s">
        <v>1527</v>
      </c>
      <c r="H502" s="9" t="s">
        <v>1528</v>
      </c>
      <c r="I502" s="10">
        <v>1.0</v>
      </c>
      <c r="J502" s="10">
        <v>691.0</v>
      </c>
      <c r="K502" s="10">
        <v>698.0</v>
      </c>
      <c r="L502" s="10">
        <v>18.0</v>
      </c>
      <c r="M502" s="10">
        <v>5.0</v>
      </c>
      <c r="N502" s="10">
        <v>691.0</v>
      </c>
      <c r="O502" s="6" t="s">
        <v>53</v>
      </c>
      <c r="P502" s="11">
        <f t="shared" si="1"/>
        <v>1579</v>
      </c>
    </row>
    <row r="503" ht="18.0" customHeight="1">
      <c r="A503" s="7">
        <v>44534.0</v>
      </c>
      <c r="B503" s="8">
        <v>44534.54167824074</v>
      </c>
      <c r="C503" s="6" t="s">
        <v>50</v>
      </c>
      <c r="D503" s="6" t="s">
        <v>1529</v>
      </c>
      <c r="E503" s="6" t="s">
        <v>28</v>
      </c>
      <c r="F503" s="6" t="s">
        <v>34</v>
      </c>
      <c r="G503" s="6" t="s">
        <v>1530</v>
      </c>
      <c r="H503" s="9" t="s">
        <v>1531</v>
      </c>
      <c r="I503" s="10">
        <v>1.0</v>
      </c>
      <c r="J503" s="10">
        <v>1323.0</v>
      </c>
      <c r="K503" s="10">
        <v>1355.0</v>
      </c>
      <c r="L503" s="10">
        <v>17.0</v>
      </c>
      <c r="M503" s="10">
        <v>57.0</v>
      </c>
      <c r="N503" s="10">
        <v>1323.0</v>
      </c>
      <c r="O503" s="6" t="s">
        <v>53</v>
      </c>
      <c r="P503" s="11">
        <f t="shared" si="1"/>
        <v>1585</v>
      </c>
    </row>
    <row r="504" ht="18.0" customHeight="1">
      <c r="A504" s="7">
        <v>44539.0</v>
      </c>
      <c r="B504" s="8">
        <v>44539.87940972222</v>
      </c>
      <c r="C504" s="6" t="s">
        <v>50</v>
      </c>
      <c r="D504" s="6" t="s">
        <v>1532</v>
      </c>
      <c r="E504" s="6" t="s">
        <v>28</v>
      </c>
      <c r="F504" s="6" t="s">
        <v>34</v>
      </c>
      <c r="G504" s="6" t="s">
        <v>1533</v>
      </c>
      <c r="H504" s="9" t="s">
        <v>1534</v>
      </c>
      <c r="I504" s="10">
        <v>1.0</v>
      </c>
      <c r="J504" s="10">
        <v>1509.0</v>
      </c>
      <c r="K504" s="10">
        <v>1560.0</v>
      </c>
      <c r="L504" s="10">
        <v>28.0</v>
      </c>
      <c r="M504" s="10">
        <v>38.0</v>
      </c>
      <c r="N504" s="10">
        <v>1509.0</v>
      </c>
      <c r="O504" s="6" t="s">
        <v>53</v>
      </c>
      <c r="P504" s="11">
        <f t="shared" si="1"/>
        <v>1595</v>
      </c>
    </row>
    <row r="505" ht="18.0" customHeight="1">
      <c r="A505" s="7">
        <v>44542.0</v>
      </c>
      <c r="B505" s="8">
        <v>44542.67710648148</v>
      </c>
      <c r="C505" s="6" t="s">
        <v>50</v>
      </c>
      <c r="D505" s="6" t="s">
        <v>1535</v>
      </c>
      <c r="E505" s="6" t="s">
        <v>28</v>
      </c>
      <c r="F505" s="6" t="s">
        <v>34</v>
      </c>
      <c r="G505" s="6" t="s">
        <v>1536</v>
      </c>
      <c r="H505" s="9" t="s">
        <v>1537</v>
      </c>
      <c r="I505" s="10">
        <v>1.0</v>
      </c>
      <c r="J505" s="10">
        <v>175.0</v>
      </c>
      <c r="K505" s="10">
        <v>176.0</v>
      </c>
      <c r="L505" s="10">
        <v>0.0</v>
      </c>
      <c r="M505" s="10">
        <v>3.0</v>
      </c>
      <c r="N505" s="10">
        <v>175.0</v>
      </c>
      <c r="O505" s="6" t="s">
        <v>53</v>
      </c>
      <c r="P505" s="11">
        <f t="shared" si="1"/>
        <v>1595</v>
      </c>
    </row>
    <row r="506" ht="18.0" customHeight="1">
      <c r="A506" s="7">
        <v>44520.0</v>
      </c>
      <c r="B506" s="8">
        <v>44520.91446759259</v>
      </c>
      <c r="C506" s="6" t="s">
        <v>50</v>
      </c>
      <c r="D506" s="6" t="s">
        <v>1538</v>
      </c>
      <c r="E506" s="6" t="s">
        <v>28</v>
      </c>
      <c r="F506" s="6" t="s">
        <v>229</v>
      </c>
      <c r="G506" s="6" t="s">
        <v>1539</v>
      </c>
      <c r="H506" s="9" t="s">
        <v>1540</v>
      </c>
      <c r="I506" s="10">
        <v>1.0</v>
      </c>
      <c r="J506" s="10">
        <v>1212.0</v>
      </c>
      <c r="K506" s="10">
        <v>1281.0</v>
      </c>
      <c r="L506" s="10">
        <v>26.0</v>
      </c>
      <c r="M506" s="10">
        <v>59.0</v>
      </c>
      <c r="N506" s="10">
        <v>1212.0</v>
      </c>
      <c r="O506" s="6" t="s">
        <v>53</v>
      </c>
      <c r="P506" s="11">
        <f t="shared" si="1"/>
        <v>1603</v>
      </c>
    </row>
    <row r="507" ht="18.0" customHeight="1">
      <c r="A507" s="7">
        <v>44539.0</v>
      </c>
      <c r="B507" s="8">
        <v>44539.80310185185</v>
      </c>
      <c r="C507" s="6" t="s">
        <v>50</v>
      </c>
      <c r="D507" s="6" t="s">
        <v>1541</v>
      </c>
      <c r="E507" s="6" t="s">
        <v>28</v>
      </c>
      <c r="F507" s="6" t="s">
        <v>34</v>
      </c>
      <c r="G507" s="6" t="s">
        <v>1542</v>
      </c>
      <c r="H507" s="9" t="s">
        <v>1543</v>
      </c>
      <c r="I507" s="10">
        <v>1.0</v>
      </c>
      <c r="J507" s="10">
        <v>3700.0</v>
      </c>
      <c r="K507" s="10">
        <v>4145.0</v>
      </c>
      <c r="L507" s="10">
        <v>49.0</v>
      </c>
      <c r="M507" s="10">
        <v>294.0</v>
      </c>
      <c r="N507" s="10">
        <v>3700.0</v>
      </c>
      <c r="O507" s="6" t="s">
        <v>53</v>
      </c>
      <c r="P507" s="11">
        <f t="shared" si="1"/>
        <v>1608</v>
      </c>
    </row>
    <row r="508" ht="18.0" customHeight="1">
      <c r="A508" s="7">
        <v>44543.0</v>
      </c>
      <c r="B508" s="8">
        <v>44543.417916666665</v>
      </c>
      <c r="C508" s="6" t="s">
        <v>50</v>
      </c>
      <c r="D508" s="6" t="s">
        <v>1544</v>
      </c>
      <c r="E508" s="6" t="s">
        <v>28</v>
      </c>
      <c r="F508" s="6" t="s">
        <v>34</v>
      </c>
      <c r="G508" s="6" t="s">
        <v>1545</v>
      </c>
      <c r="H508" s="9" t="s">
        <v>1546</v>
      </c>
      <c r="I508" s="10">
        <v>1.0</v>
      </c>
      <c r="J508" s="10">
        <v>1449.0</v>
      </c>
      <c r="K508" s="10">
        <v>1459.0</v>
      </c>
      <c r="L508" s="10">
        <v>28.0</v>
      </c>
      <c r="M508" s="10">
        <v>41.0</v>
      </c>
      <c r="N508" s="10">
        <v>1449.0</v>
      </c>
      <c r="O508" s="6" t="s">
        <v>53</v>
      </c>
      <c r="P508" s="11">
        <f t="shared" si="1"/>
        <v>1612</v>
      </c>
    </row>
    <row r="509" ht="18.0" customHeight="1">
      <c r="A509" s="7">
        <v>44541.0</v>
      </c>
      <c r="B509" s="8">
        <v>44541.89613425926</v>
      </c>
      <c r="C509" s="6" t="s">
        <v>50</v>
      </c>
      <c r="D509" s="6" t="s">
        <v>1547</v>
      </c>
      <c r="E509" s="6" t="s">
        <v>28</v>
      </c>
      <c r="F509" s="6" t="s">
        <v>34</v>
      </c>
      <c r="G509" s="6" t="s">
        <v>1548</v>
      </c>
      <c r="H509" s="9" t="s">
        <v>1549</v>
      </c>
      <c r="I509" s="10">
        <v>1.0</v>
      </c>
      <c r="J509" s="10">
        <v>646.0</v>
      </c>
      <c r="K509" s="10">
        <v>648.0</v>
      </c>
      <c r="L509" s="10">
        <v>3.0</v>
      </c>
      <c r="M509" s="10">
        <v>10.0</v>
      </c>
      <c r="N509" s="10">
        <v>646.0</v>
      </c>
      <c r="O509" s="6" t="s">
        <v>53</v>
      </c>
      <c r="P509" s="11">
        <f t="shared" si="1"/>
        <v>1614</v>
      </c>
    </row>
    <row r="510" ht="18.0" customHeight="1">
      <c r="A510" s="7">
        <v>44537.0</v>
      </c>
      <c r="B510" s="8">
        <v>44537.88527777778</v>
      </c>
      <c r="C510" s="6" t="s">
        <v>50</v>
      </c>
      <c r="D510" s="6" t="s">
        <v>1550</v>
      </c>
      <c r="E510" s="6" t="s">
        <v>28</v>
      </c>
      <c r="F510" s="6" t="s">
        <v>34</v>
      </c>
      <c r="G510" s="6" t="s">
        <v>1551</v>
      </c>
      <c r="H510" s="9" t="s">
        <v>1552</v>
      </c>
      <c r="I510" s="10">
        <v>1.0</v>
      </c>
      <c r="J510" s="10">
        <v>668.0</v>
      </c>
      <c r="K510" s="10">
        <v>669.0</v>
      </c>
      <c r="L510" s="10">
        <v>8.0</v>
      </c>
      <c r="M510" s="10">
        <v>7.0</v>
      </c>
      <c r="N510" s="10">
        <v>668.0</v>
      </c>
      <c r="O510" s="6" t="s">
        <v>53</v>
      </c>
      <c r="P510" s="11">
        <f t="shared" si="1"/>
        <v>1620</v>
      </c>
    </row>
    <row r="511" ht="18.0" customHeight="1">
      <c r="A511" s="7">
        <v>44535.0</v>
      </c>
      <c r="B511" s="8">
        <v>44535.66619212963</v>
      </c>
      <c r="C511" s="6" t="s">
        <v>50</v>
      </c>
      <c r="D511" s="6" t="s">
        <v>1553</v>
      </c>
      <c r="E511" s="6" t="s">
        <v>28</v>
      </c>
      <c r="F511" s="6" t="s">
        <v>34</v>
      </c>
      <c r="G511" s="6" t="s">
        <v>1554</v>
      </c>
      <c r="H511" s="9" t="s">
        <v>1555</v>
      </c>
      <c r="I511" s="10">
        <v>1.0</v>
      </c>
      <c r="J511" s="10">
        <v>56.0</v>
      </c>
      <c r="K511" s="10">
        <v>56.0</v>
      </c>
      <c r="L511" s="10">
        <v>0.0</v>
      </c>
      <c r="N511" s="10">
        <v>56.0</v>
      </c>
      <c r="O511" s="6" t="s">
        <v>53</v>
      </c>
      <c r="P511" s="11">
        <f t="shared" si="1"/>
        <v>1625</v>
      </c>
    </row>
    <row r="512" ht="18.0" customHeight="1">
      <c r="A512" s="7">
        <v>44532.0</v>
      </c>
      <c r="B512" s="8">
        <v>44532.868101851855</v>
      </c>
      <c r="C512" s="6" t="s">
        <v>50</v>
      </c>
      <c r="D512" s="6" t="s">
        <v>1556</v>
      </c>
      <c r="E512" s="6" t="s">
        <v>28</v>
      </c>
      <c r="F512" s="6" t="s">
        <v>34</v>
      </c>
      <c r="G512" s="6" t="s">
        <v>1557</v>
      </c>
      <c r="H512" s="9" t="s">
        <v>1558</v>
      </c>
      <c r="I512" s="10">
        <v>1.0</v>
      </c>
      <c r="J512" s="10">
        <v>899.0</v>
      </c>
      <c r="K512" s="10">
        <v>905.0</v>
      </c>
      <c r="L512" s="10">
        <v>34.0</v>
      </c>
      <c r="M512" s="10">
        <v>28.0</v>
      </c>
      <c r="N512" s="10">
        <v>899.0</v>
      </c>
      <c r="O512" s="6" t="s">
        <v>53</v>
      </c>
      <c r="P512" s="11">
        <f t="shared" si="1"/>
        <v>1627</v>
      </c>
    </row>
    <row r="513" ht="18.0" customHeight="1">
      <c r="A513" s="7">
        <v>44531.0</v>
      </c>
      <c r="B513" s="8">
        <v>44531.55252314815</v>
      </c>
      <c r="C513" s="6" t="s">
        <v>50</v>
      </c>
      <c r="D513" s="6" t="s">
        <v>1559</v>
      </c>
      <c r="E513" s="6" t="s">
        <v>28</v>
      </c>
      <c r="F513" s="6" t="s">
        <v>34</v>
      </c>
      <c r="G513" s="6" t="s">
        <v>1560</v>
      </c>
      <c r="H513" s="9" t="s">
        <v>1561</v>
      </c>
      <c r="I513" s="10">
        <v>1.0</v>
      </c>
      <c r="J513" s="10">
        <v>341.0</v>
      </c>
      <c r="K513" s="10">
        <v>342.0</v>
      </c>
      <c r="L513" s="10">
        <v>6.0</v>
      </c>
      <c r="M513" s="10">
        <v>3.0</v>
      </c>
      <c r="N513" s="10">
        <v>341.0</v>
      </c>
      <c r="O513" s="6" t="s">
        <v>53</v>
      </c>
      <c r="P513" s="11">
        <f t="shared" si="1"/>
        <v>1628</v>
      </c>
    </row>
    <row r="514" ht="18.0" customHeight="1">
      <c r="A514" s="7">
        <v>44535.0</v>
      </c>
      <c r="B514" s="8">
        <v>44535.863530092596</v>
      </c>
      <c r="C514" s="6" t="s">
        <v>50</v>
      </c>
      <c r="D514" s="6" t="s">
        <v>1562</v>
      </c>
      <c r="E514" s="6" t="s">
        <v>28</v>
      </c>
      <c r="F514" s="6" t="s">
        <v>34</v>
      </c>
      <c r="G514" s="6" t="s">
        <v>1563</v>
      </c>
      <c r="H514" s="9" t="s">
        <v>1564</v>
      </c>
      <c r="I514" s="10">
        <v>1.0</v>
      </c>
      <c r="J514" s="10">
        <v>1044.0</v>
      </c>
      <c r="K514" s="10">
        <v>1060.0</v>
      </c>
      <c r="L514" s="10">
        <v>21.0</v>
      </c>
      <c r="M514" s="10">
        <v>31.0</v>
      </c>
      <c r="N514" s="10">
        <v>1044.0</v>
      </c>
      <c r="O514" s="6" t="s">
        <v>53</v>
      </c>
      <c r="P514" s="11">
        <f t="shared" si="1"/>
        <v>1630</v>
      </c>
    </row>
    <row r="515" ht="18.0" customHeight="1">
      <c r="A515" s="7">
        <v>44539.0</v>
      </c>
      <c r="B515" s="8">
        <v>44539.55001157407</v>
      </c>
      <c r="C515" s="6" t="s">
        <v>50</v>
      </c>
      <c r="D515" s="6" t="s">
        <v>1565</v>
      </c>
      <c r="E515" s="6" t="s">
        <v>28</v>
      </c>
      <c r="F515" s="6" t="s">
        <v>34</v>
      </c>
      <c r="G515" s="6" t="s">
        <v>1566</v>
      </c>
      <c r="H515" s="9" t="s">
        <v>1567</v>
      </c>
      <c r="I515" s="10">
        <v>1.0</v>
      </c>
      <c r="J515" s="10">
        <v>630.0</v>
      </c>
      <c r="K515" s="10">
        <v>647.0</v>
      </c>
      <c r="L515" s="10">
        <v>10.0</v>
      </c>
      <c r="M515" s="10">
        <v>19.0</v>
      </c>
      <c r="N515" s="10">
        <v>630.0</v>
      </c>
      <c r="O515" s="6" t="s">
        <v>53</v>
      </c>
      <c r="P515" s="11">
        <f t="shared" si="1"/>
        <v>1631</v>
      </c>
    </row>
    <row r="516" ht="18.0" customHeight="1">
      <c r="A516" s="7">
        <v>44519.0</v>
      </c>
      <c r="B516" s="8">
        <v>44519.695543981485</v>
      </c>
      <c r="C516" s="6" t="s">
        <v>50</v>
      </c>
      <c r="D516" s="6" t="s">
        <v>1568</v>
      </c>
      <c r="E516" s="6" t="s">
        <v>28</v>
      </c>
      <c r="F516" s="6" t="s">
        <v>34</v>
      </c>
      <c r="G516" s="6" t="s">
        <v>1569</v>
      </c>
      <c r="H516" s="9" t="s">
        <v>1570</v>
      </c>
      <c r="I516" s="10">
        <v>1.0</v>
      </c>
      <c r="J516" s="10">
        <v>1730.0</v>
      </c>
      <c r="K516" s="10">
        <v>1758.0</v>
      </c>
      <c r="L516" s="10">
        <v>36.0</v>
      </c>
      <c r="M516" s="10">
        <v>75.0</v>
      </c>
      <c r="N516" s="10">
        <v>1730.0</v>
      </c>
      <c r="O516" s="6" t="s">
        <v>53</v>
      </c>
      <c r="P516" s="11">
        <f t="shared" si="1"/>
        <v>1633</v>
      </c>
    </row>
    <row r="517" ht="18.0" customHeight="1">
      <c r="A517" s="7">
        <v>44538.0</v>
      </c>
      <c r="B517" s="8">
        <v>44538.55017361111</v>
      </c>
      <c r="C517" s="6" t="s">
        <v>50</v>
      </c>
      <c r="D517" s="6" t="s">
        <v>1571</v>
      </c>
      <c r="E517" s="6" t="s">
        <v>28</v>
      </c>
      <c r="F517" s="6" t="s">
        <v>34</v>
      </c>
      <c r="G517" s="6" t="s">
        <v>1572</v>
      </c>
      <c r="H517" s="9" t="s">
        <v>1573</v>
      </c>
      <c r="I517" s="10">
        <v>1.0</v>
      </c>
      <c r="J517" s="10">
        <v>295.0</v>
      </c>
      <c r="K517" s="10">
        <v>298.0</v>
      </c>
      <c r="L517" s="10">
        <v>1.0</v>
      </c>
      <c r="M517" s="10">
        <v>3.0</v>
      </c>
      <c r="N517" s="10">
        <v>295.0</v>
      </c>
      <c r="O517" s="6" t="s">
        <v>53</v>
      </c>
      <c r="P517" s="11">
        <f t="shared" si="1"/>
        <v>1633</v>
      </c>
    </row>
    <row r="518" ht="18.0" customHeight="1">
      <c r="A518" s="7">
        <v>44527.0</v>
      </c>
      <c r="B518" s="8">
        <v>44527.87295138889</v>
      </c>
      <c r="C518" s="6" t="s">
        <v>50</v>
      </c>
      <c r="D518" s="6" t="s">
        <v>1574</v>
      </c>
      <c r="E518" s="6" t="s">
        <v>28</v>
      </c>
      <c r="F518" s="6" t="s">
        <v>34</v>
      </c>
      <c r="G518" s="6" t="s">
        <v>1575</v>
      </c>
      <c r="H518" s="9" t="s">
        <v>1576</v>
      </c>
      <c r="I518" s="10">
        <v>1.0</v>
      </c>
      <c r="J518" s="10">
        <v>797.0</v>
      </c>
      <c r="K518" s="10">
        <v>803.0</v>
      </c>
      <c r="L518" s="10">
        <v>10.0</v>
      </c>
      <c r="M518" s="10">
        <v>10.0</v>
      </c>
      <c r="N518" s="10">
        <v>797.0</v>
      </c>
      <c r="O518" s="6" t="s">
        <v>53</v>
      </c>
      <c r="P518" s="11">
        <f t="shared" si="1"/>
        <v>1638</v>
      </c>
    </row>
    <row r="519" ht="18.0" customHeight="1">
      <c r="A519" s="7">
        <v>44530.0</v>
      </c>
      <c r="B519" s="8">
        <v>44530.55221064815</v>
      </c>
      <c r="C519" s="6" t="s">
        <v>50</v>
      </c>
      <c r="D519" s="6" t="s">
        <v>1577</v>
      </c>
      <c r="E519" s="6" t="s">
        <v>28</v>
      </c>
      <c r="F519" s="6" t="s">
        <v>34</v>
      </c>
      <c r="G519" s="6" t="s">
        <v>1578</v>
      </c>
      <c r="H519" s="9" t="s">
        <v>1579</v>
      </c>
      <c r="I519" s="10">
        <v>1.0</v>
      </c>
      <c r="J519" s="10">
        <v>507.0</v>
      </c>
      <c r="K519" s="10">
        <v>512.0</v>
      </c>
      <c r="L519" s="10">
        <v>7.0</v>
      </c>
      <c r="M519" s="10">
        <v>17.0</v>
      </c>
      <c r="N519" s="10">
        <v>507.0</v>
      </c>
      <c r="O519" s="6" t="s">
        <v>53</v>
      </c>
      <c r="P519" s="11">
        <f t="shared" si="1"/>
        <v>1645</v>
      </c>
    </row>
    <row r="520" ht="18.0" customHeight="1">
      <c r="A520" s="7">
        <v>44530.0</v>
      </c>
      <c r="B520" s="8">
        <v>44530.79803240741</v>
      </c>
      <c r="C520" s="6" t="s">
        <v>50</v>
      </c>
      <c r="D520" s="6" t="s">
        <v>1580</v>
      </c>
      <c r="E520" s="6" t="s">
        <v>28</v>
      </c>
      <c r="F520" s="6" t="s">
        <v>34</v>
      </c>
      <c r="G520" s="6" t="s">
        <v>1581</v>
      </c>
      <c r="H520" s="9" t="s">
        <v>1582</v>
      </c>
      <c r="I520" s="10">
        <v>1.0</v>
      </c>
      <c r="J520" s="10">
        <v>3924.0</v>
      </c>
      <c r="K520" s="10">
        <v>4396.0</v>
      </c>
      <c r="L520" s="10">
        <v>69.0</v>
      </c>
      <c r="M520" s="10">
        <v>532.0</v>
      </c>
      <c r="N520" s="10">
        <v>3924.0</v>
      </c>
      <c r="O520" s="6" t="s">
        <v>53</v>
      </c>
      <c r="P520" s="11">
        <f t="shared" si="1"/>
        <v>1653</v>
      </c>
    </row>
    <row r="521" ht="18.0" customHeight="1">
      <c r="A521" s="7">
        <v>44537.0</v>
      </c>
      <c r="B521" s="8">
        <v>44537.54167824074</v>
      </c>
      <c r="C521" s="6" t="s">
        <v>50</v>
      </c>
      <c r="D521" s="6" t="s">
        <v>1583</v>
      </c>
      <c r="E521" s="6" t="s">
        <v>28</v>
      </c>
      <c r="F521" s="6" t="s">
        <v>34</v>
      </c>
      <c r="G521" s="6" t="s">
        <v>1584</v>
      </c>
      <c r="H521" s="9" t="s">
        <v>1585</v>
      </c>
      <c r="I521" s="10">
        <v>1.0</v>
      </c>
      <c r="J521" s="10">
        <v>404.0</v>
      </c>
      <c r="K521" s="10">
        <v>409.0</v>
      </c>
      <c r="L521" s="10">
        <v>4.0</v>
      </c>
      <c r="M521" s="10">
        <v>16.0</v>
      </c>
      <c r="N521" s="10">
        <v>404.0</v>
      </c>
      <c r="O521" s="6" t="s">
        <v>53</v>
      </c>
      <c r="P521" s="11">
        <f t="shared" si="1"/>
        <v>1654</v>
      </c>
    </row>
    <row r="522" ht="18.0" customHeight="1">
      <c r="A522" s="7">
        <v>44520.0</v>
      </c>
      <c r="B522" s="8">
        <v>44520.68996527778</v>
      </c>
      <c r="C522" s="6" t="s">
        <v>50</v>
      </c>
      <c r="D522" s="6" t="s">
        <v>1586</v>
      </c>
      <c r="E522" s="6" t="s">
        <v>28</v>
      </c>
      <c r="F522" s="6" t="s">
        <v>229</v>
      </c>
      <c r="G522" s="6" t="s">
        <v>1587</v>
      </c>
      <c r="H522" s="9" t="s">
        <v>1588</v>
      </c>
      <c r="I522" s="10">
        <v>1.0</v>
      </c>
      <c r="J522" s="10">
        <v>599.0</v>
      </c>
      <c r="K522" s="10">
        <v>605.0</v>
      </c>
      <c r="L522" s="10">
        <v>7.0</v>
      </c>
      <c r="M522" s="10">
        <v>16.0</v>
      </c>
      <c r="N522" s="10">
        <v>599.0</v>
      </c>
      <c r="O522" s="6" t="s">
        <v>53</v>
      </c>
      <c r="P522" s="11">
        <f t="shared" si="1"/>
        <v>1656</v>
      </c>
    </row>
    <row r="523" ht="18.0" customHeight="1">
      <c r="A523" s="7">
        <v>44523.0</v>
      </c>
      <c r="B523" s="8">
        <v>44523.55877314815</v>
      </c>
      <c r="C523" s="6" t="s">
        <v>50</v>
      </c>
      <c r="D523" s="6" t="s">
        <v>1589</v>
      </c>
      <c r="E523" s="6" t="s">
        <v>28</v>
      </c>
      <c r="F523" s="6" t="s">
        <v>34</v>
      </c>
      <c r="G523" s="6" t="s">
        <v>1590</v>
      </c>
      <c r="H523" s="9" t="s">
        <v>1591</v>
      </c>
      <c r="I523" s="10">
        <v>1.0</v>
      </c>
      <c r="J523" s="10">
        <v>1269.0</v>
      </c>
      <c r="K523" s="10">
        <v>1305.0</v>
      </c>
      <c r="L523" s="10">
        <v>24.0</v>
      </c>
      <c r="M523" s="10">
        <v>92.0</v>
      </c>
      <c r="N523" s="10">
        <v>1269.0</v>
      </c>
      <c r="O523" s="6" t="s">
        <v>53</v>
      </c>
      <c r="P523" s="11">
        <f t="shared" si="1"/>
        <v>1659</v>
      </c>
    </row>
    <row r="524" ht="18.0" customHeight="1">
      <c r="A524" s="7">
        <v>44539.0</v>
      </c>
      <c r="B524" s="8">
        <v>44539.62525462963</v>
      </c>
      <c r="C524" s="6" t="s">
        <v>50</v>
      </c>
      <c r="D524" s="6" t="s">
        <v>1592</v>
      </c>
      <c r="E524" s="6" t="s">
        <v>28</v>
      </c>
      <c r="F524" s="6" t="s">
        <v>34</v>
      </c>
      <c r="G524" s="6" t="s">
        <v>1593</v>
      </c>
      <c r="H524" s="9" t="s">
        <v>1594</v>
      </c>
      <c r="I524" s="10">
        <v>1.0</v>
      </c>
      <c r="J524" s="10">
        <v>1340.0</v>
      </c>
      <c r="K524" s="10">
        <v>1443.0</v>
      </c>
      <c r="L524" s="10">
        <v>57.0</v>
      </c>
      <c r="M524" s="10">
        <v>33.0</v>
      </c>
      <c r="N524" s="10">
        <v>1340.0</v>
      </c>
      <c r="O524" s="6" t="s">
        <v>53</v>
      </c>
      <c r="P524" s="11">
        <f t="shared" si="1"/>
        <v>1667</v>
      </c>
    </row>
    <row r="525" ht="18.0" customHeight="1">
      <c r="A525" s="7">
        <v>44528.0</v>
      </c>
      <c r="B525" s="8">
        <v>44528.86565972222</v>
      </c>
      <c r="C525" s="6" t="s">
        <v>50</v>
      </c>
      <c r="D525" s="6" t="s">
        <v>1595</v>
      </c>
      <c r="E525" s="6" t="s">
        <v>28</v>
      </c>
      <c r="F525" s="6" t="s">
        <v>34</v>
      </c>
      <c r="G525" s="6" t="s">
        <v>1596</v>
      </c>
      <c r="H525" s="9" t="s">
        <v>1597</v>
      </c>
      <c r="I525" s="10">
        <v>1.0</v>
      </c>
      <c r="J525" s="10">
        <v>926.0</v>
      </c>
      <c r="K525" s="10">
        <v>935.0</v>
      </c>
      <c r="L525" s="10">
        <v>34.0</v>
      </c>
      <c r="M525" s="10">
        <v>13.0</v>
      </c>
      <c r="N525" s="10">
        <v>926.0</v>
      </c>
      <c r="O525" s="6" t="s">
        <v>53</v>
      </c>
      <c r="P525" s="11">
        <f t="shared" si="1"/>
        <v>1668</v>
      </c>
    </row>
    <row r="526" ht="18.0" customHeight="1">
      <c r="A526" s="7">
        <v>44526.0</v>
      </c>
      <c r="B526" s="8">
        <v>44526.57513888889</v>
      </c>
      <c r="C526" s="6" t="s">
        <v>50</v>
      </c>
      <c r="D526" s="6" t="s">
        <v>1598</v>
      </c>
      <c r="E526" s="6" t="s">
        <v>28</v>
      </c>
      <c r="F526" s="6" t="s">
        <v>34</v>
      </c>
      <c r="G526" s="6" t="s">
        <v>1599</v>
      </c>
      <c r="H526" s="9" t="s">
        <v>1600</v>
      </c>
      <c r="I526" s="10">
        <v>1.0</v>
      </c>
      <c r="J526" s="10">
        <v>918.0</v>
      </c>
      <c r="K526" s="10">
        <v>938.0</v>
      </c>
      <c r="L526" s="10">
        <v>42.0</v>
      </c>
      <c r="M526" s="10">
        <v>14.0</v>
      </c>
      <c r="N526" s="10">
        <v>918.0</v>
      </c>
      <c r="O526" s="6" t="s">
        <v>53</v>
      </c>
      <c r="P526" s="11">
        <f t="shared" si="1"/>
        <v>1671</v>
      </c>
    </row>
    <row r="527" ht="18.0" customHeight="1">
      <c r="A527" s="7">
        <v>44522.0</v>
      </c>
      <c r="B527" s="8">
        <v>44522.7215162037</v>
      </c>
      <c r="C527" s="6" t="s">
        <v>50</v>
      </c>
      <c r="D527" s="6" t="s">
        <v>1601</v>
      </c>
      <c r="E527" s="6" t="s">
        <v>28</v>
      </c>
      <c r="F527" s="6" t="s">
        <v>34</v>
      </c>
      <c r="G527" s="6" t="s">
        <v>1602</v>
      </c>
      <c r="H527" s="9" t="s">
        <v>1603</v>
      </c>
      <c r="I527" s="10">
        <v>1.0</v>
      </c>
      <c r="J527" s="10">
        <v>1870.0</v>
      </c>
      <c r="K527" s="10">
        <v>1912.0</v>
      </c>
      <c r="L527" s="10">
        <v>11.0</v>
      </c>
      <c r="M527" s="10">
        <v>62.0</v>
      </c>
      <c r="N527" s="10">
        <v>1870.0</v>
      </c>
      <c r="O527" s="6" t="s">
        <v>53</v>
      </c>
      <c r="P527" s="11">
        <f t="shared" si="1"/>
        <v>1674</v>
      </c>
    </row>
    <row r="528" ht="18.0" customHeight="1">
      <c r="A528" s="7">
        <v>44531.0</v>
      </c>
      <c r="B528" s="8">
        <v>44531.68759259259</v>
      </c>
      <c r="C528" s="6" t="s">
        <v>50</v>
      </c>
      <c r="D528" s="6" t="s">
        <v>1604</v>
      </c>
      <c r="E528" s="6" t="s">
        <v>28</v>
      </c>
      <c r="F528" s="6" t="s">
        <v>34</v>
      </c>
      <c r="G528" s="6" t="s">
        <v>1605</v>
      </c>
      <c r="H528" s="9" t="s">
        <v>1606</v>
      </c>
      <c r="I528" s="10">
        <v>1.0</v>
      </c>
      <c r="J528" s="10">
        <v>563.0</v>
      </c>
      <c r="K528" s="10">
        <v>587.0</v>
      </c>
      <c r="L528" s="10">
        <v>2.0</v>
      </c>
      <c r="M528" s="10">
        <v>10.0</v>
      </c>
      <c r="N528" s="10">
        <v>563.0</v>
      </c>
      <c r="O528" s="6" t="s">
        <v>53</v>
      </c>
      <c r="P528" s="11">
        <f t="shared" si="1"/>
        <v>1674</v>
      </c>
    </row>
    <row r="529" ht="18.0" customHeight="1">
      <c r="A529" s="7">
        <v>44524.0</v>
      </c>
      <c r="B529" s="8">
        <v>44524.54859953704</v>
      </c>
      <c r="C529" s="6" t="s">
        <v>50</v>
      </c>
      <c r="D529" s="6" t="s">
        <v>1607</v>
      </c>
      <c r="E529" s="6" t="s">
        <v>28</v>
      </c>
      <c r="F529" s="6" t="s">
        <v>34</v>
      </c>
      <c r="G529" s="6" t="s">
        <v>1608</v>
      </c>
      <c r="H529" s="9" t="s">
        <v>1609</v>
      </c>
      <c r="I529" s="10">
        <v>1.0</v>
      </c>
      <c r="J529" s="10">
        <v>607.0</v>
      </c>
      <c r="K529" s="10">
        <v>633.0</v>
      </c>
      <c r="L529" s="10">
        <v>8.0</v>
      </c>
      <c r="M529" s="10">
        <v>25.0</v>
      </c>
      <c r="N529" s="10">
        <v>607.0</v>
      </c>
      <c r="O529" s="6" t="s">
        <v>53</v>
      </c>
      <c r="P529" s="11">
        <f t="shared" si="1"/>
        <v>1680</v>
      </c>
    </row>
    <row r="530" ht="18.0" customHeight="1">
      <c r="A530" s="7">
        <v>44525.0</v>
      </c>
      <c r="B530" s="8">
        <v>44525.55311342593</v>
      </c>
      <c r="C530" s="6" t="s">
        <v>50</v>
      </c>
      <c r="D530" s="6" t="s">
        <v>1610</v>
      </c>
      <c r="E530" s="6" t="s">
        <v>28</v>
      </c>
      <c r="F530" s="6" t="s">
        <v>34</v>
      </c>
      <c r="G530" s="6" t="s">
        <v>1611</v>
      </c>
      <c r="H530" s="9" t="s">
        <v>1612</v>
      </c>
      <c r="I530" s="10">
        <v>1.0</v>
      </c>
      <c r="J530" s="10">
        <v>767.0</v>
      </c>
      <c r="K530" s="10">
        <v>788.0</v>
      </c>
      <c r="L530" s="10">
        <v>12.0</v>
      </c>
      <c r="M530" s="10">
        <v>24.0</v>
      </c>
      <c r="N530" s="10">
        <v>767.0</v>
      </c>
      <c r="O530" s="6" t="s">
        <v>53</v>
      </c>
      <c r="P530" s="11">
        <f t="shared" si="1"/>
        <v>1691</v>
      </c>
    </row>
    <row r="531" ht="18.0" customHeight="1">
      <c r="A531" s="7">
        <v>44524.0</v>
      </c>
      <c r="B531" s="8">
        <v>44524.96047453704</v>
      </c>
      <c r="C531" s="6" t="s">
        <v>50</v>
      </c>
      <c r="D531" s="6" t="s">
        <v>1613</v>
      </c>
      <c r="E531" s="6" t="s">
        <v>28</v>
      </c>
      <c r="F531" s="6" t="s">
        <v>34</v>
      </c>
      <c r="G531" s="6" t="s">
        <v>1614</v>
      </c>
      <c r="H531" s="9" t="s">
        <v>1615</v>
      </c>
      <c r="I531" s="10">
        <v>1.0</v>
      </c>
      <c r="J531" s="10">
        <v>1988.0</v>
      </c>
      <c r="K531" s="10">
        <v>2059.0</v>
      </c>
      <c r="L531" s="10">
        <v>24.0</v>
      </c>
      <c r="M531" s="10">
        <v>30.0</v>
      </c>
      <c r="N531" s="10">
        <v>1988.0</v>
      </c>
      <c r="O531" s="6" t="s">
        <v>53</v>
      </c>
      <c r="P531" s="11">
        <f t="shared" si="1"/>
        <v>1692</v>
      </c>
    </row>
    <row r="532" ht="18.0" customHeight="1">
      <c r="A532" s="7">
        <v>44532.0</v>
      </c>
      <c r="B532" s="8">
        <v>44532.58899305556</v>
      </c>
      <c r="C532" s="6" t="s">
        <v>50</v>
      </c>
      <c r="D532" s="6" t="s">
        <v>1616</v>
      </c>
      <c r="E532" s="6" t="s">
        <v>28</v>
      </c>
      <c r="F532" s="6" t="s">
        <v>34</v>
      </c>
      <c r="G532" s="6" t="s">
        <v>1617</v>
      </c>
      <c r="H532" s="9" t="s">
        <v>1618</v>
      </c>
      <c r="I532" s="10">
        <v>1.0</v>
      </c>
      <c r="J532" s="10">
        <v>462.0</v>
      </c>
      <c r="K532" s="10">
        <v>468.0</v>
      </c>
      <c r="L532" s="10">
        <v>4.0</v>
      </c>
      <c r="M532" s="10">
        <v>9.0</v>
      </c>
      <c r="N532" s="10">
        <v>462.0</v>
      </c>
      <c r="O532" s="6" t="s">
        <v>53</v>
      </c>
      <c r="P532" s="11">
        <f t="shared" si="1"/>
        <v>1720</v>
      </c>
    </row>
    <row r="533" ht="18.0" customHeight="1">
      <c r="A533" s="7">
        <v>44536.0</v>
      </c>
      <c r="B533" s="8">
        <v>44536.89527777778</v>
      </c>
      <c r="C533" s="6" t="s">
        <v>50</v>
      </c>
      <c r="D533" s="6" t="s">
        <v>1619</v>
      </c>
      <c r="E533" s="6" t="s">
        <v>28</v>
      </c>
      <c r="F533" s="6" t="s">
        <v>34</v>
      </c>
      <c r="G533" s="6" t="s">
        <v>1620</v>
      </c>
      <c r="H533" s="9" t="s">
        <v>1621</v>
      </c>
      <c r="I533" s="10">
        <v>1.0</v>
      </c>
      <c r="J533" s="10">
        <v>943.0</v>
      </c>
      <c r="K533" s="10">
        <v>945.0</v>
      </c>
      <c r="L533" s="10">
        <v>20.0</v>
      </c>
      <c r="M533" s="10">
        <v>12.0</v>
      </c>
      <c r="N533" s="10">
        <v>943.0</v>
      </c>
      <c r="O533" s="6" t="s">
        <v>53</v>
      </c>
      <c r="P533" s="11">
        <f t="shared" si="1"/>
        <v>1733</v>
      </c>
    </row>
    <row r="534" ht="18.0" customHeight="1">
      <c r="A534" s="7">
        <v>44523.0</v>
      </c>
      <c r="B534" s="8">
        <v>44523.89388888889</v>
      </c>
      <c r="C534" s="6" t="s">
        <v>50</v>
      </c>
      <c r="D534" s="6" t="s">
        <v>1622</v>
      </c>
      <c r="E534" s="6" t="s">
        <v>28</v>
      </c>
      <c r="F534" s="6" t="s">
        <v>34</v>
      </c>
      <c r="G534" s="6" t="s">
        <v>1623</v>
      </c>
      <c r="H534" s="9" t="s">
        <v>1624</v>
      </c>
      <c r="I534" s="10">
        <v>1.0</v>
      </c>
      <c r="J534" s="10">
        <v>1252.0</v>
      </c>
      <c r="K534" s="10">
        <v>1264.0</v>
      </c>
      <c r="L534" s="10">
        <v>16.0</v>
      </c>
      <c r="M534" s="10">
        <v>41.0</v>
      </c>
      <c r="N534" s="10">
        <v>1252.0</v>
      </c>
      <c r="O534" s="6" t="s">
        <v>53</v>
      </c>
      <c r="P534" s="11">
        <f t="shared" si="1"/>
        <v>1743</v>
      </c>
    </row>
    <row r="535" ht="18.0" customHeight="1">
      <c r="A535" s="7">
        <v>44538.0</v>
      </c>
      <c r="B535" s="8">
        <v>44538.90555555555</v>
      </c>
      <c r="C535" s="6" t="s">
        <v>50</v>
      </c>
      <c r="D535" s="6" t="s">
        <v>1625</v>
      </c>
      <c r="E535" s="6" t="s">
        <v>28</v>
      </c>
      <c r="F535" s="6" t="s">
        <v>34</v>
      </c>
      <c r="G535" s="6" t="s">
        <v>1626</v>
      </c>
      <c r="H535" s="9" t="s">
        <v>1627</v>
      </c>
      <c r="I535" s="10">
        <v>1.0</v>
      </c>
      <c r="J535" s="10">
        <v>706.0</v>
      </c>
      <c r="K535" s="10">
        <v>713.0</v>
      </c>
      <c r="L535" s="10">
        <v>14.0</v>
      </c>
      <c r="M535" s="10">
        <v>6.0</v>
      </c>
      <c r="N535" s="10">
        <v>706.0</v>
      </c>
      <c r="O535" s="6" t="s">
        <v>53</v>
      </c>
      <c r="P535" s="11">
        <f t="shared" si="1"/>
        <v>1747</v>
      </c>
    </row>
    <row r="536" ht="18.0" customHeight="1">
      <c r="A536" s="7">
        <v>44531.0</v>
      </c>
      <c r="B536" s="8">
        <v>44531.92496527778</v>
      </c>
      <c r="C536" s="6" t="s">
        <v>50</v>
      </c>
      <c r="D536" s="6" t="s">
        <v>1628</v>
      </c>
      <c r="E536" s="6" t="s">
        <v>28</v>
      </c>
      <c r="F536" s="6" t="s">
        <v>34</v>
      </c>
      <c r="G536" s="6" t="s">
        <v>1629</v>
      </c>
      <c r="H536" s="9" t="s">
        <v>1630</v>
      </c>
      <c r="I536" s="10">
        <v>1.0</v>
      </c>
      <c r="J536" s="10">
        <v>687.0</v>
      </c>
      <c r="K536" s="10">
        <v>696.0</v>
      </c>
      <c r="L536" s="10">
        <v>15.0</v>
      </c>
      <c r="M536" s="10">
        <v>10.0</v>
      </c>
      <c r="N536" s="10">
        <v>687.0</v>
      </c>
      <c r="O536" s="6" t="s">
        <v>53</v>
      </c>
      <c r="P536" s="11">
        <f t="shared" si="1"/>
        <v>1751</v>
      </c>
    </row>
    <row r="537" ht="18.0" customHeight="1">
      <c r="A537" s="7">
        <v>44525.0</v>
      </c>
      <c r="B537" s="8">
        <v>44525.625023148146</v>
      </c>
      <c r="C537" s="6" t="s">
        <v>50</v>
      </c>
      <c r="D537" s="6" t="s">
        <v>1631</v>
      </c>
      <c r="E537" s="6" t="s">
        <v>61</v>
      </c>
      <c r="F537" s="6" t="s">
        <v>62</v>
      </c>
      <c r="G537" s="6" t="s">
        <v>1632</v>
      </c>
      <c r="H537" s="9" t="s">
        <v>1633</v>
      </c>
      <c r="I537" s="10">
        <v>1.0</v>
      </c>
      <c r="J537" s="10">
        <v>224.0</v>
      </c>
      <c r="K537" s="10">
        <v>228.0</v>
      </c>
      <c r="L537" s="10">
        <v>1.0</v>
      </c>
      <c r="M537" s="10">
        <v>5.0</v>
      </c>
      <c r="N537" s="10">
        <v>224.0</v>
      </c>
      <c r="O537" s="6" t="s">
        <v>53</v>
      </c>
      <c r="P537" s="11">
        <f t="shared" si="1"/>
        <v>1756</v>
      </c>
    </row>
    <row r="538" ht="18.0" customHeight="1">
      <c r="A538" s="7">
        <v>44525.0</v>
      </c>
      <c r="B538" s="8">
        <v>44525.898206018515</v>
      </c>
      <c r="C538" s="6" t="s">
        <v>50</v>
      </c>
      <c r="D538" s="6" t="s">
        <v>1634</v>
      </c>
      <c r="E538" s="6" t="s">
        <v>28</v>
      </c>
      <c r="F538" s="6" t="s">
        <v>34</v>
      </c>
      <c r="G538" s="6" t="s">
        <v>1635</v>
      </c>
      <c r="H538" s="9" t="s">
        <v>1636</v>
      </c>
      <c r="I538" s="10">
        <v>1.0</v>
      </c>
      <c r="J538" s="10">
        <v>5051.0</v>
      </c>
      <c r="K538" s="10">
        <v>5893.0</v>
      </c>
      <c r="L538" s="10">
        <v>143.0</v>
      </c>
      <c r="M538" s="10">
        <v>1026.0</v>
      </c>
      <c r="N538" s="10">
        <v>5051.0</v>
      </c>
      <c r="O538" s="6" t="s">
        <v>53</v>
      </c>
      <c r="P538" s="11">
        <f t="shared" si="1"/>
        <v>1765</v>
      </c>
    </row>
    <row r="539" ht="18.0" customHeight="1">
      <c r="A539" s="7">
        <v>44530.0</v>
      </c>
      <c r="B539" s="8">
        <v>44530.86976851852</v>
      </c>
      <c r="C539" s="6" t="s">
        <v>50</v>
      </c>
      <c r="D539" s="6" t="s">
        <v>1637</v>
      </c>
      <c r="E539" s="6" t="s">
        <v>28</v>
      </c>
      <c r="F539" s="6" t="s">
        <v>34</v>
      </c>
      <c r="G539" s="6" t="s">
        <v>1638</v>
      </c>
      <c r="H539" s="9" t="s">
        <v>1639</v>
      </c>
      <c r="I539" s="10">
        <v>1.0</v>
      </c>
      <c r="J539" s="10">
        <v>1589.0</v>
      </c>
      <c r="K539" s="10">
        <v>1682.0</v>
      </c>
      <c r="L539" s="10">
        <v>19.0</v>
      </c>
      <c r="M539" s="10">
        <v>41.0</v>
      </c>
      <c r="N539" s="10">
        <v>1589.0</v>
      </c>
      <c r="O539" s="6" t="s">
        <v>53</v>
      </c>
      <c r="P539" s="11">
        <f t="shared" si="1"/>
        <v>1774</v>
      </c>
    </row>
    <row r="540" ht="18.0" customHeight="1">
      <c r="A540" s="7">
        <v>44524.0</v>
      </c>
      <c r="B540" s="8">
        <v>44524.94188657407</v>
      </c>
      <c r="C540" s="6" t="s">
        <v>50</v>
      </c>
      <c r="D540" s="6" t="s">
        <v>1640</v>
      </c>
      <c r="E540" s="6" t="s">
        <v>28</v>
      </c>
      <c r="F540" s="6" t="s">
        <v>34</v>
      </c>
      <c r="G540" s="6" t="s">
        <v>1641</v>
      </c>
      <c r="H540" s="9" t="s">
        <v>1642</v>
      </c>
      <c r="I540" s="10">
        <v>1.0</v>
      </c>
      <c r="J540" s="10">
        <v>1181.0</v>
      </c>
      <c r="K540" s="10">
        <v>1199.0</v>
      </c>
      <c r="L540" s="10">
        <v>22.0</v>
      </c>
      <c r="M540" s="10">
        <v>26.0</v>
      </c>
      <c r="N540" s="10">
        <v>1181.0</v>
      </c>
      <c r="O540" s="6" t="s">
        <v>53</v>
      </c>
      <c r="P540" s="11">
        <f t="shared" si="1"/>
        <v>1785</v>
      </c>
    </row>
    <row r="541" ht="18.0" customHeight="1">
      <c r="A541" s="7">
        <v>44522.0</v>
      </c>
      <c r="B541" s="8">
        <v>44522.59611111111</v>
      </c>
      <c r="C541" s="6" t="s">
        <v>50</v>
      </c>
      <c r="D541" s="6" t="s">
        <v>1643</v>
      </c>
      <c r="E541" s="6" t="s">
        <v>28</v>
      </c>
      <c r="F541" s="6" t="s">
        <v>34</v>
      </c>
      <c r="G541" s="6" t="s">
        <v>1644</v>
      </c>
      <c r="H541" s="9" t="s">
        <v>1645</v>
      </c>
      <c r="I541" s="10">
        <v>1.0</v>
      </c>
      <c r="J541" s="10">
        <v>1296.0</v>
      </c>
      <c r="K541" s="10">
        <v>1309.0</v>
      </c>
      <c r="L541" s="10">
        <v>4.0</v>
      </c>
      <c r="M541" s="10">
        <v>16.0</v>
      </c>
      <c r="N541" s="10">
        <v>1296.0</v>
      </c>
      <c r="O541" s="6" t="s">
        <v>53</v>
      </c>
      <c r="P541" s="11">
        <f t="shared" si="1"/>
        <v>1865</v>
      </c>
    </row>
    <row r="542" ht="18.0" customHeight="1">
      <c r="A542" s="7">
        <v>44525.0</v>
      </c>
      <c r="B542" s="8">
        <v>44525.908101851855</v>
      </c>
      <c r="C542" s="6" t="s">
        <v>50</v>
      </c>
      <c r="D542" s="6" t="s">
        <v>1646</v>
      </c>
      <c r="E542" s="6" t="s">
        <v>28</v>
      </c>
      <c r="F542" s="6" t="s">
        <v>34</v>
      </c>
      <c r="G542" s="6" t="s">
        <v>1647</v>
      </c>
      <c r="H542" s="9" t="s">
        <v>1648</v>
      </c>
      <c r="I542" s="10">
        <v>1.0</v>
      </c>
      <c r="J542" s="10">
        <v>1904.0</v>
      </c>
      <c r="K542" s="10">
        <v>2053.0</v>
      </c>
      <c r="L542" s="10">
        <v>40.0</v>
      </c>
      <c r="M542" s="10">
        <v>79.0</v>
      </c>
      <c r="N542" s="10">
        <v>1904.0</v>
      </c>
      <c r="O542" s="6" t="s">
        <v>53</v>
      </c>
      <c r="P542" s="11">
        <f t="shared" si="1"/>
        <v>1869</v>
      </c>
    </row>
    <row r="543" ht="18.0" customHeight="1">
      <c r="A543" s="7">
        <v>44531.0</v>
      </c>
      <c r="B543" s="8">
        <v>44531.625023148146</v>
      </c>
      <c r="C543" s="6" t="s">
        <v>50</v>
      </c>
      <c r="D543" s="6" t="s">
        <v>1649</v>
      </c>
      <c r="E543" s="6" t="s">
        <v>61</v>
      </c>
      <c r="F543" s="6" t="s">
        <v>62</v>
      </c>
      <c r="G543" s="6" t="s">
        <v>1650</v>
      </c>
      <c r="H543" s="9" t="s">
        <v>1651</v>
      </c>
      <c r="I543" s="10">
        <v>1.0</v>
      </c>
      <c r="J543" s="10">
        <v>3457.0</v>
      </c>
      <c r="K543" s="10">
        <v>3520.0</v>
      </c>
      <c r="L543" s="10">
        <v>6.0</v>
      </c>
      <c r="M543" s="10">
        <v>84.0</v>
      </c>
      <c r="N543" s="10">
        <v>3457.0</v>
      </c>
      <c r="O543" s="6" t="s">
        <v>53</v>
      </c>
      <c r="P543" s="11">
        <f t="shared" si="1"/>
        <v>1909</v>
      </c>
    </row>
    <row r="544" ht="18.0" customHeight="1">
      <c r="A544" s="7">
        <v>44531.0</v>
      </c>
      <c r="B544" s="8">
        <v>44531.37503472222</v>
      </c>
      <c r="C544" s="6" t="s">
        <v>50</v>
      </c>
      <c r="D544" s="6" t="s">
        <v>1652</v>
      </c>
      <c r="E544" s="6" t="s">
        <v>61</v>
      </c>
      <c r="F544" s="6" t="s">
        <v>62</v>
      </c>
      <c r="G544" s="6" t="s">
        <v>1653</v>
      </c>
      <c r="H544" s="9" t="s">
        <v>1654</v>
      </c>
      <c r="I544" s="10">
        <v>1.0</v>
      </c>
      <c r="J544" s="10">
        <v>133.0</v>
      </c>
      <c r="K544" s="10">
        <v>135.0</v>
      </c>
      <c r="L544" s="10">
        <v>0.0</v>
      </c>
      <c r="M544" s="10">
        <v>7.0</v>
      </c>
      <c r="N544" s="10">
        <v>133.0</v>
      </c>
      <c r="O544" s="6" t="s">
        <v>53</v>
      </c>
      <c r="P544" s="11">
        <f t="shared" si="1"/>
        <v>1981</v>
      </c>
    </row>
    <row r="545" ht="18.0" customHeight="1">
      <c r="A545" s="7">
        <v>44530.0</v>
      </c>
      <c r="B545" s="8">
        <v>44530.37509259259</v>
      </c>
      <c r="C545" s="6" t="s">
        <v>50</v>
      </c>
      <c r="D545" s="6" t="s">
        <v>1655</v>
      </c>
      <c r="E545" s="6" t="s">
        <v>61</v>
      </c>
      <c r="F545" s="6" t="s">
        <v>62</v>
      </c>
      <c r="G545" s="6" t="s">
        <v>1656</v>
      </c>
      <c r="H545" s="9" t="s">
        <v>1657</v>
      </c>
      <c r="I545" s="10">
        <v>1.0</v>
      </c>
      <c r="J545" s="10">
        <v>186.0</v>
      </c>
      <c r="K545" s="10">
        <v>190.0</v>
      </c>
      <c r="L545" s="10">
        <v>0.0</v>
      </c>
      <c r="M545" s="10">
        <v>10.0</v>
      </c>
      <c r="N545" s="10">
        <v>186.0</v>
      </c>
      <c r="O545" s="6" t="s">
        <v>53</v>
      </c>
      <c r="P545" s="11">
        <f t="shared" si="1"/>
        <v>1984</v>
      </c>
    </row>
    <row r="546" ht="18.0" customHeight="1">
      <c r="A546" s="7">
        <v>44529.0</v>
      </c>
      <c r="B546" s="8">
        <v>44529.55570601852</v>
      </c>
      <c r="C546" s="6" t="s">
        <v>50</v>
      </c>
      <c r="D546" s="6" t="s">
        <v>1658</v>
      </c>
      <c r="E546" s="6" t="s">
        <v>61</v>
      </c>
      <c r="F546" s="6" t="s">
        <v>62</v>
      </c>
      <c r="G546" s="6" t="s">
        <v>1659</v>
      </c>
      <c r="H546" s="9" t="s">
        <v>1660</v>
      </c>
      <c r="I546" s="10">
        <v>1.0</v>
      </c>
      <c r="J546" s="10">
        <v>562.0</v>
      </c>
      <c r="K546" s="10">
        <v>572.0</v>
      </c>
      <c r="L546" s="10">
        <v>1.0</v>
      </c>
      <c r="M546" s="10">
        <v>31.0</v>
      </c>
      <c r="N546" s="10">
        <v>562.0</v>
      </c>
      <c r="O546" s="6" t="s">
        <v>53</v>
      </c>
      <c r="P546" s="11">
        <f t="shared" si="1"/>
        <v>2073</v>
      </c>
    </row>
    <row r="547" ht="18.0" customHeight="1">
      <c r="A547" s="7">
        <v>44526.0</v>
      </c>
      <c r="B547" s="8">
        <v>44526.45836805556</v>
      </c>
      <c r="C547" s="6" t="s">
        <v>50</v>
      </c>
      <c r="D547" s="6" t="s">
        <v>1661</v>
      </c>
      <c r="E547" s="6" t="s">
        <v>61</v>
      </c>
      <c r="F547" s="6" t="s">
        <v>62</v>
      </c>
      <c r="G547" s="6" t="s">
        <v>1662</v>
      </c>
      <c r="H547" s="9" t="s">
        <v>1663</v>
      </c>
      <c r="I547" s="10">
        <v>1.0</v>
      </c>
      <c r="J547" s="10">
        <v>438.0</v>
      </c>
      <c r="K547" s="10">
        <v>451.0</v>
      </c>
      <c r="L547" s="10">
        <v>3.0</v>
      </c>
      <c r="M547" s="10">
        <v>16.0</v>
      </c>
      <c r="N547" s="10">
        <v>438.0</v>
      </c>
      <c r="O547" s="6" t="s">
        <v>53</v>
      </c>
      <c r="P547" s="11">
        <f t="shared" si="1"/>
        <v>2234</v>
      </c>
    </row>
    <row r="548" ht="18.0" customHeight="1">
      <c r="A548" s="7">
        <v>44533.0</v>
      </c>
      <c r="B548" s="8">
        <v>44533.458333333336</v>
      </c>
      <c r="C548" s="6" t="s">
        <v>50</v>
      </c>
      <c r="D548" s="6" t="s">
        <v>1664</v>
      </c>
      <c r="E548" s="6" t="s">
        <v>61</v>
      </c>
      <c r="F548" s="6" t="s">
        <v>62</v>
      </c>
      <c r="G548" s="6" t="s">
        <v>1665</v>
      </c>
      <c r="H548" s="9" t="s">
        <v>1666</v>
      </c>
      <c r="I548" s="10">
        <v>1.0</v>
      </c>
      <c r="J548" s="10">
        <v>128.0</v>
      </c>
      <c r="K548" s="10">
        <v>129.0</v>
      </c>
      <c r="L548" s="10">
        <v>2.0</v>
      </c>
      <c r="M548" s="10">
        <v>3.0</v>
      </c>
      <c r="N548" s="10">
        <v>128.0</v>
      </c>
      <c r="O548" s="6" t="s">
        <v>53</v>
      </c>
      <c r="P548" s="11">
        <f t="shared" si="1"/>
        <v>2270</v>
      </c>
    </row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  <hyperlink r:id="rId248" ref="H249"/>
    <hyperlink r:id="rId249" ref="H250"/>
    <hyperlink r:id="rId250" ref="H251"/>
    <hyperlink r:id="rId251" ref="H252"/>
    <hyperlink r:id="rId252" ref="H253"/>
    <hyperlink r:id="rId253" ref="H254"/>
    <hyperlink r:id="rId254" ref="H255"/>
    <hyperlink r:id="rId255" ref="H256"/>
    <hyperlink r:id="rId256" ref="H257"/>
    <hyperlink r:id="rId257" ref="H258"/>
    <hyperlink r:id="rId258" ref="H259"/>
    <hyperlink r:id="rId259" ref="H260"/>
    <hyperlink r:id="rId260" ref="H261"/>
    <hyperlink r:id="rId261" ref="H262"/>
    <hyperlink r:id="rId262" ref="H263"/>
    <hyperlink r:id="rId263" ref="H264"/>
    <hyperlink r:id="rId264" ref="H265"/>
    <hyperlink r:id="rId265" ref="H266"/>
    <hyperlink r:id="rId266" ref="H267"/>
    <hyperlink r:id="rId267" ref="H268"/>
    <hyperlink r:id="rId268" ref="H269"/>
    <hyperlink r:id="rId269" ref="H270"/>
    <hyperlink r:id="rId270" ref="H271"/>
    <hyperlink r:id="rId271" ref="H272"/>
    <hyperlink r:id="rId272" ref="H273"/>
    <hyperlink r:id="rId273" ref="H274"/>
    <hyperlink r:id="rId274" ref="H275"/>
    <hyperlink r:id="rId275" ref="H276"/>
    <hyperlink r:id="rId276" ref="H277"/>
    <hyperlink r:id="rId277" ref="H278"/>
    <hyperlink r:id="rId278" ref="H279"/>
    <hyperlink r:id="rId279" ref="H280"/>
    <hyperlink r:id="rId280" ref="H281"/>
    <hyperlink r:id="rId281" ref="H282"/>
    <hyperlink r:id="rId282" ref="H283"/>
    <hyperlink r:id="rId283" ref="H284"/>
    <hyperlink r:id="rId284" ref="H285"/>
    <hyperlink r:id="rId285" ref="H286"/>
    <hyperlink r:id="rId286" ref="H287"/>
    <hyperlink r:id="rId287" ref="H288"/>
    <hyperlink r:id="rId288" ref="H289"/>
    <hyperlink r:id="rId289" ref="H290"/>
    <hyperlink r:id="rId290" ref="H291"/>
    <hyperlink r:id="rId291" ref="H292"/>
    <hyperlink r:id="rId292" ref="H293"/>
    <hyperlink r:id="rId293" ref="H294"/>
    <hyperlink r:id="rId294" ref="H295"/>
    <hyperlink r:id="rId295" ref="H296"/>
    <hyperlink r:id="rId296" ref="H297"/>
    <hyperlink r:id="rId297" ref="H298"/>
    <hyperlink r:id="rId298" ref="H299"/>
    <hyperlink r:id="rId299" ref="H300"/>
    <hyperlink r:id="rId300" ref="H301"/>
    <hyperlink r:id="rId301" ref="H302"/>
    <hyperlink r:id="rId302" ref="H303"/>
    <hyperlink r:id="rId303" ref="H304"/>
    <hyperlink r:id="rId304" ref="H305"/>
    <hyperlink r:id="rId305" ref="H306"/>
    <hyperlink r:id="rId306" ref="H307"/>
    <hyperlink r:id="rId307" ref="H308"/>
    <hyperlink r:id="rId308" ref="H309"/>
    <hyperlink r:id="rId309" ref="H310"/>
    <hyperlink r:id="rId310" ref="H311"/>
    <hyperlink r:id="rId311" ref="H312"/>
    <hyperlink r:id="rId312" ref="H313"/>
    <hyperlink r:id="rId313" ref="H314"/>
    <hyperlink r:id="rId314" ref="H315"/>
    <hyperlink r:id="rId315" ref="H316"/>
    <hyperlink r:id="rId316" ref="H317"/>
    <hyperlink r:id="rId317" ref="H318"/>
    <hyperlink r:id="rId318" ref="H319"/>
    <hyperlink r:id="rId319" ref="H320"/>
    <hyperlink r:id="rId320" ref="H321"/>
    <hyperlink r:id="rId321" ref="H322"/>
    <hyperlink r:id="rId322" ref="H323"/>
    <hyperlink r:id="rId323" ref="H324"/>
    <hyperlink r:id="rId324" ref="H325"/>
    <hyperlink r:id="rId325" ref="H326"/>
    <hyperlink r:id="rId326" ref="H327"/>
    <hyperlink r:id="rId327" ref="H328"/>
    <hyperlink r:id="rId328" ref="H329"/>
    <hyperlink r:id="rId329" ref="H330"/>
    <hyperlink r:id="rId330" ref="H331"/>
    <hyperlink r:id="rId331" ref="H332"/>
    <hyperlink r:id="rId332" ref="H333"/>
    <hyperlink r:id="rId333" ref="H334"/>
    <hyperlink r:id="rId334" ref="H335"/>
    <hyperlink r:id="rId335" ref="H336"/>
    <hyperlink r:id="rId336" ref="H337"/>
    <hyperlink r:id="rId337" ref="H338"/>
    <hyperlink r:id="rId338" ref="H339"/>
    <hyperlink r:id="rId339" ref="H340"/>
    <hyperlink r:id="rId340" ref="H341"/>
    <hyperlink r:id="rId341" ref="H342"/>
    <hyperlink r:id="rId342" ref="H343"/>
    <hyperlink r:id="rId343" ref="H344"/>
    <hyperlink r:id="rId344" ref="H345"/>
    <hyperlink r:id="rId345" ref="H346"/>
    <hyperlink r:id="rId346" ref="H347"/>
    <hyperlink r:id="rId347" ref="H348"/>
    <hyperlink r:id="rId348" ref="H349"/>
    <hyperlink r:id="rId349" ref="H350"/>
    <hyperlink r:id="rId350" ref="H351"/>
    <hyperlink r:id="rId351" ref="H352"/>
    <hyperlink r:id="rId352" ref="H353"/>
    <hyperlink r:id="rId353" ref="H354"/>
    <hyperlink r:id="rId354" ref="H355"/>
    <hyperlink r:id="rId355" ref="H356"/>
    <hyperlink r:id="rId356" ref="H357"/>
    <hyperlink r:id="rId357" ref="H358"/>
    <hyperlink r:id="rId358" ref="H359"/>
    <hyperlink r:id="rId359" ref="H360"/>
    <hyperlink r:id="rId360" ref="H361"/>
    <hyperlink r:id="rId361" ref="H362"/>
    <hyperlink r:id="rId362" ref="H363"/>
    <hyperlink r:id="rId363" ref="H364"/>
    <hyperlink r:id="rId364" ref="H365"/>
    <hyperlink r:id="rId365" ref="H366"/>
    <hyperlink r:id="rId366" ref="H367"/>
    <hyperlink r:id="rId367" ref="H368"/>
    <hyperlink r:id="rId368" ref="H369"/>
    <hyperlink r:id="rId369" ref="H370"/>
    <hyperlink r:id="rId370" ref="H371"/>
    <hyperlink r:id="rId371" ref="H372"/>
    <hyperlink r:id="rId372" ref="H373"/>
    <hyperlink r:id="rId373" ref="H374"/>
    <hyperlink r:id="rId374" ref="H375"/>
    <hyperlink r:id="rId375" ref="H376"/>
    <hyperlink r:id="rId376" ref="H377"/>
    <hyperlink r:id="rId377" ref="H378"/>
    <hyperlink r:id="rId378" ref="H379"/>
    <hyperlink r:id="rId379" ref="H380"/>
    <hyperlink r:id="rId380" ref="H381"/>
    <hyperlink r:id="rId381" ref="H382"/>
    <hyperlink r:id="rId382" ref="H383"/>
    <hyperlink r:id="rId383" ref="H384"/>
    <hyperlink r:id="rId384" ref="H385"/>
    <hyperlink r:id="rId385" ref="H386"/>
    <hyperlink r:id="rId386" ref="H387"/>
    <hyperlink r:id="rId387" ref="H388"/>
    <hyperlink r:id="rId388" ref="H389"/>
    <hyperlink r:id="rId389" ref="H390"/>
    <hyperlink r:id="rId390" ref="H391"/>
    <hyperlink r:id="rId391" ref="H392"/>
    <hyperlink r:id="rId392" ref="H393"/>
    <hyperlink r:id="rId393" ref="H394"/>
    <hyperlink r:id="rId394" ref="H395"/>
    <hyperlink r:id="rId395" ref="H396"/>
    <hyperlink r:id="rId396" ref="H397"/>
    <hyperlink r:id="rId397" ref="H398"/>
    <hyperlink r:id="rId398" ref="H399"/>
    <hyperlink r:id="rId399" ref="H400"/>
    <hyperlink r:id="rId400" ref="H401"/>
    <hyperlink r:id="rId401" ref="H402"/>
    <hyperlink r:id="rId402" ref="H403"/>
    <hyperlink r:id="rId403" ref="H404"/>
    <hyperlink r:id="rId404" ref="H405"/>
    <hyperlink r:id="rId405" ref="H406"/>
    <hyperlink r:id="rId406" ref="H407"/>
    <hyperlink r:id="rId407" ref="H408"/>
    <hyperlink r:id="rId408" ref="H409"/>
    <hyperlink r:id="rId409" ref="H410"/>
    <hyperlink r:id="rId410" ref="H411"/>
    <hyperlink r:id="rId411" ref="H412"/>
    <hyperlink r:id="rId412" ref="H413"/>
    <hyperlink r:id="rId413" ref="H414"/>
    <hyperlink r:id="rId414" ref="H415"/>
    <hyperlink r:id="rId415" ref="H416"/>
    <hyperlink r:id="rId416" ref="H417"/>
    <hyperlink r:id="rId417" ref="H418"/>
    <hyperlink r:id="rId418" ref="H419"/>
    <hyperlink r:id="rId419" ref="H420"/>
    <hyperlink r:id="rId420" ref="H421"/>
    <hyperlink r:id="rId421" ref="H422"/>
    <hyperlink r:id="rId422" ref="H423"/>
    <hyperlink r:id="rId423" ref="H424"/>
    <hyperlink r:id="rId424" ref="H425"/>
    <hyperlink r:id="rId425" ref="H426"/>
    <hyperlink r:id="rId426" ref="H427"/>
    <hyperlink r:id="rId427" ref="H428"/>
    <hyperlink r:id="rId428" ref="H429"/>
    <hyperlink r:id="rId429" ref="H430"/>
    <hyperlink r:id="rId430" ref="H431"/>
    <hyperlink r:id="rId431" ref="H432"/>
    <hyperlink r:id="rId432" ref="H433"/>
    <hyperlink r:id="rId433" ref="H434"/>
    <hyperlink r:id="rId434" ref="H435"/>
    <hyperlink r:id="rId435" ref="H436"/>
    <hyperlink r:id="rId436" ref="H437"/>
    <hyperlink r:id="rId437" ref="H438"/>
    <hyperlink r:id="rId438" ref="H439"/>
    <hyperlink r:id="rId439" ref="H440"/>
    <hyperlink r:id="rId440" ref="H441"/>
    <hyperlink r:id="rId441" ref="H442"/>
    <hyperlink r:id="rId442" ref="H443"/>
    <hyperlink r:id="rId443" ref="H444"/>
    <hyperlink r:id="rId444" ref="H445"/>
    <hyperlink r:id="rId445" ref="H446"/>
    <hyperlink r:id="rId446" ref="H447"/>
    <hyperlink r:id="rId447" ref="H448"/>
    <hyperlink r:id="rId448" ref="H449"/>
    <hyperlink r:id="rId449" ref="H450"/>
    <hyperlink r:id="rId450" ref="H451"/>
    <hyperlink r:id="rId451" ref="H452"/>
    <hyperlink r:id="rId452" ref="H453"/>
    <hyperlink r:id="rId453" ref="H454"/>
    <hyperlink r:id="rId454" ref="H455"/>
    <hyperlink r:id="rId455" ref="H456"/>
    <hyperlink r:id="rId456" ref="H457"/>
    <hyperlink r:id="rId457" ref="H458"/>
    <hyperlink r:id="rId458" ref="H459"/>
    <hyperlink r:id="rId459" ref="H460"/>
    <hyperlink r:id="rId460" ref="H461"/>
    <hyperlink r:id="rId461" ref="H462"/>
    <hyperlink r:id="rId462" ref="H463"/>
    <hyperlink r:id="rId463" ref="H464"/>
    <hyperlink r:id="rId464" ref="H465"/>
    <hyperlink r:id="rId465" ref="H466"/>
    <hyperlink r:id="rId466" ref="H467"/>
    <hyperlink r:id="rId467" ref="H468"/>
    <hyperlink r:id="rId468" ref="H469"/>
    <hyperlink r:id="rId469" ref="H470"/>
    <hyperlink r:id="rId470" ref="H471"/>
    <hyperlink r:id="rId471" ref="H472"/>
    <hyperlink r:id="rId472" ref="H473"/>
    <hyperlink r:id="rId473" ref="H474"/>
    <hyperlink r:id="rId474" ref="H475"/>
    <hyperlink r:id="rId475" ref="H476"/>
    <hyperlink r:id="rId476" ref="H477"/>
    <hyperlink r:id="rId477" ref="H478"/>
    <hyperlink r:id="rId478" ref="H479"/>
    <hyperlink r:id="rId479" ref="H480"/>
    <hyperlink r:id="rId480" ref="H481"/>
    <hyperlink r:id="rId481" ref="H482"/>
    <hyperlink r:id="rId482" ref="H483"/>
    <hyperlink r:id="rId483" ref="H484"/>
    <hyperlink r:id="rId484" ref="H485"/>
    <hyperlink r:id="rId485" ref="H486"/>
    <hyperlink r:id="rId486" ref="H487"/>
    <hyperlink r:id="rId487" ref="H488"/>
    <hyperlink r:id="rId488" ref="H489"/>
    <hyperlink r:id="rId489" ref="H490"/>
    <hyperlink r:id="rId490" ref="H491"/>
    <hyperlink r:id="rId491" ref="H492"/>
    <hyperlink r:id="rId492" ref="H493"/>
    <hyperlink r:id="rId493" ref="H494"/>
    <hyperlink r:id="rId494" ref="H495"/>
    <hyperlink r:id="rId495" ref="H496"/>
    <hyperlink r:id="rId496" ref="H497"/>
    <hyperlink r:id="rId497" ref="H498"/>
    <hyperlink r:id="rId498" ref="H499"/>
    <hyperlink r:id="rId499" ref="H500"/>
    <hyperlink r:id="rId500" ref="H501"/>
    <hyperlink r:id="rId501" ref="H502"/>
    <hyperlink r:id="rId502" ref="H503"/>
    <hyperlink r:id="rId503" ref="H504"/>
    <hyperlink r:id="rId504" ref="H505"/>
    <hyperlink r:id="rId505" ref="H506"/>
    <hyperlink r:id="rId506" ref="H507"/>
    <hyperlink r:id="rId507" ref="H508"/>
    <hyperlink r:id="rId508" ref="H509"/>
    <hyperlink r:id="rId509" ref="H510"/>
    <hyperlink r:id="rId510" ref="H511"/>
    <hyperlink r:id="rId511" ref="H512"/>
    <hyperlink r:id="rId512" ref="H513"/>
    <hyperlink r:id="rId513" ref="H514"/>
    <hyperlink r:id="rId514" ref="H515"/>
    <hyperlink r:id="rId515" ref="H516"/>
    <hyperlink r:id="rId516" ref="H517"/>
    <hyperlink r:id="rId517" ref="H518"/>
    <hyperlink r:id="rId518" ref="H519"/>
    <hyperlink r:id="rId519" ref="H520"/>
    <hyperlink r:id="rId520" ref="H521"/>
    <hyperlink r:id="rId521" ref="H522"/>
    <hyperlink r:id="rId522" ref="H523"/>
    <hyperlink r:id="rId523" ref="H524"/>
    <hyperlink r:id="rId524" ref="H525"/>
    <hyperlink r:id="rId525" ref="H526"/>
    <hyperlink r:id="rId526" ref="H527"/>
    <hyperlink r:id="rId527" ref="H528"/>
    <hyperlink r:id="rId528" ref="H529"/>
    <hyperlink r:id="rId529" ref="H530"/>
    <hyperlink r:id="rId530" ref="H531"/>
    <hyperlink r:id="rId531" ref="H532"/>
    <hyperlink r:id="rId532" ref="H533"/>
    <hyperlink r:id="rId533" ref="H534"/>
    <hyperlink r:id="rId534" ref="H535"/>
    <hyperlink r:id="rId535" ref="H536"/>
    <hyperlink r:id="rId536" ref="H537"/>
    <hyperlink r:id="rId537" ref="H538"/>
    <hyperlink r:id="rId538" ref="H539"/>
    <hyperlink r:id="rId539" ref="H540"/>
    <hyperlink r:id="rId540" ref="H541"/>
    <hyperlink r:id="rId541" ref="H542"/>
    <hyperlink r:id="rId542" ref="H543"/>
    <hyperlink r:id="rId543" ref="H544"/>
    <hyperlink r:id="rId544" ref="H545"/>
    <hyperlink r:id="rId545" ref="H546"/>
    <hyperlink r:id="rId546" ref="H547"/>
    <hyperlink r:id="rId547" ref="H548"/>
  </hyperlinks>
  <drawing r:id="rId54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  <col customWidth="1" min="7" max="7" width="35.0"/>
  </cols>
  <sheetData>
    <row r="1" ht="22.5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</row>
    <row r="2" ht="22.5" customHeight="1">
      <c r="A2" s="7">
        <v>44470.0</v>
      </c>
      <c r="B2" s="8">
        <v>44470.541712962964</v>
      </c>
      <c r="C2" s="6" t="s">
        <v>26</v>
      </c>
      <c r="D2" s="6" t="s">
        <v>334</v>
      </c>
      <c r="E2" s="6" t="s">
        <v>61</v>
      </c>
      <c r="F2" s="6" t="s">
        <v>62</v>
      </c>
      <c r="G2" s="6" t="s">
        <v>335</v>
      </c>
      <c r="H2" s="9" t="s">
        <v>336</v>
      </c>
      <c r="I2" s="10">
        <v>1.0</v>
      </c>
      <c r="J2" s="10">
        <v>1218.0</v>
      </c>
      <c r="K2" s="10">
        <v>1390.0</v>
      </c>
      <c r="L2" s="10">
        <v>137.0</v>
      </c>
      <c r="M2" s="10">
        <v>56.0</v>
      </c>
      <c r="N2" s="10">
        <v>1218.0</v>
      </c>
    </row>
    <row r="3" ht="22.5" customHeight="1">
      <c r="A3" s="7">
        <v>44470.0</v>
      </c>
      <c r="B3" s="8">
        <v>44470.62548611111</v>
      </c>
      <c r="C3" s="6" t="s">
        <v>26</v>
      </c>
      <c r="D3" s="6" t="s">
        <v>834</v>
      </c>
      <c r="E3" s="6" t="s">
        <v>28</v>
      </c>
      <c r="F3" s="6" t="s">
        <v>34</v>
      </c>
      <c r="G3" s="6" t="s">
        <v>835</v>
      </c>
      <c r="H3" s="9" t="s">
        <v>836</v>
      </c>
      <c r="I3" s="10">
        <v>1.0</v>
      </c>
      <c r="J3" s="10">
        <v>284.0</v>
      </c>
      <c r="K3" s="10">
        <v>291.0</v>
      </c>
      <c r="L3" s="10">
        <v>14.0</v>
      </c>
      <c r="M3" s="10">
        <v>14.0</v>
      </c>
      <c r="N3" s="10">
        <v>284.0</v>
      </c>
    </row>
    <row r="4" ht="22.5" customHeight="1">
      <c r="A4" s="7">
        <v>44470.0</v>
      </c>
      <c r="B4" s="8">
        <v>44470.83337962963</v>
      </c>
      <c r="C4" s="6" t="s">
        <v>26</v>
      </c>
      <c r="D4" s="6" t="s">
        <v>216</v>
      </c>
      <c r="E4" s="6" t="s">
        <v>28</v>
      </c>
      <c r="F4" s="6" t="s">
        <v>34</v>
      </c>
      <c r="G4" s="6" t="s">
        <v>217</v>
      </c>
      <c r="H4" s="9" t="s">
        <v>218</v>
      </c>
      <c r="I4" s="10">
        <v>1.0</v>
      </c>
      <c r="J4" s="10">
        <v>1345.0</v>
      </c>
      <c r="K4" s="10">
        <v>1368.0</v>
      </c>
      <c r="L4" s="10">
        <v>87.0</v>
      </c>
      <c r="M4" s="10">
        <v>21.0</v>
      </c>
      <c r="N4" s="10">
        <v>1345.0</v>
      </c>
    </row>
    <row r="5" ht="22.5" customHeight="1">
      <c r="A5" s="7">
        <v>44471.0</v>
      </c>
      <c r="B5" s="8">
        <v>44471.625497685185</v>
      </c>
      <c r="C5" s="6" t="s">
        <v>26</v>
      </c>
      <c r="D5" s="6" t="s">
        <v>837</v>
      </c>
      <c r="E5" s="6" t="s">
        <v>28</v>
      </c>
      <c r="F5" s="6" t="s">
        <v>34</v>
      </c>
      <c r="G5" s="6" t="s">
        <v>838</v>
      </c>
      <c r="H5" s="9" t="s">
        <v>839</v>
      </c>
      <c r="I5" s="10">
        <v>1.0</v>
      </c>
      <c r="J5" s="10">
        <v>256.0</v>
      </c>
      <c r="K5" s="10">
        <v>271.0</v>
      </c>
      <c r="L5" s="10">
        <v>41.0</v>
      </c>
      <c r="M5" s="10">
        <v>10.0</v>
      </c>
      <c r="N5" s="10">
        <v>256.0</v>
      </c>
    </row>
    <row r="6" ht="22.5" customHeight="1">
      <c r="A6" s="7">
        <v>44472.0</v>
      </c>
      <c r="B6" s="8">
        <v>44472.333344907405</v>
      </c>
      <c r="C6" s="6" t="s">
        <v>26</v>
      </c>
      <c r="D6" s="6" t="s">
        <v>256</v>
      </c>
      <c r="E6" s="6" t="s">
        <v>28</v>
      </c>
      <c r="F6" s="6" t="s">
        <v>34</v>
      </c>
      <c r="G6" s="6" t="s">
        <v>257</v>
      </c>
      <c r="H6" s="9" t="s">
        <v>258</v>
      </c>
      <c r="I6" s="10">
        <v>1.0</v>
      </c>
      <c r="J6" s="10">
        <v>1552.0</v>
      </c>
      <c r="K6" s="10">
        <v>1630.0</v>
      </c>
      <c r="L6" s="10">
        <v>331.0</v>
      </c>
      <c r="M6" s="10">
        <v>54.0</v>
      </c>
      <c r="N6" s="10">
        <v>1552.0</v>
      </c>
    </row>
    <row r="7" ht="22.5" customHeight="1">
      <c r="A7" s="7">
        <v>44472.0</v>
      </c>
      <c r="B7" s="8">
        <v>44472.37532407408</v>
      </c>
      <c r="C7" s="6" t="s">
        <v>26</v>
      </c>
      <c r="D7" s="6" t="s">
        <v>376</v>
      </c>
      <c r="E7" s="6" t="s">
        <v>72</v>
      </c>
      <c r="F7" s="6" t="s">
        <v>44</v>
      </c>
      <c r="G7" s="6" t="s">
        <v>377</v>
      </c>
      <c r="H7" s="9" t="s">
        <v>378</v>
      </c>
      <c r="I7" s="10">
        <v>1.0</v>
      </c>
      <c r="J7" s="10">
        <v>68.0</v>
      </c>
      <c r="K7" s="10">
        <v>73.0</v>
      </c>
      <c r="L7" s="10">
        <v>2.0</v>
      </c>
      <c r="M7" s="10"/>
      <c r="N7" s="10">
        <v>68.0</v>
      </c>
    </row>
    <row r="8" ht="22.5" customHeight="1">
      <c r="A8" s="7">
        <v>44472.0</v>
      </c>
      <c r="B8" s="8">
        <v>44472.37568287037</v>
      </c>
      <c r="C8" s="6" t="s">
        <v>26</v>
      </c>
      <c r="D8" s="6" t="s">
        <v>379</v>
      </c>
      <c r="E8" s="6" t="s">
        <v>72</v>
      </c>
      <c r="F8" s="6" t="s">
        <v>44</v>
      </c>
      <c r="G8" s="6" t="s">
        <v>377</v>
      </c>
      <c r="H8" s="9" t="s">
        <v>380</v>
      </c>
      <c r="I8" s="10">
        <v>1.0</v>
      </c>
      <c r="J8" s="10">
        <v>163.0</v>
      </c>
      <c r="K8" s="10">
        <v>167.0</v>
      </c>
      <c r="L8" s="10">
        <v>9.0</v>
      </c>
      <c r="M8" s="10">
        <v>6.0</v>
      </c>
      <c r="N8" s="10">
        <v>163.0</v>
      </c>
    </row>
    <row r="9" ht="22.5" customHeight="1">
      <c r="A9" s="7">
        <v>44472.0</v>
      </c>
      <c r="B9" s="8">
        <v>44472.541712962964</v>
      </c>
      <c r="C9" s="6" t="s">
        <v>26</v>
      </c>
      <c r="D9" s="6" t="s">
        <v>75</v>
      </c>
      <c r="E9" s="6" t="s">
        <v>61</v>
      </c>
      <c r="F9" s="6" t="s">
        <v>76</v>
      </c>
      <c r="G9" s="6" t="s">
        <v>77</v>
      </c>
      <c r="H9" s="9" t="s">
        <v>78</v>
      </c>
      <c r="I9" s="10">
        <v>1.0</v>
      </c>
      <c r="J9" s="10">
        <v>1969.0</v>
      </c>
      <c r="K9" s="10">
        <v>2168.0</v>
      </c>
      <c r="L9" s="10">
        <v>158.0</v>
      </c>
      <c r="M9" s="10">
        <v>90.0</v>
      </c>
      <c r="N9" s="10">
        <v>1969.0</v>
      </c>
    </row>
    <row r="10" ht="22.5" customHeight="1">
      <c r="A10" s="7">
        <v>44473.0</v>
      </c>
      <c r="B10" s="8">
        <v>44473.458344907405</v>
      </c>
      <c r="C10" s="6" t="s">
        <v>26</v>
      </c>
      <c r="D10" s="6" t="s">
        <v>1195</v>
      </c>
      <c r="E10" s="6" t="s">
        <v>28</v>
      </c>
      <c r="F10" s="6" t="s">
        <v>34</v>
      </c>
      <c r="G10" s="6" t="s">
        <v>1196</v>
      </c>
      <c r="H10" s="9" t="s">
        <v>1197</v>
      </c>
      <c r="I10" s="10">
        <v>1.0</v>
      </c>
      <c r="J10" s="10">
        <v>307.0</v>
      </c>
      <c r="K10" s="10">
        <v>316.0</v>
      </c>
      <c r="L10" s="10">
        <v>56.0</v>
      </c>
      <c r="M10" s="10">
        <v>7.0</v>
      </c>
      <c r="N10" s="10">
        <v>307.0</v>
      </c>
    </row>
    <row r="11" ht="22.5" customHeight="1">
      <c r="A11" s="7">
        <v>44473.0</v>
      </c>
      <c r="B11" s="8">
        <v>44473.541712962964</v>
      </c>
      <c r="C11" s="6" t="s">
        <v>26</v>
      </c>
      <c r="D11" s="6" t="s">
        <v>235</v>
      </c>
      <c r="E11" s="6" t="s">
        <v>33</v>
      </c>
      <c r="F11" s="6" t="s">
        <v>89</v>
      </c>
      <c r="G11" s="6" t="s">
        <v>236</v>
      </c>
      <c r="H11" s="9" t="s">
        <v>237</v>
      </c>
      <c r="I11" s="10">
        <v>1.0</v>
      </c>
      <c r="J11" s="10">
        <v>496.0</v>
      </c>
      <c r="K11" s="10">
        <v>519.0</v>
      </c>
      <c r="L11" s="10">
        <v>55.0</v>
      </c>
      <c r="M11" s="10">
        <v>17.0</v>
      </c>
      <c r="N11" s="10">
        <v>496.0</v>
      </c>
    </row>
    <row r="12" ht="22.5" customHeight="1">
      <c r="A12" s="7">
        <v>44473.0</v>
      </c>
      <c r="B12" s="8">
        <v>44473.666666666664</v>
      </c>
      <c r="C12" s="6" t="s">
        <v>26</v>
      </c>
      <c r="D12" s="6" t="s">
        <v>119</v>
      </c>
      <c r="E12" s="6" t="s">
        <v>28</v>
      </c>
      <c r="F12" s="6" t="s">
        <v>34</v>
      </c>
      <c r="G12" s="6" t="s">
        <v>120</v>
      </c>
      <c r="H12" s="9" t="s">
        <v>121</v>
      </c>
      <c r="I12" s="10">
        <v>1.0</v>
      </c>
      <c r="J12" s="10">
        <v>1575.0</v>
      </c>
      <c r="K12" s="10">
        <v>1638.0</v>
      </c>
      <c r="L12" s="10">
        <v>261.0</v>
      </c>
      <c r="M12" s="10">
        <v>28.0</v>
      </c>
      <c r="N12" s="10">
        <v>1575.0</v>
      </c>
    </row>
    <row r="13" ht="22.5" customHeight="1">
      <c r="A13" s="7">
        <v>44473.0</v>
      </c>
      <c r="B13" s="8">
        <v>44473.750185185185</v>
      </c>
      <c r="C13" s="6" t="s">
        <v>26</v>
      </c>
      <c r="D13" s="6" t="s">
        <v>331</v>
      </c>
      <c r="E13" s="6" t="s">
        <v>28</v>
      </c>
      <c r="F13" s="6" t="s">
        <v>34</v>
      </c>
      <c r="G13" s="6" t="s">
        <v>332</v>
      </c>
      <c r="H13" s="9" t="s">
        <v>333</v>
      </c>
      <c r="I13" s="10">
        <v>1.0</v>
      </c>
      <c r="J13" s="10">
        <v>1651.0</v>
      </c>
      <c r="K13" s="10">
        <v>1703.0</v>
      </c>
      <c r="L13" s="10">
        <v>152.0</v>
      </c>
      <c r="M13" s="10">
        <v>11.0</v>
      </c>
      <c r="N13" s="10">
        <v>1651.0</v>
      </c>
    </row>
    <row r="14" ht="22.5" customHeight="1">
      <c r="A14" s="7">
        <v>44474.0</v>
      </c>
      <c r="B14" s="8">
        <v>44474.50042824074</v>
      </c>
      <c r="C14" s="6" t="s">
        <v>26</v>
      </c>
      <c r="D14" s="6" t="s">
        <v>900</v>
      </c>
      <c r="E14" s="6" t="s">
        <v>33</v>
      </c>
      <c r="F14" s="6" t="s">
        <v>89</v>
      </c>
      <c r="G14" s="6" t="s">
        <v>901</v>
      </c>
      <c r="H14" s="9" t="s">
        <v>902</v>
      </c>
      <c r="I14" s="10">
        <v>1.0</v>
      </c>
      <c r="J14" s="10">
        <v>269.0</v>
      </c>
      <c r="K14" s="10">
        <v>301.0</v>
      </c>
      <c r="L14" s="10">
        <v>17.0</v>
      </c>
      <c r="M14" s="10">
        <v>7.0</v>
      </c>
      <c r="N14" s="10">
        <v>269.0</v>
      </c>
    </row>
    <row r="15" ht="22.5" customHeight="1">
      <c r="A15" s="7">
        <v>44474.0</v>
      </c>
      <c r="B15" s="8">
        <v>44474.666666666664</v>
      </c>
      <c r="C15" s="6" t="s">
        <v>26</v>
      </c>
      <c r="D15" s="6" t="s">
        <v>732</v>
      </c>
      <c r="E15" s="6" t="s">
        <v>28</v>
      </c>
      <c r="F15" s="6" t="s">
        <v>34</v>
      </c>
      <c r="G15" s="6" t="s">
        <v>733</v>
      </c>
      <c r="H15" s="9" t="s">
        <v>734</v>
      </c>
      <c r="I15" s="10">
        <v>1.0</v>
      </c>
      <c r="J15" s="10">
        <v>1826.0</v>
      </c>
      <c r="K15" s="10">
        <v>2226.0</v>
      </c>
      <c r="L15" s="10">
        <v>319.0</v>
      </c>
      <c r="M15" s="10">
        <v>124.0</v>
      </c>
      <c r="N15" s="10">
        <v>1826.0</v>
      </c>
    </row>
    <row r="16" ht="22.5" customHeight="1">
      <c r="A16" s="7">
        <v>44474.0</v>
      </c>
      <c r="B16" s="8">
        <v>44474.75001157408</v>
      </c>
      <c r="C16" s="6" t="s">
        <v>26</v>
      </c>
      <c r="D16" s="6" t="s">
        <v>173</v>
      </c>
      <c r="E16" s="6" t="s">
        <v>61</v>
      </c>
      <c r="F16" s="6" t="s">
        <v>62</v>
      </c>
      <c r="G16" s="6" t="s">
        <v>174</v>
      </c>
      <c r="H16" s="9" t="s">
        <v>175</v>
      </c>
      <c r="I16" s="10">
        <v>1.0</v>
      </c>
      <c r="J16" s="10">
        <v>794.0</v>
      </c>
      <c r="K16" s="10">
        <v>827.0</v>
      </c>
      <c r="L16" s="10">
        <v>108.0</v>
      </c>
      <c r="M16" s="10">
        <v>28.0</v>
      </c>
      <c r="N16" s="10">
        <v>794.0</v>
      </c>
    </row>
    <row r="17" ht="22.5" customHeight="1">
      <c r="A17" s="7">
        <v>44475.0</v>
      </c>
      <c r="B17" s="8">
        <v>44475.33337962963</v>
      </c>
      <c r="C17" s="6" t="s">
        <v>26</v>
      </c>
      <c r="D17" s="6" t="s">
        <v>516</v>
      </c>
      <c r="E17" s="6" t="s">
        <v>28</v>
      </c>
      <c r="F17" s="6" t="s">
        <v>34</v>
      </c>
      <c r="G17" s="6" t="s">
        <v>517</v>
      </c>
      <c r="H17" s="9" t="s">
        <v>518</v>
      </c>
      <c r="I17" s="10">
        <v>1.0</v>
      </c>
      <c r="J17" s="10">
        <v>8279.0</v>
      </c>
      <c r="K17" s="10">
        <v>8433.0</v>
      </c>
      <c r="L17" s="10">
        <v>141.0</v>
      </c>
      <c r="M17" s="10">
        <v>56.0</v>
      </c>
      <c r="N17" s="10">
        <v>8279.0</v>
      </c>
    </row>
    <row r="18" ht="22.5" customHeight="1">
      <c r="A18" s="7">
        <v>44475.0</v>
      </c>
      <c r="B18" s="8">
        <v>44475.583344907405</v>
      </c>
      <c r="C18" s="6" t="s">
        <v>26</v>
      </c>
      <c r="D18" s="6" t="s">
        <v>708</v>
      </c>
      <c r="E18" s="6" t="s">
        <v>33</v>
      </c>
      <c r="F18" s="6" t="s">
        <v>89</v>
      </c>
      <c r="G18" s="6" t="s">
        <v>709</v>
      </c>
      <c r="H18" s="9" t="s">
        <v>710</v>
      </c>
      <c r="I18" s="10">
        <v>1.0</v>
      </c>
      <c r="J18" s="10">
        <v>1201.0</v>
      </c>
      <c r="K18" s="10">
        <v>1344.0</v>
      </c>
      <c r="L18" s="10">
        <v>63.0</v>
      </c>
      <c r="M18" s="10">
        <v>53.0</v>
      </c>
      <c r="N18" s="10">
        <v>1201.0</v>
      </c>
    </row>
    <row r="19" ht="22.5" customHeight="1">
      <c r="A19" s="7">
        <v>44475.0</v>
      </c>
      <c r="B19" s="8">
        <v>44475.666666666664</v>
      </c>
      <c r="C19" s="6" t="s">
        <v>26</v>
      </c>
      <c r="D19" s="6" t="s">
        <v>104</v>
      </c>
      <c r="E19" s="6" t="s">
        <v>28</v>
      </c>
      <c r="F19" s="6" t="s">
        <v>34</v>
      </c>
      <c r="G19" s="6" t="s">
        <v>105</v>
      </c>
      <c r="H19" s="9" t="s">
        <v>106</v>
      </c>
      <c r="I19" s="10">
        <v>1.0</v>
      </c>
      <c r="J19" s="10">
        <v>4054.0</v>
      </c>
      <c r="K19" s="10">
        <v>4573.0</v>
      </c>
      <c r="L19" s="10">
        <v>710.0</v>
      </c>
      <c r="M19" s="10">
        <v>723.0</v>
      </c>
      <c r="N19" s="10">
        <v>4054.0</v>
      </c>
    </row>
    <row r="20" ht="22.5" customHeight="1">
      <c r="A20" s="7">
        <v>44475.0</v>
      </c>
      <c r="B20" s="8">
        <v>44475.83335648148</v>
      </c>
      <c r="C20" s="6" t="s">
        <v>26</v>
      </c>
      <c r="D20" s="6" t="s">
        <v>107</v>
      </c>
      <c r="E20" s="6" t="s">
        <v>28</v>
      </c>
      <c r="F20" s="6" t="s">
        <v>34</v>
      </c>
      <c r="G20" s="6" t="s">
        <v>108</v>
      </c>
      <c r="H20" s="9" t="s">
        <v>109</v>
      </c>
      <c r="I20" s="10">
        <v>1.0</v>
      </c>
      <c r="J20" s="10">
        <v>880.0</v>
      </c>
      <c r="K20" s="10">
        <v>916.0</v>
      </c>
      <c r="L20" s="10">
        <v>187.0</v>
      </c>
      <c r="M20" s="10">
        <v>18.0</v>
      </c>
      <c r="N20" s="10">
        <v>880.0</v>
      </c>
    </row>
    <row r="21" ht="22.5" customHeight="1">
      <c r="A21" s="7">
        <v>44476.0</v>
      </c>
      <c r="B21" s="8">
        <v>44476.37501157408</v>
      </c>
      <c r="C21" s="6" t="s">
        <v>26</v>
      </c>
      <c r="D21" s="6" t="s">
        <v>417</v>
      </c>
      <c r="E21" s="6" t="s">
        <v>28</v>
      </c>
      <c r="F21" s="6" t="s">
        <v>34</v>
      </c>
      <c r="G21" s="6" t="s">
        <v>418</v>
      </c>
      <c r="H21" s="9" t="s">
        <v>419</v>
      </c>
      <c r="I21" s="10">
        <v>1.0</v>
      </c>
      <c r="J21" s="10">
        <v>10702.0</v>
      </c>
      <c r="K21" s="10">
        <v>10975.0</v>
      </c>
      <c r="L21" s="10">
        <v>706.0</v>
      </c>
      <c r="M21" s="10">
        <v>102.0</v>
      </c>
      <c r="N21" s="10">
        <v>10702.0</v>
      </c>
    </row>
    <row r="22" ht="22.5" customHeight="1">
      <c r="A22" s="7">
        <v>44476.0</v>
      </c>
      <c r="B22" s="8">
        <v>44476.62501157408</v>
      </c>
      <c r="C22" s="6" t="s">
        <v>26</v>
      </c>
      <c r="D22" s="6" t="s">
        <v>373</v>
      </c>
      <c r="E22" s="6" t="s">
        <v>61</v>
      </c>
      <c r="F22" s="6" t="s">
        <v>62</v>
      </c>
      <c r="G22" s="6" t="s">
        <v>374</v>
      </c>
      <c r="H22" s="9" t="s">
        <v>375</v>
      </c>
      <c r="I22" s="10">
        <v>1.0</v>
      </c>
      <c r="J22" s="10">
        <v>1163.0</v>
      </c>
      <c r="K22" s="10">
        <v>1275.0</v>
      </c>
      <c r="L22" s="10">
        <v>147.0</v>
      </c>
      <c r="M22" s="10">
        <v>53.0</v>
      </c>
      <c r="N22" s="10">
        <v>1163.0</v>
      </c>
    </row>
    <row r="23" ht="22.5" customHeight="1">
      <c r="A23" s="7">
        <v>44476.0</v>
      </c>
      <c r="B23" s="8">
        <v>44476.70835648148</v>
      </c>
      <c r="C23" s="6" t="s">
        <v>26</v>
      </c>
      <c r="D23" s="6" t="s">
        <v>720</v>
      </c>
      <c r="E23" s="6" t="s">
        <v>28</v>
      </c>
      <c r="F23" s="6" t="s">
        <v>34</v>
      </c>
      <c r="G23" s="6" t="s">
        <v>721</v>
      </c>
      <c r="H23" s="9" t="s">
        <v>722</v>
      </c>
      <c r="I23" s="10">
        <v>1.0</v>
      </c>
      <c r="J23" s="10">
        <v>2795.0</v>
      </c>
      <c r="K23" s="10">
        <v>3687.0</v>
      </c>
      <c r="L23" s="10">
        <v>471.0</v>
      </c>
      <c r="M23" s="10">
        <v>159.0</v>
      </c>
      <c r="N23" s="10">
        <v>2795.0</v>
      </c>
    </row>
    <row r="24" ht="22.5" customHeight="1">
      <c r="A24" s="7">
        <v>44476.0</v>
      </c>
      <c r="B24" s="8">
        <v>44476.87567129629</v>
      </c>
      <c r="C24" s="6" t="s">
        <v>26</v>
      </c>
      <c r="D24" s="6" t="s">
        <v>932</v>
      </c>
      <c r="E24" s="6" t="s">
        <v>33</v>
      </c>
      <c r="F24" s="6" t="s">
        <v>89</v>
      </c>
      <c r="G24" s="6" t="s">
        <v>933</v>
      </c>
      <c r="H24" s="9" t="s">
        <v>934</v>
      </c>
      <c r="I24" s="10">
        <v>1.0</v>
      </c>
      <c r="J24" s="10">
        <v>174.0</v>
      </c>
      <c r="K24" s="10">
        <v>195.0</v>
      </c>
      <c r="L24" s="10">
        <v>27.0</v>
      </c>
      <c r="M24" s="10"/>
      <c r="N24" s="10">
        <v>174.0</v>
      </c>
    </row>
    <row r="25" ht="22.5" customHeight="1">
      <c r="A25" s="7">
        <v>44477.0</v>
      </c>
      <c r="B25" s="8">
        <v>44477.29225694444</v>
      </c>
      <c r="C25" s="6" t="s">
        <v>26</v>
      </c>
      <c r="D25" s="6" t="s">
        <v>648</v>
      </c>
      <c r="E25" s="6" t="s">
        <v>72</v>
      </c>
      <c r="F25" s="6" t="s">
        <v>44</v>
      </c>
      <c r="G25" s="6" t="s">
        <v>649</v>
      </c>
      <c r="H25" s="9" t="s">
        <v>650</v>
      </c>
      <c r="I25" s="10">
        <v>1.0</v>
      </c>
      <c r="J25" s="10">
        <v>184.0</v>
      </c>
      <c r="K25" s="10">
        <v>204.0</v>
      </c>
      <c r="L25" s="10">
        <v>6.0</v>
      </c>
      <c r="M25" s="10">
        <v>11.0</v>
      </c>
      <c r="N25" s="10">
        <v>184.0</v>
      </c>
    </row>
    <row r="26" ht="22.5" customHeight="1">
      <c r="A26" s="7">
        <v>44477.0</v>
      </c>
      <c r="B26" s="8">
        <v>44477.333344907405</v>
      </c>
      <c r="C26" s="6" t="s">
        <v>26</v>
      </c>
      <c r="D26" s="6" t="s">
        <v>699</v>
      </c>
      <c r="E26" s="6" t="s">
        <v>28</v>
      </c>
      <c r="F26" s="6" t="s">
        <v>34</v>
      </c>
      <c r="G26" s="6" t="s">
        <v>700</v>
      </c>
      <c r="H26" s="9" t="s">
        <v>701</v>
      </c>
      <c r="I26" s="10">
        <v>1.0</v>
      </c>
      <c r="J26" s="10">
        <v>9297.0</v>
      </c>
      <c r="K26" s="10">
        <v>9814.0</v>
      </c>
      <c r="L26" s="10">
        <v>298.0</v>
      </c>
      <c r="M26" s="10">
        <v>142.0</v>
      </c>
      <c r="N26" s="10">
        <v>9297.0</v>
      </c>
    </row>
    <row r="27" ht="22.5" customHeight="1">
      <c r="A27" s="7">
        <v>44477.0</v>
      </c>
      <c r="B27" s="8">
        <v>44477.375</v>
      </c>
      <c r="C27" s="6" t="s">
        <v>26</v>
      </c>
      <c r="D27" s="6" t="s">
        <v>441</v>
      </c>
      <c r="E27" s="6" t="s">
        <v>28</v>
      </c>
      <c r="F27" s="6" t="s">
        <v>34</v>
      </c>
      <c r="G27" s="6" t="s">
        <v>442</v>
      </c>
      <c r="H27" s="9" t="s">
        <v>443</v>
      </c>
      <c r="I27" s="10">
        <v>1.0</v>
      </c>
      <c r="J27" s="10">
        <v>5541.0</v>
      </c>
      <c r="K27" s="10">
        <v>7315.0</v>
      </c>
      <c r="L27" s="10">
        <v>997.0</v>
      </c>
      <c r="M27" s="10">
        <v>545.0</v>
      </c>
      <c r="N27" s="10">
        <v>5541.0</v>
      </c>
    </row>
    <row r="28" ht="22.5" customHeight="1">
      <c r="A28" s="7">
        <v>44477.0</v>
      </c>
      <c r="B28" s="8">
        <v>44477.58336805556</v>
      </c>
      <c r="C28" s="6" t="s">
        <v>26</v>
      </c>
      <c r="D28" s="6" t="s">
        <v>128</v>
      </c>
      <c r="E28" s="6" t="s">
        <v>61</v>
      </c>
      <c r="F28" s="6" t="s">
        <v>62</v>
      </c>
      <c r="G28" s="6" t="s">
        <v>129</v>
      </c>
      <c r="H28" s="9" t="s">
        <v>130</v>
      </c>
      <c r="I28" s="10">
        <v>1.0</v>
      </c>
      <c r="J28" s="10">
        <v>509.0</v>
      </c>
      <c r="K28" s="10">
        <v>569.0</v>
      </c>
      <c r="L28" s="10">
        <v>42.0</v>
      </c>
      <c r="M28" s="10">
        <v>24.0</v>
      </c>
      <c r="N28" s="10">
        <v>509.0</v>
      </c>
    </row>
    <row r="29" ht="22.5" customHeight="1">
      <c r="A29" s="7">
        <v>44477.0</v>
      </c>
      <c r="B29" s="8">
        <v>44477.62532407408</v>
      </c>
      <c r="C29" s="6" t="s">
        <v>26</v>
      </c>
      <c r="D29" s="6" t="s">
        <v>840</v>
      </c>
      <c r="E29" s="6" t="s">
        <v>28</v>
      </c>
      <c r="F29" s="6" t="s">
        <v>34</v>
      </c>
      <c r="G29" s="6" t="s">
        <v>841</v>
      </c>
      <c r="H29" s="9" t="s">
        <v>842</v>
      </c>
      <c r="I29" s="10">
        <v>1.0</v>
      </c>
      <c r="J29" s="10">
        <v>347.0</v>
      </c>
      <c r="K29" s="10">
        <v>412.0</v>
      </c>
      <c r="L29" s="10">
        <v>34.0</v>
      </c>
      <c r="M29" s="10">
        <v>12.0</v>
      </c>
      <c r="N29" s="10">
        <v>347.0</v>
      </c>
    </row>
    <row r="30" ht="22.5" customHeight="1">
      <c r="A30" s="7">
        <v>44477.0</v>
      </c>
      <c r="B30" s="8">
        <v>44477.79167824074</v>
      </c>
      <c r="C30" s="6" t="s">
        <v>26</v>
      </c>
      <c r="D30" s="6" t="s">
        <v>759</v>
      </c>
      <c r="E30" s="6" t="s">
        <v>61</v>
      </c>
      <c r="F30" s="6" t="s">
        <v>76</v>
      </c>
      <c r="G30" s="6" t="s">
        <v>760</v>
      </c>
      <c r="H30" s="9" t="s">
        <v>761</v>
      </c>
      <c r="I30" s="10">
        <v>1.0</v>
      </c>
      <c r="J30" s="10">
        <v>11976.0</v>
      </c>
      <c r="K30" s="10">
        <v>16483.0</v>
      </c>
      <c r="L30" s="10">
        <v>242.0</v>
      </c>
      <c r="M30" s="10">
        <v>589.0</v>
      </c>
      <c r="N30" s="10">
        <v>11976.0</v>
      </c>
    </row>
    <row r="31" ht="22.5" customHeight="1">
      <c r="A31" s="7">
        <v>44478.0</v>
      </c>
      <c r="B31" s="8">
        <v>44478.375023148146</v>
      </c>
      <c r="C31" s="6" t="s">
        <v>26</v>
      </c>
      <c r="D31" s="6" t="s">
        <v>92</v>
      </c>
      <c r="E31" s="6" t="s">
        <v>28</v>
      </c>
      <c r="F31" s="6" t="s">
        <v>34</v>
      </c>
      <c r="G31" s="6" t="s">
        <v>93</v>
      </c>
      <c r="H31" s="9" t="s">
        <v>94</v>
      </c>
      <c r="I31" s="10">
        <v>1.0</v>
      </c>
      <c r="J31" s="10">
        <v>1614.0</v>
      </c>
      <c r="K31" s="10">
        <v>1673.0</v>
      </c>
      <c r="L31" s="10">
        <v>250.0</v>
      </c>
      <c r="M31" s="10">
        <v>54.0</v>
      </c>
      <c r="N31" s="10">
        <v>1614.0</v>
      </c>
    </row>
    <row r="32" ht="22.5" customHeight="1">
      <c r="A32" s="7">
        <v>44478.0</v>
      </c>
      <c r="B32" s="8">
        <v>44478.45835648148</v>
      </c>
      <c r="C32" s="6" t="s">
        <v>26</v>
      </c>
      <c r="D32" s="6" t="s">
        <v>170</v>
      </c>
      <c r="E32" s="6" t="s">
        <v>33</v>
      </c>
      <c r="F32" s="6" t="s">
        <v>89</v>
      </c>
      <c r="G32" s="6" t="s">
        <v>171</v>
      </c>
      <c r="H32" s="9" t="s">
        <v>172</v>
      </c>
      <c r="I32" s="10">
        <v>1.0</v>
      </c>
      <c r="J32" s="10">
        <v>854.0</v>
      </c>
      <c r="K32" s="10">
        <v>938.0</v>
      </c>
      <c r="L32" s="10">
        <v>69.0</v>
      </c>
      <c r="M32" s="10">
        <v>42.0</v>
      </c>
      <c r="N32" s="10">
        <v>854.0</v>
      </c>
    </row>
    <row r="33" ht="22.5" customHeight="1">
      <c r="A33" s="7">
        <v>44478.0</v>
      </c>
      <c r="B33" s="8">
        <v>44478.54167824074</v>
      </c>
      <c r="C33" s="6" t="s">
        <v>26</v>
      </c>
      <c r="D33" s="6" t="s">
        <v>113</v>
      </c>
      <c r="E33" s="6" t="s">
        <v>28</v>
      </c>
      <c r="F33" s="6" t="s">
        <v>34</v>
      </c>
      <c r="G33" s="6" t="s">
        <v>114</v>
      </c>
      <c r="H33" s="9" t="s">
        <v>115</v>
      </c>
      <c r="I33" s="10">
        <v>1.0</v>
      </c>
      <c r="J33" s="10">
        <v>726.0</v>
      </c>
      <c r="K33" s="10">
        <v>734.0</v>
      </c>
      <c r="L33" s="10">
        <v>23.0</v>
      </c>
      <c r="M33" s="10">
        <v>62.0</v>
      </c>
      <c r="N33" s="10">
        <v>726.0</v>
      </c>
    </row>
    <row r="34" ht="22.5" customHeight="1">
      <c r="A34" s="7">
        <v>44478.0</v>
      </c>
      <c r="B34" s="8">
        <v>44478.666863425926</v>
      </c>
      <c r="C34" s="6" t="s">
        <v>26</v>
      </c>
      <c r="D34" s="6" t="s">
        <v>771</v>
      </c>
      <c r="E34" s="6" t="s">
        <v>28</v>
      </c>
      <c r="F34" s="6" t="s">
        <v>34</v>
      </c>
      <c r="G34" s="6" t="s">
        <v>772</v>
      </c>
      <c r="H34" s="9" t="s">
        <v>773</v>
      </c>
      <c r="I34" s="10">
        <v>1.0</v>
      </c>
      <c r="J34" s="10">
        <v>264.0</v>
      </c>
      <c r="K34" s="10">
        <v>270.0</v>
      </c>
      <c r="L34" s="10">
        <v>16.0</v>
      </c>
      <c r="M34" s="10">
        <v>22.0</v>
      </c>
      <c r="N34" s="10">
        <v>264.0</v>
      </c>
    </row>
    <row r="35" ht="22.5" customHeight="1">
      <c r="A35" s="7">
        <v>44478.0</v>
      </c>
      <c r="B35" s="8">
        <v>44478.708344907405</v>
      </c>
      <c r="C35" s="6" t="s">
        <v>26</v>
      </c>
      <c r="D35" s="6" t="s">
        <v>313</v>
      </c>
      <c r="E35" s="6" t="s">
        <v>28</v>
      </c>
      <c r="F35" s="6" t="s">
        <v>34</v>
      </c>
      <c r="G35" s="6" t="s">
        <v>314</v>
      </c>
      <c r="H35" s="9" t="s">
        <v>315</v>
      </c>
      <c r="I35" s="10">
        <v>1.0</v>
      </c>
      <c r="J35" s="10">
        <v>857.0</v>
      </c>
      <c r="K35" s="10">
        <v>893.0</v>
      </c>
      <c r="L35" s="10">
        <v>90.0</v>
      </c>
      <c r="M35" s="10">
        <v>30.0</v>
      </c>
      <c r="N35" s="10">
        <v>857.0</v>
      </c>
    </row>
    <row r="36" ht="22.5" customHeight="1">
      <c r="A36" s="7">
        <v>44478.0</v>
      </c>
      <c r="B36" s="8">
        <v>44478.791666666664</v>
      </c>
      <c r="C36" s="6" t="s">
        <v>26</v>
      </c>
      <c r="D36" s="6" t="s">
        <v>292</v>
      </c>
      <c r="E36" s="6" t="s">
        <v>61</v>
      </c>
      <c r="F36" s="6" t="s">
        <v>62</v>
      </c>
      <c r="G36" s="6" t="s">
        <v>293</v>
      </c>
      <c r="H36" s="9" t="s">
        <v>294</v>
      </c>
      <c r="I36" s="10">
        <v>1.0</v>
      </c>
      <c r="J36" s="10">
        <v>1195.0</v>
      </c>
      <c r="K36" s="10">
        <v>1313.0</v>
      </c>
      <c r="L36" s="10">
        <v>194.0</v>
      </c>
      <c r="M36" s="10">
        <v>72.0</v>
      </c>
      <c r="N36" s="10">
        <v>1195.0</v>
      </c>
    </row>
    <row r="37" ht="22.5" customHeight="1">
      <c r="A37" s="7">
        <v>44479.0</v>
      </c>
      <c r="B37" s="8">
        <v>44479.291712962964</v>
      </c>
      <c r="C37" s="6" t="s">
        <v>26</v>
      </c>
      <c r="D37" s="6" t="s">
        <v>462</v>
      </c>
      <c r="E37" s="6" t="s">
        <v>72</v>
      </c>
      <c r="F37" s="6" t="s">
        <v>44</v>
      </c>
      <c r="G37" s="6" t="s">
        <v>463</v>
      </c>
      <c r="H37" s="9" t="s">
        <v>464</v>
      </c>
      <c r="I37" s="10">
        <v>1.0</v>
      </c>
      <c r="J37" s="10">
        <v>150.0</v>
      </c>
      <c r="K37" s="10">
        <v>155.0</v>
      </c>
      <c r="L37" s="10">
        <v>9.0</v>
      </c>
      <c r="M37" s="10">
        <v>1.0</v>
      </c>
      <c r="N37" s="10">
        <v>150.0</v>
      </c>
    </row>
    <row r="38" ht="22.5" customHeight="1">
      <c r="A38" s="7">
        <v>44479.0</v>
      </c>
      <c r="B38" s="8">
        <v>44479.375</v>
      </c>
      <c r="C38" s="6" t="s">
        <v>26</v>
      </c>
      <c r="D38" s="6" t="s">
        <v>444</v>
      </c>
      <c r="E38" s="6" t="s">
        <v>28</v>
      </c>
      <c r="F38" s="6" t="s">
        <v>34</v>
      </c>
      <c r="G38" s="6" t="s">
        <v>445</v>
      </c>
      <c r="H38" s="9" t="s">
        <v>446</v>
      </c>
      <c r="I38" s="10">
        <v>1.0</v>
      </c>
      <c r="J38" s="10">
        <v>16298.0</v>
      </c>
      <c r="K38" s="10">
        <v>16657.0</v>
      </c>
      <c r="L38" s="10">
        <v>358.0</v>
      </c>
      <c r="M38" s="10">
        <v>162.0</v>
      </c>
      <c r="N38" s="10">
        <v>16298.0</v>
      </c>
    </row>
    <row r="39" ht="22.5" customHeight="1">
      <c r="A39" s="7">
        <v>44479.0</v>
      </c>
      <c r="B39" s="8">
        <v>44479.50001157408</v>
      </c>
      <c r="C39" s="6" t="s">
        <v>26</v>
      </c>
      <c r="D39" s="6" t="s">
        <v>810</v>
      </c>
      <c r="E39" s="6" t="s">
        <v>28</v>
      </c>
      <c r="F39" s="6" t="s">
        <v>34</v>
      </c>
      <c r="G39" s="6" t="s">
        <v>811</v>
      </c>
      <c r="H39" s="9" t="s">
        <v>812</v>
      </c>
      <c r="I39" s="10">
        <v>1.0</v>
      </c>
      <c r="J39" s="10">
        <v>4033.0</v>
      </c>
      <c r="K39" s="10">
        <v>4594.0</v>
      </c>
      <c r="L39" s="10">
        <v>234.0</v>
      </c>
      <c r="M39" s="10">
        <v>56.0</v>
      </c>
      <c r="N39" s="10">
        <v>4033.0</v>
      </c>
    </row>
    <row r="40" ht="22.5" customHeight="1">
      <c r="A40" s="7">
        <v>44479.0</v>
      </c>
      <c r="B40" s="8">
        <v>44479.708333333336</v>
      </c>
      <c r="C40" s="6" t="s">
        <v>26</v>
      </c>
      <c r="D40" s="6" t="s">
        <v>140</v>
      </c>
      <c r="E40" s="6" t="s">
        <v>28</v>
      </c>
      <c r="F40" s="6" t="s">
        <v>34</v>
      </c>
      <c r="G40" s="6" t="s">
        <v>141</v>
      </c>
      <c r="H40" s="9" t="s">
        <v>142</v>
      </c>
      <c r="I40" s="10">
        <v>1.0</v>
      </c>
      <c r="J40" s="10">
        <v>702.0</v>
      </c>
      <c r="K40" s="10">
        <v>721.0</v>
      </c>
      <c r="L40" s="10">
        <v>46.0</v>
      </c>
      <c r="M40" s="10">
        <v>10.0</v>
      </c>
      <c r="N40" s="10">
        <v>702.0</v>
      </c>
    </row>
    <row r="41" ht="22.5" customHeight="1">
      <c r="A41" s="7">
        <v>44480.0</v>
      </c>
      <c r="B41" s="8">
        <v>44480.333333333336</v>
      </c>
      <c r="C41" s="6" t="s">
        <v>26</v>
      </c>
      <c r="D41" s="6" t="s">
        <v>405</v>
      </c>
      <c r="E41" s="6" t="s">
        <v>28</v>
      </c>
      <c r="F41" s="6" t="s">
        <v>34</v>
      </c>
      <c r="G41" s="6" t="s">
        <v>406</v>
      </c>
      <c r="H41" s="9" t="s">
        <v>407</v>
      </c>
      <c r="I41" s="10">
        <v>1.0</v>
      </c>
      <c r="J41" s="10">
        <v>836.0</v>
      </c>
      <c r="K41" s="10">
        <v>849.0</v>
      </c>
      <c r="L41" s="10">
        <v>60.0</v>
      </c>
      <c r="M41" s="10">
        <v>30.0</v>
      </c>
      <c r="N41" s="10">
        <v>836.0</v>
      </c>
    </row>
    <row r="42" ht="22.5" customHeight="1">
      <c r="A42" s="7">
        <v>44480.0</v>
      </c>
      <c r="B42" s="8">
        <v>44480.37501157408</v>
      </c>
      <c r="C42" s="6" t="s">
        <v>26</v>
      </c>
      <c r="D42" s="6" t="s">
        <v>1322</v>
      </c>
      <c r="E42" s="6" t="s">
        <v>28</v>
      </c>
      <c r="F42" s="6" t="s">
        <v>34</v>
      </c>
      <c r="G42" s="6" t="s">
        <v>1323</v>
      </c>
      <c r="H42" s="9" t="s">
        <v>1324</v>
      </c>
      <c r="I42" s="10">
        <v>1.0</v>
      </c>
      <c r="J42" s="10">
        <v>1534.0</v>
      </c>
      <c r="K42" s="10">
        <v>1589.0</v>
      </c>
      <c r="L42" s="10">
        <v>157.0</v>
      </c>
      <c r="M42" s="10">
        <v>94.0</v>
      </c>
      <c r="N42" s="10">
        <v>1534.0</v>
      </c>
    </row>
    <row r="43" ht="22.5" customHeight="1">
      <c r="A43" s="7">
        <v>44480.0</v>
      </c>
      <c r="B43" s="8">
        <v>44480.458391203705</v>
      </c>
      <c r="C43" s="6" t="s">
        <v>26</v>
      </c>
      <c r="D43" s="6" t="s">
        <v>804</v>
      </c>
      <c r="E43" s="6" t="s">
        <v>28</v>
      </c>
      <c r="F43" s="6" t="s">
        <v>34</v>
      </c>
      <c r="G43" s="6" t="s">
        <v>805</v>
      </c>
      <c r="H43" s="9" t="s">
        <v>806</v>
      </c>
      <c r="I43" s="10">
        <v>1.0</v>
      </c>
      <c r="J43" s="10">
        <v>687.0</v>
      </c>
      <c r="K43" s="10">
        <v>778.0</v>
      </c>
      <c r="L43" s="10">
        <v>40.0</v>
      </c>
      <c r="M43" s="10">
        <v>49.0</v>
      </c>
      <c r="N43" s="10">
        <v>687.0</v>
      </c>
    </row>
    <row r="44" ht="22.5" customHeight="1">
      <c r="A44" s="7">
        <v>44480.0</v>
      </c>
      <c r="B44" s="8">
        <v>44480.5</v>
      </c>
      <c r="C44" s="6" t="s">
        <v>26</v>
      </c>
      <c r="D44" s="6" t="s">
        <v>1316</v>
      </c>
      <c r="E44" s="6" t="s">
        <v>28</v>
      </c>
      <c r="F44" s="6" t="s">
        <v>34</v>
      </c>
      <c r="G44" s="6" t="s">
        <v>1317</v>
      </c>
      <c r="H44" s="9" t="s">
        <v>1318</v>
      </c>
      <c r="I44" s="10">
        <v>1.0</v>
      </c>
      <c r="J44" s="10">
        <v>3652.0</v>
      </c>
      <c r="K44" s="10">
        <v>4714.0</v>
      </c>
      <c r="L44" s="10">
        <v>985.0</v>
      </c>
      <c r="M44" s="10">
        <v>216.0</v>
      </c>
      <c r="N44" s="10">
        <v>3652.0</v>
      </c>
    </row>
    <row r="45" ht="22.5" customHeight="1">
      <c r="A45" s="7">
        <v>44480.0</v>
      </c>
      <c r="B45" s="8">
        <v>44480.600625</v>
      </c>
      <c r="C45" s="6" t="s">
        <v>26</v>
      </c>
      <c r="D45" s="6" t="s">
        <v>27</v>
      </c>
      <c r="E45" s="6" t="s">
        <v>28</v>
      </c>
      <c r="F45" s="6" t="s">
        <v>29</v>
      </c>
      <c r="G45" s="6"/>
      <c r="H45" s="9" t="s">
        <v>30</v>
      </c>
      <c r="I45" s="10">
        <v>1.0</v>
      </c>
      <c r="J45" s="10">
        <v>12622.0</v>
      </c>
      <c r="K45" s="10">
        <v>18460.0</v>
      </c>
      <c r="L45" s="10">
        <v>2083.0</v>
      </c>
      <c r="M45" s="10">
        <v>219.0</v>
      </c>
      <c r="N45" s="10">
        <v>12622.0</v>
      </c>
    </row>
    <row r="46" ht="22.5" customHeight="1">
      <c r="A46" s="7">
        <v>44480.0</v>
      </c>
      <c r="B46" s="8">
        <v>44480.66694444444</v>
      </c>
      <c r="C46" s="6" t="s">
        <v>26</v>
      </c>
      <c r="D46" s="6" t="s">
        <v>1129</v>
      </c>
      <c r="E46" s="6" t="s">
        <v>28</v>
      </c>
      <c r="F46" s="6" t="s">
        <v>34</v>
      </c>
      <c r="G46" s="6" t="s">
        <v>1130</v>
      </c>
      <c r="H46" s="9" t="s">
        <v>1131</v>
      </c>
      <c r="I46" s="10">
        <v>1.0</v>
      </c>
      <c r="J46" s="10">
        <v>10675.0</v>
      </c>
      <c r="K46" s="10">
        <v>11193.0</v>
      </c>
      <c r="L46" s="10">
        <v>1187.0</v>
      </c>
      <c r="M46" s="10">
        <v>387.0</v>
      </c>
      <c r="N46" s="10">
        <v>10675.0</v>
      </c>
    </row>
    <row r="47" ht="22.5" customHeight="1">
      <c r="A47" s="7">
        <v>44480.0</v>
      </c>
      <c r="B47" s="8">
        <v>44480.70836805556</v>
      </c>
      <c r="C47" s="6" t="s">
        <v>26</v>
      </c>
      <c r="D47" s="6" t="s">
        <v>1073</v>
      </c>
      <c r="E47" s="6" t="s">
        <v>28</v>
      </c>
      <c r="F47" s="6" t="s">
        <v>34</v>
      </c>
      <c r="G47" s="6" t="s">
        <v>1074</v>
      </c>
      <c r="H47" s="9" t="s">
        <v>1075</v>
      </c>
      <c r="I47" s="10">
        <v>1.0</v>
      </c>
      <c r="J47" s="10">
        <v>348.0</v>
      </c>
      <c r="K47" s="10">
        <v>377.0</v>
      </c>
      <c r="L47" s="10">
        <v>29.0</v>
      </c>
      <c r="M47" s="10">
        <v>10.0</v>
      </c>
      <c r="N47" s="10">
        <v>348.0</v>
      </c>
    </row>
    <row r="48" ht="22.5" customHeight="1">
      <c r="A48" s="7">
        <v>44480.0</v>
      </c>
      <c r="B48" s="8">
        <v>44480.75</v>
      </c>
      <c r="C48" s="6" t="s">
        <v>26</v>
      </c>
      <c r="D48" s="6" t="s">
        <v>654</v>
      </c>
      <c r="E48" s="6" t="s">
        <v>28</v>
      </c>
      <c r="F48" s="6" t="s">
        <v>34</v>
      </c>
      <c r="G48" s="6" t="s">
        <v>655</v>
      </c>
      <c r="H48" s="9" t="s">
        <v>656</v>
      </c>
      <c r="I48" s="10">
        <v>1.0</v>
      </c>
      <c r="J48" s="10">
        <v>2083.0</v>
      </c>
      <c r="K48" s="10">
        <v>2125.0</v>
      </c>
      <c r="L48" s="10">
        <v>109.0</v>
      </c>
      <c r="M48" s="10">
        <v>28.0</v>
      </c>
      <c r="N48" s="10">
        <v>2083.0</v>
      </c>
    </row>
    <row r="49" ht="22.5" customHeight="1">
      <c r="A49" s="7">
        <v>44480.0</v>
      </c>
      <c r="B49" s="8">
        <v>44480.83335648148</v>
      </c>
      <c r="C49" s="6" t="s">
        <v>26</v>
      </c>
      <c r="D49" s="6" t="s">
        <v>666</v>
      </c>
      <c r="E49" s="6" t="s">
        <v>28</v>
      </c>
      <c r="F49" s="6" t="s">
        <v>34</v>
      </c>
      <c r="G49" s="6" t="s">
        <v>667</v>
      </c>
      <c r="H49" s="9" t="s">
        <v>668</v>
      </c>
      <c r="I49" s="10">
        <v>1.0</v>
      </c>
      <c r="J49" s="10">
        <v>370.0</v>
      </c>
      <c r="K49" s="10">
        <v>384.0</v>
      </c>
      <c r="L49" s="10">
        <v>96.0</v>
      </c>
      <c r="M49" s="10">
        <v>5.0</v>
      </c>
      <c r="N49" s="10">
        <v>370.0</v>
      </c>
    </row>
    <row r="50" ht="22.5" customHeight="1">
      <c r="A50" s="7">
        <v>44481.0</v>
      </c>
      <c r="B50" s="8">
        <v>44481.54168981482</v>
      </c>
      <c r="C50" s="6" t="s">
        <v>26</v>
      </c>
      <c r="D50" s="6" t="s">
        <v>298</v>
      </c>
      <c r="E50" s="6" t="s">
        <v>28</v>
      </c>
      <c r="F50" s="6" t="s">
        <v>34</v>
      </c>
      <c r="G50" s="6" t="s">
        <v>299</v>
      </c>
      <c r="H50" s="9" t="s">
        <v>300</v>
      </c>
      <c r="I50" s="10">
        <v>1.0</v>
      </c>
      <c r="J50" s="10">
        <v>3357.0</v>
      </c>
      <c r="K50" s="10">
        <v>3392.0</v>
      </c>
      <c r="L50" s="10">
        <v>54.0</v>
      </c>
      <c r="M50" s="10">
        <v>11.0</v>
      </c>
      <c r="N50" s="10">
        <v>3357.0</v>
      </c>
    </row>
    <row r="51" ht="22.5" customHeight="1">
      <c r="A51" s="7">
        <v>44481.0</v>
      </c>
      <c r="B51" s="8">
        <v>44481.625023148146</v>
      </c>
      <c r="C51" s="6" t="s">
        <v>26</v>
      </c>
      <c r="D51" s="6" t="s">
        <v>32</v>
      </c>
      <c r="E51" s="6" t="s">
        <v>33</v>
      </c>
      <c r="F51" s="6" t="s">
        <v>34</v>
      </c>
      <c r="G51" s="6"/>
      <c r="H51" s="9" t="s">
        <v>35</v>
      </c>
      <c r="I51" s="10">
        <v>1.0</v>
      </c>
      <c r="J51" s="10">
        <v>1108.0</v>
      </c>
      <c r="K51" s="10">
        <v>1150.0</v>
      </c>
      <c r="L51" s="10">
        <v>105.0</v>
      </c>
      <c r="M51" s="10">
        <v>50.0</v>
      </c>
      <c r="N51" s="10">
        <v>1108.0</v>
      </c>
    </row>
    <row r="52" ht="22.5" customHeight="1">
      <c r="A52" s="7">
        <v>44481.0</v>
      </c>
      <c r="B52" s="8">
        <v>44481.791921296295</v>
      </c>
      <c r="C52" s="6" t="s">
        <v>26</v>
      </c>
      <c r="D52" s="6" t="s">
        <v>977</v>
      </c>
      <c r="E52" s="6" t="s">
        <v>61</v>
      </c>
      <c r="F52" s="6" t="s">
        <v>62</v>
      </c>
      <c r="G52" s="6" t="s">
        <v>978</v>
      </c>
      <c r="H52" s="9" t="s">
        <v>979</v>
      </c>
      <c r="I52" s="10">
        <v>1.0</v>
      </c>
      <c r="J52" s="10">
        <v>444.0</v>
      </c>
      <c r="K52" s="10">
        <v>523.0</v>
      </c>
      <c r="L52" s="10">
        <v>37.0</v>
      </c>
      <c r="M52" s="10">
        <v>12.0</v>
      </c>
      <c r="N52" s="10">
        <v>444.0</v>
      </c>
    </row>
    <row r="53" ht="22.5" customHeight="1">
      <c r="A53" s="7">
        <v>44481.0</v>
      </c>
      <c r="B53" s="8">
        <v>44481.83335648148</v>
      </c>
      <c r="C53" s="6" t="s">
        <v>26</v>
      </c>
      <c r="D53" s="6" t="s">
        <v>768</v>
      </c>
      <c r="E53" s="6" t="s">
        <v>28</v>
      </c>
      <c r="F53" s="6" t="s">
        <v>34</v>
      </c>
      <c r="G53" s="6" t="s">
        <v>769</v>
      </c>
      <c r="H53" s="9" t="s">
        <v>770</v>
      </c>
      <c r="I53" s="10">
        <v>1.0</v>
      </c>
      <c r="J53" s="10">
        <v>871.0</v>
      </c>
      <c r="K53" s="10">
        <v>911.0</v>
      </c>
      <c r="L53" s="10">
        <v>146.0</v>
      </c>
      <c r="M53" s="10">
        <v>30.0</v>
      </c>
      <c r="N53" s="10">
        <v>871.0</v>
      </c>
    </row>
    <row r="54" ht="22.5" customHeight="1">
      <c r="A54" s="7">
        <v>44482.0</v>
      </c>
      <c r="B54" s="8">
        <v>44482.41667824074</v>
      </c>
      <c r="C54" s="6" t="s">
        <v>26</v>
      </c>
      <c r="D54" s="6" t="s">
        <v>935</v>
      </c>
      <c r="E54" s="6" t="s">
        <v>28</v>
      </c>
      <c r="F54" s="6" t="s">
        <v>34</v>
      </c>
      <c r="G54" s="6" t="s">
        <v>936</v>
      </c>
      <c r="H54" s="9" t="s">
        <v>937</v>
      </c>
      <c r="I54" s="10">
        <v>1.0</v>
      </c>
      <c r="J54" s="10">
        <v>1696.0</v>
      </c>
      <c r="K54" s="10">
        <v>1775.0</v>
      </c>
      <c r="L54" s="10">
        <v>285.0</v>
      </c>
      <c r="M54" s="10">
        <v>46.0</v>
      </c>
      <c r="N54" s="10">
        <v>1696.0</v>
      </c>
    </row>
    <row r="55" ht="22.5" customHeight="1">
      <c r="A55" s="7">
        <v>44482.0</v>
      </c>
      <c r="B55" s="8">
        <v>44482.50001157408</v>
      </c>
      <c r="C55" s="6" t="s">
        <v>26</v>
      </c>
      <c r="D55" s="6" t="s">
        <v>1198</v>
      </c>
      <c r="E55" s="6" t="s">
        <v>28</v>
      </c>
      <c r="F55" s="6" t="s">
        <v>34</v>
      </c>
      <c r="G55" s="6" t="s">
        <v>1199</v>
      </c>
      <c r="H55" s="9" t="s">
        <v>1200</v>
      </c>
      <c r="I55" s="10">
        <v>1.0</v>
      </c>
      <c r="J55" s="10">
        <v>226.0</v>
      </c>
      <c r="K55" s="10">
        <v>234.0</v>
      </c>
      <c r="L55" s="10">
        <v>32.0</v>
      </c>
      <c r="M55" s="10">
        <v>9.0</v>
      </c>
      <c r="N55" s="10">
        <v>226.0</v>
      </c>
    </row>
    <row r="56" ht="22.5" customHeight="1">
      <c r="A56" s="7">
        <v>44482.0</v>
      </c>
      <c r="B56" s="8">
        <v>44482.66724537037</v>
      </c>
      <c r="C56" s="6" t="s">
        <v>26</v>
      </c>
      <c r="D56" s="6" t="s">
        <v>959</v>
      </c>
      <c r="E56" s="6" t="s">
        <v>28</v>
      </c>
      <c r="F56" s="6" t="s">
        <v>34</v>
      </c>
      <c r="G56" s="6" t="s">
        <v>960</v>
      </c>
      <c r="H56" s="9" t="s">
        <v>961</v>
      </c>
      <c r="I56" s="10">
        <v>1.0</v>
      </c>
      <c r="J56" s="10">
        <v>2400.0</v>
      </c>
      <c r="K56" s="10">
        <v>2740.0</v>
      </c>
      <c r="L56" s="10">
        <v>210.0</v>
      </c>
      <c r="M56" s="10">
        <v>254.0</v>
      </c>
      <c r="N56" s="10">
        <v>2400.0</v>
      </c>
    </row>
    <row r="57" ht="22.5" customHeight="1">
      <c r="A57" s="7">
        <v>44482.0</v>
      </c>
      <c r="B57" s="8">
        <v>44482.75</v>
      </c>
      <c r="C57" s="6" t="s">
        <v>26</v>
      </c>
      <c r="D57" s="6" t="s">
        <v>283</v>
      </c>
      <c r="E57" s="6" t="s">
        <v>61</v>
      </c>
      <c r="F57" s="6" t="s">
        <v>62</v>
      </c>
      <c r="G57" s="6" t="s">
        <v>284</v>
      </c>
      <c r="H57" s="9" t="s">
        <v>285</v>
      </c>
      <c r="I57" s="10">
        <v>1.0</v>
      </c>
      <c r="J57" s="10">
        <v>705.0</v>
      </c>
      <c r="K57" s="10">
        <v>784.0</v>
      </c>
      <c r="L57" s="10">
        <v>81.0</v>
      </c>
      <c r="M57" s="10">
        <v>21.0</v>
      </c>
      <c r="N57" s="10">
        <v>705.0</v>
      </c>
    </row>
    <row r="58" ht="22.5" customHeight="1">
      <c r="A58" s="7">
        <v>44482.0</v>
      </c>
      <c r="B58" s="8">
        <v>44482.83336805556</v>
      </c>
      <c r="C58" s="6" t="s">
        <v>26</v>
      </c>
      <c r="D58" s="6" t="s">
        <v>714</v>
      </c>
      <c r="E58" s="6" t="s">
        <v>28</v>
      </c>
      <c r="F58" s="6" t="s">
        <v>34</v>
      </c>
      <c r="G58" s="6" t="s">
        <v>715</v>
      </c>
      <c r="H58" s="9" t="s">
        <v>716</v>
      </c>
      <c r="I58" s="10">
        <v>1.0</v>
      </c>
      <c r="J58" s="10">
        <v>832.0</v>
      </c>
      <c r="K58" s="10">
        <v>966.0</v>
      </c>
      <c r="L58" s="10">
        <v>110.0</v>
      </c>
      <c r="M58" s="10">
        <v>17.0</v>
      </c>
      <c r="N58" s="10">
        <v>832.0</v>
      </c>
    </row>
    <row r="59" ht="22.5" customHeight="1">
      <c r="A59" s="7">
        <v>44483.0</v>
      </c>
      <c r="B59" s="8">
        <v>44483.54172453703</v>
      </c>
      <c r="C59" s="6" t="s">
        <v>26</v>
      </c>
      <c r="D59" s="6" t="s">
        <v>747</v>
      </c>
      <c r="E59" s="6" t="s">
        <v>61</v>
      </c>
      <c r="F59" s="6" t="s">
        <v>62</v>
      </c>
      <c r="G59" s="6" t="s">
        <v>748</v>
      </c>
      <c r="H59" s="9" t="s">
        <v>749</v>
      </c>
      <c r="I59" s="10">
        <v>1.0</v>
      </c>
      <c r="J59" s="10">
        <v>1088.0</v>
      </c>
      <c r="K59" s="10">
        <v>1209.0</v>
      </c>
      <c r="L59" s="10">
        <v>91.0</v>
      </c>
      <c r="M59" s="10">
        <v>28.0</v>
      </c>
      <c r="N59" s="10">
        <v>1088.0</v>
      </c>
    </row>
    <row r="60" ht="22.5" customHeight="1">
      <c r="A60" s="7">
        <v>44483.0</v>
      </c>
      <c r="B60" s="8">
        <v>44483.54902777778</v>
      </c>
      <c r="C60" s="6" t="s">
        <v>26</v>
      </c>
      <c r="D60" s="6" t="s">
        <v>36</v>
      </c>
      <c r="E60" s="6" t="s">
        <v>28</v>
      </c>
      <c r="F60" s="6" t="s">
        <v>37</v>
      </c>
      <c r="G60" s="6"/>
      <c r="H60" s="9" t="s">
        <v>38</v>
      </c>
      <c r="I60" s="10">
        <v>1.0</v>
      </c>
      <c r="J60" s="10">
        <v>677.0</v>
      </c>
      <c r="K60" s="10">
        <v>735.0</v>
      </c>
      <c r="L60" s="10">
        <v>46.0</v>
      </c>
      <c r="M60" s="10">
        <v>12.0</v>
      </c>
      <c r="N60" s="10">
        <v>677.0</v>
      </c>
    </row>
    <row r="61" ht="22.5" customHeight="1">
      <c r="A61" s="7">
        <v>44483.0</v>
      </c>
      <c r="B61" s="8">
        <v>44483.625</v>
      </c>
      <c r="C61" s="6" t="s">
        <v>26</v>
      </c>
      <c r="D61" s="6" t="s">
        <v>501</v>
      </c>
      <c r="E61" s="6" t="s">
        <v>28</v>
      </c>
      <c r="F61" s="6" t="s">
        <v>34</v>
      </c>
      <c r="G61" s="6" t="s">
        <v>502</v>
      </c>
      <c r="H61" s="9" t="s">
        <v>503</v>
      </c>
      <c r="I61" s="10">
        <v>1.0</v>
      </c>
      <c r="J61" s="10">
        <v>3704.0</v>
      </c>
      <c r="K61" s="10">
        <v>4535.0</v>
      </c>
      <c r="L61" s="10">
        <v>995.0</v>
      </c>
      <c r="M61" s="10">
        <v>635.0</v>
      </c>
      <c r="N61" s="10">
        <v>3704.0</v>
      </c>
    </row>
    <row r="62" ht="22.5" customHeight="1">
      <c r="A62" s="7">
        <v>44483.0</v>
      </c>
      <c r="B62" s="8">
        <v>44483.79560185185</v>
      </c>
      <c r="C62" s="6" t="s">
        <v>26</v>
      </c>
      <c r="D62" s="6" t="s">
        <v>1222</v>
      </c>
      <c r="E62" s="6" t="s">
        <v>61</v>
      </c>
      <c r="F62" s="6" t="s">
        <v>76</v>
      </c>
      <c r="G62" s="6" t="s">
        <v>1223</v>
      </c>
      <c r="H62" s="9" t="s">
        <v>1224</v>
      </c>
      <c r="I62" s="10">
        <v>1.0</v>
      </c>
      <c r="J62" s="10">
        <v>852.0</v>
      </c>
      <c r="K62" s="10">
        <v>901.0</v>
      </c>
      <c r="L62" s="10">
        <v>31.0</v>
      </c>
      <c r="M62" s="10">
        <v>41.0</v>
      </c>
      <c r="N62" s="10">
        <v>852.0</v>
      </c>
    </row>
    <row r="63" ht="22.5" customHeight="1">
      <c r="A63" s="7">
        <v>44484.0</v>
      </c>
      <c r="B63" s="8">
        <v>44484.333344907405</v>
      </c>
      <c r="C63" s="6" t="s">
        <v>26</v>
      </c>
      <c r="D63" s="6" t="s">
        <v>615</v>
      </c>
      <c r="E63" s="6" t="s">
        <v>28</v>
      </c>
      <c r="F63" s="6" t="s">
        <v>34</v>
      </c>
      <c r="G63" s="6" t="s">
        <v>616</v>
      </c>
      <c r="H63" s="9" t="s">
        <v>617</v>
      </c>
      <c r="I63" s="10">
        <v>1.0</v>
      </c>
      <c r="J63" s="10">
        <v>1514.0</v>
      </c>
      <c r="K63" s="10">
        <v>1809.0</v>
      </c>
      <c r="L63" s="10">
        <v>273.0</v>
      </c>
      <c r="M63" s="10">
        <v>83.0</v>
      </c>
      <c r="N63" s="10">
        <v>1514.0</v>
      </c>
    </row>
    <row r="64" ht="22.5" customHeight="1">
      <c r="A64" s="7">
        <v>44484.0</v>
      </c>
      <c r="B64" s="8">
        <v>44484.69501157408</v>
      </c>
      <c r="C64" s="6" t="s">
        <v>26</v>
      </c>
      <c r="D64" s="6" t="s">
        <v>361</v>
      </c>
      <c r="E64" s="6" t="s">
        <v>61</v>
      </c>
      <c r="F64" s="6" t="s">
        <v>62</v>
      </c>
      <c r="G64" s="6" t="s">
        <v>362</v>
      </c>
      <c r="H64" s="9" t="s">
        <v>363</v>
      </c>
      <c r="I64" s="10">
        <v>1.0</v>
      </c>
      <c r="J64" s="10">
        <v>1368.0</v>
      </c>
      <c r="K64" s="10">
        <v>1446.0</v>
      </c>
      <c r="L64" s="10">
        <v>209.0</v>
      </c>
      <c r="M64" s="10">
        <v>86.0</v>
      </c>
      <c r="N64" s="10">
        <v>1368.0</v>
      </c>
    </row>
    <row r="65" ht="22.5" customHeight="1">
      <c r="A65" s="7">
        <v>44484.0</v>
      </c>
      <c r="B65" s="8">
        <v>44484.750023148146</v>
      </c>
      <c r="C65" s="6" t="s">
        <v>26</v>
      </c>
      <c r="D65" s="6" t="s">
        <v>122</v>
      </c>
      <c r="E65" s="6" t="s">
        <v>28</v>
      </c>
      <c r="F65" s="6" t="s">
        <v>34</v>
      </c>
      <c r="G65" s="6" t="s">
        <v>123</v>
      </c>
      <c r="H65" s="9" t="s">
        <v>124</v>
      </c>
      <c r="I65" s="10">
        <v>1.0</v>
      </c>
      <c r="J65" s="10">
        <v>9498.0</v>
      </c>
      <c r="K65" s="10">
        <v>15325.0</v>
      </c>
      <c r="L65" s="10">
        <v>4257.0</v>
      </c>
      <c r="M65" s="10">
        <v>1884.0</v>
      </c>
      <c r="N65" s="10">
        <v>9498.0</v>
      </c>
    </row>
    <row r="66" ht="22.5" customHeight="1">
      <c r="A66" s="7">
        <v>44484.0</v>
      </c>
      <c r="B66" s="8">
        <v>44484.79180555556</v>
      </c>
      <c r="C66" s="6" t="s">
        <v>26</v>
      </c>
      <c r="D66" s="6" t="s">
        <v>885</v>
      </c>
      <c r="E66" s="6" t="s">
        <v>61</v>
      </c>
      <c r="F66" s="6" t="s">
        <v>76</v>
      </c>
      <c r="G66" s="6" t="s">
        <v>886</v>
      </c>
      <c r="H66" s="9" t="s">
        <v>887</v>
      </c>
      <c r="I66" s="10">
        <v>1.0</v>
      </c>
      <c r="J66" s="10">
        <v>274.0</v>
      </c>
      <c r="K66" s="10">
        <v>300.0</v>
      </c>
      <c r="L66" s="10">
        <v>46.0</v>
      </c>
      <c r="M66" s="10">
        <v>56.0</v>
      </c>
      <c r="N66" s="10">
        <v>274.0</v>
      </c>
    </row>
    <row r="67" ht="22.5" customHeight="1">
      <c r="A67" s="7">
        <v>44485.0</v>
      </c>
      <c r="B67" s="8">
        <v>44485.291666666664</v>
      </c>
      <c r="C67" s="6" t="s">
        <v>26</v>
      </c>
      <c r="D67" s="6" t="s">
        <v>735</v>
      </c>
      <c r="E67" s="6" t="s">
        <v>28</v>
      </c>
      <c r="F67" s="6" t="s">
        <v>34</v>
      </c>
      <c r="G67" s="6" t="s">
        <v>736</v>
      </c>
      <c r="H67" s="9" t="s">
        <v>737</v>
      </c>
      <c r="I67" s="10">
        <v>1.0</v>
      </c>
      <c r="J67" s="10">
        <v>788.0</v>
      </c>
      <c r="K67" s="10">
        <v>847.0</v>
      </c>
      <c r="L67" s="10">
        <v>68.0</v>
      </c>
      <c r="M67" s="10">
        <v>35.0</v>
      </c>
      <c r="N67" s="10">
        <v>788.0</v>
      </c>
    </row>
    <row r="68" ht="22.5" customHeight="1">
      <c r="A68" s="7">
        <v>44485.0</v>
      </c>
      <c r="B68" s="8">
        <v>44485.375023148146</v>
      </c>
      <c r="C68" s="6" t="s">
        <v>26</v>
      </c>
      <c r="D68" s="6" t="s">
        <v>447</v>
      </c>
      <c r="E68" s="6" t="s">
        <v>28</v>
      </c>
      <c r="F68" s="6" t="s">
        <v>34</v>
      </c>
      <c r="G68" s="6" t="s">
        <v>448</v>
      </c>
      <c r="H68" s="9" t="s">
        <v>449</v>
      </c>
      <c r="I68" s="10">
        <v>1.0</v>
      </c>
      <c r="J68" s="10">
        <v>10631.0</v>
      </c>
      <c r="K68" s="10">
        <v>10871.0</v>
      </c>
      <c r="L68" s="10">
        <v>523.0</v>
      </c>
      <c r="M68" s="10">
        <v>146.0</v>
      </c>
      <c r="N68" s="10">
        <v>10631.0</v>
      </c>
    </row>
    <row r="69" ht="22.5" customHeight="1">
      <c r="A69" s="7">
        <v>44485.0</v>
      </c>
      <c r="B69" s="8">
        <v>44485.41667824074</v>
      </c>
      <c r="C69" s="6" t="s">
        <v>26</v>
      </c>
      <c r="D69" s="6" t="s">
        <v>825</v>
      </c>
      <c r="E69" s="6" t="s">
        <v>28</v>
      </c>
      <c r="F69" s="6" t="s">
        <v>34</v>
      </c>
      <c r="G69" s="6" t="s">
        <v>826</v>
      </c>
      <c r="H69" s="9" t="s">
        <v>827</v>
      </c>
      <c r="I69" s="10">
        <v>1.0</v>
      </c>
      <c r="J69" s="10">
        <v>765.0</v>
      </c>
      <c r="K69" s="10">
        <v>883.0</v>
      </c>
      <c r="L69" s="10">
        <v>104.0</v>
      </c>
      <c r="M69" s="10">
        <v>24.0</v>
      </c>
      <c r="N69" s="10">
        <v>765.0</v>
      </c>
    </row>
    <row r="70" ht="22.5" customHeight="1">
      <c r="A70" s="7">
        <v>44485.0</v>
      </c>
      <c r="B70" s="8">
        <v>44485.625</v>
      </c>
      <c r="C70" s="6" t="s">
        <v>26</v>
      </c>
      <c r="D70" s="6" t="s">
        <v>603</v>
      </c>
      <c r="E70" s="6" t="s">
        <v>28</v>
      </c>
      <c r="F70" s="6" t="s">
        <v>34</v>
      </c>
      <c r="G70" s="6" t="s">
        <v>604</v>
      </c>
      <c r="H70" s="9" t="s">
        <v>605</v>
      </c>
      <c r="I70" s="10">
        <v>1.0</v>
      </c>
      <c r="J70" s="10">
        <v>1070.0</v>
      </c>
      <c r="K70" s="10">
        <v>1344.0</v>
      </c>
      <c r="L70" s="10">
        <v>182.0</v>
      </c>
      <c r="M70" s="10">
        <v>16.0</v>
      </c>
      <c r="N70" s="10">
        <v>1070.0</v>
      </c>
    </row>
    <row r="71" ht="22.5" customHeight="1">
      <c r="A71" s="7">
        <v>44485.0</v>
      </c>
      <c r="B71" s="8">
        <v>44485.75001157408</v>
      </c>
      <c r="C71" s="6" t="s">
        <v>26</v>
      </c>
      <c r="D71" s="6" t="s">
        <v>762</v>
      </c>
      <c r="E71" s="6" t="s">
        <v>61</v>
      </c>
      <c r="F71" s="6" t="s">
        <v>62</v>
      </c>
      <c r="G71" s="6" t="s">
        <v>763</v>
      </c>
      <c r="H71" s="9" t="s">
        <v>764</v>
      </c>
      <c r="I71" s="10">
        <v>1.0</v>
      </c>
      <c r="J71" s="10">
        <v>729.0</v>
      </c>
      <c r="K71" s="10">
        <v>840.0</v>
      </c>
      <c r="L71" s="10">
        <v>121.0</v>
      </c>
      <c r="M71" s="10">
        <v>25.0</v>
      </c>
      <c r="N71" s="10">
        <v>729.0</v>
      </c>
    </row>
    <row r="72" ht="22.5" customHeight="1">
      <c r="A72" s="7">
        <v>44486.0</v>
      </c>
      <c r="B72" s="8">
        <v>44486.333333333336</v>
      </c>
      <c r="C72" s="6" t="s">
        <v>26</v>
      </c>
      <c r="D72" s="6" t="s">
        <v>588</v>
      </c>
      <c r="E72" s="6" t="s">
        <v>28</v>
      </c>
      <c r="F72" s="6" t="s">
        <v>34</v>
      </c>
      <c r="G72" s="6" t="s">
        <v>589</v>
      </c>
      <c r="H72" s="9" t="s">
        <v>590</v>
      </c>
      <c r="I72" s="10">
        <v>1.0</v>
      </c>
      <c r="J72" s="10">
        <v>9253.0</v>
      </c>
      <c r="K72" s="10">
        <v>9539.0</v>
      </c>
      <c r="L72" s="10">
        <v>280.0</v>
      </c>
      <c r="M72" s="10">
        <v>91.0</v>
      </c>
      <c r="N72" s="10">
        <v>9253.0</v>
      </c>
    </row>
    <row r="73" ht="22.5" customHeight="1">
      <c r="A73" s="7">
        <v>44486.0</v>
      </c>
      <c r="B73" s="8">
        <v>44486.458333333336</v>
      </c>
      <c r="C73" s="6" t="s">
        <v>26</v>
      </c>
      <c r="D73" s="6" t="s">
        <v>1201</v>
      </c>
      <c r="E73" s="6" t="s">
        <v>28</v>
      </c>
      <c r="F73" s="6" t="s">
        <v>34</v>
      </c>
      <c r="G73" s="6" t="s">
        <v>1202</v>
      </c>
      <c r="H73" s="9" t="s">
        <v>1203</v>
      </c>
      <c r="I73" s="10">
        <v>1.0</v>
      </c>
      <c r="J73" s="10">
        <v>158.0</v>
      </c>
      <c r="K73" s="10">
        <v>162.0</v>
      </c>
      <c r="L73" s="10">
        <v>14.0</v>
      </c>
      <c r="M73" s="10">
        <v>1.0</v>
      </c>
      <c r="N73" s="10">
        <v>158.0</v>
      </c>
    </row>
    <row r="74" ht="22.5" customHeight="1">
      <c r="A74" s="7">
        <v>44486.0</v>
      </c>
      <c r="B74" s="8">
        <v>44486.541863425926</v>
      </c>
      <c r="C74" s="6" t="s">
        <v>26</v>
      </c>
      <c r="D74" s="6" t="s">
        <v>882</v>
      </c>
      <c r="E74" s="6" t="s">
        <v>61</v>
      </c>
      <c r="F74" s="6" t="s">
        <v>76</v>
      </c>
      <c r="G74" s="6" t="s">
        <v>883</v>
      </c>
      <c r="H74" s="9" t="s">
        <v>884</v>
      </c>
      <c r="I74" s="10">
        <v>1.0</v>
      </c>
      <c r="J74" s="10">
        <v>234.0</v>
      </c>
      <c r="K74" s="10">
        <v>249.0</v>
      </c>
      <c r="L74" s="10">
        <v>19.0</v>
      </c>
      <c r="M74" s="10">
        <v>10.0</v>
      </c>
      <c r="N74" s="10">
        <v>234.0</v>
      </c>
    </row>
    <row r="75" ht="22.5" customHeight="1">
      <c r="A75" s="7">
        <v>44486.0</v>
      </c>
      <c r="B75" s="8">
        <v>44486.62505787037</v>
      </c>
      <c r="C75" s="6" t="s">
        <v>26</v>
      </c>
      <c r="D75" s="6" t="s">
        <v>968</v>
      </c>
      <c r="E75" s="6" t="s">
        <v>61</v>
      </c>
      <c r="F75" s="6" t="s">
        <v>62</v>
      </c>
      <c r="G75" s="6" t="s">
        <v>969</v>
      </c>
      <c r="H75" s="9" t="s">
        <v>970</v>
      </c>
      <c r="I75" s="10">
        <v>1.0</v>
      </c>
      <c r="J75" s="10">
        <v>577.0</v>
      </c>
      <c r="K75" s="10">
        <v>678.0</v>
      </c>
      <c r="L75" s="10">
        <v>63.0</v>
      </c>
      <c r="M75" s="10">
        <v>20.0</v>
      </c>
      <c r="N75" s="10">
        <v>577.0</v>
      </c>
    </row>
    <row r="76" ht="22.5" customHeight="1">
      <c r="A76" s="7">
        <v>44486.0</v>
      </c>
      <c r="B76" s="8">
        <v>44486.708333333336</v>
      </c>
      <c r="C76" s="6" t="s">
        <v>26</v>
      </c>
      <c r="D76" s="6" t="s">
        <v>1319</v>
      </c>
      <c r="E76" s="6" t="s">
        <v>28</v>
      </c>
      <c r="F76" s="6" t="s">
        <v>34</v>
      </c>
      <c r="G76" s="6" t="s">
        <v>1320</v>
      </c>
      <c r="H76" s="9" t="s">
        <v>1321</v>
      </c>
      <c r="I76" s="10">
        <v>1.0</v>
      </c>
      <c r="J76" s="10">
        <v>1285.0</v>
      </c>
      <c r="K76" s="10">
        <v>1324.0</v>
      </c>
      <c r="L76" s="10">
        <v>116.0</v>
      </c>
      <c r="M76" s="10">
        <v>90.0</v>
      </c>
      <c r="N76" s="10">
        <v>1285.0</v>
      </c>
    </row>
    <row r="77" ht="22.5" customHeight="1">
      <c r="A77" s="7">
        <v>44487.0</v>
      </c>
      <c r="B77" s="8">
        <v>44487.77172453704</v>
      </c>
      <c r="C77" s="6" t="s">
        <v>26</v>
      </c>
      <c r="D77" s="6" t="s">
        <v>1013</v>
      </c>
      <c r="E77" s="6" t="s">
        <v>28</v>
      </c>
      <c r="F77" s="6" t="s">
        <v>34</v>
      </c>
      <c r="G77" s="6" t="s">
        <v>1014</v>
      </c>
      <c r="H77" s="9" t="s">
        <v>1015</v>
      </c>
      <c r="I77" s="10">
        <v>1.0</v>
      </c>
      <c r="J77" s="10">
        <v>1195.0</v>
      </c>
      <c r="K77" s="10">
        <v>1317.0</v>
      </c>
      <c r="L77" s="10">
        <v>174.0</v>
      </c>
      <c r="M77" s="10">
        <v>45.0</v>
      </c>
      <c r="N77" s="10">
        <v>1195.0</v>
      </c>
    </row>
    <row r="78" ht="22.5" customHeight="1">
      <c r="A78" s="7">
        <v>44488.0</v>
      </c>
      <c r="B78" s="8">
        <v>44488.50027777778</v>
      </c>
      <c r="C78" s="6" t="s">
        <v>26</v>
      </c>
      <c r="D78" s="6" t="s">
        <v>552</v>
      </c>
      <c r="E78" s="6" t="s">
        <v>28</v>
      </c>
      <c r="F78" s="6" t="s">
        <v>34</v>
      </c>
      <c r="G78" s="6" t="s">
        <v>553</v>
      </c>
      <c r="H78" s="9" t="s">
        <v>554</v>
      </c>
      <c r="I78" s="10">
        <v>1.0</v>
      </c>
      <c r="J78" s="10">
        <v>7331.0</v>
      </c>
      <c r="K78" s="10">
        <v>7504.0</v>
      </c>
      <c r="L78" s="10">
        <v>228.0</v>
      </c>
      <c r="M78" s="10">
        <v>39.0</v>
      </c>
      <c r="N78" s="10">
        <v>7331.0</v>
      </c>
    </row>
    <row r="79" ht="22.5" customHeight="1">
      <c r="A79" s="7">
        <v>44488.0</v>
      </c>
      <c r="B79" s="8">
        <v>44488.833333333336</v>
      </c>
      <c r="C79" s="6" t="s">
        <v>26</v>
      </c>
      <c r="D79" s="6" t="s">
        <v>1115</v>
      </c>
      <c r="E79" s="6" t="s">
        <v>61</v>
      </c>
      <c r="F79" s="6" t="s">
        <v>76</v>
      </c>
      <c r="G79" s="6" t="s">
        <v>1116</v>
      </c>
      <c r="H79" s="9" t="s">
        <v>1117</v>
      </c>
      <c r="I79" s="10">
        <v>1.0</v>
      </c>
      <c r="J79" s="10">
        <v>417.0</v>
      </c>
      <c r="K79" s="10">
        <v>506.0</v>
      </c>
      <c r="L79" s="10">
        <v>36.0</v>
      </c>
      <c r="M79" s="10">
        <v>21.0</v>
      </c>
      <c r="N79" s="10">
        <v>417.0</v>
      </c>
    </row>
    <row r="80" ht="22.5" customHeight="1">
      <c r="A80" s="7">
        <v>44489.0</v>
      </c>
      <c r="B80" s="8">
        <v>44489.66668981482</v>
      </c>
      <c r="C80" s="6" t="s">
        <v>26</v>
      </c>
      <c r="D80" s="6" t="s">
        <v>450</v>
      </c>
      <c r="E80" s="6" t="s">
        <v>61</v>
      </c>
      <c r="F80" s="6" t="s">
        <v>62</v>
      </c>
      <c r="G80" s="6" t="s">
        <v>451</v>
      </c>
      <c r="H80" s="9" t="s">
        <v>452</v>
      </c>
      <c r="I80" s="10">
        <v>1.0</v>
      </c>
      <c r="J80" s="10">
        <v>985.0</v>
      </c>
      <c r="K80" s="10">
        <v>1126.0</v>
      </c>
      <c r="L80" s="10">
        <v>108.0</v>
      </c>
      <c r="M80" s="10">
        <v>29.0</v>
      </c>
      <c r="N80" s="10">
        <v>985.0</v>
      </c>
    </row>
    <row r="81" ht="22.5" customHeight="1">
      <c r="A81" s="7">
        <v>44489.0</v>
      </c>
      <c r="B81" s="8">
        <v>44489.70856481481</v>
      </c>
      <c r="C81" s="6" t="s">
        <v>26</v>
      </c>
      <c r="D81" s="6" t="s">
        <v>1144</v>
      </c>
      <c r="E81" s="6" t="s">
        <v>28</v>
      </c>
      <c r="F81" s="6" t="s">
        <v>34</v>
      </c>
      <c r="G81" s="6" t="s">
        <v>1145</v>
      </c>
      <c r="H81" s="9" t="s">
        <v>1146</v>
      </c>
      <c r="I81" s="10">
        <v>1.0</v>
      </c>
      <c r="J81" s="10">
        <v>324.0</v>
      </c>
      <c r="K81" s="10">
        <v>332.0</v>
      </c>
      <c r="L81" s="10">
        <v>35.0</v>
      </c>
      <c r="M81" s="10">
        <v>7.0</v>
      </c>
      <c r="N81" s="10">
        <v>324.0</v>
      </c>
    </row>
    <row r="82" ht="22.5" customHeight="1">
      <c r="A82" s="7">
        <v>44489.0</v>
      </c>
      <c r="B82" s="8">
        <v>44489.83336805556</v>
      </c>
      <c r="C82" s="6" t="s">
        <v>26</v>
      </c>
      <c r="D82" s="6" t="s">
        <v>1118</v>
      </c>
      <c r="E82" s="6" t="s">
        <v>61</v>
      </c>
      <c r="F82" s="6" t="s">
        <v>76</v>
      </c>
      <c r="G82" s="6" t="s">
        <v>1116</v>
      </c>
      <c r="H82" s="9" t="s">
        <v>1119</v>
      </c>
      <c r="I82" s="10">
        <v>1.0</v>
      </c>
      <c r="J82" s="10">
        <v>281.0</v>
      </c>
      <c r="K82" s="10">
        <v>305.0</v>
      </c>
      <c r="L82" s="10">
        <v>23.0</v>
      </c>
      <c r="M82" s="10">
        <v>12.0</v>
      </c>
      <c r="N82" s="10">
        <v>281.0</v>
      </c>
    </row>
    <row r="83" ht="22.5" customHeight="1">
      <c r="A83" s="7">
        <v>44490.0</v>
      </c>
      <c r="B83" s="8">
        <v>44490.45836805556</v>
      </c>
      <c r="C83" s="6" t="s">
        <v>26</v>
      </c>
      <c r="D83" s="6" t="s">
        <v>1207</v>
      </c>
      <c r="E83" s="6" t="s">
        <v>28</v>
      </c>
      <c r="F83" s="6" t="s">
        <v>34</v>
      </c>
      <c r="G83" s="6" t="s">
        <v>1208</v>
      </c>
      <c r="H83" s="9" t="s">
        <v>1209</v>
      </c>
      <c r="I83" s="10">
        <v>1.0</v>
      </c>
      <c r="J83" s="10">
        <v>186.0</v>
      </c>
      <c r="K83" s="10">
        <v>191.0</v>
      </c>
      <c r="L83" s="10">
        <v>30.0</v>
      </c>
      <c r="M83" s="10">
        <v>5.0</v>
      </c>
      <c r="N83" s="10">
        <v>186.0</v>
      </c>
    </row>
    <row r="84" ht="22.5" customHeight="1">
      <c r="A84" s="7">
        <v>44490.0</v>
      </c>
      <c r="B84" s="8">
        <v>44490.58375</v>
      </c>
      <c r="C84" s="6" t="s">
        <v>26</v>
      </c>
      <c r="D84" s="6" t="s">
        <v>1376</v>
      </c>
      <c r="E84" s="6" t="s">
        <v>28</v>
      </c>
      <c r="F84" s="6" t="s">
        <v>34</v>
      </c>
      <c r="G84" s="6" t="s">
        <v>1377</v>
      </c>
      <c r="H84" s="9" t="s">
        <v>1378</v>
      </c>
      <c r="I84" s="10">
        <v>1.0</v>
      </c>
      <c r="J84" s="10">
        <v>4950.0</v>
      </c>
      <c r="K84" s="10">
        <v>5662.0</v>
      </c>
      <c r="L84" s="10">
        <v>647.0</v>
      </c>
      <c r="M84" s="10">
        <v>539.0</v>
      </c>
      <c r="N84" s="10">
        <v>4950.0</v>
      </c>
    </row>
    <row r="85" ht="22.5" customHeight="1">
      <c r="A85" s="7">
        <v>44490.0</v>
      </c>
      <c r="B85" s="8">
        <v>44490.708344907405</v>
      </c>
      <c r="C85" s="6" t="s">
        <v>26</v>
      </c>
      <c r="D85" s="6" t="s">
        <v>486</v>
      </c>
      <c r="E85" s="6" t="s">
        <v>28</v>
      </c>
      <c r="F85" s="6" t="s">
        <v>34</v>
      </c>
      <c r="G85" s="6" t="s">
        <v>487</v>
      </c>
      <c r="H85" s="9" t="s">
        <v>488</v>
      </c>
      <c r="I85" s="10">
        <v>1.0</v>
      </c>
      <c r="J85" s="10">
        <v>1532.0</v>
      </c>
      <c r="K85" s="10">
        <v>1703.0</v>
      </c>
      <c r="L85" s="10">
        <v>196.0</v>
      </c>
      <c r="M85" s="10">
        <v>16.0</v>
      </c>
      <c r="N85" s="10">
        <v>1532.0</v>
      </c>
    </row>
    <row r="86" ht="22.5" customHeight="1">
      <c r="A86" s="7">
        <v>44490.0</v>
      </c>
      <c r="B86" s="8">
        <v>44490.79167824074</v>
      </c>
      <c r="C86" s="6" t="s">
        <v>26</v>
      </c>
      <c r="D86" s="6" t="s">
        <v>420</v>
      </c>
      <c r="E86" s="6" t="s">
        <v>61</v>
      </c>
      <c r="F86" s="6" t="s">
        <v>76</v>
      </c>
      <c r="G86" s="6" t="s">
        <v>421</v>
      </c>
      <c r="H86" s="9" t="s">
        <v>422</v>
      </c>
      <c r="I86" s="10">
        <v>1.0</v>
      </c>
      <c r="J86" s="10">
        <v>1933.0</v>
      </c>
      <c r="K86" s="10">
        <v>2223.0</v>
      </c>
      <c r="L86" s="10">
        <v>97.0</v>
      </c>
      <c r="M86" s="10">
        <v>77.0</v>
      </c>
      <c r="N86" s="10">
        <v>1933.0</v>
      </c>
    </row>
    <row r="87" ht="22.5" customHeight="1">
      <c r="A87" s="7">
        <v>44491.0</v>
      </c>
      <c r="B87" s="8">
        <v>44491.458333333336</v>
      </c>
      <c r="C87" s="6" t="s">
        <v>26</v>
      </c>
      <c r="D87" s="6" t="s">
        <v>750</v>
      </c>
      <c r="E87" s="6" t="s">
        <v>28</v>
      </c>
      <c r="F87" s="6" t="s">
        <v>34</v>
      </c>
      <c r="G87" s="6" t="s">
        <v>751</v>
      </c>
      <c r="H87" s="9" t="s">
        <v>752</v>
      </c>
      <c r="I87" s="10">
        <v>1.0</v>
      </c>
      <c r="J87" s="10">
        <v>2372.0</v>
      </c>
      <c r="K87" s="10">
        <v>3185.0</v>
      </c>
      <c r="L87" s="10">
        <v>597.0</v>
      </c>
      <c r="M87" s="10">
        <v>91.0</v>
      </c>
      <c r="N87" s="10">
        <v>2372.0</v>
      </c>
    </row>
    <row r="88" ht="22.5" customHeight="1">
      <c r="A88" s="7">
        <v>44491.0</v>
      </c>
      <c r="B88" s="8">
        <v>44491.50001157408</v>
      </c>
      <c r="C88" s="6" t="s">
        <v>26</v>
      </c>
      <c r="D88" s="6" t="s">
        <v>651</v>
      </c>
      <c r="E88" s="6" t="s">
        <v>28</v>
      </c>
      <c r="F88" s="6" t="s">
        <v>34</v>
      </c>
      <c r="G88" s="6" t="s">
        <v>652</v>
      </c>
      <c r="H88" s="9" t="s">
        <v>653</v>
      </c>
      <c r="I88" s="10">
        <v>1.0</v>
      </c>
      <c r="J88" s="10">
        <v>383.0</v>
      </c>
      <c r="K88" s="10">
        <v>396.0</v>
      </c>
      <c r="L88" s="10">
        <v>43.0</v>
      </c>
      <c r="M88" s="10">
        <v>5.0</v>
      </c>
      <c r="N88" s="10">
        <v>383.0</v>
      </c>
    </row>
    <row r="89" ht="22.5" customHeight="1">
      <c r="A89" s="7">
        <v>44491.0</v>
      </c>
      <c r="B89" s="8">
        <v>44491.54167824074</v>
      </c>
      <c r="C89" s="6" t="s">
        <v>26</v>
      </c>
      <c r="D89" s="6" t="s">
        <v>453</v>
      </c>
      <c r="E89" s="6" t="s">
        <v>28</v>
      </c>
      <c r="F89" s="6" t="s">
        <v>229</v>
      </c>
      <c r="G89" s="6" t="s">
        <v>454</v>
      </c>
      <c r="H89" s="9" t="s">
        <v>455</v>
      </c>
      <c r="I89" s="10">
        <v>1.0</v>
      </c>
      <c r="J89" s="10">
        <v>2092.0</v>
      </c>
      <c r="K89" s="10">
        <v>2360.0</v>
      </c>
      <c r="L89" s="10">
        <v>172.0</v>
      </c>
      <c r="M89" s="10">
        <v>84.0</v>
      </c>
      <c r="N89" s="10">
        <v>2092.0</v>
      </c>
    </row>
    <row r="90" ht="22.5" customHeight="1">
      <c r="A90" s="7">
        <v>44491.0</v>
      </c>
      <c r="B90" s="8">
        <v>44491.58369212963</v>
      </c>
      <c r="C90" s="6" t="s">
        <v>26</v>
      </c>
      <c r="D90" s="6" t="s">
        <v>1138</v>
      </c>
      <c r="E90" s="6" t="s">
        <v>28</v>
      </c>
      <c r="F90" s="6" t="s">
        <v>34</v>
      </c>
      <c r="G90" s="6" t="s">
        <v>1139</v>
      </c>
      <c r="H90" s="9" t="s">
        <v>1140</v>
      </c>
      <c r="I90" s="10">
        <v>1.0</v>
      </c>
      <c r="J90" s="10">
        <v>319.0</v>
      </c>
      <c r="K90" s="10">
        <v>347.0</v>
      </c>
      <c r="L90" s="10">
        <v>41.0</v>
      </c>
      <c r="M90" s="10">
        <v>21.0</v>
      </c>
      <c r="N90" s="10">
        <v>319.0</v>
      </c>
    </row>
    <row r="91" ht="22.5" customHeight="1">
      <c r="A91" s="7">
        <v>44491.0</v>
      </c>
      <c r="B91" s="8">
        <v>44491.833657407406</v>
      </c>
      <c r="C91" s="6" t="s">
        <v>26</v>
      </c>
      <c r="D91" s="6" t="s">
        <v>1094</v>
      </c>
      <c r="E91" s="6" t="s">
        <v>61</v>
      </c>
      <c r="F91" s="6" t="s">
        <v>76</v>
      </c>
      <c r="G91" s="6" t="s">
        <v>1095</v>
      </c>
      <c r="H91" s="9" t="s">
        <v>1096</v>
      </c>
      <c r="I91" s="10">
        <v>1.0</v>
      </c>
      <c r="J91" s="10">
        <v>310.0</v>
      </c>
      <c r="K91" s="10">
        <v>349.0</v>
      </c>
      <c r="L91" s="10">
        <v>47.0</v>
      </c>
      <c r="M91" s="10">
        <v>8.0</v>
      </c>
      <c r="N91" s="10">
        <v>310.0</v>
      </c>
    </row>
    <row r="92" ht="22.5" customHeight="1">
      <c r="A92" s="7">
        <v>44492.0</v>
      </c>
      <c r="B92" s="8">
        <v>44492.29167824074</v>
      </c>
      <c r="C92" s="6" t="s">
        <v>26</v>
      </c>
      <c r="D92" s="6" t="s">
        <v>185</v>
      </c>
      <c r="E92" s="6" t="s">
        <v>28</v>
      </c>
      <c r="F92" s="6" t="s">
        <v>34</v>
      </c>
      <c r="G92" s="6" t="s">
        <v>186</v>
      </c>
      <c r="H92" s="9" t="s">
        <v>187</v>
      </c>
      <c r="I92" s="10">
        <v>1.0</v>
      </c>
      <c r="J92" s="10">
        <v>2568.0</v>
      </c>
      <c r="K92" s="10">
        <v>3448.0</v>
      </c>
      <c r="L92" s="10">
        <v>397.0</v>
      </c>
      <c r="M92" s="10">
        <v>122.0</v>
      </c>
      <c r="N92" s="10">
        <v>2568.0</v>
      </c>
    </row>
    <row r="93" ht="22.5" customHeight="1">
      <c r="A93" s="7">
        <v>44492.0</v>
      </c>
      <c r="B93" s="8">
        <v>44492.333344907405</v>
      </c>
      <c r="C93" s="6" t="s">
        <v>26</v>
      </c>
      <c r="D93" s="6" t="s">
        <v>495</v>
      </c>
      <c r="E93" s="6" t="s">
        <v>28</v>
      </c>
      <c r="F93" s="6" t="s">
        <v>34</v>
      </c>
      <c r="G93" s="6" t="s">
        <v>496</v>
      </c>
      <c r="H93" s="9" t="s">
        <v>497</v>
      </c>
      <c r="I93" s="10">
        <v>1.0</v>
      </c>
      <c r="J93" s="10">
        <v>9730.0</v>
      </c>
      <c r="K93" s="10">
        <v>10113.0</v>
      </c>
      <c r="L93" s="10">
        <v>296.0</v>
      </c>
      <c r="M93" s="10">
        <v>84.0</v>
      </c>
      <c r="N93" s="10">
        <v>9730.0</v>
      </c>
    </row>
    <row r="94" ht="22.5" customHeight="1">
      <c r="A94" s="7">
        <v>44492.0</v>
      </c>
      <c r="B94" s="8">
        <v>44492.416666666664</v>
      </c>
      <c r="C94" s="6" t="s">
        <v>26</v>
      </c>
      <c r="D94" s="6" t="s">
        <v>210</v>
      </c>
      <c r="E94" s="6" t="s">
        <v>28</v>
      </c>
      <c r="F94" s="6" t="s">
        <v>34</v>
      </c>
      <c r="G94" s="6" t="s">
        <v>211</v>
      </c>
      <c r="H94" s="9" t="s">
        <v>212</v>
      </c>
      <c r="I94" s="10">
        <v>1.0</v>
      </c>
      <c r="J94" s="10">
        <v>843.0</v>
      </c>
      <c r="K94" s="10">
        <v>875.0</v>
      </c>
      <c r="L94" s="10">
        <v>58.0</v>
      </c>
      <c r="M94" s="10">
        <v>11.0</v>
      </c>
      <c r="N94" s="10">
        <v>843.0</v>
      </c>
    </row>
    <row r="95" ht="22.5" customHeight="1">
      <c r="A95" s="7">
        <v>44492.0</v>
      </c>
      <c r="B95" s="8">
        <v>44492.45836805556</v>
      </c>
      <c r="C95" s="6" t="s">
        <v>26</v>
      </c>
      <c r="D95" s="6" t="s">
        <v>672</v>
      </c>
      <c r="E95" s="6" t="s">
        <v>28</v>
      </c>
      <c r="F95" s="6" t="s">
        <v>34</v>
      </c>
      <c r="G95" s="6" t="s">
        <v>673</v>
      </c>
      <c r="H95" s="9" t="s">
        <v>674</v>
      </c>
      <c r="I95" s="10">
        <v>1.0</v>
      </c>
      <c r="J95" s="10">
        <v>1508.0</v>
      </c>
      <c r="K95" s="10">
        <v>1782.0</v>
      </c>
      <c r="L95" s="10">
        <v>239.0</v>
      </c>
      <c r="M95" s="10">
        <v>27.0</v>
      </c>
      <c r="N95" s="10">
        <v>1508.0</v>
      </c>
    </row>
    <row r="96" ht="22.5" customHeight="1">
      <c r="A96" s="7">
        <v>44492.0</v>
      </c>
      <c r="B96" s="8">
        <v>44492.50019675926</v>
      </c>
      <c r="C96" s="6" t="s">
        <v>26</v>
      </c>
      <c r="D96" s="6" t="s">
        <v>1162</v>
      </c>
      <c r="E96" s="6" t="s">
        <v>28</v>
      </c>
      <c r="F96" s="6" t="s">
        <v>34</v>
      </c>
      <c r="G96" s="6" t="s">
        <v>1163</v>
      </c>
      <c r="H96" s="9" t="s">
        <v>1164</v>
      </c>
      <c r="I96" s="10">
        <v>1.0</v>
      </c>
      <c r="J96" s="10">
        <v>658.0</v>
      </c>
      <c r="K96" s="10">
        <v>771.0</v>
      </c>
      <c r="L96" s="10">
        <v>28.0</v>
      </c>
      <c r="M96" s="10">
        <v>77.0</v>
      </c>
      <c r="N96" s="10">
        <v>658.0</v>
      </c>
    </row>
    <row r="97" ht="22.5" customHeight="1">
      <c r="A97" s="7">
        <v>44492.0</v>
      </c>
      <c r="B97" s="8">
        <v>44492.541238425925</v>
      </c>
      <c r="C97" s="6" t="s">
        <v>26</v>
      </c>
      <c r="D97" s="6" t="s">
        <v>1064</v>
      </c>
      <c r="E97" s="6" t="s">
        <v>28</v>
      </c>
      <c r="F97" s="6" t="s">
        <v>34</v>
      </c>
      <c r="G97" s="6" t="s">
        <v>1065</v>
      </c>
      <c r="H97" s="9" t="s">
        <v>1066</v>
      </c>
      <c r="I97" s="10">
        <v>1.0</v>
      </c>
      <c r="J97" s="10">
        <v>456.0</v>
      </c>
      <c r="K97" s="10">
        <v>489.0</v>
      </c>
      <c r="L97" s="10">
        <v>18.0</v>
      </c>
      <c r="M97" s="10">
        <v>16.0</v>
      </c>
      <c r="N97" s="10">
        <v>456.0</v>
      </c>
    </row>
    <row r="98" ht="22.5" customHeight="1">
      <c r="A98" s="7">
        <v>44492.0</v>
      </c>
      <c r="B98" s="8">
        <v>44492.545219907406</v>
      </c>
      <c r="C98" s="6" t="s">
        <v>26</v>
      </c>
      <c r="D98" s="6" t="s">
        <v>1046</v>
      </c>
      <c r="E98" s="6" t="s">
        <v>28</v>
      </c>
      <c r="F98" s="6" t="s">
        <v>34</v>
      </c>
      <c r="G98" s="6" t="s">
        <v>1047</v>
      </c>
      <c r="H98" s="9" t="s">
        <v>1048</v>
      </c>
      <c r="I98" s="10">
        <v>1.0</v>
      </c>
      <c r="J98" s="10">
        <v>1913.0</v>
      </c>
      <c r="K98" s="10">
        <v>2142.0</v>
      </c>
      <c r="L98" s="10">
        <v>253.0</v>
      </c>
      <c r="M98" s="10">
        <v>52.0</v>
      </c>
      <c r="N98" s="10">
        <v>1913.0</v>
      </c>
    </row>
    <row r="99" ht="22.5" customHeight="1">
      <c r="A99" s="7">
        <v>44492.0</v>
      </c>
      <c r="B99" s="8">
        <v>44492.704050925924</v>
      </c>
      <c r="C99" s="6" t="s">
        <v>26</v>
      </c>
      <c r="D99" s="6" t="s">
        <v>213</v>
      </c>
      <c r="E99" s="6" t="s">
        <v>28</v>
      </c>
      <c r="F99" s="6" t="s">
        <v>34</v>
      </c>
      <c r="G99" s="6" t="s">
        <v>214</v>
      </c>
      <c r="H99" s="9" t="s">
        <v>215</v>
      </c>
      <c r="I99" s="10">
        <v>1.0</v>
      </c>
      <c r="J99" s="10">
        <v>1699.0</v>
      </c>
      <c r="K99" s="10">
        <v>2117.0</v>
      </c>
      <c r="L99" s="10">
        <v>130.0</v>
      </c>
      <c r="M99" s="10">
        <v>246.0</v>
      </c>
      <c r="N99" s="10">
        <v>1699.0</v>
      </c>
    </row>
    <row r="100" ht="22.5" customHeight="1">
      <c r="A100" s="7">
        <v>44492.0</v>
      </c>
      <c r="B100" s="8">
        <v>44492.708333333336</v>
      </c>
      <c r="C100" s="6" t="s">
        <v>26</v>
      </c>
      <c r="D100" s="6" t="s">
        <v>364</v>
      </c>
      <c r="E100" s="6" t="s">
        <v>28</v>
      </c>
      <c r="F100" s="6" t="s">
        <v>34</v>
      </c>
      <c r="G100" s="6" t="s">
        <v>365</v>
      </c>
      <c r="H100" s="9" t="s">
        <v>366</v>
      </c>
      <c r="I100" s="10">
        <v>1.0</v>
      </c>
      <c r="J100" s="10">
        <v>521.0</v>
      </c>
      <c r="K100" s="10">
        <v>538.0</v>
      </c>
      <c r="L100" s="10">
        <v>55.0</v>
      </c>
      <c r="M100" s="10">
        <v>5.0</v>
      </c>
      <c r="N100" s="10">
        <v>521.0</v>
      </c>
    </row>
    <row r="101" ht="22.5" customHeight="1">
      <c r="A101" s="7">
        <v>44492.0</v>
      </c>
      <c r="B101" s="8">
        <v>44492.8750462963</v>
      </c>
      <c r="C101" s="6" t="s">
        <v>26</v>
      </c>
      <c r="D101" s="6" t="s">
        <v>1049</v>
      </c>
      <c r="E101" s="6" t="s">
        <v>72</v>
      </c>
      <c r="F101" s="6" t="s">
        <v>44</v>
      </c>
      <c r="G101" s="6" t="s">
        <v>1050</v>
      </c>
      <c r="H101" s="9" t="s">
        <v>1051</v>
      </c>
      <c r="I101" s="10">
        <v>1.0</v>
      </c>
      <c r="J101" s="10">
        <v>276.0</v>
      </c>
      <c r="K101" s="10">
        <v>311.0</v>
      </c>
      <c r="L101" s="10">
        <v>52.0</v>
      </c>
      <c r="M101" s="10">
        <v>3.0</v>
      </c>
      <c r="N101" s="10">
        <v>276.0</v>
      </c>
    </row>
    <row r="102" ht="22.5" customHeight="1">
      <c r="A102" s="7">
        <v>44493.0</v>
      </c>
      <c r="B102" s="8">
        <v>44493.375</v>
      </c>
      <c r="C102" s="6" t="s">
        <v>26</v>
      </c>
      <c r="D102" s="6" t="s">
        <v>468</v>
      </c>
      <c r="E102" s="6" t="s">
        <v>28</v>
      </c>
      <c r="F102" s="6" t="s">
        <v>34</v>
      </c>
      <c r="G102" s="6" t="s">
        <v>469</v>
      </c>
      <c r="H102" s="9" t="s">
        <v>470</v>
      </c>
      <c r="I102" s="10">
        <v>1.0</v>
      </c>
      <c r="J102" s="10">
        <v>10799.0</v>
      </c>
      <c r="K102" s="10">
        <v>11054.0</v>
      </c>
      <c r="L102" s="10">
        <v>554.0</v>
      </c>
      <c r="M102" s="10">
        <v>153.0</v>
      </c>
      <c r="N102" s="10">
        <v>10799.0</v>
      </c>
    </row>
    <row r="103" ht="22.5" customHeight="1">
      <c r="A103" s="7">
        <v>44493.0</v>
      </c>
      <c r="B103" s="8">
        <v>44493.583344907405</v>
      </c>
      <c r="C103" s="6" t="s">
        <v>26</v>
      </c>
      <c r="D103" s="6" t="s">
        <v>408</v>
      </c>
      <c r="E103" s="6" t="s">
        <v>28</v>
      </c>
      <c r="F103" s="6" t="s">
        <v>34</v>
      </c>
      <c r="G103" s="6" t="s">
        <v>409</v>
      </c>
      <c r="H103" s="9" t="s">
        <v>410</v>
      </c>
      <c r="I103" s="10">
        <v>1.0</v>
      </c>
      <c r="J103" s="10">
        <v>542.0</v>
      </c>
      <c r="K103" s="10">
        <v>577.0</v>
      </c>
      <c r="L103" s="10">
        <v>61.0</v>
      </c>
      <c r="M103" s="10">
        <v>2.0</v>
      </c>
      <c r="N103" s="10">
        <v>542.0</v>
      </c>
    </row>
    <row r="104" ht="22.5" customHeight="1">
      <c r="A104" s="7">
        <v>44493.0</v>
      </c>
      <c r="B104" s="8">
        <v>44493.66667824074</v>
      </c>
      <c r="C104" s="6" t="s">
        <v>26</v>
      </c>
      <c r="D104" s="6" t="s">
        <v>690</v>
      </c>
      <c r="E104" s="6" t="s">
        <v>28</v>
      </c>
      <c r="F104" s="6" t="s">
        <v>34</v>
      </c>
      <c r="G104" s="6" t="s">
        <v>691</v>
      </c>
      <c r="H104" s="9" t="s">
        <v>692</v>
      </c>
      <c r="I104" s="10">
        <v>1.0</v>
      </c>
      <c r="J104" s="10">
        <v>291.0</v>
      </c>
      <c r="K104" s="10">
        <v>310.0</v>
      </c>
      <c r="L104" s="10">
        <v>31.0</v>
      </c>
      <c r="M104" s="10">
        <v>6.0</v>
      </c>
      <c r="N104" s="10">
        <v>291.0</v>
      </c>
    </row>
    <row r="105" ht="22.5" customHeight="1">
      <c r="A105" s="7">
        <v>44493.0</v>
      </c>
      <c r="B105" s="8">
        <v>44493.75053240741</v>
      </c>
      <c r="C105" s="6" t="s">
        <v>26</v>
      </c>
      <c r="D105" s="6" t="s">
        <v>780</v>
      </c>
      <c r="E105" s="6" t="s">
        <v>61</v>
      </c>
      <c r="F105" s="6" t="s">
        <v>76</v>
      </c>
      <c r="G105" s="6" t="s">
        <v>781</v>
      </c>
      <c r="H105" s="9" t="s">
        <v>782</v>
      </c>
      <c r="I105" s="10">
        <v>1.0</v>
      </c>
      <c r="J105" s="10">
        <v>372.0</v>
      </c>
      <c r="K105" s="10">
        <v>395.0</v>
      </c>
      <c r="L105" s="10">
        <v>46.0</v>
      </c>
      <c r="M105" s="10">
        <v>12.0</v>
      </c>
      <c r="N105" s="10">
        <v>372.0</v>
      </c>
    </row>
    <row r="106" ht="22.5" customHeight="1">
      <c r="A106" s="7">
        <v>44494.0</v>
      </c>
      <c r="B106" s="8">
        <v>44494.37501157408</v>
      </c>
      <c r="C106" s="6" t="s">
        <v>26</v>
      </c>
      <c r="D106" s="6" t="s">
        <v>528</v>
      </c>
      <c r="E106" s="6" t="s">
        <v>28</v>
      </c>
      <c r="F106" s="6" t="s">
        <v>34</v>
      </c>
      <c r="G106" s="6" t="s">
        <v>529</v>
      </c>
      <c r="H106" s="9" t="s">
        <v>530</v>
      </c>
      <c r="I106" s="10">
        <v>1.0</v>
      </c>
      <c r="J106" s="10">
        <v>1582.0</v>
      </c>
      <c r="K106" s="10">
        <v>1753.0</v>
      </c>
      <c r="L106" s="10">
        <v>236.0</v>
      </c>
      <c r="M106" s="10">
        <v>40.0</v>
      </c>
      <c r="N106" s="10">
        <v>1582.0</v>
      </c>
    </row>
    <row r="107" ht="22.5" customHeight="1">
      <c r="A107" s="7">
        <v>44494.0</v>
      </c>
      <c r="B107" s="8">
        <v>44494.70837962963</v>
      </c>
      <c r="C107" s="6" t="s">
        <v>26</v>
      </c>
      <c r="D107" s="6" t="s">
        <v>192</v>
      </c>
      <c r="E107" s="6" t="s">
        <v>61</v>
      </c>
      <c r="F107" s="6" t="s">
        <v>62</v>
      </c>
      <c r="G107" s="6" t="s">
        <v>193</v>
      </c>
      <c r="H107" s="9" t="s">
        <v>194</v>
      </c>
      <c r="I107" s="10">
        <v>1.0</v>
      </c>
      <c r="J107" s="10">
        <v>1696.0</v>
      </c>
      <c r="K107" s="10">
        <v>2014.0</v>
      </c>
      <c r="L107" s="10">
        <v>143.0</v>
      </c>
      <c r="M107" s="10">
        <v>78.0</v>
      </c>
      <c r="N107" s="10">
        <v>1696.0</v>
      </c>
    </row>
    <row r="108" ht="22.5" customHeight="1">
      <c r="A108" s="7">
        <v>44495.0</v>
      </c>
      <c r="B108" s="8">
        <v>44495.83337962963</v>
      </c>
      <c r="C108" s="6" t="s">
        <v>26</v>
      </c>
      <c r="D108" s="6" t="s">
        <v>432</v>
      </c>
      <c r="E108" s="6" t="s">
        <v>61</v>
      </c>
      <c r="F108" s="6" t="s">
        <v>62</v>
      </c>
      <c r="G108" s="6" t="s">
        <v>433</v>
      </c>
      <c r="H108" s="9" t="s">
        <v>434</v>
      </c>
      <c r="I108" s="10">
        <v>1.0</v>
      </c>
      <c r="J108" s="10">
        <v>1186.0</v>
      </c>
      <c r="K108" s="10">
        <v>1389.0</v>
      </c>
      <c r="L108" s="10">
        <v>107.0</v>
      </c>
      <c r="M108" s="10">
        <v>49.0</v>
      </c>
      <c r="N108" s="10">
        <v>1186.0</v>
      </c>
    </row>
    <row r="109" ht="22.5" customHeight="1">
      <c r="A109" s="7">
        <v>44496.0</v>
      </c>
      <c r="B109" s="8">
        <v>44496.333344907405</v>
      </c>
      <c r="C109" s="6" t="s">
        <v>26</v>
      </c>
      <c r="D109" s="6" t="s">
        <v>564</v>
      </c>
      <c r="E109" s="6" t="s">
        <v>28</v>
      </c>
      <c r="F109" s="6" t="s">
        <v>34</v>
      </c>
      <c r="G109" s="6" t="s">
        <v>565</v>
      </c>
      <c r="H109" s="9" t="s">
        <v>566</v>
      </c>
      <c r="I109" s="10">
        <v>1.0</v>
      </c>
      <c r="J109" s="10">
        <v>10507.0</v>
      </c>
      <c r="K109" s="10">
        <v>11103.0</v>
      </c>
      <c r="L109" s="10">
        <v>339.0</v>
      </c>
      <c r="M109" s="10">
        <v>86.0</v>
      </c>
      <c r="N109" s="10">
        <v>10507.0</v>
      </c>
    </row>
    <row r="110" ht="22.5" customHeight="1">
      <c r="A110" s="7">
        <v>44496.0</v>
      </c>
      <c r="B110" s="8">
        <v>44496.54172453703</v>
      </c>
      <c r="C110" s="6" t="s">
        <v>26</v>
      </c>
      <c r="D110" s="6" t="s">
        <v>765</v>
      </c>
      <c r="E110" s="6" t="s">
        <v>28</v>
      </c>
      <c r="F110" s="6" t="s">
        <v>229</v>
      </c>
      <c r="G110" s="6" t="s">
        <v>766</v>
      </c>
      <c r="H110" s="9" t="s">
        <v>767</v>
      </c>
      <c r="I110" s="10">
        <v>1.0</v>
      </c>
      <c r="J110" s="10">
        <v>969.0</v>
      </c>
      <c r="K110" s="10">
        <v>1096.0</v>
      </c>
      <c r="L110" s="10">
        <v>71.0</v>
      </c>
      <c r="M110" s="10">
        <v>22.0</v>
      </c>
      <c r="N110" s="10">
        <v>969.0</v>
      </c>
    </row>
    <row r="111" ht="22.5" customHeight="1">
      <c r="A111" s="7">
        <v>44496.0</v>
      </c>
      <c r="B111" s="8">
        <v>44496.708344907405</v>
      </c>
      <c r="C111" s="6" t="s">
        <v>26</v>
      </c>
      <c r="D111" s="6" t="s">
        <v>783</v>
      </c>
      <c r="E111" s="6" t="s">
        <v>28</v>
      </c>
      <c r="F111" s="6" t="s">
        <v>229</v>
      </c>
      <c r="G111" s="6" t="s">
        <v>784</v>
      </c>
      <c r="H111" s="9" t="s">
        <v>785</v>
      </c>
      <c r="I111" s="10">
        <v>1.0</v>
      </c>
      <c r="J111" s="10">
        <v>1986.0</v>
      </c>
      <c r="K111" s="10">
        <v>2684.0</v>
      </c>
      <c r="L111" s="10">
        <v>311.0</v>
      </c>
      <c r="M111" s="10">
        <v>939.0</v>
      </c>
      <c r="N111" s="10">
        <v>1986.0</v>
      </c>
    </row>
    <row r="112" ht="22.5" customHeight="1">
      <c r="A112" s="7">
        <v>44496.0</v>
      </c>
      <c r="B112" s="8">
        <v>44496.83335648148</v>
      </c>
      <c r="C112" s="6" t="s">
        <v>26</v>
      </c>
      <c r="D112" s="6" t="s">
        <v>723</v>
      </c>
      <c r="E112" s="6" t="s">
        <v>28</v>
      </c>
      <c r="F112" s="6" t="s">
        <v>229</v>
      </c>
      <c r="G112" s="6" t="s">
        <v>724</v>
      </c>
      <c r="H112" s="9" t="s">
        <v>725</v>
      </c>
      <c r="I112" s="10">
        <v>1.0</v>
      </c>
      <c r="J112" s="10">
        <v>580.0</v>
      </c>
      <c r="K112" s="10">
        <v>605.0</v>
      </c>
      <c r="L112" s="10">
        <v>52.0</v>
      </c>
      <c r="M112" s="10">
        <v>24.0</v>
      </c>
      <c r="N112" s="10">
        <v>580.0</v>
      </c>
    </row>
    <row r="113" ht="22.5" customHeight="1">
      <c r="A113" s="7">
        <v>44497.0</v>
      </c>
      <c r="B113" s="8">
        <v>44497.416666666664</v>
      </c>
      <c r="C113" s="6" t="s">
        <v>26</v>
      </c>
      <c r="D113" s="6" t="s">
        <v>456</v>
      </c>
      <c r="E113" s="6" t="s">
        <v>28</v>
      </c>
      <c r="F113" s="6" t="s">
        <v>34</v>
      </c>
      <c r="G113" s="6" t="s">
        <v>457</v>
      </c>
      <c r="H113" s="9" t="s">
        <v>458</v>
      </c>
      <c r="I113" s="10">
        <v>1.0</v>
      </c>
      <c r="J113" s="10">
        <v>3477.0</v>
      </c>
      <c r="K113" s="10">
        <v>3862.0</v>
      </c>
      <c r="L113" s="10">
        <v>246.0</v>
      </c>
      <c r="M113" s="10">
        <v>214.0</v>
      </c>
      <c r="N113" s="10">
        <v>3477.0</v>
      </c>
    </row>
    <row r="114" ht="22.5" customHeight="1">
      <c r="A114" s="7">
        <v>44497.0</v>
      </c>
      <c r="B114" s="8">
        <v>44497.45835648148</v>
      </c>
      <c r="C114" s="6" t="s">
        <v>26</v>
      </c>
      <c r="D114" s="6" t="s">
        <v>642</v>
      </c>
      <c r="E114" s="6" t="s">
        <v>28</v>
      </c>
      <c r="F114" s="6" t="s">
        <v>34</v>
      </c>
      <c r="G114" s="6" t="s">
        <v>643</v>
      </c>
      <c r="H114" s="9" t="s">
        <v>644</v>
      </c>
      <c r="I114" s="10">
        <v>1.0</v>
      </c>
      <c r="J114" s="10">
        <v>8367.0</v>
      </c>
      <c r="K114" s="10">
        <v>9479.0</v>
      </c>
      <c r="L114" s="10">
        <v>771.0</v>
      </c>
      <c r="M114" s="10">
        <v>169.0</v>
      </c>
      <c r="N114" s="10">
        <v>8367.0</v>
      </c>
    </row>
    <row r="115" ht="22.5" customHeight="1">
      <c r="A115" s="7">
        <v>44497.0</v>
      </c>
      <c r="B115" s="8">
        <v>44497.541712962964</v>
      </c>
      <c r="C115" s="6" t="s">
        <v>26</v>
      </c>
      <c r="D115" s="6" t="s">
        <v>546</v>
      </c>
      <c r="E115" s="6" t="s">
        <v>28</v>
      </c>
      <c r="F115" s="6" t="s">
        <v>34</v>
      </c>
      <c r="G115" s="6" t="s">
        <v>547</v>
      </c>
      <c r="H115" s="9" t="s">
        <v>548</v>
      </c>
      <c r="I115" s="10">
        <v>1.0</v>
      </c>
      <c r="J115" s="10">
        <v>4532.0</v>
      </c>
      <c r="K115" s="10">
        <v>4642.0</v>
      </c>
      <c r="L115" s="10">
        <v>100.0</v>
      </c>
      <c r="M115" s="10">
        <v>30.0</v>
      </c>
      <c r="N115" s="10">
        <v>4532.0</v>
      </c>
    </row>
    <row r="116" ht="22.5" customHeight="1">
      <c r="A116" s="7">
        <v>44497.0</v>
      </c>
      <c r="B116" s="8">
        <v>44497.79403935185</v>
      </c>
      <c r="C116" s="6" t="s">
        <v>26</v>
      </c>
      <c r="D116" s="6" t="s">
        <v>570</v>
      </c>
      <c r="E116" s="6" t="s">
        <v>28</v>
      </c>
      <c r="F116" s="6" t="s">
        <v>229</v>
      </c>
      <c r="G116" s="6" t="s">
        <v>571</v>
      </c>
      <c r="H116" s="9" t="s">
        <v>572</v>
      </c>
      <c r="I116" s="10">
        <v>1.0</v>
      </c>
      <c r="J116" s="10">
        <v>4109.0</v>
      </c>
      <c r="K116" s="10">
        <v>4685.0</v>
      </c>
      <c r="L116" s="10">
        <v>547.0</v>
      </c>
      <c r="M116" s="10">
        <v>2895.0</v>
      </c>
      <c r="N116" s="10">
        <v>4109.0</v>
      </c>
    </row>
    <row r="117" ht="22.5" customHeight="1">
      <c r="A117" s="7">
        <v>44497.0</v>
      </c>
      <c r="B117" s="8">
        <v>44497.8334375</v>
      </c>
      <c r="C117" s="6" t="s">
        <v>26</v>
      </c>
      <c r="D117" s="6" t="s">
        <v>280</v>
      </c>
      <c r="E117" s="6" t="s">
        <v>61</v>
      </c>
      <c r="F117" s="6" t="s">
        <v>76</v>
      </c>
      <c r="G117" s="6" t="s">
        <v>281</v>
      </c>
      <c r="H117" s="9" t="s">
        <v>282</v>
      </c>
      <c r="I117" s="10">
        <v>1.0</v>
      </c>
      <c r="J117" s="10">
        <v>1325.0</v>
      </c>
      <c r="K117" s="10">
        <v>1551.0</v>
      </c>
      <c r="L117" s="10">
        <v>77.0</v>
      </c>
      <c r="M117" s="10">
        <v>38.0</v>
      </c>
      <c r="N117" s="10">
        <v>1325.0</v>
      </c>
    </row>
    <row r="118" ht="22.5" customHeight="1">
      <c r="A118" s="7">
        <v>44497.0</v>
      </c>
      <c r="B118" s="8">
        <v>44497.91667824074</v>
      </c>
      <c r="C118" s="6" t="s">
        <v>26</v>
      </c>
      <c r="D118" s="6" t="s">
        <v>738</v>
      </c>
      <c r="E118" s="6" t="s">
        <v>61</v>
      </c>
      <c r="F118" s="6" t="s">
        <v>62</v>
      </c>
      <c r="G118" s="6" t="s">
        <v>739</v>
      </c>
      <c r="H118" s="9" t="s">
        <v>740</v>
      </c>
      <c r="I118" s="10">
        <v>1.0</v>
      </c>
      <c r="J118" s="10">
        <v>387.0</v>
      </c>
      <c r="K118" s="10">
        <v>451.0</v>
      </c>
      <c r="L118" s="10">
        <v>19.0</v>
      </c>
      <c r="M118" s="10">
        <v>22.0</v>
      </c>
      <c r="N118" s="10">
        <v>387.0</v>
      </c>
    </row>
    <row r="119" ht="22.5" customHeight="1">
      <c r="A119" s="7">
        <v>44498.0</v>
      </c>
      <c r="B119" s="8">
        <v>44498.08259259259</v>
      </c>
      <c r="C119" s="6" t="s">
        <v>26</v>
      </c>
      <c r="D119" s="6" t="s">
        <v>39</v>
      </c>
      <c r="E119" s="6" t="s">
        <v>28</v>
      </c>
      <c r="F119" s="6" t="s">
        <v>37</v>
      </c>
      <c r="G119" s="6"/>
      <c r="H119" s="9" t="s">
        <v>40</v>
      </c>
      <c r="I119" s="10">
        <v>1.0</v>
      </c>
      <c r="J119" s="10">
        <v>1231.0</v>
      </c>
      <c r="K119" s="10">
        <v>1273.0</v>
      </c>
      <c r="L119" s="10">
        <v>60.0</v>
      </c>
      <c r="M119" s="10">
        <v>7.0</v>
      </c>
      <c r="N119" s="10">
        <v>1231.0</v>
      </c>
    </row>
    <row r="120" ht="22.5" customHeight="1">
      <c r="A120" s="7">
        <v>44498.0</v>
      </c>
      <c r="B120" s="8">
        <v>44498.08773148148</v>
      </c>
      <c r="C120" s="6" t="s">
        <v>26</v>
      </c>
      <c r="D120" s="6" t="s">
        <v>41</v>
      </c>
      <c r="E120" s="6" t="s">
        <v>28</v>
      </c>
      <c r="F120" s="6" t="s">
        <v>29</v>
      </c>
      <c r="G120" s="6"/>
      <c r="H120" s="9" t="s">
        <v>42</v>
      </c>
      <c r="I120" s="10">
        <v>1.0</v>
      </c>
      <c r="J120" s="10">
        <v>5157.0</v>
      </c>
      <c r="K120" s="10">
        <v>5473.0</v>
      </c>
      <c r="L120" s="10">
        <v>351.0</v>
      </c>
      <c r="M120" s="10">
        <v>14.0</v>
      </c>
      <c r="N120" s="10">
        <v>5157.0</v>
      </c>
    </row>
    <row r="121" ht="22.5" customHeight="1">
      <c r="A121" s="7">
        <v>44498.0</v>
      </c>
      <c r="B121" s="8">
        <v>44498.33335648148</v>
      </c>
      <c r="C121" s="6" t="s">
        <v>26</v>
      </c>
      <c r="D121" s="6" t="s">
        <v>657</v>
      </c>
      <c r="E121" s="6" t="s">
        <v>28</v>
      </c>
      <c r="F121" s="6" t="s">
        <v>34</v>
      </c>
      <c r="G121" s="6" t="s">
        <v>658</v>
      </c>
      <c r="H121" s="9" t="s">
        <v>659</v>
      </c>
      <c r="I121" s="10">
        <v>1.0</v>
      </c>
      <c r="J121" s="10">
        <v>1300.0</v>
      </c>
      <c r="K121" s="10">
        <v>1522.0</v>
      </c>
      <c r="L121" s="10">
        <v>286.0</v>
      </c>
      <c r="M121" s="10">
        <v>76.0</v>
      </c>
      <c r="N121" s="10">
        <v>1300.0</v>
      </c>
    </row>
    <row r="122" ht="22.5" customHeight="1">
      <c r="A122" s="7">
        <v>44498.0</v>
      </c>
      <c r="B122" s="8">
        <v>44498.45837962963</v>
      </c>
      <c r="C122" s="6" t="s">
        <v>26</v>
      </c>
      <c r="D122" s="6" t="s">
        <v>1204</v>
      </c>
      <c r="E122" s="6" t="s">
        <v>28</v>
      </c>
      <c r="F122" s="6" t="s">
        <v>34</v>
      </c>
      <c r="G122" s="6" t="s">
        <v>1205</v>
      </c>
      <c r="H122" s="9" t="s">
        <v>1206</v>
      </c>
      <c r="I122" s="10">
        <v>1.0</v>
      </c>
      <c r="J122" s="10">
        <v>172.0</v>
      </c>
      <c r="K122" s="10">
        <v>178.0</v>
      </c>
      <c r="L122" s="10">
        <v>33.0</v>
      </c>
      <c r="M122" s="10">
        <v>1.0</v>
      </c>
      <c r="N122" s="10">
        <v>172.0</v>
      </c>
    </row>
    <row r="123" ht="22.5" customHeight="1">
      <c r="A123" s="7">
        <v>44498.0</v>
      </c>
      <c r="B123" s="8">
        <v>44498.79172453703</v>
      </c>
      <c r="C123" s="6" t="s">
        <v>26</v>
      </c>
      <c r="D123" s="6" t="s">
        <v>423</v>
      </c>
      <c r="E123" s="6" t="s">
        <v>61</v>
      </c>
      <c r="F123" s="6" t="s">
        <v>76</v>
      </c>
      <c r="G123" s="6" t="s">
        <v>424</v>
      </c>
      <c r="H123" s="9" t="s">
        <v>425</v>
      </c>
      <c r="I123" s="10">
        <v>1.0</v>
      </c>
      <c r="J123" s="10">
        <v>6600.0</v>
      </c>
      <c r="K123" s="10">
        <v>8430.0</v>
      </c>
      <c r="L123" s="10">
        <v>191.0</v>
      </c>
      <c r="M123" s="10">
        <v>326.0</v>
      </c>
      <c r="N123" s="10">
        <v>6600.0</v>
      </c>
    </row>
    <row r="124" ht="22.5" customHeight="1">
      <c r="A124" s="7">
        <v>44499.0</v>
      </c>
      <c r="B124" s="8">
        <v>44499.29168981482</v>
      </c>
      <c r="C124" s="6" t="s">
        <v>26</v>
      </c>
      <c r="D124" s="6" t="s">
        <v>606</v>
      </c>
      <c r="E124" s="6" t="s">
        <v>28</v>
      </c>
      <c r="F124" s="6" t="s">
        <v>34</v>
      </c>
      <c r="G124" s="6" t="s">
        <v>607</v>
      </c>
      <c r="H124" s="9" t="s">
        <v>608</v>
      </c>
      <c r="I124" s="10">
        <v>1.0</v>
      </c>
      <c r="J124" s="10">
        <v>1185.0</v>
      </c>
      <c r="K124" s="10">
        <v>1232.0</v>
      </c>
      <c r="L124" s="10">
        <v>161.0</v>
      </c>
      <c r="M124" s="10">
        <v>41.0</v>
      </c>
      <c r="N124" s="10">
        <v>1185.0</v>
      </c>
    </row>
    <row r="125" ht="22.5" customHeight="1">
      <c r="A125" s="7">
        <v>44499.0</v>
      </c>
      <c r="B125" s="8">
        <v>44499.416712962964</v>
      </c>
      <c r="C125" s="6" t="s">
        <v>26</v>
      </c>
      <c r="D125" s="6" t="s">
        <v>624</v>
      </c>
      <c r="E125" s="6" t="s">
        <v>28</v>
      </c>
      <c r="F125" s="6" t="s">
        <v>34</v>
      </c>
      <c r="G125" s="6" t="s">
        <v>625</v>
      </c>
      <c r="H125" s="9" t="s">
        <v>626</v>
      </c>
      <c r="I125" s="10">
        <v>1.0</v>
      </c>
      <c r="J125" s="10">
        <v>2216.0</v>
      </c>
      <c r="K125" s="10">
        <v>2360.0</v>
      </c>
      <c r="L125" s="10">
        <v>390.0</v>
      </c>
      <c r="M125" s="10">
        <v>150.0</v>
      </c>
      <c r="N125" s="10">
        <v>2216.0</v>
      </c>
    </row>
    <row r="126" ht="22.5" customHeight="1">
      <c r="A126" s="7">
        <v>44499.0</v>
      </c>
      <c r="B126" s="8">
        <v>44499.50009259259</v>
      </c>
      <c r="C126" s="6" t="s">
        <v>26</v>
      </c>
      <c r="D126" s="6" t="s">
        <v>639</v>
      </c>
      <c r="E126" s="6" t="s">
        <v>28</v>
      </c>
      <c r="F126" s="6" t="s">
        <v>34</v>
      </c>
      <c r="G126" s="6" t="s">
        <v>640</v>
      </c>
      <c r="H126" s="9" t="s">
        <v>641</v>
      </c>
      <c r="I126" s="10">
        <v>1.0</v>
      </c>
      <c r="J126" s="10">
        <v>961.0</v>
      </c>
      <c r="K126" s="10">
        <v>1045.0</v>
      </c>
      <c r="L126" s="10">
        <v>128.0</v>
      </c>
      <c r="M126" s="10">
        <v>12.0</v>
      </c>
      <c r="N126" s="10">
        <v>961.0</v>
      </c>
    </row>
    <row r="127" ht="22.5" customHeight="1">
      <c r="A127" s="7">
        <v>44499.0</v>
      </c>
      <c r="B127" s="8">
        <v>44499.66668981482</v>
      </c>
      <c r="C127" s="6" t="s">
        <v>26</v>
      </c>
      <c r="D127" s="6" t="s">
        <v>914</v>
      </c>
      <c r="E127" s="6" t="s">
        <v>61</v>
      </c>
      <c r="F127" s="6" t="s">
        <v>76</v>
      </c>
      <c r="G127" s="6" t="s">
        <v>915</v>
      </c>
      <c r="H127" s="9" t="s">
        <v>916</v>
      </c>
      <c r="I127" s="10">
        <v>1.0</v>
      </c>
      <c r="J127" s="10">
        <v>1228.0</v>
      </c>
      <c r="K127" s="10">
        <v>1372.0</v>
      </c>
      <c r="L127" s="10">
        <v>90.0</v>
      </c>
      <c r="M127" s="10">
        <v>69.0</v>
      </c>
      <c r="N127" s="10">
        <v>1228.0</v>
      </c>
    </row>
    <row r="128" ht="22.5" customHeight="1">
      <c r="A128" s="7">
        <v>44499.0</v>
      </c>
      <c r="B128" s="8">
        <v>44499.66675925926</v>
      </c>
      <c r="C128" s="6" t="s">
        <v>26</v>
      </c>
      <c r="D128" s="6" t="s">
        <v>435</v>
      </c>
      <c r="E128" s="6" t="s">
        <v>28</v>
      </c>
      <c r="F128" s="6" t="s">
        <v>229</v>
      </c>
      <c r="G128" s="6" t="s">
        <v>436</v>
      </c>
      <c r="H128" s="9" t="s">
        <v>437</v>
      </c>
      <c r="I128" s="10">
        <v>1.0</v>
      </c>
      <c r="J128" s="10">
        <v>2116.0</v>
      </c>
      <c r="K128" s="10">
        <v>2257.0</v>
      </c>
      <c r="L128" s="10">
        <v>115.0</v>
      </c>
      <c r="M128" s="10">
        <v>99.0</v>
      </c>
      <c r="N128" s="10">
        <v>2116.0</v>
      </c>
    </row>
    <row r="129" ht="22.5" customHeight="1">
      <c r="A129" s="7">
        <v>44499.0</v>
      </c>
      <c r="B129" s="8">
        <v>44499.79167824074</v>
      </c>
      <c r="C129" s="6" t="s">
        <v>26</v>
      </c>
      <c r="D129" s="6" t="s">
        <v>259</v>
      </c>
      <c r="E129" s="6" t="s">
        <v>28</v>
      </c>
      <c r="F129" s="6" t="s">
        <v>34</v>
      </c>
      <c r="G129" s="6" t="s">
        <v>260</v>
      </c>
      <c r="H129" s="9" t="s">
        <v>261</v>
      </c>
      <c r="I129" s="10">
        <v>1.0</v>
      </c>
      <c r="J129" s="10">
        <v>411.0</v>
      </c>
      <c r="K129" s="10">
        <v>432.0</v>
      </c>
      <c r="L129" s="10">
        <v>82.0</v>
      </c>
      <c r="M129" s="10">
        <v>12.0</v>
      </c>
      <c r="N129" s="10">
        <v>411.0</v>
      </c>
    </row>
    <row r="130" ht="22.5" customHeight="1">
      <c r="A130" s="7">
        <v>44499.0</v>
      </c>
      <c r="B130" s="8">
        <v>44499.83335648148</v>
      </c>
      <c r="C130" s="6" t="s">
        <v>26</v>
      </c>
      <c r="D130" s="6" t="s">
        <v>201</v>
      </c>
      <c r="E130" s="6" t="s">
        <v>61</v>
      </c>
      <c r="F130" s="6" t="s">
        <v>62</v>
      </c>
      <c r="G130" s="6" t="s">
        <v>202</v>
      </c>
      <c r="H130" s="9" t="s">
        <v>203</v>
      </c>
      <c r="I130" s="10">
        <v>1.0</v>
      </c>
      <c r="J130" s="10">
        <v>345.0</v>
      </c>
      <c r="K130" s="10">
        <v>374.0</v>
      </c>
      <c r="L130" s="10">
        <v>37.0</v>
      </c>
      <c r="M130" s="10">
        <v>16.0</v>
      </c>
      <c r="N130" s="10">
        <v>345.0</v>
      </c>
    </row>
    <row r="131" ht="22.5" customHeight="1">
      <c r="A131" s="7">
        <v>44499.0</v>
      </c>
      <c r="B131" s="8">
        <v>44499.91667824074</v>
      </c>
      <c r="C131" s="6" t="s">
        <v>26</v>
      </c>
      <c r="D131" s="6" t="s">
        <v>819</v>
      </c>
      <c r="E131" s="6" t="s">
        <v>61</v>
      </c>
      <c r="F131" s="6" t="s">
        <v>62</v>
      </c>
      <c r="G131" s="6" t="s">
        <v>820</v>
      </c>
      <c r="H131" s="9" t="s">
        <v>821</v>
      </c>
      <c r="I131" s="10">
        <v>1.0</v>
      </c>
      <c r="J131" s="10">
        <v>374.0</v>
      </c>
      <c r="K131" s="10">
        <v>490.0</v>
      </c>
      <c r="L131" s="10">
        <v>24.0</v>
      </c>
      <c r="M131" s="10">
        <v>13.0</v>
      </c>
      <c r="N131" s="10">
        <v>374.0</v>
      </c>
    </row>
    <row r="132" ht="22.5" customHeight="1">
      <c r="A132" s="7">
        <v>44500.0</v>
      </c>
      <c r="B132" s="8">
        <v>44500.33336805556</v>
      </c>
      <c r="C132" s="6" t="s">
        <v>26</v>
      </c>
      <c r="D132" s="6" t="s">
        <v>660</v>
      </c>
      <c r="E132" s="6" t="s">
        <v>28</v>
      </c>
      <c r="F132" s="6" t="s">
        <v>34</v>
      </c>
      <c r="G132" s="6" t="s">
        <v>661</v>
      </c>
      <c r="H132" s="9" t="s">
        <v>662</v>
      </c>
      <c r="I132" s="10">
        <v>1.0</v>
      </c>
      <c r="J132" s="10">
        <v>1104.0</v>
      </c>
      <c r="K132" s="10">
        <v>1256.0</v>
      </c>
      <c r="L132" s="10">
        <v>249.0</v>
      </c>
      <c r="M132" s="10">
        <v>52.0</v>
      </c>
      <c r="N132" s="10">
        <v>1104.0</v>
      </c>
    </row>
    <row r="133" ht="22.5" customHeight="1">
      <c r="A133" s="7">
        <v>44500.0</v>
      </c>
      <c r="B133" s="8">
        <v>44500.45837962963</v>
      </c>
      <c r="C133" s="6" t="s">
        <v>26</v>
      </c>
      <c r="D133" s="6" t="s">
        <v>1219</v>
      </c>
      <c r="E133" s="6" t="s">
        <v>28</v>
      </c>
      <c r="F133" s="6" t="s">
        <v>34</v>
      </c>
      <c r="G133" s="6" t="s">
        <v>1220</v>
      </c>
      <c r="H133" s="9" t="s">
        <v>1221</v>
      </c>
      <c r="I133" s="10">
        <v>1.0</v>
      </c>
      <c r="J133" s="10">
        <v>157.0</v>
      </c>
      <c r="K133" s="10">
        <v>163.0</v>
      </c>
      <c r="L133" s="10">
        <v>30.0</v>
      </c>
      <c r="M133" s="10">
        <v>3.0</v>
      </c>
      <c r="N133" s="10">
        <v>157.0</v>
      </c>
    </row>
    <row r="134" ht="22.5" customHeight="1">
      <c r="A134" s="7">
        <v>44500.0</v>
      </c>
      <c r="B134" s="8">
        <v>44500.58961805556</v>
      </c>
      <c r="C134" s="6" t="s">
        <v>26</v>
      </c>
      <c r="D134" s="6" t="s">
        <v>852</v>
      </c>
      <c r="E134" s="6" t="s">
        <v>61</v>
      </c>
      <c r="F134" s="6" t="s">
        <v>62</v>
      </c>
      <c r="G134" s="6" t="s">
        <v>853</v>
      </c>
      <c r="H134" s="9" t="s">
        <v>854</v>
      </c>
      <c r="I134" s="10">
        <v>1.0</v>
      </c>
      <c r="J134" s="10">
        <v>344.0</v>
      </c>
      <c r="K134" s="10">
        <v>386.0</v>
      </c>
      <c r="L134" s="10">
        <v>31.0</v>
      </c>
      <c r="M134" s="10">
        <v>7.0</v>
      </c>
      <c r="N134" s="10">
        <v>344.0</v>
      </c>
    </row>
    <row r="135" ht="22.5" customHeight="1">
      <c r="A135" s="7">
        <v>44500.0</v>
      </c>
      <c r="B135" s="8">
        <v>44500.83335648148</v>
      </c>
      <c r="C135" s="6" t="s">
        <v>26</v>
      </c>
      <c r="D135" s="6" t="s">
        <v>152</v>
      </c>
      <c r="E135" s="6" t="s">
        <v>28</v>
      </c>
      <c r="F135" s="6" t="s">
        <v>34</v>
      </c>
      <c r="G135" s="6" t="s">
        <v>153</v>
      </c>
      <c r="H135" s="9" t="s">
        <v>154</v>
      </c>
      <c r="I135" s="10">
        <v>1.0</v>
      </c>
      <c r="J135" s="10">
        <v>2197.0</v>
      </c>
      <c r="K135" s="10">
        <v>53009.0</v>
      </c>
      <c r="L135" s="10">
        <v>2479.0</v>
      </c>
      <c r="M135" s="10">
        <v>269.0</v>
      </c>
      <c r="N135" s="10">
        <v>2197.0</v>
      </c>
    </row>
    <row r="136" ht="22.5" customHeight="1">
      <c r="A136" s="7">
        <v>44501.0</v>
      </c>
      <c r="B136" s="8">
        <v>44501.45835648148</v>
      </c>
      <c r="C136" s="6" t="s">
        <v>26</v>
      </c>
      <c r="D136" s="6" t="s">
        <v>352</v>
      </c>
      <c r="E136" s="6" t="s">
        <v>28</v>
      </c>
      <c r="F136" s="6" t="s">
        <v>229</v>
      </c>
      <c r="G136" s="6" t="s">
        <v>353</v>
      </c>
      <c r="H136" s="9" t="s">
        <v>354</v>
      </c>
      <c r="I136" s="10">
        <v>1.0</v>
      </c>
      <c r="J136" s="10">
        <v>4176.0</v>
      </c>
      <c r="K136" s="10">
        <v>4768.0</v>
      </c>
      <c r="L136" s="10">
        <v>343.0</v>
      </c>
      <c r="M136" s="10">
        <v>256.0</v>
      </c>
      <c r="N136" s="10">
        <v>4176.0</v>
      </c>
    </row>
    <row r="137" ht="22.5" customHeight="1">
      <c r="A137" s="7">
        <v>44501.0</v>
      </c>
      <c r="B137" s="8">
        <v>44501.588541666664</v>
      </c>
      <c r="C137" s="6" t="s">
        <v>26</v>
      </c>
      <c r="D137" s="6" t="s">
        <v>426</v>
      </c>
      <c r="E137" s="6" t="s">
        <v>61</v>
      </c>
      <c r="F137" s="6" t="s">
        <v>62</v>
      </c>
      <c r="G137" s="6" t="s">
        <v>427</v>
      </c>
      <c r="H137" s="9" t="s">
        <v>428</v>
      </c>
      <c r="I137" s="10">
        <v>1.0</v>
      </c>
      <c r="J137" s="10">
        <v>280.0</v>
      </c>
      <c r="K137" s="10">
        <v>306.0</v>
      </c>
      <c r="L137" s="10">
        <v>73.0</v>
      </c>
      <c r="M137" s="10">
        <v>11.0</v>
      </c>
      <c r="N137" s="10">
        <v>280.0</v>
      </c>
    </row>
    <row r="138" ht="22.5" customHeight="1">
      <c r="A138" s="7">
        <v>44501.0</v>
      </c>
      <c r="B138" s="8">
        <v>44501.750023148146</v>
      </c>
      <c r="C138" s="6" t="s">
        <v>26</v>
      </c>
      <c r="D138" s="6" t="s">
        <v>204</v>
      </c>
      <c r="E138" s="6" t="s">
        <v>28</v>
      </c>
      <c r="F138" s="6" t="s">
        <v>34</v>
      </c>
      <c r="G138" s="6" t="s">
        <v>205</v>
      </c>
      <c r="H138" s="9" t="s">
        <v>206</v>
      </c>
      <c r="I138" s="10">
        <v>1.0</v>
      </c>
      <c r="J138" s="10">
        <v>6709.0</v>
      </c>
      <c r="K138" s="10">
        <v>7011.0</v>
      </c>
      <c r="L138" s="10">
        <v>36.0</v>
      </c>
      <c r="M138" s="10">
        <v>54.0</v>
      </c>
      <c r="N138" s="10">
        <v>6709.0</v>
      </c>
    </row>
    <row r="139" ht="22.5" customHeight="1">
      <c r="A139" s="7">
        <v>44502.0</v>
      </c>
      <c r="B139" s="8">
        <v>44502.416666666664</v>
      </c>
      <c r="C139" s="6" t="s">
        <v>26</v>
      </c>
      <c r="D139" s="6" t="s">
        <v>627</v>
      </c>
      <c r="E139" s="6" t="s">
        <v>28</v>
      </c>
      <c r="F139" s="6" t="s">
        <v>34</v>
      </c>
      <c r="G139" s="6" t="s">
        <v>628</v>
      </c>
      <c r="H139" s="9" t="s">
        <v>629</v>
      </c>
      <c r="I139" s="10">
        <v>1.0</v>
      </c>
      <c r="J139" s="10">
        <v>7636.0</v>
      </c>
      <c r="K139" s="10">
        <v>7763.0</v>
      </c>
      <c r="L139" s="10">
        <v>140.0</v>
      </c>
      <c r="M139" s="10">
        <v>41.0</v>
      </c>
      <c r="N139" s="10">
        <v>7636.0</v>
      </c>
    </row>
    <row r="140" ht="22.5" customHeight="1">
      <c r="A140" s="7">
        <v>44502.0</v>
      </c>
      <c r="B140" s="8">
        <v>44502.75059027778</v>
      </c>
      <c r="C140" s="6" t="s">
        <v>26</v>
      </c>
      <c r="D140" s="6" t="s">
        <v>343</v>
      </c>
      <c r="E140" s="6" t="s">
        <v>72</v>
      </c>
      <c r="F140" s="6" t="s">
        <v>44</v>
      </c>
      <c r="G140" s="6" t="s">
        <v>344</v>
      </c>
      <c r="H140" s="9" t="s">
        <v>345</v>
      </c>
      <c r="I140" s="10">
        <v>1.0</v>
      </c>
      <c r="J140" s="10">
        <v>297.0</v>
      </c>
      <c r="K140" s="10">
        <v>308.0</v>
      </c>
      <c r="L140" s="10">
        <v>34.0</v>
      </c>
      <c r="M140" s="10">
        <v>13.0</v>
      </c>
      <c r="N140" s="10">
        <v>297.0</v>
      </c>
    </row>
    <row r="141" ht="22.5" customHeight="1">
      <c r="A141" s="7">
        <v>44503.0</v>
      </c>
      <c r="B141" s="8">
        <v>44503.45835648148</v>
      </c>
      <c r="C141" s="6" t="s">
        <v>26</v>
      </c>
      <c r="D141" s="6" t="s">
        <v>1289</v>
      </c>
      <c r="E141" s="6" t="s">
        <v>28</v>
      </c>
      <c r="F141" s="6" t="s">
        <v>34</v>
      </c>
      <c r="G141" s="6" t="s">
        <v>1290</v>
      </c>
      <c r="H141" s="9" t="s">
        <v>1291</v>
      </c>
      <c r="I141" s="10">
        <v>1.0</v>
      </c>
      <c r="J141" s="10">
        <v>257.0</v>
      </c>
      <c r="K141" s="10">
        <v>261.0</v>
      </c>
      <c r="L141" s="10">
        <v>28.0</v>
      </c>
      <c r="M141" s="10">
        <v>12.0</v>
      </c>
      <c r="N141" s="10">
        <v>257.0</v>
      </c>
    </row>
    <row r="142" ht="22.5" customHeight="1">
      <c r="A142" s="7">
        <v>44504.0</v>
      </c>
      <c r="B142" s="8">
        <v>44504.29175925926</v>
      </c>
      <c r="C142" s="6" t="s">
        <v>26</v>
      </c>
      <c r="D142" s="6" t="s">
        <v>531</v>
      </c>
      <c r="E142" s="6" t="s">
        <v>28</v>
      </c>
      <c r="F142" s="6" t="s">
        <v>34</v>
      </c>
      <c r="G142" s="6" t="s">
        <v>532</v>
      </c>
      <c r="H142" s="9" t="s">
        <v>533</v>
      </c>
      <c r="I142" s="10">
        <v>1.0</v>
      </c>
      <c r="J142" s="10">
        <v>10112.0</v>
      </c>
      <c r="K142" s="10">
        <v>10343.0</v>
      </c>
      <c r="L142" s="10">
        <v>227.0</v>
      </c>
      <c r="M142" s="10">
        <v>131.0</v>
      </c>
      <c r="N142" s="10">
        <v>10112.0</v>
      </c>
    </row>
    <row r="143" ht="22.5" customHeight="1">
      <c r="A143" s="7">
        <v>44504.0</v>
      </c>
      <c r="B143" s="8">
        <v>44504.37501157408</v>
      </c>
      <c r="C143" s="6" t="s">
        <v>26</v>
      </c>
      <c r="D143" s="6" t="s">
        <v>645</v>
      </c>
      <c r="E143" s="6" t="s">
        <v>28</v>
      </c>
      <c r="F143" s="6" t="s">
        <v>34</v>
      </c>
      <c r="G143" s="6" t="s">
        <v>646</v>
      </c>
      <c r="H143" s="9" t="s">
        <v>647</v>
      </c>
      <c r="I143" s="10">
        <v>1.0</v>
      </c>
      <c r="J143" s="10">
        <v>9629.0</v>
      </c>
      <c r="K143" s="10">
        <v>10367.0</v>
      </c>
      <c r="L143" s="10">
        <v>539.0</v>
      </c>
      <c r="M143" s="10">
        <v>193.0</v>
      </c>
      <c r="N143" s="10">
        <v>9629.0</v>
      </c>
    </row>
    <row r="144" ht="22.5" customHeight="1">
      <c r="A144" s="7">
        <v>44504.0</v>
      </c>
      <c r="B144" s="8">
        <v>44504.41670138889</v>
      </c>
      <c r="C144" s="6" t="s">
        <v>26</v>
      </c>
      <c r="D144" s="6" t="s">
        <v>663</v>
      </c>
      <c r="E144" s="6" t="s">
        <v>28</v>
      </c>
      <c r="F144" s="6" t="s">
        <v>34</v>
      </c>
      <c r="G144" s="6" t="s">
        <v>664</v>
      </c>
      <c r="H144" s="9" t="s">
        <v>665</v>
      </c>
      <c r="I144" s="10">
        <v>1.0</v>
      </c>
      <c r="J144" s="10">
        <v>7330.0</v>
      </c>
      <c r="K144" s="10">
        <v>7398.0</v>
      </c>
      <c r="L144" s="10">
        <v>130.0</v>
      </c>
      <c r="M144" s="10">
        <v>27.0</v>
      </c>
      <c r="N144" s="10">
        <v>7330.0</v>
      </c>
    </row>
    <row r="145" ht="22.5" customHeight="1">
      <c r="A145" s="7">
        <v>44504.0</v>
      </c>
      <c r="B145" s="8">
        <v>44504.61809027778</v>
      </c>
      <c r="C145" s="6" t="s">
        <v>26</v>
      </c>
      <c r="D145" s="6" t="s">
        <v>43</v>
      </c>
      <c r="E145" s="6" t="s">
        <v>33</v>
      </c>
      <c r="F145" s="6" t="s">
        <v>44</v>
      </c>
      <c r="G145" s="6"/>
      <c r="H145" s="9" t="s">
        <v>45</v>
      </c>
      <c r="I145" s="10">
        <v>1.0</v>
      </c>
      <c r="J145" s="10">
        <v>395.0</v>
      </c>
      <c r="K145" s="10">
        <v>407.0</v>
      </c>
      <c r="L145" s="10">
        <v>26.0</v>
      </c>
      <c r="M145" s="10"/>
      <c r="N145" s="10">
        <v>395.0</v>
      </c>
    </row>
    <row r="146" ht="22.5" customHeight="1">
      <c r="A146" s="7">
        <v>44504.0</v>
      </c>
      <c r="B146" s="8">
        <v>44504.62501157408</v>
      </c>
      <c r="C146" s="6" t="s">
        <v>26</v>
      </c>
      <c r="D146" s="6" t="s">
        <v>265</v>
      </c>
      <c r="E146" s="6" t="s">
        <v>28</v>
      </c>
      <c r="F146" s="6" t="s">
        <v>34</v>
      </c>
      <c r="G146" s="6" t="s">
        <v>266</v>
      </c>
      <c r="H146" s="9" t="s">
        <v>267</v>
      </c>
      <c r="I146" s="10">
        <v>1.0</v>
      </c>
      <c r="J146" s="10">
        <v>11045.0</v>
      </c>
      <c r="K146" s="10">
        <v>19545.0</v>
      </c>
      <c r="L146" s="10">
        <v>370.0</v>
      </c>
      <c r="M146" s="10">
        <v>72.0</v>
      </c>
      <c r="N146" s="10">
        <v>11045.0</v>
      </c>
    </row>
    <row r="147" ht="22.5" customHeight="1">
      <c r="A147" s="7">
        <v>44504.0</v>
      </c>
      <c r="B147" s="8">
        <v>44504.83342592593</v>
      </c>
      <c r="C147" s="6" t="s">
        <v>26</v>
      </c>
      <c r="D147" s="6" t="s">
        <v>381</v>
      </c>
      <c r="E147" s="6" t="s">
        <v>28</v>
      </c>
      <c r="F147" s="6" t="s">
        <v>229</v>
      </c>
      <c r="G147" s="6" t="s">
        <v>382</v>
      </c>
      <c r="H147" s="9" t="s">
        <v>383</v>
      </c>
      <c r="I147" s="10">
        <v>1.0</v>
      </c>
      <c r="J147" s="10">
        <v>1889.0</v>
      </c>
      <c r="K147" s="10">
        <v>1972.0</v>
      </c>
      <c r="L147" s="10">
        <v>62.0</v>
      </c>
      <c r="M147" s="10">
        <v>43.0</v>
      </c>
      <c r="N147" s="10">
        <v>1889.0</v>
      </c>
    </row>
    <row r="148" ht="22.5" customHeight="1">
      <c r="A148" s="7">
        <v>44505.0</v>
      </c>
      <c r="B148" s="8">
        <v>44505.375069444446</v>
      </c>
      <c r="C148" s="6" t="s">
        <v>26</v>
      </c>
      <c r="D148" s="6" t="s">
        <v>675</v>
      </c>
      <c r="E148" s="6" t="s">
        <v>28</v>
      </c>
      <c r="F148" s="6" t="s">
        <v>34</v>
      </c>
      <c r="G148" s="6" t="s">
        <v>676</v>
      </c>
      <c r="H148" s="9" t="s">
        <v>677</v>
      </c>
      <c r="I148" s="10">
        <v>1.0</v>
      </c>
      <c r="J148" s="10">
        <v>7929.0</v>
      </c>
      <c r="K148" s="10">
        <v>8023.0</v>
      </c>
      <c r="L148" s="10">
        <v>135.0</v>
      </c>
      <c r="M148" s="10">
        <v>42.0</v>
      </c>
      <c r="N148" s="10">
        <v>7929.0</v>
      </c>
    </row>
    <row r="149" ht="22.5" customHeight="1">
      <c r="A149" s="7">
        <v>44505.0</v>
      </c>
      <c r="B149" s="8">
        <v>44505.58335648148</v>
      </c>
      <c r="C149" s="6" t="s">
        <v>26</v>
      </c>
      <c r="D149" s="6" t="s">
        <v>340</v>
      </c>
      <c r="E149" s="6" t="s">
        <v>28</v>
      </c>
      <c r="F149" s="6" t="s">
        <v>34</v>
      </c>
      <c r="G149" s="6" t="s">
        <v>341</v>
      </c>
      <c r="H149" s="9" t="s">
        <v>342</v>
      </c>
      <c r="I149" s="10">
        <v>1.0</v>
      </c>
      <c r="J149" s="10">
        <v>6584.0</v>
      </c>
      <c r="K149" s="10">
        <v>6781.0</v>
      </c>
      <c r="L149" s="10">
        <v>167.0</v>
      </c>
      <c r="M149" s="10">
        <v>93.0</v>
      </c>
      <c r="N149" s="10">
        <v>6584.0</v>
      </c>
    </row>
    <row r="150" ht="22.5" customHeight="1">
      <c r="A150" s="7">
        <v>44505.0</v>
      </c>
      <c r="B150" s="8">
        <v>44505.750289351854</v>
      </c>
      <c r="C150" s="6" t="s">
        <v>26</v>
      </c>
      <c r="D150" s="6" t="s">
        <v>307</v>
      </c>
      <c r="E150" s="6" t="s">
        <v>72</v>
      </c>
      <c r="F150" s="6" t="s">
        <v>44</v>
      </c>
      <c r="G150" s="6" t="s">
        <v>308</v>
      </c>
      <c r="H150" s="9" t="s">
        <v>309</v>
      </c>
      <c r="I150" s="10">
        <v>1.0</v>
      </c>
      <c r="J150" s="10">
        <v>270.0</v>
      </c>
      <c r="K150" s="10">
        <v>292.0</v>
      </c>
      <c r="L150" s="10">
        <v>16.0</v>
      </c>
      <c r="M150" s="10">
        <v>6.0</v>
      </c>
      <c r="N150" s="10">
        <v>270.0</v>
      </c>
    </row>
    <row r="151" ht="22.5" customHeight="1">
      <c r="A151" s="7">
        <v>44506.0</v>
      </c>
      <c r="B151" s="8">
        <v>44506.333344907405</v>
      </c>
      <c r="C151" s="6" t="s">
        <v>26</v>
      </c>
      <c r="D151" s="6" t="s">
        <v>471</v>
      </c>
      <c r="E151" s="6" t="s">
        <v>28</v>
      </c>
      <c r="F151" s="6" t="s">
        <v>34</v>
      </c>
      <c r="G151" s="6" t="s">
        <v>472</v>
      </c>
      <c r="H151" s="9" t="s">
        <v>473</v>
      </c>
      <c r="I151" s="10">
        <v>1.0</v>
      </c>
      <c r="J151" s="10">
        <v>11059.0</v>
      </c>
      <c r="K151" s="10">
        <v>11291.0</v>
      </c>
      <c r="L151" s="10">
        <v>330.0</v>
      </c>
      <c r="M151" s="10">
        <v>81.0</v>
      </c>
      <c r="N151" s="10">
        <v>11059.0</v>
      </c>
    </row>
    <row r="152" ht="22.5" customHeight="1">
      <c r="A152" s="7">
        <v>44506.0</v>
      </c>
      <c r="B152" s="8">
        <v>44506.54168981482</v>
      </c>
      <c r="C152" s="6" t="s">
        <v>26</v>
      </c>
      <c r="D152" s="6" t="s">
        <v>238</v>
      </c>
      <c r="E152" s="6" t="s">
        <v>61</v>
      </c>
      <c r="F152" s="6" t="s">
        <v>76</v>
      </c>
      <c r="G152" s="6" t="s">
        <v>239</v>
      </c>
      <c r="H152" s="9" t="s">
        <v>240</v>
      </c>
      <c r="I152" s="10">
        <v>1.0</v>
      </c>
      <c r="J152" s="10">
        <v>4180.0</v>
      </c>
      <c r="K152" s="10">
        <v>6864.0</v>
      </c>
      <c r="L152" s="10">
        <v>197.0</v>
      </c>
      <c r="M152" s="10">
        <v>428.0</v>
      </c>
      <c r="N152" s="10">
        <v>4180.0</v>
      </c>
    </row>
    <row r="153" ht="22.5" customHeight="1">
      <c r="A153" s="7">
        <v>44506.0</v>
      </c>
      <c r="B153" s="8">
        <v>44506.62501157408</v>
      </c>
      <c r="C153" s="6" t="s">
        <v>26</v>
      </c>
      <c r="D153" s="6" t="s">
        <v>1292</v>
      </c>
      <c r="E153" s="6" t="s">
        <v>28</v>
      </c>
      <c r="F153" s="6" t="s">
        <v>34</v>
      </c>
      <c r="G153" s="6" t="s">
        <v>1293</v>
      </c>
      <c r="H153" s="9" t="s">
        <v>1294</v>
      </c>
      <c r="I153" s="10">
        <v>1.0</v>
      </c>
      <c r="J153" s="10">
        <v>210.0</v>
      </c>
      <c r="K153" s="10">
        <v>224.0</v>
      </c>
      <c r="L153" s="10">
        <v>25.0</v>
      </c>
      <c r="M153" s="10">
        <v>2.0</v>
      </c>
      <c r="N153" s="10">
        <v>210.0</v>
      </c>
    </row>
    <row r="154" ht="22.5" customHeight="1">
      <c r="A154" s="7">
        <v>44506.0</v>
      </c>
      <c r="B154" s="8">
        <v>44506.66670138889</v>
      </c>
      <c r="C154" s="6" t="s">
        <v>26</v>
      </c>
      <c r="D154" s="6" t="s">
        <v>182</v>
      </c>
      <c r="E154" s="6" t="s">
        <v>28</v>
      </c>
      <c r="F154" s="6" t="s">
        <v>34</v>
      </c>
      <c r="G154" s="6" t="s">
        <v>183</v>
      </c>
      <c r="H154" s="9" t="s">
        <v>184</v>
      </c>
      <c r="I154" s="10">
        <v>1.0</v>
      </c>
      <c r="J154" s="10">
        <v>4811.0</v>
      </c>
      <c r="K154" s="10">
        <v>4876.0</v>
      </c>
      <c r="L154" s="10">
        <v>49.0</v>
      </c>
      <c r="M154" s="10">
        <v>13.0</v>
      </c>
      <c r="N154" s="10">
        <v>4811.0</v>
      </c>
    </row>
    <row r="155" ht="22.5" customHeight="1">
      <c r="A155" s="7">
        <v>44506.0</v>
      </c>
      <c r="B155" s="8">
        <v>44506.75005787037</v>
      </c>
      <c r="C155" s="6" t="s">
        <v>26</v>
      </c>
      <c r="D155" s="6" t="s">
        <v>167</v>
      </c>
      <c r="E155" s="6" t="s">
        <v>61</v>
      </c>
      <c r="F155" s="6" t="s">
        <v>76</v>
      </c>
      <c r="G155" s="6" t="s">
        <v>168</v>
      </c>
      <c r="H155" s="9" t="s">
        <v>169</v>
      </c>
      <c r="I155" s="10">
        <v>1.0</v>
      </c>
      <c r="J155" s="10">
        <v>2055.0</v>
      </c>
      <c r="K155" s="10">
        <v>2195.0</v>
      </c>
      <c r="L155" s="10">
        <v>150.0</v>
      </c>
      <c r="M155" s="10">
        <v>86.0</v>
      </c>
      <c r="N155" s="10">
        <v>2055.0</v>
      </c>
    </row>
    <row r="156" ht="22.5" customHeight="1">
      <c r="A156" s="7">
        <v>44506.0</v>
      </c>
      <c r="B156" s="8">
        <v>44506.79167824074</v>
      </c>
      <c r="C156" s="6" t="s">
        <v>26</v>
      </c>
      <c r="D156" s="6" t="s">
        <v>1159</v>
      </c>
      <c r="E156" s="6" t="s">
        <v>28</v>
      </c>
      <c r="F156" s="6" t="s">
        <v>34</v>
      </c>
      <c r="G156" s="6" t="s">
        <v>1160</v>
      </c>
      <c r="H156" s="9" t="s">
        <v>1161</v>
      </c>
      <c r="I156" s="10">
        <v>1.0</v>
      </c>
      <c r="J156" s="10">
        <v>489.0</v>
      </c>
      <c r="K156" s="10">
        <v>504.0</v>
      </c>
      <c r="L156" s="10">
        <v>51.0</v>
      </c>
      <c r="M156" s="10">
        <v>15.0</v>
      </c>
      <c r="N156" s="10">
        <v>489.0</v>
      </c>
    </row>
    <row r="157" ht="22.5" customHeight="1">
      <c r="A157" s="7">
        <v>44507.0</v>
      </c>
      <c r="B157" s="8">
        <v>44507.458333333336</v>
      </c>
      <c r="C157" s="6" t="s">
        <v>26</v>
      </c>
      <c r="D157" s="6" t="s">
        <v>164</v>
      </c>
      <c r="E157" s="6" t="s">
        <v>61</v>
      </c>
      <c r="F157" s="6" t="s">
        <v>62</v>
      </c>
      <c r="G157" s="6" t="s">
        <v>165</v>
      </c>
      <c r="H157" s="9" t="s">
        <v>166</v>
      </c>
      <c r="I157" s="10">
        <v>1.0</v>
      </c>
      <c r="J157" s="10">
        <v>947.0</v>
      </c>
      <c r="K157" s="10">
        <v>1031.0</v>
      </c>
      <c r="L157" s="10">
        <v>45.0</v>
      </c>
      <c r="M157" s="10">
        <v>27.0</v>
      </c>
      <c r="N157" s="10">
        <v>947.0</v>
      </c>
    </row>
    <row r="158" ht="22.5" customHeight="1">
      <c r="A158" s="7">
        <v>44507.0</v>
      </c>
      <c r="B158" s="8">
        <v>44507.54523148148</v>
      </c>
      <c r="C158" s="6" t="s">
        <v>26</v>
      </c>
      <c r="D158" s="6" t="s">
        <v>65</v>
      </c>
      <c r="E158" s="6" t="s">
        <v>61</v>
      </c>
      <c r="F158" s="6" t="s">
        <v>62</v>
      </c>
      <c r="G158" s="6" t="s">
        <v>66</v>
      </c>
      <c r="H158" s="9" t="s">
        <v>67</v>
      </c>
      <c r="I158" s="10">
        <v>1.0</v>
      </c>
      <c r="J158" s="10">
        <v>925.0</v>
      </c>
      <c r="K158" s="10">
        <v>1080.0</v>
      </c>
      <c r="L158" s="10">
        <v>240.0</v>
      </c>
      <c r="M158" s="10">
        <v>59.0</v>
      </c>
      <c r="N158" s="10">
        <v>925.0</v>
      </c>
    </row>
    <row r="159" ht="22.5" customHeight="1">
      <c r="A159" s="7">
        <v>44508.0</v>
      </c>
      <c r="B159" s="8">
        <v>44508.33335648148</v>
      </c>
      <c r="C159" s="6" t="s">
        <v>26</v>
      </c>
      <c r="D159" s="6" t="s">
        <v>459</v>
      </c>
      <c r="E159" s="6" t="s">
        <v>28</v>
      </c>
      <c r="F159" s="6" t="s">
        <v>34</v>
      </c>
      <c r="G159" s="6" t="s">
        <v>460</v>
      </c>
      <c r="H159" s="9" t="s">
        <v>461</v>
      </c>
      <c r="I159" s="10">
        <v>1.0</v>
      </c>
      <c r="J159" s="10">
        <v>8871.0</v>
      </c>
      <c r="K159" s="10">
        <v>8958.0</v>
      </c>
      <c r="L159" s="10">
        <v>136.0</v>
      </c>
      <c r="M159" s="10">
        <v>48.0</v>
      </c>
      <c r="N159" s="10">
        <v>8871.0</v>
      </c>
    </row>
    <row r="160" ht="22.5" customHeight="1">
      <c r="A160" s="7">
        <v>44508.0</v>
      </c>
      <c r="B160" s="8">
        <v>44508.458333333336</v>
      </c>
      <c r="C160" s="6" t="s">
        <v>26</v>
      </c>
      <c r="D160" s="6" t="s">
        <v>176</v>
      </c>
      <c r="E160" s="6" t="s">
        <v>28</v>
      </c>
      <c r="F160" s="6" t="s">
        <v>34</v>
      </c>
      <c r="G160" s="6" t="s">
        <v>177</v>
      </c>
      <c r="H160" s="9" t="s">
        <v>178</v>
      </c>
      <c r="I160" s="10">
        <v>1.0</v>
      </c>
      <c r="J160" s="10">
        <v>11967.0</v>
      </c>
      <c r="K160" s="10">
        <v>14102.0</v>
      </c>
      <c r="L160" s="10">
        <v>2562.0</v>
      </c>
      <c r="M160" s="10">
        <v>287.0</v>
      </c>
      <c r="N160" s="10">
        <v>11967.0</v>
      </c>
    </row>
    <row r="161" ht="22.5" customHeight="1">
      <c r="A161" s="7">
        <v>44508.0</v>
      </c>
      <c r="B161" s="8">
        <v>44508.541666666664</v>
      </c>
      <c r="C161" s="6" t="s">
        <v>26</v>
      </c>
      <c r="D161" s="6" t="s">
        <v>678</v>
      </c>
      <c r="E161" s="6" t="s">
        <v>28</v>
      </c>
      <c r="F161" s="6" t="s">
        <v>34</v>
      </c>
      <c r="G161" s="6" t="s">
        <v>679</v>
      </c>
      <c r="H161" s="9" t="s">
        <v>680</v>
      </c>
      <c r="I161" s="10">
        <v>1.0</v>
      </c>
      <c r="J161" s="10">
        <v>7098.0</v>
      </c>
      <c r="K161" s="10">
        <v>7167.0</v>
      </c>
      <c r="L161" s="10">
        <v>106.0</v>
      </c>
      <c r="M161" s="10">
        <v>32.0</v>
      </c>
      <c r="N161" s="10">
        <v>7098.0</v>
      </c>
    </row>
    <row r="162" ht="22.5" customHeight="1">
      <c r="A162" s="7">
        <v>44508.0</v>
      </c>
      <c r="B162" s="8">
        <v>44508.62501157408</v>
      </c>
      <c r="C162" s="6" t="s">
        <v>26</v>
      </c>
      <c r="D162" s="6" t="s">
        <v>941</v>
      </c>
      <c r="E162" s="6" t="s">
        <v>28</v>
      </c>
      <c r="F162" s="6" t="s">
        <v>34</v>
      </c>
      <c r="G162" s="6" t="s">
        <v>942</v>
      </c>
      <c r="H162" s="9" t="s">
        <v>943</v>
      </c>
      <c r="I162" s="10">
        <v>1.0</v>
      </c>
      <c r="J162" s="10">
        <v>539.0</v>
      </c>
      <c r="K162" s="10">
        <v>555.0</v>
      </c>
      <c r="L162" s="10">
        <v>37.0</v>
      </c>
      <c r="M162" s="10">
        <v>24.0</v>
      </c>
      <c r="N162" s="10">
        <v>539.0</v>
      </c>
    </row>
    <row r="163" ht="22.5" customHeight="1">
      <c r="A163" s="7">
        <v>44508.0</v>
      </c>
      <c r="B163" s="8">
        <v>44508.708344907405</v>
      </c>
      <c r="C163" s="6" t="s">
        <v>26</v>
      </c>
      <c r="D163" s="6" t="s">
        <v>777</v>
      </c>
      <c r="E163" s="6" t="s">
        <v>28</v>
      </c>
      <c r="F163" s="6" t="s">
        <v>34</v>
      </c>
      <c r="G163" s="6" t="s">
        <v>778</v>
      </c>
      <c r="H163" s="9" t="s">
        <v>779</v>
      </c>
      <c r="I163" s="10">
        <v>1.0</v>
      </c>
      <c r="J163" s="10">
        <v>6512.0</v>
      </c>
      <c r="K163" s="10">
        <v>7216.0</v>
      </c>
      <c r="L163" s="10">
        <v>236.0</v>
      </c>
      <c r="M163" s="10">
        <v>244.0</v>
      </c>
      <c r="N163" s="10">
        <v>6512.0</v>
      </c>
    </row>
    <row r="164" ht="22.5" customHeight="1">
      <c r="A164" s="7">
        <v>44508.0</v>
      </c>
      <c r="B164" s="8">
        <v>44508.75</v>
      </c>
      <c r="C164" s="6" t="s">
        <v>26</v>
      </c>
      <c r="D164" s="6" t="s">
        <v>489</v>
      </c>
      <c r="E164" s="6" t="s">
        <v>28</v>
      </c>
      <c r="F164" s="6" t="s">
        <v>34</v>
      </c>
      <c r="G164" s="6" t="s">
        <v>490</v>
      </c>
      <c r="H164" s="9" t="s">
        <v>491</v>
      </c>
      <c r="I164" s="10">
        <v>1.0</v>
      </c>
      <c r="J164" s="10">
        <v>5762.0</v>
      </c>
      <c r="K164" s="10">
        <v>6547.0</v>
      </c>
      <c r="L164" s="10">
        <v>120.0</v>
      </c>
      <c r="M164" s="10">
        <v>307.0</v>
      </c>
      <c r="N164" s="10">
        <v>5762.0</v>
      </c>
    </row>
    <row r="165" ht="22.5" customHeight="1">
      <c r="A165" s="7">
        <v>44508.0</v>
      </c>
      <c r="B165" s="8">
        <v>44508.875069444446</v>
      </c>
      <c r="C165" s="6" t="s">
        <v>26</v>
      </c>
      <c r="D165" s="6" t="s">
        <v>1150</v>
      </c>
      <c r="E165" s="6" t="s">
        <v>28</v>
      </c>
      <c r="F165" s="6" t="s">
        <v>34</v>
      </c>
      <c r="G165" s="6" t="s">
        <v>1151</v>
      </c>
      <c r="H165" s="9" t="s">
        <v>1152</v>
      </c>
      <c r="I165" s="10">
        <v>1.0</v>
      </c>
      <c r="J165" s="10">
        <v>1472.0</v>
      </c>
      <c r="K165" s="10">
        <v>1552.0</v>
      </c>
      <c r="L165" s="10">
        <v>260.0</v>
      </c>
      <c r="M165" s="10">
        <v>55.0</v>
      </c>
      <c r="N165" s="10">
        <v>1472.0</v>
      </c>
    </row>
    <row r="166" ht="22.5" customHeight="1">
      <c r="A166" s="7">
        <v>44509.0</v>
      </c>
      <c r="B166" s="8">
        <v>44509.333344907405</v>
      </c>
      <c r="C166" s="6" t="s">
        <v>26</v>
      </c>
      <c r="D166" s="6" t="s">
        <v>358</v>
      </c>
      <c r="E166" s="6" t="s">
        <v>28</v>
      </c>
      <c r="F166" s="6" t="s">
        <v>34</v>
      </c>
      <c r="G166" s="6" t="s">
        <v>359</v>
      </c>
      <c r="H166" s="9" t="s">
        <v>360</v>
      </c>
      <c r="I166" s="10">
        <v>1.0</v>
      </c>
      <c r="J166" s="10">
        <v>7509.0</v>
      </c>
      <c r="K166" s="10">
        <v>7823.0</v>
      </c>
      <c r="L166" s="10">
        <v>295.0</v>
      </c>
      <c r="M166" s="10">
        <v>100.0</v>
      </c>
      <c r="N166" s="10">
        <v>7509.0</v>
      </c>
    </row>
    <row r="167" ht="22.5" customHeight="1">
      <c r="A167" s="7">
        <v>44509.0</v>
      </c>
      <c r="B167" s="8">
        <v>44509.458344907405</v>
      </c>
      <c r="C167" s="6" t="s">
        <v>26</v>
      </c>
      <c r="D167" s="6" t="s">
        <v>411</v>
      </c>
      <c r="E167" s="6" t="s">
        <v>28</v>
      </c>
      <c r="F167" s="6" t="s">
        <v>34</v>
      </c>
      <c r="G167" s="6" t="s">
        <v>412</v>
      </c>
      <c r="H167" s="9" t="s">
        <v>413</v>
      </c>
      <c r="I167" s="10">
        <v>1.0</v>
      </c>
      <c r="J167" s="10">
        <v>8428.0</v>
      </c>
      <c r="K167" s="10">
        <v>11918.0</v>
      </c>
      <c r="L167" s="10">
        <v>2440.0</v>
      </c>
      <c r="M167" s="10">
        <v>2028.0</v>
      </c>
      <c r="N167" s="10">
        <v>8428.0</v>
      </c>
    </row>
    <row r="168" ht="22.5" customHeight="1">
      <c r="A168" s="7">
        <v>44509.0</v>
      </c>
      <c r="B168" s="8">
        <v>44509.75087962963</v>
      </c>
      <c r="C168" s="6" t="s">
        <v>26</v>
      </c>
      <c r="D168" s="6" t="s">
        <v>219</v>
      </c>
      <c r="E168" s="6" t="s">
        <v>72</v>
      </c>
      <c r="F168" s="6" t="s">
        <v>44</v>
      </c>
      <c r="G168" s="6" t="s">
        <v>220</v>
      </c>
      <c r="H168" s="9" t="s">
        <v>221</v>
      </c>
      <c r="I168" s="10">
        <v>1.0</v>
      </c>
      <c r="J168" s="10">
        <v>472.0</v>
      </c>
      <c r="K168" s="10">
        <v>587.0</v>
      </c>
      <c r="L168" s="10">
        <v>39.0</v>
      </c>
      <c r="M168" s="10">
        <v>166.0</v>
      </c>
      <c r="N168" s="10">
        <v>472.0</v>
      </c>
    </row>
    <row r="169" ht="22.5" customHeight="1">
      <c r="A169" s="7">
        <v>44509.0</v>
      </c>
      <c r="B169" s="8">
        <v>44509.833391203705</v>
      </c>
      <c r="C169" s="6" t="s">
        <v>26</v>
      </c>
      <c r="D169" s="6" t="s">
        <v>894</v>
      </c>
      <c r="E169" s="6" t="s">
        <v>28</v>
      </c>
      <c r="F169" s="6" t="s">
        <v>34</v>
      </c>
      <c r="G169" s="6" t="s">
        <v>895</v>
      </c>
      <c r="H169" s="9" t="s">
        <v>896</v>
      </c>
      <c r="I169" s="10">
        <v>1.0</v>
      </c>
      <c r="J169" s="10">
        <v>526.0</v>
      </c>
      <c r="K169" s="10">
        <v>554.0</v>
      </c>
      <c r="L169" s="10">
        <v>55.0</v>
      </c>
      <c r="M169" s="10">
        <v>15.0</v>
      </c>
      <c r="N169" s="10">
        <v>526.0</v>
      </c>
    </row>
    <row r="170" ht="22.5" customHeight="1">
      <c r="A170" s="7">
        <v>44510.0</v>
      </c>
      <c r="B170" s="8">
        <v>44510.33335648148</v>
      </c>
      <c r="C170" s="6" t="s">
        <v>26</v>
      </c>
      <c r="D170" s="6" t="s">
        <v>301</v>
      </c>
      <c r="E170" s="6" t="s">
        <v>28</v>
      </c>
      <c r="F170" s="6" t="s">
        <v>34</v>
      </c>
      <c r="G170" s="6" t="s">
        <v>302</v>
      </c>
      <c r="H170" s="9" t="s">
        <v>303</v>
      </c>
      <c r="I170" s="10">
        <v>1.0</v>
      </c>
      <c r="J170" s="10">
        <v>5441.0</v>
      </c>
      <c r="K170" s="10">
        <v>5862.0</v>
      </c>
      <c r="L170" s="10">
        <v>315.0</v>
      </c>
      <c r="M170" s="10">
        <v>36.0</v>
      </c>
      <c r="N170" s="10">
        <v>5441.0</v>
      </c>
    </row>
    <row r="171" ht="22.5" customHeight="1">
      <c r="A171" s="7">
        <v>44510.0</v>
      </c>
      <c r="B171" s="8">
        <v>44510.708344907405</v>
      </c>
      <c r="C171" s="6" t="s">
        <v>26</v>
      </c>
      <c r="D171" s="6" t="s">
        <v>744</v>
      </c>
      <c r="E171" s="6" t="s">
        <v>28</v>
      </c>
      <c r="F171" s="6" t="s">
        <v>34</v>
      </c>
      <c r="G171" s="6" t="s">
        <v>745</v>
      </c>
      <c r="H171" s="9" t="s">
        <v>746</v>
      </c>
      <c r="I171" s="10">
        <v>1.0</v>
      </c>
      <c r="J171" s="10">
        <v>735.0</v>
      </c>
      <c r="K171" s="10">
        <v>774.0</v>
      </c>
      <c r="L171" s="10">
        <v>84.0</v>
      </c>
      <c r="M171" s="10">
        <v>31.0</v>
      </c>
      <c r="N171" s="10">
        <v>735.0</v>
      </c>
    </row>
    <row r="172" ht="22.5" customHeight="1">
      <c r="A172" s="7">
        <v>44511.0</v>
      </c>
      <c r="B172" s="8">
        <v>44511.41668981482</v>
      </c>
      <c r="C172" s="6" t="s">
        <v>26</v>
      </c>
      <c r="D172" s="6" t="s">
        <v>384</v>
      </c>
      <c r="E172" s="6" t="s">
        <v>28</v>
      </c>
      <c r="F172" s="6" t="s">
        <v>34</v>
      </c>
      <c r="G172" s="6" t="s">
        <v>385</v>
      </c>
      <c r="H172" s="9" t="s">
        <v>386</v>
      </c>
      <c r="I172" s="10">
        <v>1.0</v>
      </c>
      <c r="J172" s="10">
        <v>4452.0</v>
      </c>
      <c r="K172" s="10">
        <v>4501.0</v>
      </c>
      <c r="L172" s="10">
        <v>128.0</v>
      </c>
      <c r="M172" s="10">
        <v>16.0</v>
      </c>
      <c r="N172" s="10">
        <v>4452.0</v>
      </c>
    </row>
    <row r="173" ht="22.5" customHeight="1">
      <c r="A173" s="7">
        <v>44511.0</v>
      </c>
      <c r="B173" s="8">
        <v>44511.45837962963</v>
      </c>
      <c r="C173" s="6" t="s">
        <v>26</v>
      </c>
      <c r="D173" s="6" t="s">
        <v>465</v>
      </c>
      <c r="E173" s="6" t="s">
        <v>28</v>
      </c>
      <c r="F173" s="6" t="s">
        <v>34</v>
      </c>
      <c r="G173" s="6" t="s">
        <v>466</v>
      </c>
      <c r="H173" s="9" t="s">
        <v>467</v>
      </c>
      <c r="I173" s="10">
        <v>1.0</v>
      </c>
      <c r="J173" s="10">
        <v>748.0</v>
      </c>
      <c r="K173" s="10">
        <v>930.0</v>
      </c>
      <c r="L173" s="10">
        <v>68.0</v>
      </c>
      <c r="M173" s="10">
        <v>78.0</v>
      </c>
      <c r="N173" s="10">
        <v>748.0</v>
      </c>
    </row>
    <row r="174" ht="22.5" customHeight="1">
      <c r="A174" s="7">
        <v>44511.0</v>
      </c>
      <c r="B174" s="8">
        <v>44511.55724537037</v>
      </c>
      <c r="C174" s="6" t="s">
        <v>26</v>
      </c>
      <c r="D174" s="6" t="s">
        <v>60</v>
      </c>
      <c r="E174" s="6" t="s">
        <v>61</v>
      </c>
      <c r="F174" s="6" t="s">
        <v>62</v>
      </c>
      <c r="G174" s="6" t="s">
        <v>63</v>
      </c>
      <c r="H174" s="9" t="s">
        <v>64</v>
      </c>
      <c r="I174" s="10">
        <v>1.0</v>
      </c>
      <c r="J174" s="10">
        <v>1238.0</v>
      </c>
      <c r="K174" s="10">
        <v>1984.0</v>
      </c>
      <c r="L174" s="10">
        <v>1427.0</v>
      </c>
      <c r="M174" s="10">
        <v>243.0</v>
      </c>
      <c r="N174" s="10">
        <v>1238.0</v>
      </c>
    </row>
    <row r="175" ht="22.5" customHeight="1">
      <c r="A175" s="7">
        <v>44512.0</v>
      </c>
      <c r="B175" s="8">
        <v>44512.458333333336</v>
      </c>
      <c r="C175" s="6" t="s">
        <v>26</v>
      </c>
      <c r="D175" s="6" t="s">
        <v>702</v>
      </c>
      <c r="E175" s="6" t="s">
        <v>28</v>
      </c>
      <c r="F175" s="6" t="s">
        <v>34</v>
      </c>
      <c r="G175" s="6" t="s">
        <v>703</v>
      </c>
      <c r="H175" s="9" t="s">
        <v>704</v>
      </c>
      <c r="I175" s="10">
        <v>1.0</v>
      </c>
      <c r="J175" s="10">
        <v>5681.0</v>
      </c>
      <c r="K175" s="10">
        <v>5778.0</v>
      </c>
      <c r="L175" s="10">
        <v>193.0</v>
      </c>
      <c r="M175" s="10">
        <v>77.0</v>
      </c>
      <c r="N175" s="10">
        <v>5681.0</v>
      </c>
    </row>
    <row r="176" ht="22.5" customHeight="1">
      <c r="A176" s="7">
        <v>44512.0</v>
      </c>
      <c r="B176" s="8">
        <v>44512.79173611111</v>
      </c>
      <c r="C176" s="6" t="s">
        <v>26</v>
      </c>
      <c r="D176" s="6" t="s">
        <v>591</v>
      </c>
      <c r="E176" s="6" t="s">
        <v>61</v>
      </c>
      <c r="F176" s="6" t="s">
        <v>62</v>
      </c>
      <c r="G176" s="6" t="s">
        <v>592</v>
      </c>
      <c r="H176" s="9" t="s">
        <v>593</v>
      </c>
      <c r="I176" s="10">
        <v>1.0</v>
      </c>
      <c r="J176" s="10">
        <v>616.0</v>
      </c>
      <c r="K176" s="10">
        <v>658.0</v>
      </c>
      <c r="L176" s="10">
        <v>139.0</v>
      </c>
      <c r="M176" s="10">
        <v>20.0</v>
      </c>
      <c r="N176" s="10">
        <v>616.0</v>
      </c>
    </row>
    <row r="177" ht="22.5" customHeight="1">
      <c r="A177" s="7">
        <v>44512.0</v>
      </c>
      <c r="B177" s="8">
        <v>44512.83336805556</v>
      </c>
      <c r="C177" s="6" t="s">
        <v>26</v>
      </c>
      <c r="D177" s="6" t="s">
        <v>576</v>
      </c>
      <c r="E177" s="6" t="s">
        <v>28</v>
      </c>
      <c r="F177" s="6" t="s">
        <v>229</v>
      </c>
      <c r="G177" s="6" t="s">
        <v>577</v>
      </c>
      <c r="H177" s="9" t="s">
        <v>578</v>
      </c>
      <c r="I177" s="10">
        <v>1.0</v>
      </c>
      <c r="J177" s="10">
        <v>1658.0</v>
      </c>
      <c r="K177" s="10">
        <v>1697.0</v>
      </c>
      <c r="L177" s="10">
        <v>54.0</v>
      </c>
      <c r="M177" s="10">
        <v>32.0</v>
      </c>
      <c r="N177" s="10">
        <v>1658.0</v>
      </c>
    </row>
    <row r="178" ht="22.5" customHeight="1">
      <c r="A178" s="7">
        <v>44513.0</v>
      </c>
      <c r="B178" s="8">
        <v>44513.29173611111</v>
      </c>
      <c r="C178" s="6" t="s">
        <v>26</v>
      </c>
      <c r="D178" s="6" t="s">
        <v>618</v>
      </c>
      <c r="E178" s="6" t="s">
        <v>28</v>
      </c>
      <c r="F178" s="6" t="s">
        <v>34</v>
      </c>
      <c r="G178" s="6" t="s">
        <v>619</v>
      </c>
      <c r="H178" s="9" t="s">
        <v>620</v>
      </c>
      <c r="I178" s="10">
        <v>1.0</v>
      </c>
      <c r="J178" s="10">
        <v>475.0</v>
      </c>
      <c r="K178" s="10">
        <v>489.0</v>
      </c>
      <c r="L178" s="10">
        <v>50.0</v>
      </c>
      <c r="M178" s="10">
        <v>3.0</v>
      </c>
      <c r="N178" s="10">
        <v>475.0</v>
      </c>
    </row>
    <row r="179" ht="22.5" customHeight="1">
      <c r="A179" s="7">
        <v>44513.0</v>
      </c>
      <c r="B179" s="8">
        <v>44513.375023148146</v>
      </c>
      <c r="C179" s="6" t="s">
        <v>26</v>
      </c>
      <c r="D179" s="6" t="s">
        <v>573</v>
      </c>
      <c r="E179" s="6" t="s">
        <v>28</v>
      </c>
      <c r="F179" s="6" t="s">
        <v>34</v>
      </c>
      <c r="G179" s="6" t="s">
        <v>574</v>
      </c>
      <c r="H179" s="9" t="s">
        <v>575</v>
      </c>
      <c r="I179" s="10">
        <v>1.0</v>
      </c>
      <c r="J179" s="10">
        <v>11049.0</v>
      </c>
      <c r="K179" s="10">
        <v>11293.0</v>
      </c>
      <c r="L179" s="10">
        <v>305.0</v>
      </c>
      <c r="M179" s="10">
        <v>96.0</v>
      </c>
      <c r="N179" s="10">
        <v>11049.0</v>
      </c>
    </row>
    <row r="180" ht="22.5" customHeight="1">
      <c r="A180" s="7">
        <v>44513.0</v>
      </c>
      <c r="B180" s="8">
        <v>44513.458391203705</v>
      </c>
      <c r="C180" s="6" t="s">
        <v>26</v>
      </c>
      <c r="D180" s="6" t="s">
        <v>525</v>
      </c>
      <c r="E180" s="6" t="s">
        <v>28</v>
      </c>
      <c r="F180" s="6" t="s">
        <v>34</v>
      </c>
      <c r="G180" s="6" t="s">
        <v>526</v>
      </c>
      <c r="H180" s="9" t="s">
        <v>527</v>
      </c>
      <c r="I180" s="10">
        <v>1.0</v>
      </c>
      <c r="J180" s="10">
        <v>8577.0</v>
      </c>
      <c r="K180" s="10">
        <v>8646.0</v>
      </c>
      <c r="L180" s="10">
        <v>129.0</v>
      </c>
      <c r="M180" s="10">
        <v>23.0</v>
      </c>
      <c r="N180" s="10">
        <v>8577.0</v>
      </c>
    </row>
    <row r="181" ht="22.5" customHeight="1">
      <c r="A181" s="7">
        <v>44513.0</v>
      </c>
      <c r="B181" s="8">
        <v>44513.5</v>
      </c>
      <c r="C181" s="6" t="s">
        <v>26</v>
      </c>
      <c r="D181" s="6" t="s">
        <v>621</v>
      </c>
      <c r="E181" s="6" t="s">
        <v>28</v>
      </c>
      <c r="F181" s="6" t="s">
        <v>34</v>
      </c>
      <c r="G181" s="6" t="s">
        <v>622</v>
      </c>
      <c r="H181" s="9" t="s">
        <v>623</v>
      </c>
      <c r="I181" s="10">
        <v>1.0</v>
      </c>
      <c r="J181" s="10">
        <v>8995.0</v>
      </c>
      <c r="K181" s="10">
        <v>9098.0</v>
      </c>
      <c r="L181" s="10">
        <v>105.0</v>
      </c>
      <c r="M181" s="10">
        <v>33.0</v>
      </c>
      <c r="N181" s="10">
        <v>8995.0</v>
      </c>
    </row>
    <row r="182" ht="22.5" customHeight="1">
      <c r="A182" s="7">
        <v>44513.0</v>
      </c>
      <c r="B182" s="8">
        <v>44513.58336805556</v>
      </c>
      <c r="C182" s="6" t="s">
        <v>26</v>
      </c>
      <c r="D182" s="6" t="s">
        <v>504</v>
      </c>
      <c r="E182" s="6" t="s">
        <v>61</v>
      </c>
      <c r="F182" s="6" t="s">
        <v>76</v>
      </c>
      <c r="G182" s="6" t="s">
        <v>505</v>
      </c>
      <c r="H182" s="9" t="s">
        <v>506</v>
      </c>
      <c r="I182" s="10">
        <v>1.0</v>
      </c>
      <c r="J182" s="10">
        <v>3184.0</v>
      </c>
      <c r="K182" s="10">
        <v>3703.0</v>
      </c>
      <c r="L182" s="10">
        <v>73.0</v>
      </c>
      <c r="M182" s="10">
        <v>183.0</v>
      </c>
      <c r="N182" s="10">
        <v>3184.0</v>
      </c>
    </row>
    <row r="183" ht="22.5" customHeight="1">
      <c r="A183" s="7">
        <v>44513.0</v>
      </c>
      <c r="B183" s="8">
        <v>44513.875023148146</v>
      </c>
      <c r="C183" s="6" t="s">
        <v>26</v>
      </c>
      <c r="D183" s="6" t="s">
        <v>870</v>
      </c>
      <c r="E183" s="6" t="s">
        <v>61</v>
      </c>
      <c r="F183" s="6" t="s">
        <v>76</v>
      </c>
      <c r="G183" s="6" t="s">
        <v>871</v>
      </c>
      <c r="H183" s="9" t="s">
        <v>872</v>
      </c>
      <c r="I183" s="10">
        <v>1.0</v>
      </c>
      <c r="J183" s="10">
        <v>1196.0</v>
      </c>
      <c r="K183" s="10">
        <v>1432.0</v>
      </c>
      <c r="L183" s="10">
        <v>47.0</v>
      </c>
      <c r="M183" s="10">
        <v>48.0</v>
      </c>
      <c r="N183" s="10">
        <v>1196.0</v>
      </c>
    </row>
    <row r="184" ht="22.5" customHeight="1">
      <c r="A184" s="7">
        <v>44514.0</v>
      </c>
      <c r="B184" s="8">
        <v>44514.375023148146</v>
      </c>
      <c r="C184" s="6" t="s">
        <v>26</v>
      </c>
      <c r="D184" s="6" t="s">
        <v>756</v>
      </c>
      <c r="E184" s="6" t="s">
        <v>28</v>
      </c>
      <c r="F184" s="6" t="s">
        <v>34</v>
      </c>
      <c r="G184" s="6" t="s">
        <v>757</v>
      </c>
      <c r="H184" s="9" t="s">
        <v>758</v>
      </c>
      <c r="I184" s="10">
        <v>1.0</v>
      </c>
      <c r="J184" s="10">
        <v>13410.0</v>
      </c>
      <c r="K184" s="10">
        <v>13941.0</v>
      </c>
      <c r="L184" s="10">
        <v>654.0</v>
      </c>
      <c r="M184" s="10">
        <v>94.0</v>
      </c>
      <c r="N184" s="10">
        <v>13410.0</v>
      </c>
    </row>
    <row r="185" ht="22.5" customHeight="1">
      <c r="A185" s="7">
        <v>44514.0</v>
      </c>
      <c r="B185" s="8">
        <v>44514.53927083333</v>
      </c>
      <c r="C185" s="6" t="s">
        <v>26</v>
      </c>
      <c r="D185" s="6" t="s">
        <v>534</v>
      </c>
      <c r="E185" s="6" t="s">
        <v>61</v>
      </c>
      <c r="F185" s="6" t="s">
        <v>62</v>
      </c>
      <c r="G185" s="6" t="s">
        <v>535</v>
      </c>
      <c r="H185" s="9" t="s">
        <v>536</v>
      </c>
      <c r="I185" s="10">
        <v>1.0</v>
      </c>
      <c r="J185" s="10">
        <v>558.0</v>
      </c>
      <c r="K185" s="10">
        <v>807.0</v>
      </c>
      <c r="L185" s="10">
        <v>646.0</v>
      </c>
      <c r="M185" s="10">
        <v>111.0</v>
      </c>
      <c r="N185" s="10">
        <v>558.0</v>
      </c>
    </row>
    <row r="186" ht="22.5" customHeight="1">
      <c r="A186" s="7">
        <v>44515.0</v>
      </c>
      <c r="B186" s="8">
        <v>44515.54167824074</v>
      </c>
      <c r="C186" s="6" t="s">
        <v>26</v>
      </c>
      <c r="D186" s="6" t="s">
        <v>143</v>
      </c>
      <c r="E186" s="6" t="s">
        <v>61</v>
      </c>
      <c r="F186" s="6" t="s">
        <v>62</v>
      </c>
      <c r="G186" s="6" t="s">
        <v>144</v>
      </c>
      <c r="H186" s="9" t="s">
        <v>145</v>
      </c>
      <c r="I186" s="10">
        <v>1.0</v>
      </c>
      <c r="J186" s="10">
        <v>1098.0</v>
      </c>
      <c r="K186" s="10">
        <v>1184.0</v>
      </c>
      <c r="L186" s="10">
        <v>64.0</v>
      </c>
      <c r="M186" s="10">
        <v>30.0</v>
      </c>
      <c r="N186" s="10">
        <v>1098.0</v>
      </c>
    </row>
    <row r="187" ht="22.5" customHeight="1">
      <c r="A187" s="7">
        <v>44515.0</v>
      </c>
      <c r="B187" s="8">
        <v>44515.709814814814</v>
      </c>
      <c r="C187" s="6" t="s">
        <v>26</v>
      </c>
      <c r="D187" s="6" t="s">
        <v>46</v>
      </c>
      <c r="E187" s="6" t="s">
        <v>28</v>
      </c>
      <c r="F187" s="6" t="s">
        <v>37</v>
      </c>
      <c r="G187" s="6"/>
      <c r="H187" s="9" t="s">
        <v>47</v>
      </c>
      <c r="I187" s="10">
        <v>1.0</v>
      </c>
      <c r="J187" s="10">
        <v>1168.0</v>
      </c>
      <c r="K187" s="10">
        <v>1272.0</v>
      </c>
      <c r="L187" s="10">
        <v>92.0</v>
      </c>
      <c r="M187" s="10">
        <v>12.0</v>
      </c>
      <c r="N187" s="10">
        <v>1168.0</v>
      </c>
    </row>
    <row r="188" ht="22.5" customHeight="1">
      <c r="A188" s="7">
        <v>44516.0</v>
      </c>
      <c r="B188" s="8">
        <v>44516.33337962963</v>
      </c>
      <c r="C188" s="6" t="s">
        <v>26</v>
      </c>
      <c r="D188" s="6" t="s">
        <v>609</v>
      </c>
      <c r="E188" s="6" t="s">
        <v>28</v>
      </c>
      <c r="F188" s="6" t="s">
        <v>34</v>
      </c>
      <c r="G188" s="6" t="s">
        <v>610</v>
      </c>
      <c r="H188" s="9" t="s">
        <v>611</v>
      </c>
      <c r="I188" s="10">
        <v>1.0</v>
      </c>
      <c r="J188" s="10">
        <v>7945.0</v>
      </c>
      <c r="K188" s="10">
        <v>8104.0</v>
      </c>
      <c r="L188" s="10">
        <v>272.0</v>
      </c>
      <c r="M188" s="10">
        <v>86.0</v>
      </c>
      <c r="N188" s="10">
        <v>7945.0</v>
      </c>
    </row>
    <row r="189" ht="22.5" customHeight="1">
      <c r="A189" s="7">
        <v>44516.0</v>
      </c>
      <c r="B189" s="8">
        <v>44516.41672453703</v>
      </c>
      <c r="C189" s="6" t="s">
        <v>26</v>
      </c>
      <c r="D189" s="6" t="s">
        <v>558</v>
      </c>
      <c r="E189" s="6" t="s">
        <v>28</v>
      </c>
      <c r="F189" s="6" t="s">
        <v>34</v>
      </c>
      <c r="G189" s="6" t="s">
        <v>559</v>
      </c>
      <c r="H189" s="9" t="s">
        <v>560</v>
      </c>
      <c r="I189" s="10">
        <v>1.0</v>
      </c>
      <c r="J189" s="10">
        <v>5814.0</v>
      </c>
      <c r="K189" s="10">
        <v>5904.0</v>
      </c>
      <c r="L189" s="10">
        <v>72.0</v>
      </c>
      <c r="M189" s="10">
        <v>21.0</v>
      </c>
      <c r="N189" s="10">
        <v>5814.0</v>
      </c>
    </row>
    <row r="190" ht="22.5" customHeight="1">
      <c r="A190" s="7">
        <v>44516.0</v>
      </c>
      <c r="B190" s="8">
        <v>44516.66667824074</v>
      </c>
      <c r="C190" s="6" t="s">
        <v>26</v>
      </c>
      <c r="D190" s="6" t="s">
        <v>579</v>
      </c>
      <c r="E190" s="6" t="s">
        <v>28</v>
      </c>
      <c r="F190" s="6" t="s">
        <v>34</v>
      </c>
      <c r="G190" s="6" t="s">
        <v>580</v>
      </c>
      <c r="H190" s="9" t="s">
        <v>581</v>
      </c>
      <c r="I190" s="10">
        <v>1.0</v>
      </c>
      <c r="J190" s="10">
        <v>6250.0</v>
      </c>
      <c r="K190" s="10">
        <v>6316.0</v>
      </c>
      <c r="L190" s="10">
        <v>32.0</v>
      </c>
      <c r="M190" s="10">
        <v>15.0</v>
      </c>
      <c r="N190" s="10">
        <v>6250.0</v>
      </c>
    </row>
    <row r="191" ht="22.5" customHeight="1">
      <c r="A191" s="7">
        <v>44516.0</v>
      </c>
      <c r="B191" s="8">
        <v>44516.79172453703</v>
      </c>
      <c r="C191" s="6" t="s">
        <v>26</v>
      </c>
      <c r="D191" s="6" t="s">
        <v>998</v>
      </c>
      <c r="E191" s="6" t="s">
        <v>28</v>
      </c>
      <c r="F191" s="6" t="s">
        <v>34</v>
      </c>
      <c r="G191" s="6" t="s">
        <v>999</v>
      </c>
      <c r="H191" s="9" t="s">
        <v>1000</v>
      </c>
      <c r="I191" s="10">
        <v>1.0</v>
      </c>
      <c r="J191" s="10">
        <v>909.0</v>
      </c>
      <c r="K191" s="10">
        <v>1136.0</v>
      </c>
      <c r="L191" s="10">
        <v>41.0</v>
      </c>
      <c r="M191" s="10">
        <v>31.0</v>
      </c>
      <c r="N191" s="10">
        <v>909.0</v>
      </c>
    </row>
    <row r="192" ht="22.5" customHeight="1">
      <c r="A192" s="7">
        <v>44517.0</v>
      </c>
      <c r="B192" s="8">
        <v>44517.541666666664</v>
      </c>
      <c r="C192" s="6" t="s">
        <v>26</v>
      </c>
      <c r="D192" s="6" t="s">
        <v>1255</v>
      </c>
      <c r="E192" s="6" t="s">
        <v>28</v>
      </c>
      <c r="F192" s="6" t="s">
        <v>34</v>
      </c>
      <c r="G192" s="6" t="s">
        <v>1256</v>
      </c>
      <c r="H192" s="9" t="s">
        <v>1257</v>
      </c>
      <c r="I192" s="10">
        <v>1.0</v>
      </c>
      <c r="J192" s="10">
        <v>219.0</v>
      </c>
      <c r="K192" s="10">
        <v>228.0</v>
      </c>
      <c r="L192" s="10">
        <v>33.0</v>
      </c>
      <c r="M192" s="10">
        <v>5.0</v>
      </c>
      <c r="N192" s="10">
        <v>219.0</v>
      </c>
    </row>
    <row r="193" ht="22.5" customHeight="1">
      <c r="A193" s="7">
        <v>44518.0</v>
      </c>
      <c r="B193" s="8">
        <v>44518.708333333336</v>
      </c>
      <c r="C193" s="6" t="s">
        <v>26</v>
      </c>
      <c r="D193" s="6" t="s">
        <v>1213</v>
      </c>
      <c r="E193" s="6" t="s">
        <v>28</v>
      </c>
      <c r="F193" s="6" t="s">
        <v>34</v>
      </c>
      <c r="G193" s="6" t="s">
        <v>1214</v>
      </c>
      <c r="H193" s="9" t="s">
        <v>1215</v>
      </c>
      <c r="I193" s="10">
        <v>1.0</v>
      </c>
      <c r="J193" s="10">
        <v>447.0</v>
      </c>
      <c r="K193" s="10">
        <v>465.0</v>
      </c>
      <c r="L193" s="10">
        <v>36.0</v>
      </c>
      <c r="M193" s="10">
        <v>5.0</v>
      </c>
      <c r="N193" s="10">
        <v>447.0</v>
      </c>
    </row>
    <row r="194" ht="22.5" customHeight="1">
      <c r="A194" s="7">
        <v>44518.0</v>
      </c>
      <c r="B194" s="8">
        <v>44518.791712962964</v>
      </c>
      <c r="C194" s="6" t="s">
        <v>26</v>
      </c>
      <c r="D194" s="6" t="s">
        <v>232</v>
      </c>
      <c r="E194" s="6" t="s">
        <v>28</v>
      </c>
      <c r="F194" s="6" t="s">
        <v>34</v>
      </c>
      <c r="G194" s="6" t="s">
        <v>233</v>
      </c>
      <c r="H194" s="9" t="s">
        <v>234</v>
      </c>
      <c r="I194" s="10">
        <v>1.0</v>
      </c>
      <c r="J194" s="10">
        <v>381.0</v>
      </c>
      <c r="K194" s="10">
        <v>414.0</v>
      </c>
      <c r="L194" s="10">
        <v>7.0</v>
      </c>
      <c r="M194" s="10">
        <v>22.0</v>
      </c>
      <c r="N194" s="10">
        <v>381.0</v>
      </c>
    </row>
    <row r="195" ht="22.5" customHeight="1">
      <c r="A195" s="7">
        <v>44518.0</v>
      </c>
      <c r="B195" s="8">
        <v>44518.833958333336</v>
      </c>
      <c r="C195" s="6" t="s">
        <v>26</v>
      </c>
      <c r="D195" s="6" t="s">
        <v>843</v>
      </c>
      <c r="E195" s="6" t="s">
        <v>33</v>
      </c>
      <c r="F195" s="6" t="s">
        <v>89</v>
      </c>
      <c r="G195" s="6" t="s">
        <v>844</v>
      </c>
      <c r="H195" s="9" t="s">
        <v>845</v>
      </c>
      <c r="I195" s="10">
        <v>1.0</v>
      </c>
      <c r="J195" s="10">
        <v>241.0</v>
      </c>
      <c r="K195" s="10">
        <v>265.0</v>
      </c>
      <c r="L195" s="10">
        <v>23.0</v>
      </c>
      <c r="M195" s="10">
        <v>4.0</v>
      </c>
      <c r="N195" s="10">
        <v>241.0</v>
      </c>
    </row>
    <row r="196" ht="22.5" customHeight="1">
      <c r="A196" s="7">
        <v>44519.0</v>
      </c>
      <c r="B196" s="8">
        <v>44519.41667824074</v>
      </c>
      <c r="C196" s="6" t="s">
        <v>26</v>
      </c>
      <c r="D196" s="6" t="s">
        <v>555</v>
      </c>
      <c r="E196" s="6" t="s">
        <v>28</v>
      </c>
      <c r="F196" s="6" t="s">
        <v>34</v>
      </c>
      <c r="G196" s="6" t="s">
        <v>556</v>
      </c>
      <c r="H196" s="9" t="s">
        <v>557</v>
      </c>
      <c r="I196" s="10">
        <v>1.0</v>
      </c>
      <c r="J196" s="10">
        <v>9743.0</v>
      </c>
      <c r="K196" s="10">
        <v>9856.0</v>
      </c>
      <c r="L196" s="10">
        <v>48.0</v>
      </c>
      <c r="M196" s="10">
        <v>27.0</v>
      </c>
      <c r="N196" s="10">
        <v>9743.0</v>
      </c>
    </row>
    <row r="197" ht="22.5" customHeight="1">
      <c r="A197" s="7">
        <v>44519.0</v>
      </c>
      <c r="B197" s="8">
        <v>44519.50001157408</v>
      </c>
      <c r="C197" s="6" t="s">
        <v>26</v>
      </c>
      <c r="D197" s="6" t="s">
        <v>222</v>
      </c>
      <c r="E197" s="6" t="s">
        <v>61</v>
      </c>
      <c r="F197" s="6" t="s">
        <v>62</v>
      </c>
      <c r="G197" s="6" t="s">
        <v>223</v>
      </c>
      <c r="H197" s="9" t="s">
        <v>224</v>
      </c>
      <c r="I197" s="10">
        <v>1.0</v>
      </c>
      <c r="J197" s="10">
        <v>828.0</v>
      </c>
      <c r="K197" s="10">
        <v>916.0</v>
      </c>
      <c r="L197" s="10">
        <v>115.0</v>
      </c>
      <c r="M197" s="10">
        <v>39.0</v>
      </c>
      <c r="N197" s="10">
        <v>828.0</v>
      </c>
    </row>
    <row r="198" ht="22.5" customHeight="1">
      <c r="A198" s="7">
        <v>44519.0</v>
      </c>
      <c r="B198" s="8">
        <v>44519.54168981482</v>
      </c>
      <c r="C198" s="6" t="s">
        <v>26</v>
      </c>
      <c r="D198" s="6" t="s">
        <v>594</v>
      </c>
      <c r="E198" s="6" t="s">
        <v>28</v>
      </c>
      <c r="F198" s="6" t="s">
        <v>34</v>
      </c>
      <c r="G198" s="6" t="s">
        <v>595</v>
      </c>
      <c r="H198" s="9" t="s">
        <v>596</v>
      </c>
      <c r="I198" s="10">
        <v>1.0</v>
      </c>
      <c r="J198" s="10">
        <v>10079.0</v>
      </c>
      <c r="K198" s="10">
        <v>10213.0</v>
      </c>
      <c r="L198" s="10">
        <v>115.0</v>
      </c>
      <c r="M198" s="10">
        <v>24.0</v>
      </c>
      <c r="N198" s="10">
        <v>10079.0</v>
      </c>
    </row>
    <row r="199" ht="22.5" customHeight="1">
      <c r="A199" s="7">
        <v>44519.0</v>
      </c>
      <c r="B199" s="8">
        <v>44519.70898148148</v>
      </c>
      <c r="C199" s="6" t="s">
        <v>26</v>
      </c>
      <c r="D199" s="6" t="s">
        <v>480</v>
      </c>
      <c r="E199" s="6" t="s">
        <v>72</v>
      </c>
      <c r="F199" s="6" t="s">
        <v>44</v>
      </c>
      <c r="G199" s="6" t="s">
        <v>481</v>
      </c>
      <c r="H199" s="9" t="s">
        <v>482</v>
      </c>
      <c r="I199" s="10">
        <v>1.0</v>
      </c>
      <c r="J199" s="10">
        <v>235.0</v>
      </c>
      <c r="K199" s="10">
        <v>264.0</v>
      </c>
      <c r="L199" s="10">
        <v>9.0</v>
      </c>
      <c r="M199" s="10">
        <v>27.0</v>
      </c>
      <c r="N199" s="10">
        <v>235.0</v>
      </c>
    </row>
    <row r="200" ht="22.5" customHeight="1">
      <c r="A200" s="7">
        <v>44519.0</v>
      </c>
      <c r="B200" s="8">
        <v>44519.83341435185</v>
      </c>
      <c r="C200" s="6" t="s">
        <v>26</v>
      </c>
      <c r="D200" s="6" t="s">
        <v>938</v>
      </c>
      <c r="E200" s="6" t="s">
        <v>61</v>
      </c>
      <c r="F200" s="6" t="s">
        <v>62</v>
      </c>
      <c r="G200" s="6" t="s">
        <v>939</v>
      </c>
      <c r="H200" s="9" t="s">
        <v>940</v>
      </c>
      <c r="I200" s="10">
        <v>1.0</v>
      </c>
      <c r="J200" s="10">
        <v>527.0</v>
      </c>
      <c r="K200" s="10">
        <v>638.0</v>
      </c>
      <c r="L200" s="10">
        <v>21.0</v>
      </c>
      <c r="M200" s="10">
        <v>17.0</v>
      </c>
      <c r="N200" s="10">
        <v>527.0</v>
      </c>
    </row>
    <row r="201" ht="22.5" customHeight="1">
      <c r="A201" s="7">
        <v>44520.0</v>
      </c>
      <c r="B201" s="8">
        <v>44520.291712962964</v>
      </c>
      <c r="C201" s="6" t="s">
        <v>26</v>
      </c>
      <c r="D201" s="6" t="s">
        <v>316</v>
      </c>
      <c r="E201" s="6" t="s">
        <v>28</v>
      </c>
      <c r="F201" s="6" t="s">
        <v>34</v>
      </c>
      <c r="G201" s="6" t="s">
        <v>317</v>
      </c>
      <c r="H201" s="9" t="s">
        <v>318</v>
      </c>
      <c r="I201" s="10">
        <v>1.0</v>
      </c>
      <c r="J201" s="10">
        <v>954.0</v>
      </c>
      <c r="K201" s="10">
        <v>991.0</v>
      </c>
      <c r="L201" s="10">
        <v>78.0</v>
      </c>
      <c r="M201" s="10">
        <v>16.0</v>
      </c>
      <c r="N201" s="10">
        <v>954.0</v>
      </c>
    </row>
    <row r="202" ht="22.5" customHeight="1">
      <c r="A202" s="7">
        <v>44520.0</v>
      </c>
      <c r="B202" s="8">
        <v>44520.37503472222</v>
      </c>
      <c r="C202" s="6" t="s">
        <v>26</v>
      </c>
      <c r="D202" s="6" t="s">
        <v>207</v>
      </c>
      <c r="E202" s="6" t="s">
        <v>28</v>
      </c>
      <c r="F202" s="6" t="s">
        <v>34</v>
      </c>
      <c r="G202" s="6" t="s">
        <v>208</v>
      </c>
      <c r="H202" s="9" t="s">
        <v>209</v>
      </c>
      <c r="I202" s="10">
        <v>1.0</v>
      </c>
      <c r="J202" s="10">
        <v>11134.0</v>
      </c>
      <c r="K202" s="10">
        <v>11404.0</v>
      </c>
      <c r="L202" s="10">
        <v>297.0</v>
      </c>
      <c r="M202" s="10">
        <v>76.0</v>
      </c>
      <c r="N202" s="10">
        <v>11134.0</v>
      </c>
    </row>
    <row r="203" ht="22.5" customHeight="1">
      <c r="A203" s="7">
        <v>44520.0</v>
      </c>
      <c r="B203" s="8">
        <v>44520.62501157408</v>
      </c>
      <c r="C203" s="6" t="s">
        <v>26</v>
      </c>
      <c r="D203" s="6" t="s">
        <v>325</v>
      </c>
      <c r="E203" s="6" t="s">
        <v>28</v>
      </c>
      <c r="F203" s="6" t="s">
        <v>34</v>
      </c>
      <c r="G203" s="6" t="s">
        <v>326</v>
      </c>
      <c r="H203" s="9" t="s">
        <v>327</v>
      </c>
      <c r="I203" s="10">
        <v>1.0</v>
      </c>
      <c r="J203" s="10">
        <v>1519.0</v>
      </c>
      <c r="K203" s="10">
        <v>1572.0</v>
      </c>
      <c r="L203" s="10">
        <v>253.0</v>
      </c>
      <c r="M203" s="10">
        <v>21.0</v>
      </c>
      <c r="N203" s="10">
        <v>1519.0</v>
      </c>
    </row>
    <row r="204" ht="22.5" customHeight="1">
      <c r="A204" s="7">
        <v>44520.0</v>
      </c>
      <c r="B204" s="8">
        <v>44520.70489583333</v>
      </c>
      <c r="C204" s="6" t="s">
        <v>26</v>
      </c>
      <c r="D204" s="6" t="s">
        <v>146</v>
      </c>
      <c r="E204" s="6" t="s">
        <v>72</v>
      </c>
      <c r="F204" s="6" t="s">
        <v>44</v>
      </c>
      <c r="G204" s="6" t="s">
        <v>147</v>
      </c>
      <c r="H204" s="9" t="s">
        <v>148</v>
      </c>
      <c r="I204" s="10">
        <v>1.0</v>
      </c>
      <c r="J204" s="10">
        <v>225.0</v>
      </c>
      <c r="K204" s="10">
        <v>247.0</v>
      </c>
      <c r="L204" s="10">
        <v>10.0</v>
      </c>
      <c r="M204" s="10">
        <v>12.0</v>
      </c>
      <c r="N204" s="10">
        <v>225.0</v>
      </c>
    </row>
    <row r="205" ht="22.5" customHeight="1">
      <c r="A205" s="7">
        <v>44520.0</v>
      </c>
      <c r="B205" s="8">
        <v>44520.75009259259</v>
      </c>
      <c r="C205" s="6" t="s">
        <v>26</v>
      </c>
      <c r="D205" s="6" t="s">
        <v>513</v>
      </c>
      <c r="E205" s="6" t="s">
        <v>61</v>
      </c>
      <c r="F205" s="6" t="s">
        <v>62</v>
      </c>
      <c r="G205" s="6" t="s">
        <v>514</v>
      </c>
      <c r="H205" s="9" t="s">
        <v>515</v>
      </c>
      <c r="I205" s="10">
        <v>1.0</v>
      </c>
      <c r="J205" s="10">
        <v>522.0</v>
      </c>
      <c r="K205" s="10">
        <v>551.0</v>
      </c>
      <c r="L205" s="10">
        <v>21.0</v>
      </c>
      <c r="M205" s="10">
        <v>15.0</v>
      </c>
      <c r="N205" s="10">
        <v>522.0</v>
      </c>
    </row>
    <row r="206" ht="22.5" customHeight="1">
      <c r="A206" s="7">
        <v>44521.0</v>
      </c>
      <c r="B206" s="8">
        <v>44521.333333333336</v>
      </c>
      <c r="C206" s="6" t="s">
        <v>26</v>
      </c>
      <c r="D206" s="6" t="s">
        <v>717</v>
      </c>
      <c r="E206" s="6" t="s">
        <v>28</v>
      </c>
      <c r="F206" s="6" t="s">
        <v>34</v>
      </c>
      <c r="G206" s="6" t="s">
        <v>718</v>
      </c>
      <c r="H206" s="9" t="s">
        <v>719</v>
      </c>
      <c r="I206" s="10">
        <v>1.0</v>
      </c>
      <c r="J206" s="10">
        <v>12250.0</v>
      </c>
      <c r="K206" s="10">
        <v>13785.0</v>
      </c>
      <c r="L206" s="10">
        <v>1871.0</v>
      </c>
      <c r="M206" s="10">
        <v>281.0</v>
      </c>
      <c r="N206" s="10">
        <v>12250.0</v>
      </c>
    </row>
    <row r="207" ht="22.5" customHeight="1">
      <c r="A207" s="7">
        <v>44521.0</v>
      </c>
      <c r="B207" s="8">
        <v>44521.41668981482</v>
      </c>
      <c r="C207" s="6" t="s">
        <v>26</v>
      </c>
      <c r="D207" s="6" t="s">
        <v>1261</v>
      </c>
      <c r="E207" s="6" t="s">
        <v>28</v>
      </c>
      <c r="F207" s="6" t="s">
        <v>34</v>
      </c>
      <c r="G207" s="6" t="s">
        <v>1262</v>
      </c>
      <c r="H207" s="9" t="s">
        <v>1263</v>
      </c>
      <c r="I207" s="10">
        <v>1.0</v>
      </c>
      <c r="J207" s="10">
        <v>203.0</v>
      </c>
      <c r="K207" s="10">
        <v>212.0</v>
      </c>
      <c r="L207" s="10">
        <v>33.0</v>
      </c>
      <c r="M207" s="10">
        <v>4.0</v>
      </c>
      <c r="N207" s="10">
        <v>203.0</v>
      </c>
    </row>
    <row r="208" ht="22.5" customHeight="1">
      <c r="A208" s="7">
        <v>44521.0</v>
      </c>
      <c r="B208" s="8">
        <v>44521.45835648148</v>
      </c>
      <c r="C208" s="6" t="s">
        <v>26</v>
      </c>
      <c r="D208" s="6" t="s">
        <v>225</v>
      </c>
      <c r="E208" s="6" t="s">
        <v>28</v>
      </c>
      <c r="F208" s="6" t="s">
        <v>34</v>
      </c>
      <c r="G208" s="6" t="s">
        <v>226</v>
      </c>
      <c r="H208" s="9" t="s">
        <v>227</v>
      </c>
      <c r="I208" s="10">
        <v>1.0</v>
      </c>
      <c r="J208" s="10">
        <v>7115.0</v>
      </c>
      <c r="K208" s="10">
        <v>7205.0</v>
      </c>
      <c r="L208" s="10">
        <v>92.0</v>
      </c>
      <c r="M208" s="10">
        <v>54.0</v>
      </c>
      <c r="N208" s="10">
        <v>7115.0</v>
      </c>
    </row>
    <row r="209" ht="22.5" customHeight="1">
      <c r="A209" s="7">
        <v>44521.0</v>
      </c>
      <c r="B209" s="8">
        <v>44521.708391203705</v>
      </c>
      <c r="C209" s="6" t="s">
        <v>26</v>
      </c>
      <c r="D209" s="6" t="s">
        <v>155</v>
      </c>
      <c r="E209" s="6" t="s">
        <v>72</v>
      </c>
      <c r="F209" s="6" t="s">
        <v>44</v>
      </c>
      <c r="G209" s="6" t="s">
        <v>156</v>
      </c>
      <c r="H209" s="9" t="s">
        <v>157</v>
      </c>
      <c r="I209" s="10">
        <v>1.0</v>
      </c>
      <c r="J209" s="10">
        <v>451.0</v>
      </c>
      <c r="K209" s="10">
        <v>540.0</v>
      </c>
      <c r="L209" s="10">
        <v>23.0</v>
      </c>
      <c r="M209" s="10">
        <v>24.0</v>
      </c>
      <c r="N209" s="10">
        <v>451.0</v>
      </c>
    </row>
    <row r="210" ht="22.5" customHeight="1">
      <c r="A210" s="7">
        <v>44522.0</v>
      </c>
      <c r="B210" s="8">
        <v>44522.583344907405</v>
      </c>
      <c r="C210" s="6" t="s">
        <v>26</v>
      </c>
      <c r="D210" s="6" t="s">
        <v>125</v>
      </c>
      <c r="E210" s="6" t="s">
        <v>61</v>
      </c>
      <c r="F210" s="6" t="s">
        <v>76</v>
      </c>
      <c r="G210" s="6" t="s">
        <v>126</v>
      </c>
      <c r="H210" s="9" t="s">
        <v>127</v>
      </c>
      <c r="I210" s="10">
        <v>1.0</v>
      </c>
      <c r="J210" s="10">
        <v>1040.0</v>
      </c>
      <c r="K210" s="10">
        <v>1136.0</v>
      </c>
      <c r="L210" s="10">
        <v>37.0</v>
      </c>
      <c r="M210" s="10">
        <v>20.0</v>
      </c>
      <c r="N210" s="10">
        <v>1040.0</v>
      </c>
    </row>
    <row r="211" ht="22.5" customHeight="1">
      <c r="A211" s="7">
        <v>44522.0</v>
      </c>
      <c r="B211" s="8">
        <v>44522.66670138889</v>
      </c>
      <c r="C211" s="6" t="s">
        <v>26</v>
      </c>
      <c r="D211" s="6" t="s">
        <v>1168</v>
      </c>
      <c r="E211" s="6" t="s">
        <v>28</v>
      </c>
      <c r="F211" s="6" t="s">
        <v>34</v>
      </c>
      <c r="G211" s="6" t="s">
        <v>1169</v>
      </c>
      <c r="H211" s="9" t="s">
        <v>1170</v>
      </c>
      <c r="I211" s="10">
        <v>1.0</v>
      </c>
      <c r="J211" s="10">
        <v>8603.0</v>
      </c>
      <c r="K211" s="10">
        <v>9301.0</v>
      </c>
      <c r="L211" s="10">
        <v>619.0</v>
      </c>
      <c r="M211" s="10">
        <v>231.0</v>
      </c>
      <c r="N211" s="10">
        <v>8603.0</v>
      </c>
    </row>
    <row r="212" ht="22.5" customHeight="1">
      <c r="A212" s="7">
        <v>44522.0</v>
      </c>
      <c r="B212" s="8">
        <v>44522.750023148146</v>
      </c>
      <c r="C212" s="6" t="s">
        <v>26</v>
      </c>
      <c r="D212" s="6" t="s">
        <v>585</v>
      </c>
      <c r="E212" s="6" t="s">
        <v>28</v>
      </c>
      <c r="F212" s="6" t="s">
        <v>229</v>
      </c>
      <c r="G212" s="6" t="s">
        <v>586</v>
      </c>
      <c r="H212" s="9" t="s">
        <v>587</v>
      </c>
      <c r="I212" s="10">
        <v>1.0</v>
      </c>
      <c r="J212" s="10">
        <v>803.0</v>
      </c>
      <c r="K212" s="10">
        <v>918.0</v>
      </c>
      <c r="L212" s="10">
        <v>27.0</v>
      </c>
      <c r="M212" s="10">
        <v>16.0</v>
      </c>
      <c r="N212" s="10">
        <v>803.0</v>
      </c>
    </row>
    <row r="213" ht="22.5" customHeight="1">
      <c r="A213" s="7">
        <v>44523.0</v>
      </c>
      <c r="B213" s="8">
        <v>44523.333333333336</v>
      </c>
      <c r="C213" s="6" t="s">
        <v>26</v>
      </c>
      <c r="D213" s="6" t="s">
        <v>549</v>
      </c>
      <c r="E213" s="6" t="s">
        <v>28</v>
      </c>
      <c r="F213" s="6" t="s">
        <v>34</v>
      </c>
      <c r="G213" s="6" t="s">
        <v>550</v>
      </c>
      <c r="H213" s="9" t="s">
        <v>551</v>
      </c>
      <c r="I213" s="10">
        <v>1.0</v>
      </c>
      <c r="J213" s="10">
        <v>11220.0</v>
      </c>
      <c r="K213" s="10">
        <v>11920.0</v>
      </c>
      <c r="L213" s="10">
        <v>574.0</v>
      </c>
      <c r="M213" s="10">
        <v>217.0</v>
      </c>
      <c r="N213" s="10">
        <v>11220.0</v>
      </c>
    </row>
    <row r="214" ht="22.5" customHeight="1">
      <c r="A214" s="7">
        <v>44523.0</v>
      </c>
      <c r="B214" s="8">
        <v>44523.41668981482</v>
      </c>
      <c r="C214" s="6" t="s">
        <v>26</v>
      </c>
      <c r="D214" s="6" t="s">
        <v>387</v>
      </c>
      <c r="E214" s="6" t="s">
        <v>28</v>
      </c>
      <c r="F214" s="6" t="s">
        <v>34</v>
      </c>
      <c r="G214" s="6" t="s">
        <v>388</v>
      </c>
      <c r="H214" s="9" t="s">
        <v>389</v>
      </c>
      <c r="I214" s="10">
        <v>1.0</v>
      </c>
      <c r="J214" s="10">
        <v>8986.0</v>
      </c>
      <c r="K214" s="10">
        <v>9774.0</v>
      </c>
      <c r="L214" s="10">
        <v>402.0</v>
      </c>
      <c r="M214" s="10">
        <v>125.0</v>
      </c>
      <c r="N214" s="10">
        <v>8986.0</v>
      </c>
    </row>
    <row r="215" ht="22.5" customHeight="1">
      <c r="A215" s="7">
        <v>44523.0</v>
      </c>
      <c r="B215" s="8">
        <v>44523.58341435185</v>
      </c>
      <c r="C215" s="6" t="s">
        <v>26</v>
      </c>
      <c r="D215" s="6" t="s">
        <v>390</v>
      </c>
      <c r="E215" s="6" t="s">
        <v>28</v>
      </c>
      <c r="F215" s="6" t="s">
        <v>34</v>
      </c>
      <c r="G215" s="6" t="s">
        <v>391</v>
      </c>
      <c r="H215" s="9" t="s">
        <v>392</v>
      </c>
      <c r="I215" s="10">
        <v>1.0</v>
      </c>
      <c r="J215" s="10">
        <v>751.0</v>
      </c>
      <c r="K215" s="10">
        <v>782.0</v>
      </c>
      <c r="L215" s="10">
        <v>73.0</v>
      </c>
      <c r="M215" s="10">
        <v>15.0</v>
      </c>
      <c r="N215" s="10">
        <v>751.0</v>
      </c>
    </row>
    <row r="216" ht="22.5" customHeight="1">
      <c r="A216" s="7">
        <v>44523.0</v>
      </c>
      <c r="B216" s="8">
        <v>44523.66700231482</v>
      </c>
      <c r="C216" s="6" t="s">
        <v>26</v>
      </c>
      <c r="D216" s="6" t="s">
        <v>567</v>
      </c>
      <c r="E216" s="6" t="s">
        <v>61</v>
      </c>
      <c r="F216" s="6" t="s">
        <v>62</v>
      </c>
      <c r="G216" s="6" t="s">
        <v>568</v>
      </c>
      <c r="H216" s="9" t="s">
        <v>569</v>
      </c>
      <c r="I216" s="10">
        <v>1.0</v>
      </c>
      <c r="J216" s="10">
        <v>256.0</v>
      </c>
      <c r="K216" s="10">
        <v>279.0</v>
      </c>
      <c r="L216" s="10">
        <v>14.0</v>
      </c>
      <c r="M216" s="10">
        <v>3.0</v>
      </c>
      <c r="N216" s="10">
        <v>256.0</v>
      </c>
    </row>
    <row r="217" ht="22.5" customHeight="1">
      <c r="A217" s="7">
        <v>44523.0</v>
      </c>
      <c r="B217" s="8">
        <v>44523.91670138889</v>
      </c>
      <c r="C217" s="6" t="s">
        <v>26</v>
      </c>
      <c r="D217" s="6" t="s">
        <v>903</v>
      </c>
      <c r="E217" s="6" t="s">
        <v>28</v>
      </c>
      <c r="F217" s="6" t="s">
        <v>34</v>
      </c>
      <c r="G217" s="6" t="s">
        <v>904</v>
      </c>
      <c r="H217" s="9" t="s">
        <v>905</v>
      </c>
      <c r="I217" s="10">
        <v>1.0</v>
      </c>
      <c r="J217" s="10">
        <v>20183.0</v>
      </c>
      <c r="K217" s="10">
        <v>20868.0</v>
      </c>
      <c r="L217" s="10">
        <v>279.0</v>
      </c>
      <c r="M217" s="10">
        <v>166.0</v>
      </c>
      <c r="N217" s="10">
        <v>20183.0</v>
      </c>
    </row>
    <row r="218" ht="22.5" customHeight="1">
      <c r="A218" s="7">
        <v>44524.0</v>
      </c>
      <c r="B218" s="8">
        <v>44524.33335648148</v>
      </c>
      <c r="C218" s="6" t="s">
        <v>26</v>
      </c>
      <c r="D218" s="6" t="s">
        <v>367</v>
      </c>
      <c r="E218" s="6" t="s">
        <v>28</v>
      </c>
      <c r="F218" s="6" t="s">
        <v>34</v>
      </c>
      <c r="G218" s="6" t="s">
        <v>368</v>
      </c>
      <c r="H218" s="9" t="s">
        <v>369</v>
      </c>
      <c r="I218" s="10">
        <v>1.0</v>
      </c>
      <c r="J218" s="10">
        <v>6012.0</v>
      </c>
      <c r="K218" s="10">
        <v>6072.0</v>
      </c>
      <c r="L218" s="10">
        <v>57.0</v>
      </c>
      <c r="M218" s="10">
        <v>27.0</v>
      </c>
      <c r="N218" s="10">
        <v>6012.0</v>
      </c>
    </row>
    <row r="219" ht="22.5" customHeight="1">
      <c r="A219" s="7">
        <v>44524.0</v>
      </c>
      <c r="B219" s="8">
        <v>44524.37505787037</v>
      </c>
      <c r="C219" s="6" t="s">
        <v>26</v>
      </c>
      <c r="D219" s="6" t="s">
        <v>597</v>
      </c>
      <c r="E219" s="6" t="s">
        <v>28</v>
      </c>
      <c r="F219" s="6" t="s">
        <v>34</v>
      </c>
      <c r="G219" s="6" t="s">
        <v>598</v>
      </c>
      <c r="H219" s="9" t="s">
        <v>599</v>
      </c>
      <c r="I219" s="10">
        <v>1.0</v>
      </c>
      <c r="J219" s="10">
        <v>9359.0</v>
      </c>
      <c r="K219" s="10">
        <v>9555.0</v>
      </c>
      <c r="L219" s="10">
        <v>262.0</v>
      </c>
      <c r="M219" s="10">
        <v>83.0</v>
      </c>
      <c r="N219" s="10">
        <v>9359.0</v>
      </c>
    </row>
    <row r="220" ht="22.5" customHeight="1">
      <c r="A220" s="7">
        <v>44524.0</v>
      </c>
      <c r="B220" s="8">
        <v>44524.50010416667</v>
      </c>
      <c r="C220" s="6" t="s">
        <v>26</v>
      </c>
      <c r="D220" s="6" t="s">
        <v>429</v>
      </c>
      <c r="E220" s="6" t="s">
        <v>28</v>
      </c>
      <c r="F220" s="6" t="s">
        <v>34</v>
      </c>
      <c r="G220" s="6" t="s">
        <v>430</v>
      </c>
      <c r="H220" s="9" t="s">
        <v>431</v>
      </c>
      <c r="I220" s="10">
        <v>1.0</v>
      </c>
      <c r="J220" s="10">
        <v>14943.0</v>
      </c>
      <c r="K220" s="10">
        <v>18450.0</v>
      </c>
      <c r="L220" s="10">
        <v>2686.0</v>
      </c>
      <c r="M220" s="10">
        <v>2666.0</v>
      </c>
      <c r="N220" s="10">
        <v>14943.0</v>
      </c>
    </row>
    <row r="221" ht="22.5" customHeight="1">
      <c r="A221" s="7">
        <v>44524.0</v>
      </c>
      <c r="B221" s="8">
        <v>44524.66667824074</v>
      </c>
      <c r="C221" s="6" t="s">
        <v>26</v>
      </c>
      <c r="D221" s="6" t="s">
        <v>1183</v>
      </c>
      <c r="E221" s="6" t="s">
        <v>28</v>
      </c>
      <c r="F221" s="6" t="s">
        <v>34</v>
      </c>
      <c r="G221" s="6" t="s">
        <v>1184</v>
      </c>
      <c r="H221" s="9" t="s">
        <v>1185</v>
      </c>
      <c r="I221" s="10">
        <v>1.0</v>
      </c>
      <c r="J221" s="10">
        <v>255.0</v>
      </c>
      <c r="K221" s="10">
        <v>264.0</v>
      </c>
      <c r="L221" s="10">
        <v>24.0</v>
      </c>
      <c r="M221" s="10">
        <v>10.0</v>
      </c>
      <c r="N221" s="10">
        <v>255.0</v>
      </c>
    </row>
    <row r="222" ht="22.5" customHeight="1">
      <c r="A222" s="7">
        <v>44524.0</v>
      </c>
      <c r="B222" s="8">
        <v>44524.75001157408</v>
      </c>
      <c r="C222" s="6" t="s">
        <v>26</v>
      </c>
      <c r="D222" s="6" t="s">
        <v>474</v>
      </c>
      <c r="E222" s="6" t="s">
        <v>28</v>
      </c>
      <c r="F222" s="6" t="s">
        <v>229</v>
      </c>
      <c r="G222" s="6" t="s">
        <v>475</v>
      </c>
      <c r="H222" s="9" t="s">
        <v>476</v>
      </c>
      <c r="I222" s="10">
        <v>1.0</v>
      </c>
      <c r="J222" s="10">
        <v>4975.0</v>
      </c>
      <c r="K222" s="10">
        <v>6632.0</v>
      </c>
      <c r="L222" s="10">
        <v>2014.0</v>
      </c>
      <c r="M222" s="10">
        <v>1129.0</v>
      </c>
      <c r="N222" s="10">
        <v>4975.0</v>
      </c>
    </row>
    <row r="223" ht="22.5" customHeight="1">
      <c r="A223" s="7">
        <v>44524.0</v>
      </c>
      <c r="B223" s="8">
        <v>44524.83362268518</v>
      </c>
      <c r="C223" s="6" t="s">
        <v>26</v>
      </c>
      <c r="D223" s="6" t="s">
        <v>684</v>
      </c>
      <c r="E223" s="6" t="s">
        <v>61</v>
      </c>
      <c r="F223" s="6" t="s">
        <v>62</v>
      </c>
      <c r="G223" s="6" t="s">
        <v>685</v>
      </c>
      <c r="H223" s="9" t="s">
        <v>686</v>
      </c>
      <c r="I223" s="10">
        <v>1.0</v>
      </c>
      <c r="J223" s="10">
        <v>462.0</v>
      </c>
      <c r="K223" s="10">
        <v>528.0</v>
      </c>
      <c r="L223" s="10">
        <v>30.0</v>
      </c>
      <c r="M223" s="10">
        <v>13.0</v>
      </c>
      <c r="N223" s="10">
        <v>462.0</v>
      </c>
    </row>
    <row r="224" ht="22.5" customHeight="1">
      <c r="A224" s="7">
        <v>44525.0</v>
      </c>
      <c r="B224" s="8">
        <v>44525.500023148146</v>
      </c>
      <c r="C224" s="6" t="s">
        <v>26</v>
      </c>
      <c r="D224" s="6" t="s">
        <v>1252</v>
      </c>
      <c r="E224" s="6" t="s">
        <v>28</v>
      </c>
      <c r="F224" s="6" t="s">
        <v>34</v>
      </c>
      <c r="G224" s="6" t="s">
        <v>1253</v>
      </c>
      <c r="H224" s="9" t="s">
        <v>1254</v>
      </c>
      <c r="I224" s="10">
        <v>1.0</v>
      </c>
      <c r="J224" s="10">
        <v>208.0</v>
      </c>
      <c r="K224" s="10">
        <v>214.0</v>
      </c>
      <c r="L224" s="10">
        <v>17.0</v>
      </c>
      <c r="M224" s="10">
        <v>2.0</v>
      </c>
      <c r="N224" s="10">
        <v>208.0</v>
      </c>
    </row>
    <row r="225" ht="22.5" customHeight="1">
      <c r="A225" s="7">
        <v>44525.0</v>
      </c>
      <c r="B225" s="8">
        <v>44525.66667824074</v>
      </c>
      <c r="C225" s="6" t="s">
        <v>26</v>
      </c>
      <c r="D225" s="6" t="s">
        <v>399</v>
      </c>
      <c r="E225" s="6" t="s">
        <v>28</v>
      </c>
      <c r="F225" s="6" t="s">
        <v>229</v>
      </c>
      <c r="G225" s="6" t="s">
        <v>400</v>
      </c>
      <c r="H225" s="9" t="s">
        <v>401</v>
      </c>
      <c r="I225" s="10">
        <v>1.0</v>
      </c>
      <c r="J225" s="10">
        <v>663.0</v>
      </c>
      <c r="K225" s="10">
        <v>693.0</v>
      </c>
      <c r="L225" s="10">
        <v>55.0</v>
      </c>
      <c r="M225" s="10">
        <v>11.0</v>
      </c>
      <c r="N225" s="10">
        <v>663.0</v>
      </c>
    </row>
    <row r="226" ht="22.5" customHeight="1">
      <c r="A226" s="7">
        <v>44525.0</v>
      </c>
      <c r="B226" s="8">
        <v>44525.83341435185</v>
      </c>
      <c r="C226" s="6" t="s">
        <v>26</v>
      </c>
      <c r="D226" s="6" t="s">
        <v>85</v>
      </c>
      <c r="E226" s="6" t="s">
        <v>61</v>
      </c>
      <c r="F226" s="6" t="s">
        <v>62</v>
      </c>
      <c r="G226" s="6" t="s">
        <v>86</v>
      </c>
      <c r="H226" s="9" t="s">
        <v>87</v>
      </c>
      <c r="I226" s="10">
        <v>1.0</v>
      </c>
      <c r="J226" s="10">
        <v>1029.0</v>
      </c>
      <c r="K226" s="10">
        <v>1180.0</v>
      </c>
      <c r="L226" s="10">
        <v>147.0</v>
      </c>
      <c r="M226" s="10">
        <v>65.0</v>
      </c>
      <c r="N226" s="10">
        <v>1029.0</v>
      </c>
    </row>
    <row r="227" ht="22.5" customHeight="1">
      <c r="A227" s="7">
        <v>44525.0</v>
      </c>
      <c r="B227" s="8">
        <v>44525.87501157408</v>
      </c>
      <c r="C227" s="6" t="s">
        <v>26</v>
      </c>
      <c r="D227" s="6" t="s">
        <v>414</v>
      </c>
      <c r="E227" s="6" t="s">
        <v>28</v>
      </c>
      <c r="F227" s="6" t="s">
        <v>229</v>
      </c>
      <c r="G227" s="6" t="s">
        <v>415</v>
      </c>
      <c r="H227" s="9" t="s">
        <v>416</v>
      </c>
      <c r="I227" s="10">
        <v>1.0</v>
      </c>
      <c r="J227" s="10">
        <v>1062.0</v>
      </c>
      <c r="K227" s="10">
        <v>1103.0</v>
      </c>
      <c r="L227" s="10">
        <v>63.0</v>
      </c>
      <c r="M227" s="10">
        <v>21.0</v>
      </c>
      <c r="N227" s="10">
        <v>1062.0</v>
      </c>
    </row>
    <row r="228" ht="22.5" customHeight="1">
      <c r="A228" s="7">
        <v>44526.0</v>
      </c>
      <c r="B228" s="8">
        <v>44526.33335648148</v>
      </c>
      <c r="C228" s="6" t="s">
        <v>26</v>
      </c>
      <c r="D228" s="6" t="s">
        <v>510</v>
      </c>
      <c r="E228" s="6" t="s">
        <v>28</v>
      </c>
      <c r="F228" s="6" t="s">
        <v>34</v>
      </c>
      <c r="G228" s="6" t="s">
        <v>511</v>
      </c>
      <c r="H228" s="9" t="s">
        <v>512</v>
      </c>
      <c r="I228" s="10">
        <v>1.0</v>
      </c>
      <c r="J228" s="10">
        <v>7918.0</v>
      </c>
      <c r="K228" s="10">
        <v>8076.0</v>
      </c>
      <c r="L228" s="10">
        <v>264.0</v>
      </c>
      <c r="M228" s="10">
        <v>67.0</v>
      </c>
      <c r="N228" s="10">
        <v>7918.0</v>
      </c>
    </row>
    <row r="229" ht="22.5" customHeight="1">
      <c r="A229" s="7">
        <v>44526.0</v>
      </c>
      <c r="B229" s="8">
        <v>44526.54167824074</v>
      </c>
      <c r="C229" s="6" t="s">
        <v>26</v>
      </c>
      <c r="D229" s="6" t="s">
        <v>519</v>
      </c>
      <c r="E229" s="6" t="s">
        <v>28</v>
      </c>
      <c r="F229" s="6" t="s">
        <v>34</v>
      </c>
      <c r="G229" s="6" t="s">
        <v>520</v>
      </c>
      <c r="H229" s="9" t="s">
        <v>521</v>
      </c>
      <c r="I229" s="10">
        <v>1.0</v>
      </c>
      <c r="J229" s="10">
        <v>5631.0</v>
      </c>
      <c r="K229" s="10">
        <v>5755.0</v>
      </c>
      <c r="L229" s="10">
        <v>52.0</v>
      </c>
      <c r="M229" s="10">
        <v>32.0</v>
      </c>
      <c r="N229" s="10">
        <v>5631.0</v>
      </c>
    </row>
    <row r="230" ht="22.5" customHeight="1">
      <c r="A230" s="7">
        <v>44526.0</v>
      </c>
      <c r="B230" s="8">
        <v>44526.702314814815</v>
      </c>
      <c r="C230" s="6" t="s">
        <v>26</v>
      </c>
      <c r="D230" s="6" t="s">
        <v>48</v>
      </c>
      <c r="E230" s="6" t="s">
        <v>33</v>
      </c>
      <c r="F230" s="6" t="s">
        <v>44</v>
      </c>
      <c r="G230" s="6"/>
      <c r="H230" s="9" t="s">
        <v>49</v>
      </c>
      <c r="I230" s="10">
        <v>1.0</v>
      </c>
      <c r="J230" s="10">
        <v>277.0</v>
      </c>
      <c r="K230" s="10">
        <v>288.0</v>
      </c>
      <c r="L230" s="10">
        <v>65.0</v>
      </c>
      <c r="M230" s="10"/>
      <c r="N230" s="10">
        <v>277.0</v>
      </c>
    </row>
    <row r="231" ht="22.5" customHeight="1">
      <c r="A231" s="7">
        <v>44527.0</v>
      </c>
      <c r="B231" s="8">
        <v>44527.375023148146</v>
      </c>
      <c r="C231" s="6" t="s">
        <v>26</v>
      </c>
      <c r="D231" s="6" t="s">
        <v>906</v>
      </c>
      <c r="E231" s="6" t="s">
        <v>28</v>
      </c>
      <c r="F231" s="6" t="s">
        <v>34</v>
      </c>
      <c r="G231" s="6" t="s">
        <v>904</v>
      </c>
      <c r="H231" s="9" t="s">
        <v>907</v>
      </c>
      <c r="I231" s="10">
        <v>1.0</v>
      </c>
      <c r="J231" s="10">
        <v>22476.0</v>
      </c>
      <c r="K231" s="10">
        <v>22980.0</v>
      </c>
      <c r="L231" s="10">
        <v>154.0</v>
      </c>
      <c r="M231" s="10">
        <v>61.0</v>
      </c>
      <c r="N231" s="10">
        <v>22476.0</v>
      </c>
    </row>
    <row r="232" ht="22.5" customHeight="1">
      <c r="A232" s="7">
        <v>44527.0</v>
      </c>
      <c r="B232" s="8">
        <v>44527.375023148146</v>
      </c>
      <c r="C232" s="6" t="s">
        <v>26</v>
      </c>
      <c r="D232" s="6" t="s">
        <v>498</v>
      </c>
      <c r="E232" s="6" t="s">
        <v>28</v>
      </c>
      <c r="F232" s="6" t="s">
        <v>34</v>
      </c>
      <c r="G232" s="6" t="s">
        <v>499</v>
      </c>
      <c r="H232" s="9" t="s">
        <v>500</v>
      </c>
      <c r="I232" s="10">
        <v>1.0</v>
      </c>
      <c r="J232" s="10">
        <v>11502.0</v>
      </c>
      <c r="K232" s="10">
        <v>12318.0</v>
      </c>
      <c r="L232" s="10">
        <v>661.0</v>
      </c>
      <c r="M232" s="10">
        <v>137.0</v>
      </c>
      <c r="N232" s="10">
        <v>11502.0</v>
      </c>
    </row>
    <row r="233" ht="22.5" customHeight="1">
      <c r="A233" s="7">
        <v>44527.0</v>
      </c>
      <c r="B233" s="8">
        <v>44527.66670138889</v>
      </c>
      <c r="C233" s="6" t="s">
        <v>26</v>
      </c>
      <c r="D233" s="6" t="s">
        <v>477</v>
      </c>
      <c r="E233" s="6" t="s">
        <v>28</v>
      </c>
      <c r="F233" s="6" t="s">
        <v>229</v>
      </c>
      <c r="G233" s="6" t="s">
        <v>478</v>
      </c>
      <c r="H233" s="9" t="s">
        <v>479</v>
      </c>
      <c r="I233" s="10">
        <v>1.0</v>
      </c>
      <c r="J233" s="10">
        <v>3354.0</v>
      </c>
      <c r="K233" s="10">
        <v>3910.0</v>
      </c>
      <c r="L233" s="10">
        <v>623.0</v>
      </c>
      <c r="M233" s="10">
        <v>461.0</v>
      </c>
      <c r="N233" s="10">
        <v>3354.0</v>
      </c>
    </row>
    <row r="234" ht="22.5" customHeight="1">
      <c r="A234" s="7">
        <v>44527.0</v>
      </c>
      <c r="B234" s="8">
        <v>44527.833391203705</v>
      </c>
      <c r="C234" s="6" t="s">
        <v>26</v>
      </c>
      <c r="D234" s="6" t="s">
        <v>741</v>
      </c>
      <c r="E234" s="6" t="s">
        <v>28</v>
      </c>
      <c r="F234" s="6" t="s">
        <v>34</v>
      </c>
      <c r="G234" s="6" t="s">
        <v>742</v>
      </c>
      <c r="H234" s="9" t="s">
        <v>743</v>
      </c>
      <c r="I234" s="10">
        <v>1.0</v>
      </c>
      <c r="J234" s="10">
        <v>4871.0</v>
      </c>
      <c r="K234" s="10">
        <v>5157.0</v>
      </c>
      <c r="L234" s="10">
        <v>149.0</v>
      </c>
      <c r="M234" s="10">
        <v>52.0</v>
      </c>
      <c r="N234" s="10">
        <v>4871.0</v>
      </c>
    </row>
    <row r="235" ht="22.5" customHeight="1">
      <c r="A235" s="7">
        <v>44528.0</v>
      </c>
      <c r="B235" s="8">
        <v>44528.37503472222</v>
      </c>
      <c r="C235" s="6" t="s">
        <v>26</v>
      </c>
      <c r="D235" s="6" t="s">
        <v>438</v>
      </c>
      <c r="E235" s="6" t="s">
        <v>28</v>
      </c>
      <c r="F235" s="6" t="s">
        <v>34</v>
      </c>
      <c r="G235" s="6" t="s">
        <v>439</v>
      </c>
      <c r="H235" s="9" t="s">
        <v>440</v>
      </c>
      <c r="I235" s="10">
        <v>1.0</v>
      </c>
      <c r="J235" s="10">
        <v>10052.0</v>
      </c>
      <c r="K235" s="10">
        <v>10346.0</v>
      </c>
      <c r="L235" s="10">
        <v>350.0</v>
      </c>
      <c r="M235" s="10">
        <v>45.0</v>
      </c>
      <c r="N235" s="10">
        <v>10052.0</v>
      </c>
    </row>
    <row r="236" ht="22.5" customHeight="1">
      <c r="A236" s="7">
        <v>44528.0</v>
      </c>
      <c r="B236" s="8">
        <v>44528.458344907405</v>
      </c>
      <c r="C236" s="6" t="s">
        <v>26</v>
      </c>
      <c r="D236" s="6" t="s">
        <v>1258</v>
      </c>
      <c r="E236" s="6" t="s">
        <v>28</v>
      </c>
      <c r="F236" s="6" t="s">
        <v>34</v>
      </c>
      <c r="G236" s="6" t="s">
        <v>1259</v>
      </c>
      <c r="H236" s="9" t="s">
        <v>1260</v>
      </c>
      <c r="I236" s="10">
        <v>1.0</v>
      </c>
      <c r="J236" s="10">
        <v>479.0</v>
      </c>
      <c r="K236" s="10">
        <v>496.0</v>
      </c>
      <c r="L236" s="10">
        <v>60.0</v>
      </c>
      <c r="M236" s="10">
        <v>11.0</v>
      </c>
      <c r="N236" s="10">
        <v>479.0</v>
      </c>
    </row>
    <row r="237" ht="22.5" customHeight="1">
      <c r="A237" s="7">
        <v>44528.0</v>
      </c>
      <c r="B237" s="8">
        <v>44528.541666666664</v>
      </c>
      <c r="C237" s="6" t="s">
        <v>26</v>
      </c>
      <c r="D237" s="6" t="s">
        <v>956</v>
      </c>
      <c r="E237" s="6" t="s">
        <v>28</v>
      </c>
      <c r="F237" s="6" t="s">
        <v>34</v>
      </c>
      <c r="G237" s="6" t="s">
        <v>957</v>
      </c>
      <c r="H237" s="9" t="s">
        <v>958</v>
      </c>
      <c r="I237" s="10">
        <v>1.0</v>
      </c>
      <c r="J237" s="10">
        <v>7416.0</v>
      </c>
      <c r="K237" s="10">
        <v>9090.0</v>
      </c>
      <c r="L237" s="10">
        <v>1337.0</v>
      </c>
      <c r="M237" s="10">
        <v>652.0</v>
      </c>
      <c r="N237" s="10">
        <v>7416.0</v>
      </c>
    </row>
    <row r="238" ht="22.5" customHeight="1">
      <c r="A238" s="7">
        <v>44528.0</v>
      </c>
      <c r="B238" s="8">
        <v>44528.62501157408</v>
      </c>
      <c r="C238" s="6" t="s">
        <v>26</v>
      </c>
      <c r="D238" s="6" t="s">
        <v>600</v>
      </c>
      <c r="E238" s="6" t="s">
        <v>28</v>
      </c>
      <c r="F238" s="6" t="s">
        <v>34</v>
      </c>
      <c r="G238" s="6" t="s">
        <v>601</v>
      </c>
      <c r="H238" s="9" t="s">
        <v>602</v>
      </c>
      <c r="I238" s="10">
        <v>1.0</v>
      </c>
      <c r="J238" s="10">
        <v>11971.0</v>
      </c>
      <c r="K238" s="10">
        <v>12771.0</v>
      </c>
      <c r="L238" s="10">
        <v>204.0</v>
      </c>
      <c r="M238" s="10">
        <v>154.0</v>
      </c>
      <c r="N238" s="10">
        <v>11971.0</v>
      </c>
    </row>
    <row r="239" ht="22.5" customHeight="1">
      <c r="A239" s="7">
        <v>44528.0</v>
      </c>
      <c r="B239" s="8">
        <v>44528.70144675926</v>
      </c>
      <c r="C239" s="6" t="s">
        <v>26</v>
      </c>
      <c r="D239" s="6" t="s">
        <v>1112</v>
      </c>
      <c r="E239" s="6" t="s">
        <v>72</v>
      </c>
      <c r="F239" s="6" t="s">
        <v>44</v>
      </c>
      <c r="G239" s="6" t="s">
        <v>1113</v>
      </c>
      <c r="H239" s="9" t="s">
        <v>1114</v>
      </c>
      <c r="I239" s="10">
        <v>1.0</v>
      </c>
      <c r="J239" s="10">
        <v>678.0</v>
      </c>
      <c r="K239" s="10">
        <v>747.0</v>
      </c>
      <c r="L239" s="10">
        <v>222.0</v>
      </c>
      <c r="M239" s="10">
        <v>57.0</v>
      </c>
      <c r="N239" s="10">
        <v>678.0</v>
      </c>
    </row>
    <row r="240" ht="22.5" customHeight="1">
      <c r="A240" s="7">
        <v>44528.0</v>
      </c>
      <c r="B240" s="8">
        <v>44528.87505787037</v>
      </c>
      <c r="C240" s="6" t="s">
        <v>26</v>
      </c>
      <c r="D240" s="6" t="s">
        <v>101</v>
      </c>
      <c r="E240" s="6" t="s">
        <v>61</v>
      </c>
      <c r="F240" s="6" t="s">
        <v>62</v>
      </c>
      <c r="G240" s="6" t="s">
        <v>102</v>
      </c>
      <c r="H240" s="9" t="s">
        <v>103</v>
      </c>
      <c r="I240" s="10">
        <v>1.0</v>
      </c>
      <c r="J240" s="10">
        <v>1963.0</v>
      </c>
      <c r="K240" s="10">
        <v>2195.0</v>
      </c>
      <c r="L240" s="10">
        <v>116.0</v>
      </c>
      <c r="M240" s="10">
        <v>51.0</v>
      </c>
      <c r="N240" s="10">
        <v>1963.0</v>
      </c>
    </row>
    <row r="241" ht="22.5" customHeight="1">
      <c r="A241" s="7">
        <v>44529.0</v>
      </c>
      <c r="B241" s="8">
        <v>44529.87503472222</v>
      </c>
      <c r="C241" s="6" t="s">
        <v>26</v>
      </c>
      <c r="D241" s="6" t="s">
        <v>262</v>
      </c>
      <c r="E241" s="6" t="s">
        <v>28</v>
      </c>
      <c r="F241" s="6" t="s">
        <v>34</v>
      </c>
      <c r="G241" s="6" t="s">
        <v>263</v>
      </c>
      <c r="H241" s="9" t="s">
        <v>264</v>
      </c>
      <c r="I241" s="10">
        <v>1.0</v>
      </c>
      <c r="J241" s="10">
        <v>14512.0</v>
      </c>
      <c r="K241" s="10">
        <v>16546.0</v>
      </c>
      <c r="L241" s="10">
        <v>1305.0</v>
      </c>
      <c r="M241" s="10">
        <v>555.0</v>
      </c>
      <c r="N241" s="10">
        <v>14512.0</v>
      </c>
    </row>
    <row r="242" ht="22.5" customHeight="1">
      <c r="A242" s="7">
        <v>44530.0</v>
      </c>
      <c r="B242" s="8">
        <v>44530.41706018519</v>
      </c>
      <c r="C242" s="6" t="s">
        <v>26</v>
      </c>
      <c r="D242" s="6" t="s">
        <v>813</v>
      </c>
      <c r="E242" s="6" t="s">
        <v>61</v>
      </c>
      <c r="F242" s="6" t="s">
        <v>62</v>
      </c>
      <c r="G242" s="6" t="s">
        <v>814</v>
      </c>
      <c r="H242" s="9" t="s">
        <v>815</v>
      </c>
      <c r="I242" s="10">
        <v>1.0</v>
      </c>
      <c r="J242" s="10">
        <v>738.0</v>
      </c>
      <c r="K242" s="10">
        <v>779.0</v>
      </c>
      <c r="L242" s="10">
        <v>27.0</v>
      </c>
      <c r="M242" s="10">
        <v>22.0</v>
      </c>
      <c r="N242" s="10">
        <v>738.0</v>
      </c>
    </row>
    <row r="243" ht="22.5" customHeight="1">
      <c r="A243" s="7">
        <v>44530.0</v>
      </c>
      <c r="B243" s="8">
        <v>44530.458344907405</v>
      </c>
      <c r="C243" s="6" t="s">
        <v>26</v>
      </c>
      <c r="D243" s="6" t="s">
        <v>346</v>
      </c>
      <c r="E243" s="6" t="s">
        <v>28</v>
      </c>
      <c r="F243" s="6" t="s">
        <v>34</v>
      </c>
      <c r="G243" s="6" t="s">
        <v>347</v>
      </c>
      <c r="H243" s="9" t="s">
        <v>348</v>
      </c>
      <c r="I243" s="10">
        <v>1.0</v>
      </c>
      <c r="J243" s="10">
        <v>6390.0</v>
      </c>
      <c r="K243" s="10">
        <v>6697.0</v>
      </c>
      <c r="L243" s="10">
        <v>178.0</v>
      </c>
      <c r="M243" s="10">
        <v>35.0</v>
      </c>
      <c r="N243" s="10">
        <v>6390.0</v>
      </c>
    </row>
    <row r="244" ht="22.5" customHeight="1">
      <c r="A244" s="7">
        <v>44530.0</v>
      </c>
      <c r="B244" s="8">
        <v>44530.500023148146</v>
      </c>
      <c r="C244" s="6" t="s">
        <v>26</v>
      </c>
      <c r="D244" s="6" t="s">
        <v>68</v>
      </c>
      <c r="E244" s="6" t="s">
        <v>28</v>
      </c>
      <c r="F244" s="6" t="s">
        <v>34</v>
      </c>
      <c r="G244" s="6" t="s">
        <v>69</v>
      </c>
      <c r="H244" s="9" t="s">
        <v>70</v>
      </c>
      <c r="I244" s="10">
        <v>1.0</v>
      </c>
      <c r="J244" s="10">
        <v>697.0</v>
      </c>
      <c r="K244" s="10">
        <v>733.0</v>
      </c>
      <c r="L244" s="10">
        <v>40.0</v>
      </c>
      <c r="M244" s="10">
        <v>111.0</v>
      </c>
      <c r="N244" s="10">
        <v>697.0</v>
      </c>
    </row>
    <row r="245" ht="22.5" customHeight="1">
      <c r="A245" s="7">
        <v>44530.0</v>
      </c>
      <c r="B245" s="8">
        <v>44530.58335648148</v>
      </c>
      <c r="C245" s="6" t="s">
        <v>26</v>
      </c>
      <c r="D245" s="6" t="s">
        <v>137</v>
      </c>
      <c r="E245" s="6" t="s">
        <v>61</v>
      </c>
      <c r="F245" s="6" t="s">
        <v>62</v>
      </c>
      <c r="G245" s="6" t="s">
        <v>138</v>
      </c>
      <c r="H245" s="9" t="s">
        <v>139</v>
      </c>
      <c r="I245" s="10">
        <v>1.0</v>
      </c>
      <c r="J245" s="10">
        <v>2439.0</v>
      </c>
      <c r="K245" s="10">
        <v>2970.0</v>
      </c>
      <c r="L245" s="10">
        <v>131.0</v>
      </c>
      <c r="M245" s="10">
        <v>72.0</v>
      </c>
      <c r="N245" s="10">
        <v>2439.0</v>
      </c>
    </row>
    <row r="246" ht="22.5" customHeight="1">
      <c r="A246" s="7">
        <v>44546.0</v>
      </c>
      <c r="B246" s="8">
        <v>44546.54168981482</v>
      </c>
      <c r="C246" s="6" t="s">
        <v>26</v>
      </c>
      <c r="D246" s="6" t="s">
        <v>322</v>
      </c>
      <c r="E246" s="6" t="s">
        <v>61</v>
      </c>
      <c r="F246" s="6" t="s">
        <v>76</v>
      </c>
      <c r="G246" s="6" t="s">
        <v>323</v>
      </c>
      <c r="H246" s="9" t="s">
        <v>324</v>
      </c>
      <c r="I246" s="10">
        <v>1.0</v>
      </c>
      <c r="J246" s="10">
        <v>629.0</v>
      </c>
      <c r="K246" s="10">
        <v>682.0</v>
      </c>
      <c r="L246" s="10">
        <v>34.0</v>
      </c>
      <c r="M246" s="10">
        <v>10.0</v>
      </c>
      <c r="N246" s="10">
        <v>629.0</v>
      </c>
    </row>
    <row r="247" ht="22.5" customHeight="1">
      <c r="A247" s="7">
        <v>44546.0</v>
      </c>
      <c r="B247" s="8">
        <v>44546.66667824074</v>
      </c>
      <c r="C247" s="6" t="s">
        <v>26</v>
      </c>
      <c r="D247" s="6" t="s">
        <v>82</v>
      </c>
      <c r="E247" s="6" t="s">
        <v>61</v>
      </c>
      <c r="F247" s="6" t="s">
        <v>76</v>
      </c>
      <c r="G247" s="6" t="s">
        <v>83</v>
      </c>
      <c r="H247" s="9" t="s">
        <v>84</v>
      </c>
      <c r="I247" s="10">
        <v>1.0</v>
      </c>
      <c r="J247" s="10">
        <v>826.0</v>
      </c>
      <c r="K247" s="10">
        <v>896.0</v>
      </c>
      <c r="L247" s="10">
        <v>40.0</v>
      </c>
      <c r="M247" s="10">
        <v>40.0</v>
      </c>
      <c r="N247" s="10">
        <v>826.0</v>
      </c>
    </row>
    <row r="248" ht="22.5" customHeight="1">
      <c r="A248" s="7">
        <v>44546.0</v>
      </c>
      <c r="B248" s="8">
        <v>44546.75005787037</v>
      </c>
      <c r="C248" s="6" t="s">
        <v>26</v>
      </c>
      <c r="D248" s="6" t="s">
        <v>726</v>
      </c>
      <c r="E248" s="6" t="s">
        <v>28</v>
      </c>
      <c r="F248" s="6" t="s">
        <v>34</v>
      </c>
      <c r="G248" s="6" t="s">
        <v>727</v>
      </c>
      <c r="H248" s="9" t="s">
        <v>728</v>
      </c>
      <c r="I248" s="10">
        <v>1.0</v>
      </c>
      <c r="J248" s="10">
        <v>184.0</v>
      </c>
      <c r="K248" s="10">
        <v>187.0</v>
      </c>
      <c r="L248" s="10">
        <v>8.0</v>
      </c>
      <c r="M248" s="10">
        <v>7.0</v>
      </c>
      <c r="N248" s="10">
        <v>184.0</v>
      </c>
    </row>
    <row r="249" ht="22.5" customHeight="1">
      <c r="A249" s="7">
        <v>44546.0</v>
      </c>
      <c r="B249" s="8">
        <v>44546.7815162037</v>
      </c>
      <c r="C249" s="6" t="s">
        <v>26</v>
      </c>
      <c r="D249" s="6" t="s">
        <v>846</v>
      </c>
      <c r="E249" s="6" t="s">
        <v>61</v>
      </c>
      <c r="F249" s="6" t="s">
        <v>62</v>
      </c>
      <c r="G249" s="6" t="s">
        <v>847</v>
      </c>
      <c r="H249" s="9" t="s">
        <v>848</v>
      </c>
      <c r="I249" s="10">
        <v>1.0</v>
      </c>
      <c r="J249" s="10">
        <v>308.0</v>
      </c>
      <c r="K249" s="10">
        <v>449.0</v>
      </c>
      <c r="L249" s="10">
        <v>201.0</v>
      </c>
      <c r="M249" s="10">
        <v>72.0</v>
      </c>
      <c r="N249" s="10">
        <v>308.0</v>
      </c>
    </row>
    <row r="250" ht="22.5" customHeight="1">
      <c r="A250" s="7">
        <v>44546.0</v>
      </c>
      <c r="B250" s="8">
        <v>44546.83335648148</v>
      </c>
      <c r="C250" s="6" t="s">
        <v>26</v>
      </c>
      <c r="D250" s="6" t="s">
        <v>947</v>
      </c>
      <c r="E250" s="6" t="s">
        <v>28</v>
      </c>
      <c r="F250" s="6" t="s">
        <v>34</v>
      </c>
      <c r="G250" s="6" t="s">
        <v>948</v>
      </c>
      <c r="H250" s="9" t="s">
        <v>949</v>
      </c>
      <c r="I250" s="10">
        <v>1.0</v>
      </c>
      <c r="J250" s="10">
        <v>21816.0</v>
      </c>
      <c r="K250" s="10">
        <v>22184.0</v>
      </c>
      <c r="L250" s="10">
        <v>161.0</v>
      </c>
      <c r="M250" s="10">
        <v>51.0</v>
      </c>
      <c r="N250" s="10">
        <v>21816.0</v>
      </c>
    </row>
    <row r="251" ht="22.5" customHeight="1">
      <c r="A251" s="7">
        <v>44547.0</v>
      </c>
      <c r="B251" s="8">
        <v>44547.333333333336</v>
      </c>
      <c r="C251" s="6" t="s">
        <v>26</v>
      </c>
      <c r="D251" s="6" t="s">
        <v>1228</v>
      </c>
      <c r="E251" s="6" t="s">
        <v>28</v>
      </c>
      <c r="F251" s="6" t="s">
        <v>34</v>
      </c>
      <c r="G251" s="6" t="s">
        <v>1229</v>
      </c>
      <c r="H251" s="9" t="s">
        <v>1230</v>
      </c>
      <c r="I251" s="10">
        <v>1.0</v>
      </c>
      <c r="J251" s="10">
        <v>206.0</v>
      </c>
      <c r="K251" s="10">
        <v>218.0</v>
      </c>
      <c r="L251" s="10">
        <v>23.0</v>
      </c>
      <c r="M251" s="10">
        <v>3.0</v>
      </c>
      <c r="N251" s="10">
        <v>206.0</v>
      </c>
    </row>
    <row r="252" ht="22.5" customHeight="1">
      <c r="A252" s="7">
        <v>44547.0</v>
      </c>
      <c r="B252" s="8">
        <v>44547.37501157408</v>
      </c>
      <c r="C252" s="6" t="s">
        <v>26</v>
      </c>
      <c r="D252" s="6" t="s">
        <v>483</v>
      </c>
      <c r="E252" s="6" t="s">
        <v>28</v>
      </c>
      <c r="F252" s="6" t="s">
        <v>34</v>
      </c>
      <c r="G252" s="6" t="s">
        <v>484</v>
      </c>
      <c r="H252" s="9" t="s">
        <v>485</v>
      </c>
      <c r="I252" s="10">
        <v>1.0</v>
      </c>
      <c r="J252" s="10">
        <v>8665.0</v>
      </c>
      <c r="K252" s="10">
        <v>10329.0</v>
      </c>
      <c r="L252" s="10">
        <v>786.0</v>
      </c>
      <c r="M252" s="10">
        <v>215.0</v>
      </c>
      <c r="N252" s="10">
        <v>8665.0</v>
      </c>
    </row>
    <row r="253" ht="22.5" customHeight="1">
      <c r="A253" s="7">
        <v>44547.0</v>
      </c>
      <c r="B253" s="8">
        <v>44547.458344907405</v>
      </c>
      <c r="C253" s="6" t="s">
        <v>26</v>
      </c>
      <c r="D253" s="6" t="s">
        <v>582</v>
      </c>
      <c r="E253" s="6" t="s">
        <v>28</v>
      </c>
      <c r="F253" s="6" t="s">
        <v>34</v>
      </c>
      <c r="G253" s="6" t="s">
        <v>583</v>
      </c>
      <c r="H253" s="9" t="s">
        <v>584</v>
      </c>
      <c r="I253" s="10">
        <v>1.0</v>
      </c>
      <c r="J253" s="10">
        <v>8296.0</v>
      </c>
      <c r="K253" s="10">
        <v>9179.0</v>
      </c>
      <c r="L253" s="10">
        <v>322.0</v>
      </c>
      <c r="M253" s="10">
        <v>231.0</v>
      </c>
      <c r="N253" s="10">
        <v>8296.0</v>
      </c>
    </row>
    <row r="254" ht="22.5" customHeight="1">
      <c r="A254" s="7">
        <v>44547.0</v>
      </c>
      <c r="B254" s="8">
        <v>44547.62501157408</v>
      </c>
      <c r="C254" s="6" t="s">
        <v>26</v>
      </c>
      <c r="D254" s="6" t="s">
        <v>228</v>
      </c>
      <c r="E254" s="6" t="s">
        <v>28</v>
      </c>
      <c r="F254" s="6" t="s">
        <v>229</v>
      </c>
      <c r="G254" s="6" t="s">
        <v>230</v>
      </c>
      <c r="H254" s="9" t="s">
        <v>231</v>
      </c>
      <c r="I254" s="10">
        <v>1.0</v>
      </c>
      <c r="J254" s="10">
        <v>2498.0</v>
      </c>
      <c r="K254" s="10">
        <v>2784.0</v>
      </c>
      <c r="L254" s="10">
        <v>212.0</v>
      </c>
      <c r="M254" s="10">
        <v>170.0</v>
      </c>
      <c r="N254" s="10">
        <v>2498.0</v>
      </c>
    </row>
    <row r="255" ht="22.5" customHeight="1">
      <c r="A255" s="7">
        <v>44547.0</v>
      </c>
      <c r="B255" s="8">
        <v>44547.666712962964</v>
      </c>
      <c r="C255" s="6" t="s">
        <v>26</v>
      </c>
      <c r="D255" s="6" t="s">
        <v>134</v>
      </c>
      <c r="E255" s="6" t="s">
        <v>61</v>
      </c>
      <c r="F255" s="6" t="s">
        <v>62</v>
      </c>
      <c r="G255" s="6" t="s">
        <v>135</v>
      </c>
      <c r="H255" s="9" t="s">
        <v>136</v>
      </c>
      <c r="I255" s="10">
        <v>1.0</v>
      </c>
      <c r="J255" s="10">
        <v>549.0</v>
      </c>
      <c r="K255" s="10">
        <v>584.0</v>
      </c>
      <c r="L255" s="10">
        <v>52.0</v>
      </c>
      <c r="M255" s="10">
        <v>13.0</v>
      </c>
      <c r="N255" s="10">
        <v>549.0</v>
      </c>
    </row>
    <row r="256" ht="22.5" customHeight="1">
      <c r="A256" s="7">
        <v>44547.0</v>
      </c>
      <c r="B256" s="8">
        <v>44547.75003472222</v>
      </c>
      <c r="C256" s="6" t="s">
        <v>26</v>
      </c>
      <c r="D256" s="6" t="s">
        <v>711</v>
      </c>
      <c r="E256" s="6" t="s">
        <v>28</v>
      </c>
      <c r="F256" s="6" t="s">
        <v>34</v>
      </c>
      <c r="G256" s="6" t="s">
        <v>712</v>
      </c>
      <c r="H256" s="9" t="s">
        <v>713</v>
      </c>
      <c r="I256" s="10">
        <v>1.0</v>
      </c>
      <c r="J256" s="10">
        <v>170.0</v>
      </c>
      <c r="K256" s="10">
        <v>174.0</v>
      </c>
      <c r="L256" s="10">
        <v>19.0</v>
      </c>
      <c r="N256" s="10">
        <v>170.0</v>
      </c>
    </row>
    <row r="257" ht="22.5" customHeight="1">
      <c r="A257" s="7">
        <v>44547.0</v>
      </c>
      <c r="B257" s="8">
        <v>44547.782118055555</v>
      </c>
      <c r="C257" s="6" t="s">
        <v>26</v>
      </c>
      <c r="D257" s="6" t="s">
        <v>319</v>
      </c>
      <c r="E257" s="6" t="s">
        <v>61</v>
      </c>
      <c r="F257" s="6" t="s">
        <v>62</v>
      </c>
      <c r="G257" s="6" t="s">
        <v>320</v>
      </c>
      <c r="H257" s="9" t="s">
        <v>321</v>
      </c>
      <c r="I257" s="10">
        <v>1.0</v>
      </c>
      <c r="J257" s="10">
        <v>324.0</v>
      </c>
      <c r="K257" s="10">
        <v>437.0</v>
      </c>
      <c r="L257" s="10">
        <v>305.0</v>
      </c>
      <c r="M257" s="10">
        <v>69.0</v>
      </c>
      <c r="N257" s="10">
        <v>324.0</v>
      </c>
    </row>
    <row r="258" ht="22.5" customHeight="1">
      <c r="A258" s="7">
        <v>44548.0</v>
      </c>
      <c r="B258" s="8">
        <v>44548.333344907405</v>
      </c>
      <c r="C258" s="6" t="s">
        <v>26</v>
      </c>
      <c r="D258" s="6" t="s">
        <v>537</v>
      </c>
      <c r="E258" s="6" t="s">
        <v>28</v>
      </c>
      <c r="F258" s="6" t="s">
        <v>34</v>
      </c>
      <c r="G258" s="6" t="s">
        <v>538</v>
      </c>
      <c r="H258" s="9" t="s">
        <v>539</v>
      </c>
      <c r="I258" s="10">
        <v>1.0</v>
      </c>
      <c r="J258" s="10">
        <v>8784.0</v>
      </c>
      <c r="K258" s="10">
        <v>8943.0</v>
      </c>
      <c r="L258" s="10">
        <v>176.0</v>
      </c>
      <c r="M258" s="10">
        <v>71.0</v>
      </c>
      <c r="N258" s="10">
        <v>8784.0</v>
      </c>
    </row>
    <row r="259" ht="22.5" customHeight="1">
      <c r="A259" s="7">
        <v>44548.0</v>
      </c>
      <c r="B259" s="8">
        <v>44548.37501157408</v>
      </c>
      <c r="C259" s="6" t="s">
        <v>26</v>
      </c>
      <c r="D259" s="6" t="s">
        <v>612</v>
      </c>
      <c r="E259" s="6" t="s">
        <v>28</v>
      </c>
      <c r="F259" s="6" t="s">
        <v>34</v>
      </c>
      <c r="G259" s="6" t="s">
        <v>613</v>
      </c>
      <c r="H259" s="9" t="s">
        <v>614</v>
      </c>
      <c r="I259" s="10">
        <v>1.0</v>
      </c>
      <c r="J259" s="10">
        <v>9349.0</v>
      </c>
      <c r="K259" s="10">
        <v>9464.0</v>
      </c>
      <c r="L259" s="10">
        <v>240.0</v>
      </c>
      <c r="M259" s="10">
        <v>25.0</v>
      </c>
      <c r="N259" s="10">
        <v>9349.0</v>
      </c>
    </row>
    <row r="260" ht="22.5" customHeight="1">
      <c r="A260" s="7">
        <v>44548.0</v>
      </c>
      <c r="B260" s="8">
        <v>44548.458344907405</v>
      </c>
      <c r="C260" s="6" t="s">
        <v>26</v>
      </c>
      <c r="D260" s="6" t="s">
        <v>88</v>
      </c>
      <c r="E260" s="6" t="s">
        <v>33</v>
      </c>
      <c r="F260" s="6" t="s">
        <v>89</v>
      </c>
      <c r="G260" s="6" t="s">
        <v>90</v>
      </c>
      <c r="H260" s="9" t="s">
        <v>91</v>
      </c>
      <c r="I260" s="10">
        <v>1.0</v>
      </c>
      <c r="J260" s="10">
        <v>820.0</v>
      </c>
      <c r="K260" s="10">
        <v>885.0</v>
      </c>
      <c r="L260" s="10">
        <v>73.0</v>
      </c>
      <c r="M260" s="10">
        <v>17.0</v>
      </c>
      <c r="N260" s="10">
        <v>820.0</v>
      </c>
    </row>
    <row r="261" ht="22.5" customHeight="1">
      <c r="A261" s="7">
        <v>44548.0</v>
      </c>
      <c r="B261" s="8">
        <v>44548.541666666664</v>
      </c>
      <c r="C261" s="6" t="s">
        <v>26</v>
      </c>
      <c r="D261" s="6" t="s">
        <v>1264</v>
      </c>
      <c r="E261" s="6" t="s">
        <v>28</v>
      </c>
      <c r="F261" s="6" t="s">
        <v>34</v>
      </c>
      <c r="G261" s="6" t="s">
        <v>1265</v>
      </c>
      <c r="H261" s="9" t="s">
        <v>1266</v>
      </c>
      <c r="I261" s="10">
        <v>1.0</v>
      </c>
      <c r="J261" s="10">
        <v>7253.0</v>
      </c>
      <c r="K261" s="10">
        <v>7680.0</v>
      </c>
      <c r="L261" s="10">
        <v>724.0</v>
      </c>
      <c r="M261" s="10">
        <v>247.0</v>
      </c>
      <c r="N261" s="10">
        <v>7253.0</v>
      </c>
    </row>
    <row r="262" ht="22.5" customHeight="1">
      <c r="A262" s="7">
        <v>44548.0</v>
      </c>
      <c r="B262" s="8">
        <v>44548.625</v>
      </c>
      <c r="C262" s="6" t="s">
        <v>26</v>
      </c>
      <c r="D262" s="6" t="s">
        <v>1231</v>
      </c>
      <c r="E262" s="6" t="s">
        <v>28</v>
      </c>
      <c r="F262" s="6" t="s">
        <v>34</v>
      </c>
      <c r="G262" s="6" t="s">
        <v>1232</v>
      </c>
      <c r="H262" s="9" t="s">
        <v>1233</v>
      </c>
      <c r="I262" s="10">
        <v>1.0</v>
      </c>
      <c r="J262" s="10">
        <v>162.0</v>
      </c>
      <c r="K262" s="10">
        <v>167.0</v>
      </c>
      <c r="L262" s="10">
        <v>25.0</v>
      </c>
      <c r="M262" s="10">
        <v>4.0</v>
      </c>
      <c r="N262" s="10">
        <v>162.0</v>
      </c>
    </row>
    <row r="263" ht="22.5" customHeight="1">
      <c r="A263" s="7">
        <v>44548.0</v>
      </c>
      <c r="B263" s="8">
        <v>44548.708344907405</v>
      </c>
      <c r="C263" s="6" t="s">
        <v>26</v>
      </c>
      <c r="D263" s="6" t="s">
        <v>304</v>
      </c>
      <c r="E263" s="6" t="s">
        <v>61</v>
      </c>
      <c r="F263" s="6" t="s">
        <v>62</v>
      </c>
      <c r="G263" s="6" t="s">
        <v>305</v>
      </c>
      <c r="H263" s="9" t="s">
        <v>306</v>
      </c>
      <c r="I263" s="10">
        <v>1.0</v>
      </c>
      <c r="J263" s="10">
        <v>602.0</v>
      </c>
      <c r="K263" s="10">
        <v>634.0</v>
      </c>
      <c r="L263" s="10">
        <v>67.0</v>
      </c>
      <c r="M263" s="10">
        <v>18.0</v>
      </c>
      <c r="N263" s="10">
        <v>602.0</v>
      </c>
    </row>
    <row r="264" ht="22.5" customHeight="1">
      <c r="A264" s="7">
        <v>44548.0</v>
      </c>
      <c r="B264" s="8">
        <v>44548.77179398148</v>
      </c>
      <c r="C264" s="6" t="s">
        <v>26</v>
      </c>
      <c r="D264" s="6" t="s">
        <v>95</v>
      </c>
      <c r="E264" s="6" t="s">
        <v>61</v>
      </c>
      <c r="F264" s="6" t="s">
        <v>62</v>
      </c>
      <c r="G264" s="6" t="s">
        <v>96</v>
      </c>
      <c r="H264" s="9" t="s">
        <v>97</v>
      </c>
      <c r="I264" s="10">
        <v>1.0</v>
      </c>
      <c r="J264" s="10">
        <v>465.0</v>
      </c>
      <c r="K264" s="10">
        <v>606.0</v>
      </c>
      <c r="L264" s="10">
        <v>271.0</v>
      </c>
      <c r="M264" s="10">
        <v>90.0</v>
      </c>
      <c r="N264" s="10">
        <v>465.0</v>
      </c>
    </row>
    <row r="265" ht="22.5" customHeight="1">
      <c r="A265" s="7">
        <v>44549.0</v>
      </c>
      <c r="B265" s="8">
        <v>44549.375</v>
      </c>
      <c r="C265" s="6" t="s">
        <v>26</v>
      </c>
      <c r="D265" s="6" t="s">
        <v>669</v>
      </c>
      <c r="E265" s="6" t="s">
        <v>28</v>
      </c>
      <c r="F265" s="6" t="s">
        <v>34</v>
      </c>
      <c r="G265" s="6" t="s">
        <v>670</v>
      </c>
      <c r="H265" s="9" t="s">
        <v>671</v>
      </c>
      <c r="I265" s="10">
        <v>1.0</v>
      </c>
      <c r="J265" s="10">
        <v>10575.0</v>
      </c>
      <c r="K265" s="10">
        <v>10721.0</v>
      </c>
      <c r="L265" s="10">
        <v>185.0</v>
      </c>
      <c r="M265" s="10">
        <v>51.0</v>
      </c>
      <c r="N265" s="10">
        <v>10575.0</v>
      </c>
    </row>
    <row r="266" ht="22.5" customHeight="1">
      <c r="A266" s="7">
        <v>44549.0</v>
      </c>
      <c r="B266" s="8">
        <v>44549.458344907405</v>
      </c>
      <c r="C266" s="6" t="s">
        <v>26</v>
      </c>
      <c r="D266" s="6" t="s">
        <v>98</v>
      </c>
      <c r="E266" s="6" t="s">
        <v>61</v>
      </c>
      <c r="F266" s="6" t="s">
        <v>62</v>
      </c>
      <c r="G266" s="6" t="s">
        <v>99</v>
      </c>
      <c r="H266" s="9" t="s">
        <v>100</v>
      </c>
      <c r="I266" s="10">
        <v>1.0</v>
      </c>
      <c r="J266" s="10">
        <v>405.0</v>
      </c>
      <c r="K266" s="10">
        <v>424.0</v>
      </c>
      <c r="L266" s="10">
        <v>35.0</v>
      </c>
      <c r="M266" s="10">
        <v>12.0</v>
      </c>
      <c r="N266" s="10">
        <v>405.0</v>
      </c>
    </row>
    <row r="267" ht="22.5" customHeight="1">
      <c r="A267" s="7">
        <v>44549.0</v>
      </c>
      <c r="B267" s="8">
        <v>44549.54167824074</v>
      </c>
      <c r="C267" s="6" t="s">
        <v>26</v>
      </c>
      <c r="D267" s="6" t="s">
        <v>161</v>
      </c>
      <c r="E267" s="6" t="s">
        <v>28</v>
      </c>
      <c r="F267" s="6" t="s">
        <v>34</v>
      </c>
      <c r="G267" s="6" t="s">
        <v>162</v>
      </c>
      <c r="H267" s="9" t="s">
        <v>163</v>
      </c>
      <c r="I267" s="10">
        <v>1.0</v>
      </c>
      <c r="J267" s="10">
        <v>8407.0</v>
      </c>
      <c r="K267" s="10">
        <v>9394.0</v>
      </c>
      <c r="L267" s="10">
        <v>765.0</v>
      </c>
      <c r="M267" s="10">
        <v>405.0</v>
      </c>
      <c r="N267" s="10">
        <v>8407.0</v>
      </c>
    </row>
    <row r="268" ht="22.5" customHeight="1">
      <c r="A268" s="7">
        <v>44549.0</v>
      </c>
      <c r="B268" s="8">
        <v>44549.583344907405</v>
      </c>
      <c r="C268" s="6" t="s">
        <v>26</v>
      </c>
      <c r="D268" s="6" t="s">
        <v>1055</v>
      </c>
      <c r="E268" s="6" t="s">
        <v>28</v>
      </c>
      <c r="F268" s="6" t="s">
        <v>34</v>
      </c>
      <c r="G268" s="6" t="s">
        <v>1056</v>
      </c>
      <c r="H268" s="9" t="s">
        <v>1057</v>
      </c>
      <c r="I268" s="10">
        <v>1.0</v>
      </c>
      <c r="J268" s="10">
        <v>325.0</v>
      </c>
      <c r="K268" s="10">
        <v>332.0</v>
      </c>
      <c r="L268" s="10">
        <v>17.0</v>
      </c>
      <c r="M268" s="10">
        <v>3.0</v>
      </c>
      <c r="N268" s="10">
        <v>325.0</v>
      </c>
    </row>
    <row r="269" ht="22.5" customHeight="1">
      <c r="A269" s="7">
        <v>44549.0</v>
      </c>
      <c r="B269" s="8">
        <v>44549.66667824074</v>
      </c>
      <c r="C269" s="6" t="s">
        <v>26</v>
      </c>
      <c r="D269" s="6" t="s">
        <v>286</v>
      </c>
      <c r="E269" s="6" t="s">
        <v>61</v>
      </c>
      <c r="F269" s="6" t="s">
        <v>76</v>
      </c>
      <c r="G269" s="6" t="s">
        <v>287</v>
      </c>
      <c r="H269" s="9" t="s">
        <v>288</v>
      </c>
      <c r="I269" s="10">
        <v>1.0</v>
      </c>
      <c r="J269" s="10">
        <v>10626.0</v>
      </c>
      <c r="K269" s="10">
        <v>12701.0</v>
      </c>
      <c r="L269" s="10">
        <v>74.0</v>
      </c>
      <c r="M269" s="10">
        <v>338.0</v>
      </c>
      <c r="N269" s="10">
        <v>10626.0</v>
      </c>
    </row>
    <row r="270" ht="22.5" customHeight="1">
      <c r="A270" s="7">
        <v>44549.0</v>
      </c>
      <c r="B270" s="8">
        <v>44549.75001157408</v>
      </c>
      <c r="C270" s="6" t="s">
        <v>26</v>
      </c>
      <c r="D270" s="6" t="s">
        <v>370</v>
      </c>
      <c r="E270" s="6" t="s">
        <v>28</v>
      </c>
      <c r="F270" s="6" t="s">
        <v>34</v>
      </c>
      <c r="G270" s="6" t="s">
        <v>371</v>
      </c>
      <c r="H270" s="9" t="s">
        <v>372</v>
      </c>
      <c r="I270" s="10">
        <v>1.0</v>
      </c>
      <c r="J270" s="10">
        <v>414.0</v>
      </c>
      <c r="K270" s="10">
        <v>424.0</v>
      </c>
      <c r="L270" s="10">
        <v>47.0</v>
      </c>
      <c r="M270" s="10">
        <v>14.0</v>
      </c>
      <c r="N270" s="10">
        <v>414.0</v>
      </c>
    </row>
    <row r="271" ht="22.5" customHeight="1">
      <c r="A271" s="7">
        <v>44549.0</v>
      </c>
      <c r="B271" s="8">
        <v>44549.77143518518</v>
      </c>
      <c r="C271" s="6" t="s">
        <v>26</v>
      </c>
      <c r="D271" s="6" t="s">
        <v>507</v>
      </c>
      <c r="E271" s="6" t="s">
        <v>61</v>
      </c>
      <c r="F271" s="6" t="s">
        <v>62</v>
      </c>
      <c r="G271" s="6" t="s">
        <v>508</v>
      </c>
      <c r="H271" s="9" t="s">
        <v>509</v>
      </c>
      <c r="I271" s="10">
        <v>1.0</v>
      </c>
      <c r="J271" s="10">
        <v>416.0</v>
      </c>
      <c r="K271" s="10">
        <v>543.0</v>
      </c>
      <c r="L271" s="10">
        <v>339.0</v>
      </c>
      <c r="M271" s="10">
        <v>132.0</v>
      </c>
      <c r="N271" s="10">
        <v>416.0</v>
      </c>
    </row>
    <row r="272" ht="22.5" customHeight="1">
      <c r="A272" s="7">
        <v>44550.0</v>
      </c>
      <c r="B272" s="8">
        <v>44550.333333333336</v>
      </c>
      <c r="C272" s="6" t="s">
        <v>26</v>
      </c>
      <c r="D272" s="6" t="s">
        <v>268</v>
      </c>
      <c r="E272" s="6" t="s">
        <v>28</v>
      </c>
      <c r="F272" s="6" t="s">
        <v>34</v>
      </c>
      <c r="G272" s="6" t="s">
        <v>269</v>
      </c>
      <c r="H272" s="9" t="s">
        <v>270</v>
      </c>
      <c r="I272" s="10">
        <v>1.0</v>
      </c>
      <c r="J272" s="10">
        <v>9181.0</v>
      </c>
      <c r="K272" s="10">
        <v>9361.0</v>
      </c>
      <c r="L272" s="10">
        <v>223.0</v>
      </c>
      <c r="M272" s="10">
        <v>97.0</v>
      </c>
      <c r="N272" s="10">
        <v>9181.0</v>
      </c>
    </row>
    <row r="273" ht="22.5" customHeight="1">
      <c r="A273" s="7">
        <v>44550.0</v>
      </c>
      <c r="B273" s="8">
        <v>44550.416666666664</v>
      </c>
      <c r="C273" s="6" t="s">
        <v>26</v>
      </c>
      <c r="D273" s="6" t="s">
        <v>1210</v>
      </c>
      <c r="E273" s="6" t="s">
        <v>28</v>
      </c>
      <c r="F273" s="6" t="s">
        <v>34</v>
      </c>
      <c r="G273" s="6" t="s">
        <v>1211</v>
      </c>
      <c r="H273" s="9" t="s">
        <v>1212</v>
      </c>
      <c r="I273" s="10">
        <v>1.0</v>
      </c>
      <c r="J273" s="10">
        <v>190.0</v>
      </c>
      <c r="K273" s="10">
        <v>194.0</v>
      </c>
      <c r="L273" s="10">
        <v>30.0</v>
      </c>
      <c r="M273" s="10">
        <v>6.0</v>
      </c>
      <c r="N273" s="10">
        <v>190.0</v>
      </c>
    </row>
    <row r="274" ht="22.5" customHeight="1">
      <c r="A274" s="7">
        <v>44550.0</v>
      </c>
      <c r="B274" s="8">
        <v>44550.62501157408</v>
      </c>
      <c r="C274" s="6" t="s">
        <v>26</v>
      </c>
      <c r="D274" s="6" t="s">
        <v>271</v>
      </c>
      <c r="E274" s="6" t="s">
        <v>28</v>
      </c>
      <c r="F274" s="6" t="s">
        <v>34</v>
      </c>
      <c r="G274" s="6" t="s">
        <v>272</v>
      </c>
      <c r="H274" s="9" t="s">
        <v>273</v>
      </c>
      <c r="I274" s="10">
        <v>1.0</v>
      </c>
      <c r="J274" s="10">
        <v>7511.0</v>
      </c>
      <c r="K274" s="10">
        <v>8344.0</v>
      </c>
      <c r="L274" s="10">
        <v>821.0</v>
      </c>
      <c r="M274" s="10">
        <v>257.0</v>
      </c>
      <c r="N274" s="10">
        <v>7511.0</v>
      </c>
    </row>
    <row r="275" ht="22.5" customHeight="1">
      <c r="A275" s="7">
        <v>44550.0</v>
      </c>
      <c r="B275" s="8">
        <v>44550.75001157408</v>
      </c>
      <c r="C275" s="6" t="s">
        <v>26</v>
      </c>
      <c r="D275" s="6" t="s">
        <v>247</v>
      </c>
      <c r="E275" s="6" t="s">
        <v>28</v>
      </c>
      <c r="F275" s="6" t="s">
        <v>34</v>
      </c>
      <c r="G275" s="6" t="s">
        <v>248</v>
      </c>
      <c r="H275" s="9" t="s">
        <v>249</v>
      </c>
      <c r="I275" s="10">
        <v>1.0</v>
      </c>
      <c r="J275" s="10">
        <v>283.0</v>
      </c>
      <c r="K275" s="10">
        <v>286.0</v>
      </c>
      <c r="L275" s="10">
        <v>17.0</v>
      </c>
      <c r="M275" s="10">
        <v>6.0</v>
      </c>
      <c r="N275" s="10">
        <v>283.0</v>
      </c>
    </row>
    <row r="276" ht="22.5" customHeight="1">
      <c r="A276" s="7">
        <v>44550.0</v>
      </c>
      <c r="B276" s="8">
        <v>44550.782164351855</v>
      </c>
      <c r="C276" s="6" t="s">
        <v>26</v>
      </c>
      <c r="D276" s="6" t="s">
        <v>241</v>
      </c>
      <c r="E276" s="6" t="s">
        <v>61</v>
      </c>
      <c r="F276" s="6" t="s">
        <v>62</v>
      </c>
      <c r="G276" s="6" t="s">
        <v>242</v>
      </c>
      <c r="H276" s="9" t="s">
        <v>243</v>
      </c>
      <c r="I276" s="10">
        <v>1.0</v>
      </c>
      <c r="J276" s="10">
        <v>387.0</v>
      </c>
      <c r="K276" s="10">
        <v>512.0</v>
      </c>
      <c r="L276" s="10">
        <v>306.0</v>
      </c>
      <c r="M276" s="10">
        <v>91.0</v>
      </c>
      <c r="N276" s="10">
        <v>387.0</v>
      </c>
    </row>
    <row r="277" ht="22.5" customHeight="1">
      <c r="A277" s="7">
        <v>44550.0</v>
      </c>
      <c r="B277" s="8">
        <v>44550.83335648148</v>
      </c>
      <c r="C277" s="6" t="s">
        <v>26</v>
      </c>
      <c r="D277" s="6" t="s">
        <v>295</v>
      </c>
      <c r="E277" s="6" t="s">
        <v>61</v>
      </c>
      <c r="F277" s="6" t="s">
        <v>76</v>
      </c>
      <c r="G277" s="6" t="s">
        <v>296</v>
      </c>
      <c r="H277" s="9" t="s">
        <v>297</v>
      </c>
      <c r="I277" s="10">
        <v>1.0</v>
      </c>
      <c r="J277" s="10">
        <v>622.0</v>
      </c>
      <c r="K277" s="10">
        <v>650.0</v>
      </c>
      <c r="L277" s="10">
        <v>59.0</v>
      </c>
      <c r="M277" s="10">
        <v>26.0</v>
      </c>
      <c r="N277" s="10">
        <v>622.0</v>
      </c>
    </row>
    <row r="278" ht="22.5" customHeight="1">
      <c r="A278" s="7">
        <v>44551.0</v>
      </c>
      <c r="B278" s="8">
        <v>44551.333344907405</v>
      </c>
      <c r="C278" s="6" t="s">
        <v>26</v>
      </c>
      <c r="D278" s="6" t="s">
        <v>630</v>
      </c>
      <c r="E278" s="6" t="s">
        <v>28</v>
      </c>
      <c r="F278" s="6" t="s">
        <v>34</v>
      </c>
      <c r="G278" s="6" t="s">
        <v>631</v>
      </c>
      <c r="H278" s="9" t="s">
        <v>632</v>
      </c>
      <c r="I278" s="10">
        <v>1.0</v>
      </c>
      <c r="J278" s="10">
        <v>8227.0</v>
      </c>
      <c r="K278" s="10">
        <v>8334.0</v>
      </c>
      <c r="L278" s="10">
        <v>158.0</v>
      </c>
      <c r="M278" s="10">
        <v>44.0</v>
      </c>
      <c r="N278" s="10">
        <v>8227.0</v>
      </c>
    </row>
    <row r="279" ht="22.5" customHeight="1">
      <c r="A279" s="7">
        <v>44551.0</v>
      </c>
      <c r="B279" s="8">
        <v>44551.416666666664</v>
      </c>
      <c r="C279" s="6" t="s">
        <v>26</v>
      </c>
      <c r="D279" s="6" t="s">
        <v>753</v>
      </c>
      <c r="E279" s="6" t="s">
        <v>28</v>
      </c>
      <c r="F279" s="6" t="s">
        <v>34</v>
      </c>
      <c r="G279" s="6" t="s">
        <v>754</v>
      </c>
      <c r="H279" s="9" t="s">
        <v>755</v>
      </c>
      <c r="I279" s="10">
        <v>1.0</v>
      </c>
      <c r="J279" s="10">
        <v>6797.0</v>
      </c>
      <c r="K279" s="10">
        <v>6937.0</v>
      </c>
      <c r="L279" s="10">
        <v>217.0</v>
      </c>
      <c r="M279" s="10">
        <v>51.0</v>
      </c>
      <c r="N279" s="10">
        <v>6797.0</v>
      </c>
    </row>
    <row r="280" ht="22.5" customHeight="1">
      <c r="A280" s="7">
        <v>44551.0</v>
      </c>
      <c r="B280" s="8">
        <v>44551.583333333336</v>
      </c>
      <c r="C280" s="6" t="s">
        <v>26</v>
      </c>
      <c r="D280" s="6" t="s">
        <v>1234</v>
      </c>
      <c r="E280" s="6" t="s">
        <v>28</v>
      </c>
      <c r="F280" s="6" t="s">
        <v>229</v>
      </c>
      <c r="G280" s="6" t="s">
        <v>1235</v>
      </c>
      <c r="H280" s="9" t="s">
        <v>1236</v>
      </c>
      <c r="I280" s="10">
        <v>1.0</v>
      </c>
      <c r="J280" s="10">
        <v>1252.0</v>
      </c>
      <c r="K280" s="10">
        <v>1332.0</v>
      </c>
      <c r="L280" s="10">
        <v>90.0</v>
      </c>
      <c r="M280" s="10">
        <v>173.0</v>
      </c>
      <c r="N280" s="10">
        <v>1252.0</v>
      </c>
    </row>
    <row r="281" ht="22.5" customHeight="1">
      <c r="A281" s="7">
        <v>44551.0</v>
      </c>
      <c r="B281" s="8">
        <v>44551.62501157408</v>
      </c>
      <c r="C281" s="6" t="s">
        <v>26</v>
      </c>
      <c r="D281" s="6" t="s">
        <v>289</v>
      </c>
      <c r="E281" s="6" t="s">
        <v>28</v>
      </c>
      <c r="F281" s="6" t="s">
        <v>34</v>
      </c>
      <c r="G281" s="6" t="s">
        <v>290</v>
      </c>
      <c r="H281" s="9" t="s">
        <v>291</v>
      </c>
      <c r="I281" s="10">
        <v>1.0</v>
      </c>
      <c r="J281" s="10">
        <v>1743.0</v>
      </c>
      <c r="K281" s="10">
        <v>1918.0</v>
      </c>
      <c r="L281" s="10">
        <v>320.0</v>
      </c>
      <c r="M281" s="10">
        <v>49.0</v>
      </c>
      <c r="N281" s="10">
        <v>1743.0</v>
      </c>
    </row>
    <row r="282" ht="22.5" customHeight="1">
      <c r="A282" s="7">
        <v>44551.0</v>
      </c>
      <c r="B282" s="8">
        <v>44551.70842592593</v>
      </c>
      <c r="C282" s="6" t="s">
        <v>26</v>
      </c>
      <c r="D282" s="6" t="s">
        <v>116</v>
      </c>
      <c r="E282" s="6" t="s">
        <v>61</v>
      </c>
      <c r="F282" s="6" t="s">
        <v>62</v>
      </c>
      <c r="G282" s="6" t="s">
        <v>117</v>
      </c>
      <c r="H282" s="9" t="s">
        <v>118</v>
      </c>
      <c r="I282" s="10">
        <v>1.0</v>
      </c>
      <c r="J282" s="10">
        <v>1083.0</v>
      </c>
      <c r="K282" s="10">
        <v>1219.0</v>
      </c>
      <c r="L282" s="10">
        <v>140.0</v>
      </c>
      <c r="M282" s="10">
        <v>75.0</v>
      </c>
      <c r="N282" s="10">
        <v>1083.0</v>
      </c>
    </row>
    <row r="283" ht="22.5" customHeight="1">
      <c r="A283" s="7">
        <v>44551.0</v>
      </c>
      <c r="B283" s="8">
        <v>44551.75001157408</v>
      </c>
      <c r="C283" s="6" t="s">
        <v>26</v>
      </c>
      <c r="D283" s="6" t="s">
        <v>250</v>
      </c>
      <c r="E283" s="6" t="s">
        <v>28</v>
      </c>
      <c r="F283" s="6" t="s">
        <v>34</v>
      </c>
      <c r="G283" s="6" t="s">
        <v>251</v>
      </c>
      <c r="H283" s="9" t="s">
        <v>252</v>
      </c>
      <c r="I283" s="10">
        <v>1.0</v>
      </c>
      <c r="J283" s="10">
        <v>267.0</v>
      </c>
      <c r="K283" s="10">
        <v>274.0</v>
      </c>
      <c r="L283" s="10">
        <v>30.0</v>
      </c>
      <c r="M283" s="10">
        <v>3.0</v>
      </c>
      <c r="N283" s="10">
        <v>267.0</v>
      </c>
    </row>
    <row r="284" ht="22.5" customHeight="1">
      <c r="A284" s="7">
        <v>44551.0</v>
      </c>
      <c r="B284" s="8">
        <v>44551.83335648148</v>
      </c>
      <c r="C284" s="6" t="s">
        <v>26</v>
      </c>
      <c r="D284" s="6" t="s">
        <v>274</v>
      </c>
      <c r="E284" s="6" t="s">
        <v>28</v>
      </c>
      <c r="F284" s="6" t="s">
        <v>34</v>
      </c>
      <c r="G284" s="6" t="s">
        <v>275</v>
      </c>
      <c r="H284" s="9" t="s">
        <v>276</v>
      </c>
      <c r="I284" s="10">
        <v>1.0</v>
      </c>
      <c r="J284" s="10">
        <v>4414.0</v>
      </c>
      <c r="K284" s="10">
        <v>4541.0</v>
      </c>
      <c r="L284" s="10">
        <v>70.0</v>
      </c>
      <c r="M284" s="10">
        <v>20.0</v>
      </c>
      <c r="N284" s="10">
        <v>4414.0</v>
      </c>
    </row>
    <row r="285" ht="22.5" customHeight="1">
      <c r="A285" s="7">
        <v>44552.0</v>
      </c>
      <c r="B285" s="8">
        <v>44552.333344907405</v>
      </c>
      <c r="C285" s="6" t="s">
        <v>26</v>
      </c>
      <c r="D285" s="6" t="s">
        <v>198</v>
      </c>
      <c r="E285" s="6" t="s">
        <v>28</v>
      </c>
      <c r="F285" s="6" t="s">
        <v>34</v>
      </c>
      <c r="G285" s="6" t="s">
        <v>199</v>
      </c>
      <c r="H285" s="9" t="s">
        <v>200</v>
      </c>
      <c r="I285" s="10">
        <v>1.0</v>
      </c>
      <c r="J285" s="10">
        <v>12386.0</v>
      </c>
      <c r="K285" s="10">
        <v>14789.0</v>
      </c>
      <c r="L285" s="10">
        <v>1307.0</v>
      </c>
      <c r="M285" s="10">
        <v>357.0</v>
      </c>
      <c r="N285" s="10">
        <v>12386.0</v>
      </c>
    </row>
    <row r="286" ht="22.5" customHeight="1">
      <c r="A286" s="7">
        <v>44552.0</v>
      </c>
      <c r="B286" s="8">
        <v>44552.41667824074</v>
      </c>
      <c r="C286" s="6" t="s">
        <v>26</v>
      </c>
      <c r="D286" s="6" t="s">
        <v>492</v>
      </c>
      <c r="E286" s="6" t="s">
        <v>28</v>
      </c>
      <c r="F286" s="6" t="s">
        <v>34</v>
      </c>
      <c r="G286" s="6" t="s">
        <v>493</v>
      </c>
      <c r="H286" s="9" t="s">
        <v>494</v>
      </c>
      <c r="I286" s="10">
        <v>1.0</v>
      </c>
      <c r="J286" s="10">
        <v>8241.0</v>
      </c>
      <c r="K286" s="10">
        <v>8562.0</v>
      </c>
      <c r="L286" s="10">
        <v>237.0</v>
      </c>
      <c r="M286" s="10">
        <v>88.0</v>
      </c>
      <c r="N286" s="10">
        <v>8241.0</v>
      </c>
    </row>
    <row r="287" ht="22.5" customHeight="1">
      <c r="A287" s="7">
        <v>44552.0</v>
      </c>
      <c r="B287" s="8">
        <v>44552.541666666664</v>
      </c>
      <c r="C287" s="6" t="s">
        <v>26</v>
      </c>
      <c r="D287" s="6" t="s">
        <v>277</v>
      </c>
      <c r="E287" s="6" t="s">
        <v>28</v>
      </c>
      <c r="F287" s="6" t="s">
        <v>229</v>
      </c>
      <c r="G287" s="6" t="s">
        <v>278</v>
      </c>
      <c r="H287" s="9" t="s">
        <v>279</v>
      </c>
      <c r="I287" s="10">
        <v>1.0</v>
      </c>
      <c r="J287" s="10">
        <v>1810.0</v>
      </c>
      <c r="K287" s="10">
        <v>1877.0</v>
      </c>
      <c r="L287" s="10">
        <v>83.0</v>
      </c>
      <c r="M287" s="10">
        <v>44.0</v>
      </c>
      <c r="N287" s="10">
        <v>1810.0</v>
      </c>
    </row>
    <row r="288" ht="22.5" customHeight="1">
      <c r="A288" s="7">
        <v>44552.0</v>
      </c>
      <c r="B288" s="8">
        <v>44552.62501157408</v>
      </c>
      <c r="C288" s="6" t="s">
        <v>26</v>
      </c>
      <c r="D288" s="6" t="s">
        <v>561</v>
      </c>
      <c r="E288" s="6" t="s">
        <v>28</v>
      </c>
      <c r="F288" s="6" t="s">
        <v>34</v>
      </c>
      <c r="G288" s="6" t="s">
        <v>562</v>
      </c>
      <c r="H288" s="9" t="s">
        <v>563</v>
      </c>
      <c r="I288" s="10">
        <v>1.0</v>
      </c>
      <c r="J288" s="10">
        <v>6966.0</v>
      </c>
      <c r="K288" s="10">
        <v>7158.0</v>
      </c>
      <c r="L288" s="10">
        <v>71.0</v>
      </c>
      <c r="M288" s="10">
        <v>59.0</v>
      </c>
      <c r="N288" s="10">
        <v>6966.0</v>
      </c>
    </row>
    <row r="289" ht="22.5" customHeight="1">
      <c r="A289" s="7">
        <v>44552.0</v>
      </c>
      <c r="B289" s="8">
        <v>44552.708344907405</v>
      </c>
      <c r="C289" s="6" t="s">
        <v>26</v>
      </c>
      <c r="D289" s="6" t="s">
        <v>244</v>
      </c>
      <c r="E289" s="6" t="s">
        <v>61</v>
      </c>
      <c r="F289" s="6" t="s">
        <v>62</v>
      </c>
      <c r="G289" s="6" t="s">
        <v>245</v>
      </c>
      <c r="H289" s="9" t="s">
        <v>246</v>
      </c>
      <c r="I289" s="10">
        <v>1.0</v>
      </c>
      <c r="J289" s="10">
        <v>1016.0</v>
      </c>
      <c r="K289" s="10">
        <v>1068.0</v>
      </c>
      <c r="L289" s="10">
        <v>78.0</v>
      </c>
      <c r="M289" s="10">
        <v>30.0</v>
      </c>
      <c r="N289" s="10">
        <v>1016.0</v>
      </c>
    </row>
    <row r="290" ht="22.5" customHeight="1">
      <c r="A290" s="7">
        <v>44552.0</v>
      </c>
      <c r="B290" s="8">
        <v>44552.75001157408</v>
      </c>
      <c r="C290" s="6" t="s">
        <v>26</v>
      </c>
      <c r="D290" s="6" t="s">
        <v>540</v>
      </c>
      <c r="E290" s="6" t="s">
        <v>28</v>
      </c>
      <c r="F290" s="6" t="s">
        <v>34</v>
      </c>
      <c r="G290" s="6" t="s">
        <v>541</v>
      </c>
      <c r="H290" s="9" t="s">
        <v>542</v>
      </c>
      <c r="I290" s="10">
        <v>1.0</v>
      </c>
      <c r="J290" s="10">
        <v>317.0</v>
      </c>
      <c r="K290" s="10">
        <v>320.0</v>
      </c>
      <c r="L290" s="10">
        <v>18.0</v>
      </c>
      <c r="M290" s="10">
        <v>4.0</v>
      </c>
      <c r="N290" s="10">
        <v>317.0</v>
      </c>
    </row>
    <row r="291" ht="22.5" customHeight="1">
      <c r="A291" s="7">
        <v>44553.0</v>
      </c>
      <c r="B291" s="8">
        <v>44553.333344907405</v>
      </c>
      <c r="C291" s="6" t="s">
        <v>26</v>
      </c>
      <c r="D291" s="6" t="s">
        <v>687</v>
      </c>
      <c r="E291" s="6" t="s">
        <v>28</v>
      </c>
      <c r="F291" s="6" t="s">
        <v>34</v>
      </c>
      <c r="G291" s="6" t="s">
        <v>688</v>
      </c>
      <c r="H291" s="9" t="s">
        <v>689</v>
      </c>
      <c r="I291" s="10">
        <v>1.0</v>
      </c>
      <c r="J291" s="10">
        <v>2773.0</v>
      </c>
      <c r="K291" s="10">
        <v>3058.0</v>
      </c>
      <c r="L291" s="10">
        <v>386.0</v>
      </c>
      <c r="M291" s="10">
        <v>92.0</v>
      </c>
      <c r="N291" s="10">
        <v>2773.0</v>
      </c>
    </row>
    <row r="292" ht="22.5" customHeight="1">
      <c r="A292" s="7">
        <v>44553.0</v>
      </c>
      <c r="B292" s="8">
        <v>44553.375</v>
      </c>
      <c r="C292" s="6" t="s">
        <v>26</v>
      </c>
      <c r="D292" s="6" t="s">
        <v>705</v>
      </c>
      <c r="E292" s="6" t="s">
        <v>28</v>
      </c>
      <c r="F292" s="6" t="s">
        <v>34</v>
      </c>
      <c r="G292" s="6" t="s">
        <v>706</v>
      </c>
      <c r="H292" s="9" t="s">
        <v>707</v>
      </c>
      <c r="I292" s="10">
        <v>1.0</v>
      </c>
      <c r="J292" s="10">
        <v>909.0</v>
      </c>
      <c r="K292" s="10">
        <v>1012.0</v>
      </c>
      <c r="L292" s="10">
        <v>97.0</v>
      </c>
      <c r="M292" s="10">
        <v>13.0</v>
      </c>
      <c r="N292" s="10">
        <v>909.0</v>
      </c>
    </row>
    <row r="293" ht="22.5" customHeight="1">
      <c r="A293" s="7">
        <v>44553.0</v>
      </c>
      <c r="B293" s="8">
        <v>44553.416666666664</v>
      </c>
      <c r="C293" s="6" t="s">
        <v>26</v>
      </c>
      <c r="D293" s="6" t="s">
        <v>1225</v>
      </c>
      <c r="E293" s="6" t="s">
        <v>28</v>
      </c>
      <c r="F293" s="6" t="s">
        <v>34</v>
      </c>
      <c r="G293" s="6" t="s">
        <v>1226</v>
      </c>
      <c r="H293" s="9" t="s">
        <v>1227</v>
      </c>
      <c r="I293" s="10">
        <v>1.0</v>
      </c>
      <c r="J293" s="10">
        <v>177.0</v>
      </c>
      <c r="K293" s="10">
        <v>180.0</v>
      </c>
      <c r="L293" s="10">
        <v>16.0</v>
      </c>
      <c r="N293" s="10">
        <v>177.0</v>
      </c>
    </row>
    <row r="294" ht="22.5" customHeight="1">
      <c r="A294" s="7">
        <v>44553.0</v>
      </c>
      <c r="B294" s="8">
        <v>44553.5</v>
      </c>
      <c r="C294" s="6" t="s">
        <v>26</v>
      </c>
      <c r="D294" s="6" t="s">
        <v>393</v>
      </c>
      <c r="E294" s="6" t="s">
        <v>28</v>
      </c>
      <c r="F294" s="6" t="s">
        <v>34</v>
      </c>
      <c r="G294" s="6" t="s">
        <v>394</v>
      </c>
      <c r="H294" s="9" t="s">
        <v>395</v>
      </c>
      <c r="I294" s="10">
        <v>1.0</v>
      </c>
      <c r="J294" s="10">
        <v>4476.0</v>
      </c>
      <c r="K294" s="10">
        <v>4845.0</v>
      </c>
      <c r="L294" s="10">
        <v>735.0</v>
      </c>
      <c r="M294" s="10">
        <v>658.0</v>
      </c>
      <c r="N294" s="10">
        <v>4476.0</v>
      </c>
    </row>
    <row r="295" ht="22.5" customHeight="1">
      <c r="A295" s="7">
        <v>44553.0</v>
      </c>
      <c r="B295" s="8">
        <v>44553.583333333336</v>
      </c>
      <c r="C295" s="6" t="s">
        <v>26</v>
      </c>
      <c r="D295" s="6" t="s">
        <v>1267</v>
      </c>
      <c r="E295" s="6" t="s">
        <v>28</v>
      </c>
      <c r="F295" s="6" t="s">
        <v>34</v>
      </c>
      <c r="G295" s="6" t="s">
        <v>1268</v>
      </c>
      <c r="H295" s="9" t="s">
        <v>1269</v>
      </c>
      <c r="I295" s="10">
        <v>1.0</v>
      </c>
      <c r="J295" s="10">
        <v>4518.0</v>
      </c>
      <c r="K295" s="10">
        <v>4546.0</v>
      </c>
      <c r="L295" s="10">
        <v>29.0</v>
      </c>
      <c r="M295" s="10">
        <v>18.0</v>
      </c>
      <c r="N295" s="10">
        <v>4518.0</v>
      </c>
    </row>
    <row r="296" ht="22.5" customHeight="1">
      <c r="A296" s="7">
        <v>44553.0</v>
      </c>
      <c r="B296" s="8">
        <v>44553.66668981482</v>
      </c>
      <c r="C296" s="6" t="s">
        <v>26</v>
      </c>
      <c r="D296" s="6" t="s">
        <v>349</v>
      </c>
      <c r="E296" s="6" t="s">
        <v>61</v>
      </c>
      <c r="F296" s="6" t="s">
        <v>62</v>
      </c>
      <c r="G296" s="6" t="s">
        <v>350</v>
      </c>
      <c r="H296" s="9" t="s">
        <v>351</v>
      </c>
      <c r="I296" s="10">
        <v>1.0</v>
      </c>
      <c r="J296" s="10">
        <v>612.0</v>
      </c>
      <c r="K296" s="10">
        <v>665.0</v>
      </c>
      <c r="L296" s="10">
        <v>39.0</v>
      </c>
      <c r="M296" s="10">
        <v>7.0</v>
      </c>
      <c r="N296" s="10">
        <v>612.0</v>
      </c>
    </row>
    <row r="297" ht="22.5" customHeight="1">
      <c r="A297" s="7">
        <v>44553.0</v>
      </c>
      <c r="B297" s="8">
        <v>44553.75001157408</v>
      </c>
      <c r="C297" s="6" t="s">
        <v>26</v>
      </c>
      <c r="D297" s="6" t="s">
        <v>253</v>
      </c>
      <c r="E297" s="6" t="s">
        <v>28</v>
      </c>
      <c r="F297" s="6" t="s">
        <v>34</v>
      </c>
      <c r="G297" s="6" t="s">
        <v>254</v>
      </c>
      <c r="H297" s="9" t="s">
        <v>255</v>
      </c>
      <c r="I297" s="10">
        <v>1.0</v>
      </c>
      <c r="J297" s="10">
        <v>273.0</v>
      </c>
      <c r="K297" s="10">
        <v>277.0</v>
      </c>
      <c r="L297" s="10">
        <v>10.0</v>
      </c>
      <c r="M297" s="10">
        <v>3.0</v>
      </c>
      <c r="N297" s="10">
        <v>273.0</v>
      </c>
    </row>
    <row r="298" ht="22.5" customHeight="1">
      <c r="A298" s="7">
        <v>44553.0</v>
      </c>
      <c r="B298" s="8">
        <v>44553.83335648148</v>
      </c>
      <c r="C298" s="6" t="s">
        <v>26</v>
      </c>
      <c r="D298" s="6" t="s">
        <v>337</v>
      </c>
      <c r="E298" s="6" t="s">
        <v>61</v>
      </c>
      <c r="F298" s="6" t="s">
        <v>62</v>
      </c>
      <c r="G298" s="6" t="s">
        <v>338</v>
      </c>
      <c r="H298" s="9" t="s">
        <v>339</v>
      </c>
      <c r="I298" s="10">
        <v>1.0</v>
      </c>
      <c r="J298" s="10">
        <v>402.0</v>
      </c>
      <c r="K298" s="10">
        <v>445.0</v>
      </c>
      <c r="L298" s="10">
        <v>13.0</v>
      </c>
      <c r="M298" s="10">
        <v>7.0</v>
      </c>
      <c r="N298" s="10">
        <v>402.0</v>
      </c>
    </row>
    <row r="299" ht="22.5" customHeight="1">
      <c r="A299" s="7">
        <v>44554.0</v>
      </c>
      <c r="B299" s="8">
        <v>44554.333333333336</v>
      </c>
      <c r="C299" s="6" t="s">
        <v>26</v>
      </c>
      <c r="D299" s="6" t="s">
        <v>633</v>
      </c>
      <c r="E299" s="6" t="s">
        <v>28</v>
      </c>
      <c r="F299" s="6" t="s">
        <v>34</v>
      </c>
      <c r="G299" s="6" t="s">
        <v>634</v>
      </c>
      <c r="H299" s="9" t="s">
        <v>635</v>
      </c>
      <c r="I299" s="10">
        <v>1.0</v>
      </c>
      <c r="J299" s="10">
        <v>12209.0</v>
      </c>
      <c r="K299" s="10">
        <v>12962.0</v>
      </c>
      <c r="L299" s="10">
        <v>451.0</v>
      </c>
      <c r="M299" s="10">
        <v>248.0</v>
      </c>
      <c r="N299" s="10">
        <v>12209.0</v>
      </c>
    </row>
    <row r="300" ht="22.5" customHeight="1">
      <c r="A300" s="7">
        <v>44554.0</v>
      </c>
      <c r="B300" s="8">
        <v>44554.375</v>
      </c>
      <c r="C300" s="6" t="s">
        <v>26</v>
      </c>
      <c r="D300" s="6" t="s">
        <v>522</v>
      </c>
      <c r="E300" s="6" t="s">
        <v>28</v>
      </c>
      <c r="F300" s="6" t="s">
        <v>34</v>
      </c>
      <c r="G300" s="6" t="s">
        <v>523</v>
      </c>
      <c r="H300" s="9" t="s">
        <v>524</v>
      </c>
      <c r="I300" s="10">
        <v>1.0</v>
      </c>
      <c r="J300" s="10">
        <v>10863.0</v>
      </c>
      <c r="K300" s="10">
        <v>11260.0</v>
      </c>
      <c r="L300" s="10">
        <v>404.0</v>
      </c>
      <c r="M300" s="10">
        <v>109.0</v>
      </c>
      <c r="N300" s="10">
        <v>10863.0</v>
      </c>
    </row>
    <row r="301" ht="22.5" customHeight="1">
      <c r="A301" s="7">
        <v>44554.0</v>
      </c>
      <c r="B301" s="8">
        <v>44554.54167824074</v>
      </c>
      <c r="C301" s="6" t="s">
        <v>26</v>
      </c>
      <c r="D301" s="6" t="s">
        <v>131</v>
      </c>
      <c r="E301" s="6" t="s">
        <v>61</v>
      </c>
      <c r="F301" s="6" t="s">
        <v>62</v>
      </c>
      <c r="G301" s="6" t="s">
        <v>132</v>
      </c>
      <c r="H301" s="9" t="s">
        <v>133</v>
      </c>
      <c r="I301" s="10">
        <v>1.0</v>
      </c>
      <c r="J301" s="10">
        <v>1550.0</v>
      </c>
      <c r="K301" s="10">
        <v>1777.0</v>
      </c>
      <c r="L301" s="10">
        <v>113.0</v>
      </c>
      <c r="M301" s="10">
        <v>36.0</v>
      </c>
      <c r="N301" s="10">
        <v>1550.0</v>
      </c>
    </row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  <hyperlink r:id="rId248" ref="H249"/>
    <hyperlink r:id="rId249" ref="H250"/>
    <hyperlink r:id="rId250" ref="H251"/>
    <hyperlink r:id="rId251" ref="H252"/>
    <hyperlink r:id="rId252" ref="H253"/>
    <hyperlink r:id="rId253" ref="H254"/>
    <hyperlink r:id="rId254" ref="H255"/>
    <hyperlink r:id="rId255" ref="H256"/>
    <hyperlink r:id="rId256" ref="H257"/>
    <hyperlink r:id="rId257" ref="H258"/>
    <hyperlink r:id="rId258" ref="H259"/>
    <hyperlink r:id="rId259" ref="H260"/>
    <hyperlink r:id="rId260" ref="H261"/>
    <hyperlink r:id="rId261" ref="H262"/>
    <hyperlink r:id="rId262" ref="H263"/>
    <hyperlink r:id="rId263" ref="H264"/>
    <hyperlink r:id="rId264" ref="H265"/>
    <hyperlink r:id="rId265" ref="H266"/>
    <hyperlink r:id="rId266" ref="H267"/>
    <hyperlink r:id="rId267" ref="H268"/>
    <hyperlink r:id="rId268" ref="H269"/>
    <hyperlink r:id="rId269" ref="H270"/>
    <hyperlink r:id="rId270" ref="H271"/>
    <hyperlink r:id="rId271" ref="H272"/>
    <hyperlink r:id="rId272" ref="H273"/>
    <hyperlink r:id="rId273" ref="H274"/>
    <hyperlink r:id="rId274" ref="H275"/>
    <hyperlink r:id="rId275" ref="H276"/>
    <hyperlink r:id="rId276" ref="H277"/>
    <hyperlink r:id="rId277" ref="H278"/>
    <hyperlink r:id="rId278" ref="H279"/>
    <hyperlink r:id="rId279" ref="H280"/>
    <hyperlink r:id="rId280" ref="H281"/>
    <hyperlink r:id="rId281" ref="H282"/>
    <hyperlink r:id="rId282" ref="H283"/>
    <hyperlink r:id="rId283" ref="H284"/>
    <hyperlink r:id="rId284" ref="H285"/>
    <hyperlink r:id="rId285" ref="H286"/>
    <hyperlink r:id="rId286" ref="H287"/>
    <hyperlink r:id="rId287" ref="H288"/>
    <hyperlink r:id="rId288" ref="H289"/>
    <hyperlink r:id="rId289" ref="H290"/>
    <hyperlink r:id="rId290" ref="H291"/>
    <hyperlink r:id="rId291" ref="H292"/>
    <hyperlink r:id="rId292" ref="H293"/>
    <hyperlink r:id="rId293" ref="H294"/>
    <hyperlink r:id="rId294" ref="H295"/>
    <hyperlink r:id="rId295" ref="H296"/>
    <hyperlink r:id="rId296" ref="H297"/>
    <hyperlink r:id="rId297" ref="H298"/>
    <hyperlink r:id="rId298" ref="H299"/>
    <hyperlink r:id="rId299" ref="H300"/>
    <hyperlink r:id="rId300" ref="H301"/>
  </hyperlinks>
  <drawing r:id="rId30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3" max="3" width="31.0"/>
  </cols>
  <sheetData>
    <row r="1" ht="21.0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</row>
    <row r="2" ht="21.0" customHeight="1">
      <c r="A2" s="7">
        <v>44470.0</v>
      </c>
      <c r="B2" s="8">
        <v>44470.50071759259</v>
      </c>
      <c r="C2" s="6" t="s">
        <v>50</v>
      </c>
      <c r="D2" s="6" t="s">
        <v>1406</v>
      </c>
      <c r="E2" s="6" t="s">
        <v>28</v>
      </c>
      <c r="F2" s="6" t="s">
        <v>34</v>
      </c>
      <c r="G2" s="6" t="s">
        <v>1407</v>
      </c>
      <c r="H2" s="9" t="s">
        <v>1408</v>
      </c>
      <c r="I2" s="10">
        <v>1.0</v>
      </c>
      <c r="J2" s="10">
        <v>1091.0</v>
      </c>
      <c r="K2" s="10">
        <v>1111.0</v>
      </c>
      <c r="L2" s="10">
        <v>13.0</v>
      </c>
      <c r="M2" s="10">
        <v>49.0</v>
      </c>
      <c r="N2" s="10">
        <v>1091.0</v>
      </c>
    </row>
    <row r="3" ht="21.0" customHeight="1">
      <c r="A3" s="7">
        <v>44470.0</v>
      </c>
      <c r="B3" s="8">
        <v>44470.625069444446</v>
      </c>
      <c r="C3" s="6" t="s">
        <v>50</v>
      </c>
      <c r="D3" s="6" t="s">
        <v>1427</v>
      </c>
      <c r="E3" s="6" t="s">
        <v>28</v>
      </c>
      <c r="F3" s="6" t="s">
        <v>34</v>
      </c>
      <c r="G3" s="6" t="s">
        <v>1428</v>
      </c>
      <c r="H3" s="9" t="s">
        <v>1429</v>
      </c>
      <c r="I3" s="10">
        <v>1.0</v>
      </c>
      <c r="J3" s="10">
        <v>2465.0</v>
      </c>
      <c r="K3" s="10">
        <v>2758.0</v>
      </c>
      <c r="L3" s="10">
        <v>30.0</v>
      </c>
      <c r="M3" s="10">
        <v>132.0</v>
      </c>
      <c r="N3" s="10">
        <v>2465.0</v>
      </c>
    </row>
    <row r="4" ht="21.0" customHeight="1">
      <c r="A4" s="7">
        <v>44470.0</v>
      </c>
      <c r="B4" s="8">
        <v>44470.66672453703</v>
      </c>
      <c r="C4" s="6" t="s">
        <v>50</v>
      </c>
      <c r="D4" s="6" t="s">
        <v>944</v>
      </c>
      <c r="E4" s="6" t="s">
        <v>28</v>
      </c>
      <c r="F4" s="6" t="s">
        <v>34</v>
      </c>
      <c r="G4" s="6" t="s">
        <v>945</v>
      </c>
      <c r="H4" s="9" t="s">
        <v>946</v>
      </c>
      <c r="I4" s="10">
        <v>1.0</v>
      </c>
      <c r="J4" s="10">
        <v>108.0</v>
      </c>
      <c r="K4" s="10">
        <v>109.0</v>
      </c>
      <c r="L4" s="10">
        <v>0.0</v>
      </c>
      <c r="N4" s="10">
        <v>108.0</v>
      </c>
    </row>
    <row r="5" ht="21.0" customHeight="1">
      <c r="A5" s="7">
        <v>44470.0</v>
      </c>
      <c r="B5" s="8">
        <v>44470.93457175926</v>
      </c>
      <c r="C5" s="6" t="s">
        <v>50</v>
      </c>
      <c r="D5" s="6" t="s">
        <v>1141</v>
      </c>
      <c r="E5" s="6" t="s">
        <v>28</v>
      </c>
      <c r="F5" s="6" t="s">
        <v>34</v>
      </c>
      <c r="G5" s="6" t="s">
        <v>1142</v>
      </c>
      <c r="H5" s="9" t="s">
        <v>1143</v>
      </c>
      <c r="I5" s="10">
        <v>1.0</v>
      </c>
      <c r="J5" s="10">
        <v>1034.0</v>
      </c>
      <c r="K5" s="10">
        <v>1049.0</v>
      </c>
      <c r="L5" s="10">
        <v>27.0</v>
      </c>
      <c r="M5" s="10">
        <v>14.0</v>
      </c>
      <c r="N5" s="10">
        <v>1034.0</v>
      </c>
    </row>
    <row r="6" ht="21.0" customHeight="1">
      <c r="A6" s="7">
        <v>44470.0</v>
      </c>
      <c r="B6" s="8">
        <v>44470.93769675926</v>
      </c>
      <c r="C6" s="6" t="s">
        <v>50</v>
      </c>
      <c r="D6" s="6" t="s">
        <v>1126</v>
      </c>
      <c r="E6" s="6" t="s">
        <v>28</v>
      </c>
      <c r="F6" s="6" t="s">
        <v>34</v>
      </c>
      <c r="G6" s="6" t="s">
        <v>1127</v>
      </c>
      <c r="H6" s="9" t="s">
        <v>1128</v>
      </c>
      <c r="I6" s="10">
        <v>1.0</v>
      </c>
      <c r="J6" s="10">
        <v>4684.0</v>
      </c>
      <c r="K6" s="10">
        <v>5203.0</v>
      </c>
      <c r="L6" s="10">
        <v>55.0</v>
      </c>
      <c r="M6" s="10">
        <v>545.0</v>
      </c>
      <c r="N6" s="10">
        <v>4684.0</v>
      </c>
    </row>
    <row r="7" ht="21.0" customHeight="1">
      <c r="A7" s="7">
        <v>44471.0</v>
      </c>
      <c r="B7" s="8">
        <v>44471.62509259259</v>
      </c>
      <c r="C7" s="6" t="s">
        <v>50</v>
      </c>
      <c r="D7" s="6" t="s">
        <v>1135</v>
      </c>
      <c r="E7" s="6" t="s">
        <v>28</v>
      </c>
      <c r="F7" s="6" t="s">
        <v>34</v>
      </c>
      <c r="G7" s="6" t="s">
        <v>1136</v>
      </c>
      <c r="H7" s="9" t="s">
        <v>1137</v>
      </c>
      <c r="I7" s="10">
        <v>1.0</v>
      </c>
      <c r="J7" s="10">
        <v>2952.0</v>
      </c>
      <c r="K7" s="10">
        <v>3015.0</v>
      </c>
      <c r="L7" s="10">
        <v>43.0</v>
      </c>
      <c r="M7" s="10">
        <v>130.0</v>
      </c>
      <c r="N7" s="10">
        <v>2952.0</v>
      </c>
    </row>
    <row r="8" ht="21.0" customHeight="1">
      <c r="A8" s="7">
        <v>44471.0</v>
      </c>
      <c r="B8" s="8">
        <v>44471.675520833334</v>
      </c>
      <c r="C8" s="6" t="s">
        <v>50</v>
      </c>
      <c r="D8" s="6" t="s">
        <v>1019</v>
      </c>
      <c r="E8" s="6" t="s">
        <v>61</v>
      </c>
      <c r="F8" s="6" t="s">
        <v>62</v>
      </c>
      <c r="G8" s="6" t="s">
        <v>1020</v>
      </c>
      <c r="H8" s="9" t="s">
        <v>1021</v>
      </c>
      <c r="I8" s="10">
        <v>1.0</v>
      </c>
      <c r="J8" s="10">
        <v>517.0</v>
      </c>
      <c r="K8" s="10">
        <v>549.0</v>
      </c>
      <c r="L8" s="10">
        <v>16.0</v>
      </c>
      <c r="M8" s="10">
        <v>48.0</v>
      </c>
      <c r="N8" s="10">
        <v>517.0</v>
      </c>
    </row>
    <row r="9" ht="21.0" customHeight="1">
      <c r="A9" s="7">
        <v>44471.0</v>
      </c>
      <c r="B9" s="8">
        <v>44471.8803125</v>
      </c>
      <c r="C9" s="6" t="s">
        <v>50</v>
      </c>
      <c r="D9" s="6" t="s">
        <v>1123</v>
      </c>
      <c r="E9" s="6" t="s">
        <v>28</v>
      </c>
      <c r="F9" s="6" t="s">
        <v>34</v>
      </c>
      <c r="G9" s="6" t="s">
        <v>1124</v>
      </c>
      <c r="H9" s="9" t="s">
        <v>1125</v>
      </c>
      <c r="I9" s="10">
        <v>1.0</v>
      </c>
      <c r="J9" s="10">
        <v>482.0</v>
      </c>
      <c r="K9" s="10">
        <v>483.0</v>
      </c>
      <c r="L9" s="10">
        <v>7.0</v>
      </c>
      <c r="M9" s="10">
        <v>5.0</v>
      </c>
      <c r="N9" s="10">
        <v>482.0</v>
      </c>
    </row>
    <row r="10" ht="21.0" customHeight="1">
      <c r="A10" s="7">
        <v>44472.0</v>
      </c>
      <c r="B10" s="8">
        <v>44472.679930555554</v>
      </c>
      <c r="C10" s="6" t="s">
        <v>50</v>
      </c>
      <c r="D10" s="6" t="s">
        <v>953</v>
      </c>
      <c r="E10" s="6" t="s">
        <v>61</v>
      </c>
      <c r="F10" s="6" t="s">
        <v>62</v>
      </c>
      <c r="G10" s="6" t="s">
        <v>954</v>
      </c>
      <c r="H10" s="9" t="s">
        <v>955</v>
      </c>
      <c r="I10" s="10">
        <v>1.0</v>
      </c>
      <c r="J10" s="10">
        <v>461.0</v>
      </c>
      <c r="K10" s="10">
        <v>493.0</v>
      </c>
      <c r="L10" s="10">
        <v>16.0</v>
      </c>
      <c r="M10" s="10">
        <v>40.0</v>
      </c>
      <c r="N10" s="10">
        <v>461.0</v>
      </c>
    </row>
    <row r="11" ht="21.0" customHeight="1">
      <c r="A11" s="7">
        <v>44472.0</v>
      </c>
      <c r="B11" s="8">
        <v>44472.88178240741</v>
      </c>
      <c r="C11" s="6" t="s">
        <v>50</v>
      </c>
      <c r="D11" s="6" t="s">
        <v>1436</v>
      </c>
      <c r="E11" s="6" t="s">
        <v>28</v>
      </c>
      <c r="F11" s="6" t="s">
        <v>229</v>
      </c>
      <c r="G11" s="6" t="s">
        <v>1437</v>
      </c>
      <c r="H11" s="9" t="s">
        <v>1438</v>
      </c>
      <c r="I11" s="10">
        <v>1.0</v>
      </c>
      <c r="J11" s="10">
        <v>229.0</v>
      </c>
      <c r="K11" s="10">
        <v>231.0</v>
      </c>
      <c r="L11" s="10">
        <v>4.0</v>
      </c>
      <c r="M11" s="10">
        <v>3.0</v>
      </c>
      <c r="N11" s="10">
        <v>229.0</v>
      </c>
    </row>
    <row r="12" ht="21.0" customHeight="1">
      <c r="A12" s="7">
        <v>44472.0</v>
      </c>
      <c r="B12" s="8">
        <v>44472.89579861111</v>
      </c>
      <c r="C12" s="6" t="s">
        <v>50</v>
      </c>
      <c r="D12" s="6" t="s">
        <v>1454</v>
      </c>
      <c r="E12" s="6" t="s">
        <v>28</v>
      </c>
      <c r="F12" s="6" t="s">
        <v>34</v>
      </c>
      <c r="G12" s="6" t="s">
        <v>1455</v>
      </c>
      <c r="H12" s="9" t="s">
        <v>1456</v>
      </c>
      <c r="I12" s="10">
        <v>1.0</v>
      </c>
      <c r="J12" s="10">
        <v>447.0</v>
      </c>
      <c r="K12" s="10">
        <v>451.0</v>
      </c>
      <c r="L12" s="10">
        <v>3.0</v>
      </c>
      <c r="M12" s="10">
        <v>6.0</v>
      </c>
      <c r="N12" s="10">
        <v>447.0</v>
      </c>
    </row>
    <row r="13" ht="21.0" customHeight="1">
      <c r="A13" s="7">
        <v>44474.0</v>
      </c>
      <c r="B13" s="8">
        <v>44474.42178240741</v>
      </c>
      <c r="C13" s="6" t="s">
        <v>50</v>
      </c>
      <c r="D13" s="6" t="s">
        <v>1028</v>
      </c>
      <c r="E13" s="6" t="s">
        <v>28</v>
      </c>
      <c r="F13" s="6" t="s">
        <v>34</v>
      </c>
      <c r="G13" s="6" t="s">
        <v>1029</v>
      </c>
      <c r="H13" s="9" t="s">
        <v>1030</v>
      </c>
      <c r="I13" s="10">
        <v>1.0</v>
      </c>
      <c r="J13" s="10">
        <v>74.0</v>
      </c>
      <c r="K13" s="10">
        <v>74.0</v>
      </c>
      <c r="L13" s="10">
        <v>3.0</v>
      </c>
      <c r="N13" s="10">
        <v>74.0</v>
      </c>
    </row>
    <row r="14" ht="21.0" customHeight="1">
      <c r="A14" s="7">
        <v>44474.0</v>
      </c>
      <c r="B14" s="8">
        <v>44474.67722222222</v>
      </c>
      <c r="C14" s="6" t="s">
        <v>50</v>
      </c>
      <c r="D14" s="6" t="s">
        <v>908</v>
      </c>
      <c r="E14" s="6" t="s">
        <v>61</v>
      </c>
      <c r="F14" s="6" t="s">
        <v>62</v>
      </c>
      <c r="G14" s="6" t="s">
        <v>909</v>
      </c>
      <c r="H14" s="9" t="s">
        <v>910</v>
      </c>
      <c r="I14" s="10">
        <v>1.0</v>
      </c>
      <c r="J14" s="10">
        <v>1271.0</v>
      </c>
      <c r="K14" s="10">
        <v>1321.0</v>
      </c>
      <c r="L14" s="10">
        <v>15.0</v>
      </c>
      <c r="M14" s="10">
        <v>61.0</v>
      </c>
      <c r="N14" s="10">
        <v>1271.0</v>
      </c>
    </row>
    <row r="15" ht="21.0" customHeight="1">
      <c r="A15" s="7">
        <v>44474.0</v>
      </c>
      <c r="B15" s="8">
        <v>44474.750081018516</v>
      </c>
      <c r="C15" s="6" t="s">
        <v>50</v>
      </c>
      <c r="D15" s="6" t="s">
        <v>1120</v>
      </c>
      <c r="E15" s="6" t="s">
        <v>61</v>
      </c>
      <c r="F15" s="6" t="s">
        <v>62</v>
      </c>
      <c r="G15" s="6" t="s">
        <v>1121</v>
      </c>
      <c r="H15" s="9" t="s">
        <v>1122</v>
      </c>
      <c r="I15" s="10">
        <v>1.0</v>
      </c>
      <c r="J15" s="10">
        <v>163.0</v>
      </c>
      <c r="K15" s="10">
        <v>165.0</v>
      </c>
      <c r="L15" s="10">
        <v>0.0</v>
      </c>
      <c r="M15" s="10">
        <v>3.0</v>
      </c>
      <c r="N15" s="10">
        <v>163.0</v>
      </c>
    </row>
    <row r="16" ht="21.0" customHeight="1">
      <c r="A16" s="7">
        <v>44474.0</v>
      </c>
      <c r="B16" s="8">
        <v>44474.87501157408</v>
      </c>
      <c r="C16" s="6" t="s">
        <v>50</v>
      </c>
      <c r="D16" s="6" t="s">
        <v>917</v>
      </c>
      <c r="E16" s="6" t="s">
        <v>28</v>
      </c>
      <c r="F16" s="6" t="s">
        <v>34</v>
      </c>
      <c r="G16" s="6" t="s">
        <v>918</v>
      </c>
      <c r="H16" s="9" t="s">
        <v>919</v>
      </c>
      <c r="I16" s="10">
        <v>1.0</v>
      </c>
      <c r="J16" s="10">
        <v>218.0</v>
      </c>
      <c r="K16" s="10">
        <v>225.0</v>
      </c>
      <c r="L16" s="10">
        <v>20.0</v>
      </c>
      <c r="M16" s="10">
        <v>11.0</v>
      </c>
      <c r="N16" s="10">
        <v>218.0</v>
      </c>
    </row>
    <row r="17" ht="21.0" customHeight="1">
      <c r="A17" s="7">
        <v>44475.0</v>
      </c>
      <c r="B17" s="8">
        <v>44475.409270833334</v>
      </c>
      <c r="C17" s="6" t="s">
        <v>50</v>
      </c>
      <c r="D17" s="6" t="s">
        <v>1328</v>
      </c>
      <c r="E17" s="6" t="s">
        <v>33</v>
      </c>
      <c r="F17" s="6" t="s">
        <v>34</v>
      </c>
      <c r="G17" s="6" t="s">
        <v>1329</v>
      </c>
      <c r="H17" s="9" t="s">
        <v>1330</v>
      </c>
      <c r="I17" s="10">
        <v>1.0</v>
      </c>
      <c r="J17" s="10">
        <v>250.0</v>
      </c>
      <c r="K17" s="10">
        <v>250.0</v>
      </c>
      <c r="L17" s="10">
        <v>4.0</v>
      </c>
      <c r="M17" s="10">
        <v>14.0</v>
      </c>
      <c r="N17" s="10">
        <v>250.0</v>
      </c>
    </row>
    <row r="18" ht="21.0" customHeight="1">
      <c r="A18" s="7">
        <v>44475.0</v>
      </c>
      <c r="B18" s="8">
        <v>44475.65335648148</v>
      </c>
      <c r="C18" s="6" t="s">
        <v>50</v>
      </c>
      <c r="D18" s="6" t="s">
        <v>1025</v>
      </c>
      <c r="E18" s="6" t="s">
        <v>61</v>
      </c>
      <c r="F18" s="6" t="s">
        <v>62</v>
      </c>
      <c r="G18" s="6" t="s">
        <v>1026</v>
      </c>
      <c r="H18" s="9" t="s">
        <v>1027</v>
      </c>
      <c r="I18" s="10">
        <v>1.0</v>
      </c>
      <c r="J18" s="10">
        <v>628.0</v>
      </c>
      <c r="K18" s="10">
        <v>642.0</v>
      </c>
      <c r="L18" s="10">
        <v>7.0</v>
      </c>
      <c r="M18" s="10">
        <v>33.0</v>
      </c>
      <c r="N18" s="10">
        <v>628.0</v>
      </c>
    </row>
    <row r="19" ht="21.0" customHeight="1">
      <c r="A19" s="7">
        <v>44475.0</v>
      </c>
      <c r="B19" s="8">
        <v>44475.68817129629</v>
      </c>
      <c r="C19" s="6" t="s">
        <v>50</v>
      </c>
      <c r="D19" s="6" t="s">
        <v>962</v>
      </c>
      <c r="E19" s="6" t="s">
        <v>28</v>
      </c>
      <c r="F19" s="6" t="s">
        <v>229</v>
      </c>
      <c r="G19" s="6" t="s">
        <v>963</v>
      </c>
      <c r="H19" s="9" t="s">
        <v>964</v>
      </c>
      <c r="I19" s="10">
        <v>1.0</v>
      </c>
      <c r="J19" s="10">
        <v>1139.0</v>
      </c>
      <c r="K19" s="10">
        <v>1164.0</v>
      </c>
      <c r="L19" s="10">
        <v>55.0</v>
      </c>
      <c r="M19" s="10">
        <v>157.0</v>
      </c>
      <c r="N19" s="10">
        <v>1139.0</v>
      </c>
    </row>
    <row r="20" ht="21.0" customHeight="1">
      <c r="A20" s="7">
        <v>44475.0</v>
      </c>
      <c r="B20" s="8">
        <v>44475.750625</v>
      </c>
      <c r="C20" s="6" t="s">
        <v>50</v>
      </c>
      <c r="D20" s="6" t="s">
        <v>867</v>
      </c>
      <c r="E20" s="6" t="s">
        <v>28</v>
      </c>
      <c r="F20" s="6" t="s">
        <v>34</v>
      </c>
      <c r="G20" s="6" t="s">
        <v>868</v>
      </c>
      <c r="H20" s="9" t="s">
        <v>869</v>
      </c>
      <c r="I20" s="10">
        <v>1.0</v>
      </c>
      <c r="J20" s="10">
        <v>1831.0</v>
      </c>
      <c r="K20" s="10">
        <v>1872.0</v>
      </c>
      <c r="L20" s="10">
        <v>44.0</v>
      </c>
      <c r="M20" s="10">
        <v>222.0</v>
      </c>
      <c r="N20" s="10">
        <v>1831.0</v>
      </c>
    </row>
    <row r="21" ht="21.0" customHeight="1">
      <c r="A21" s="7">
        <v>44476.0</v>
      </c>
      <c r="B21" s="8">
        <v>44476.48962962963</v>
      </c>
      <c r="C21" s="6" t="s">
        <v>50</v>
      </c>
      <c r="D21" s="6" t="s">
        <v>995</v>
      </c>
      <c r="E21" s="6" t="s">
        <v>61</v>
      </c>
      <c r="F21" s="6" t="s">
        <v>62</v>
      </c>
      <c r="G21" s="6" t="s">
        <v>996</v>
      </c>
      <c r="H21" s="9" t="s">
        <v>997</v>
      </c>
      <c r="I21" s="10">
        <v>1.0</v>
      </c>
      <c r="J21" s="10">
        <v>261.0</v>
      </c>
      <c r="K21" s="10">
        <v>268.0</v>
      </c>
      <c r="L21" s="10">
        <v>0.0</v>
      </c>
      <c r="M21" s="10">
        <v>8.0</v>
      </c>
      <c r="N21" s="10">
        <v>261.0</v>
      </c>
    </row>
    <row r="22" ht="21.0" customHeight="1">
      <c r="A22" s="7">
        <v>44476.0</v>
      </c>
      <c r="B22" s="8">
        <v>44476.583715277775</v>
      </c>
      <c r="C22" s="6" t="s">
        <v>50</v>
      </c>
      <c r="D22" s="6" t="s">
        <v>1052</v>
      </c>
      <c r="E22" s="6" t="s">
        <v>61</v>
      </c>
      <c r="F22" s="6" t="s">
        <v>62</v>
      </c>
      <c r="G22" s="6" t="s">
        <v>1053</v>
      </c>
      <c r="H22" s="9" t="s">
        <v>1054</v>
      </c>
      <c r="I22" s="10">
        <v>1.0</v>
      </c>
      <c r="J22" s="10">
        <v>145.0</v>
      </c>
      <c r="K22" s="10">
        <v>148.0</v>
      </c>
      <c r="L22" s="10">
        <v>0.0</v>
      </c>
      <c r="M22" s="10">
        <v>2.0</v>
      </c>
      <c r="N22" s="10">
        <v>145.0</v>
      </c>
    </row>
    <row r="23" ht="21.0" customHeight="1">
      <c r="A23" s="7">
        <v>44476.0</v>
      </c>
      <c r="B23" s="8">
        <v>44476.63263888889</v>
      </c>
      <c r="C23" s="6" t="s">
        <v>50</v>
      </c>
      <c r="D23" s="6" t="s">
        <v>1364</v>
      </c>
      <c r="E23" s="6" t="s">
        <v>33</v>
      </c>
      <c r="F23" s="6" t="s">
        <v>34</v>
      </c>
      <c r="G23" s="6" t="s">
        <v>1365</v>
      </c>
      <c r="H23" s="9" t="s">
        <v>1366</v>
      </c>
      <c r="I23" s="10">
        <v>1.0</v>
      </c>
      <c r="J23" s="10">
        <v>1252.0</v>
      </c>
      <c r="K23" s="10">
        <v>1259.0</v>
      </c>
      <c r="L23" s="10">
        <v>18.0</v>
      </c>
      <c r="M23" s="10">
        <v>75.0</v>
      </c>
      <c r="N23" s="10">
        <v>1252.0</v>
      </c>
    </row>
    <row r="24" ht="21.0" customHeight="1">
      <c r="A24" s="7">
        <v>44476.0</v>
      </c>
      <c r="B24" s="8">
        <v>44476.69006944444</v>
      </c>
      <c r="C24" s="6" t="s">
        <v>50</v>
      </c>
      <c r="D24" s="6" t="s">
        <v>1189</v>
      </c>
      <c r="E24" s="6" t="s">
        <v>33</v>
      </c>
      <c r="G24" s="6" t="s">
        <v>1190</v>
      </c>
      <c r="H24" s="9" t="s">
        <v>1191</v>
      </c>
      <c r="I24" s="10">
        <v>1.0</v>
      </c>
      <c r="J24" s="10">
        <v>63.0</v>
      </c>
      <c r="K24" s="10">
        <v>63.0</v>
      </c>
      <c r="L24" s="10">
        <v>0.0</v>
      </c>
      <c r="M24" s="10">
        <v>7.0</v>
      </c>
      <c r="N24" s="10">
        <v>63.0</v>
      </c>
    </row>
    <row r="25" ht="21.0" customHeight="1">
      <c r="A25" s="7">
        <v>44477.0</v>
      </c>
      <c r="B25" s="8">
        <v>44477.489583333336</v>
      </c>
      <c r="C25" s="6" t="s">
        <v>50</v>
      </c>
      <c r="D25" s="6" t="s">
        <v>980</v>
      </c>
      <c r="E25" s="6" t="s">
        <v>61</v>
      </c>
      <c r="F25" s="6" t="s">
        <v>62</v>
      </c>
      <c r="G25" s="6" t="s">
        <v>981</v>
      </c>
      <c r="H25" s="9" t="s">
        <v>982</v>
      </c>
      <c r="I25" s="10">
        <v>1.0</v>
      </c>
      <c r="J25" s="10">
        <v>141.0</v>
      </c>
      <c r="K25" s="10">
        <v>145.0</v>
      </c>
      <c r="L25" s="10">
        <v>2.0</v>
      </c>
      <c r="M25" s="10">
        <v>1.0</v>
      </c>
      <c r="N25" s="10">
        <v>141.0</v>
      </c>
    </row>
    <row r="26" ht="21.0" customHeight="1">
      <c r="A26" s="7">
        <v>44477.0</v>
      </c>
      <c r="B26" s="8">
        <v>44477.58351851852</v>
      </c>
      <c r="C26" s="6" t="s">
        <v>50</v>
      </c>
      <c r="D26" s="6" t="s">
        <v>1031</v>
      </c>
      <c r="E26" s="6" t="s">
        <v>28</v>
      </c>
      <c r="F26" s="6" t="s">
        <v>34</v>
      </c>
      <c r="G26" s="6" t="s">
        <v>1032</v>
      </c>
      <c r="H26" s="9" t="s">
        <v>1033</v>
      </c>
      <c r="I26" s="10">
        <v>1.0</v>
      </c>
      <c r="J26" s="10">
        <v>584.0</v>
      </c>
      <c r="K26" s="10">
        <v>597.0</v>
      </c>
      <c r="L26" s="10">
        <v>10.0</v>
      </c>
      <c r="M26" s="10">
        <v>14.0</v>
      </c>
      <c r="N26" s="10">
        <v>584.0</v>
      </c>
    </row>
    <row r="27" ht="21.0" customHeight="1">
      <c r="A27" s="7">
        <v>44477.0</v>
      </c>
      <c r="B27" s="8">
        <v>44477.64596064815</v>
      </c>
      <c r="C27" s="6" t="s">
        <v>50</v>
      </c>
      <c r="D27" s="6" t="s">
        <v>1058</v>
      </c>
      <c r="E27" s="6" t="s">
        <v>28</v>
      </c>
      <c r="F27" s="6" t="s">
        <v>34</v>
      </c>
      <c r="G27" s="6" t="s">
        <v>1059</v>
      </c>
      <c r="H27" s="9" t="s">
        <v>1060</v>
      </c>
      <c r="I27" s="10">
        <v>1.0</v>
      </c>
      <c r="J27" s="10">
        <v>451.0</v>
      </c>
      <c r="K27" s="10">
        <v>465.0</v>
      </c>
      <c r="L27" s="10">
        <v>1.0</v>
      </c>
      <c r="M27" s="10">
        <v>26.0</v>
      </c>
      <c r="N27" s="10">
        <v>451.0</v>
      </c>
    </row>
    <row r="28" ht="21.0" customHeight="1">
      <c r="A28" s="7">
        <v>44477.0</v>
      </c>
      <c r="B28" s="8">
        <v>44477.722233796296</v>
      </c>
      <c r="C28" s="6" t="s">
        <v>50</v>
      </c>
      <c r="D28" s="6" t="s">
        <v>1186</v>
      </c>
      <c r="E28" s="6" t="s">
        <v>33</v>
      </c>
      <c r="G28" s="6" t="s">
        <v>1187</v>
      </c>
      <c r="H28" s="9" t="s">
        <v>1188</v>
      </c>
      <c r="I28" s="10">
        <v>1.0</v>
      </c>
      <c r="J28" s="10">
        <v>93.0</v>
      </c>
      <c r="K28" s="10">
        <v>93.0</v>
      </c>
      <c r="L28" s="10">
        <v>1.0</v>
      </c>
      <c r="M28" s="10">
        <v>1.0</v>
      </c>
      <c r="N28" s="10">
        <v>93.0</v>
      </c>
    </row>
    <row r="29" ht="21.0" customHeight="1">
      <c r="A29" s="7">
        <v>44478.0</v>
      </c>
      <c r="B29" s="8">
        <v>44478.64129629629</v>
      </c>
      <c r="C29" s="6" t="s">
        <v>50</v>
      </c>
      <c r="D29" s="6" t="s">
        <v>1174</v>
      </c>
      <c r="E29" s="6" t="s">
        <v>33</v>
      </c>
      <c r="F29" s="6" t="s">
        <v>34</v>
      </c>
      <c r="G29" s="6" t="s">
        <v>1175</v>
      </c>
      <c r="H29" s="9" t="s">
        <v>1176</v>
      </c>
      <c r="I29" s="10">
        <v>1.0</v>
      </c>
      <c r="J29" s="10">
        <v>1089.0</v>
      </c>
      <c r="K29" s="10">
        <v>1108.0</v>
      </c>
      <c r="L29" s="10">
        <v>34.0</v>
      </c>
      <c r="M29" s="10">
        <v>23.0</v>
      </c>
      <c r="N29" s="10">
        <v>1089.0</v>
      </c>
    </row>
    <row r="30" ht="21.0" customHeight="1">
      <c r="A30" s="7">
        <v>44478.0</v>
      </c>
      <c r="B30" s="8">
        <v>44478.71833333333</v>
      </c>
      <c r="C30" s="6" t="s">
        <v>50</v>
      </c>
      <c r="D30" s="6" t="s">
        <v>1216</v>
      </c>
      <c r="E30" s="6" t="s">
        <v>33</v>
      </c>
      <c r="G30" s="6" t="s">
        <v>1217</v>
      </c>
      <c r="H30" s="9" t="s">
        <v>1218</v>
      </c>
      <c r="I30" s="10">
        <v>1.0</v>
      </c>
      <c r="J30" s="10">
        <v>39.0</v>
      </c>
      <c r="K30" s="10">
        <v>39.0</v>
      </c>
      <c r="L30" s="10">
        <v>0.0</v>
      </c>
      <c r="M30" s="10">
        <v>3.0</v>
      </c>
      <c r="N30" s="10">
        <v>39.0</v>
      </c>
    </row>
    <row r="31" ht="21.0" customHeight="1">
      <c r="A31" s="7">
        <v>44479.0</v>
      </c>
      <c r="B31" s="8">
        <v>44479.640173611115</v>
      </c>
      <c r="C31" s="6" t="s">
        <v>50</v>
      </c>
      <c r="D31" s="6" t="s">
        <v>1070</v>
      </c>
      <c r="E31" s="6" t="s">
        <v>61</v>
      </c>
      <c r="F31" s="6" t="s">
        <v>62</v>
      </c>
      <c r="G31" s="6" t="s">
        <v>1071</v>
      </c>
      <c r="H31" s="9" t="s">
        <v>1072</v>
      </c>
      <c r="I31" s="10">
        <v>1.0</v>
      </c>
      <c r="J31" s="10">
        <v>141.0</v>
      </c>
      <c r="K31" s="10">
        <v>147.0</v>
      </c>
      <c r="L31" s="10">
        <v>2.0</v>
      </c>
      <c r="M31" s="10">
        <v>2.0</v>
      </c>
      <c r="N31" s="10">
        <v>141.0</v>
      </c>
    </row>
    <row r="32" ht="21.0" customHeight="1">
      <c r="A32" s="7">
        <v>44480.0</v>
      </c>
      <c r="B32" s="8">
        <v>44480.512083333335</v>
      </c>
      <c r="C32" s="6" t="s">
        <v>50</v>
      </c>
      <c r="D32" s="6" t="s">
        <v>1106</v>
      </c>
      <c r="E32" s="6" t="s">
        <v>33</v>
      </c>
      <c r="F32" s="6" t="s">
        <v>34</v>
      </c>
      <c r="G32" s="6" t="s">
        <v>1107</v>
      </c>
      <c r="H32" s="9" t="s">
        <v>1108</v>
      </c>
      <c r="I32" s="10">
        <v>1.0</v>
      </c>
      <c r="J32" s="10">
        <v>1579.0</v>
      </c>
      <c r="K32" s="10">
        <v>1613.0</v>
      </c>
      <c r="L32" s="10">
        <v>4.0</v>
      </c>
      <c r="M32" s="10">
        <v>30.0</v>
      </c>
      <c r="N32" s="10">
        <v>1579.0</v>
      </c>
    </row>
    <row r="33" ht="21.0" customHeight="1">
      <c r="A33" s="7">
        <v>44481.0</v>
      </c>
      <c r="B33" s="8">
        <v>44481.62594907408</v>
      </c>
      <c r="C33" s="6" t="s">
        <v>50</v>
      </c>
      <c r="D33" s="6" t="s">
        <v>873</v>
      </c>
      <c r="E33" s="6" t="s">
        <v>28</v>
      </c>
      <c r="F33" s="6" t="s">
        <v>34</v>
      </c>
      <c r="G33" s="6" t="s">
        <v>874</v>
      </c>
      <c r="H33" s="9" t="s">
        <v>875</v>
      </c>
      <c r="I33" s="10">
        <v>1.0</v>
      </c>
      <c r="J33" s="10">
        <v>571.0</v>
      </c>
      <c r="K33" s="10">
        <v>577.0</v>
      </c>
      <c r="L33" s="10">
        <v>75.0</v>
      </c>
      <c r="M33" s="10">
        <v>25.0</v>
      </c>
      <c r="N33" s="10">
        <v>571.0</v>
      </c>
    </row>
    <row r="34" ht="21.0" customHeight="1">
      <c r="A34" s="7">
        <v>44481.0</v>
      </c>
      <c r="B34" s="8">
        <v>44481.66730324074</v>
      </c>
      <c r="C34" s="6" t="s">
        <v>50</v>
      </c>
      <c r="D34" s="6" t="s">
        <v>729</v>
      </c>
      <c r="E34" s="6" t="s">
        <v>28</v>
      </c>
      <c r="F34" s="6" t="s">
        <v>34</v>
      </c>
      <c r="G34" s="6" t="s">
        <v>730</v>
      </c>
      <c r="H34" s="9" t="s">
        <v>731</v>
      </c>
      <c r="I34" s="10">
        <v>1.0</v>
      </c>
      <c r="J34" s="10">
        <v>238.0</v>
      </c>
      <c r="K34" s="10">
        <v>242.0</v>
      </c>
      <c r="L34" s="10">
        <v>4.0</v>
      </c>
      <c r="M34" s="10">
        <v>3.0</v>
      </c>
      <c r="N34" s="10">
        <v>238.0</v>
      </c>
    </row>
    <row r="35" ht="21.0" customHeight="1">
      <c r="A35" s="7">
        <v>44481.0</v>
      </c>
      <c r="B35" s="8">
        <v>44481.750289351854</v>
      </c>
      <c r="C35" s="6" t="s">
        <v>50</v>
      </c>
      <c r="D35" s="6" t="s">
        <v>861</v>
      </c>
      <c r="E35" s="6" t="s">
        <v>28</v>
      </c>
      <c r="F35" s="6" t="s">
        <v>229</v>
      </c>
      <c r="G35" s="6" t="s">
        <v>862</v>
      </c>
      <c r="H35" s="9" t="s">
        <v>863</v>
      </c>
      <c r="I35" s="10">
        <v>1.0</v>
      </c>
      <c r="J35" s="10">
        <v>151.0</v>
      </c>
      <c r="K35" s="10">
        <v>152.0</v>
      </c>
      <c r="L35" s="10">
        <v>4.0</v>
      </c>
      <c r="M35" s="10">
        <v>4.0</v>
      </c>
      <c r="N35" s="10">
        <v>151.0</v>
      </c>
    </row>
    <row r="36" ht="21.0" customHeight="1">
      <c r="A36" s="7">
        <v>44482.0</v>
      </c>
      <c r="B36" s="8">
        <v>44482.58341435185</v>
      </c>
      <c r="C36" s="6" t="s">
        <v>50</v>
      </c>
      <c r="D36" s="6" t="s">
        <v>950</v>
      </c>
      <c r="E36" s="6" t="s">
        <v>61</v>
      </c>
      <c r="F36" s="6" t="s">
        <v>62</v>
      </c>
      <c r="G36" s="6" t="s">
        <v>951</v>
      </c>
      <c r="H36" s="9" t="s">
        <v>952</v>
      </c>
      <c r="I36" s="10">
        <v>1.0</v>
      </c>
      <c r="J36" s="10">
        <v>382.0</v>
      </c>
      <c r="K36" s="10">
        <v>389.0</v>
      </c>
      <c r="L36" s="10">
        <v>15.0</v>
      </c>
      <c r="M36" s="10">
        <v>29.0</v>
      </c>
      <c r="N36" s="10">
        <v>382.0</v>
      </c>
    </row>
    <row r="37" ht="21.0" customHeight="1">
      <c r="A37" s="7">
        <v>44484.0</v>
      </c>
      <c r="B37" s="8">
        <v>44484.64619212963</v>
      </c>
      <c r="C37" s="6" t="s">
        <v>50</v>
      </c>
      <c r="D37" s="6" t="s">
        <v>828</v>
      </c>
      <c r="E37" s="6" t="s">
        <v>28</v>
      </c>
      <c r="F37" s="6" t="s">
        <v>34</v>
      </c>
      <c r="G37" s="6" t="s">
        <v>829</v>
      </c>
      <c r="H37" s="9" t="s">
        <v>830</v>
      </c>
      <c r="I37" s="10">
        <v>1.0</v>
      </c>
      <c r="J37" s="10">
        <v>278.0</v>
      </c>
      <c r="K37" s="10">
        <v>282.0</v>
      </c>
      <c r="L37" s="10">
        <v>9.0</v>
      </c>
      <c r="M37" s="10">
        <v>5.0</v>
      </c>
      <c r="N37" s="10">
        <v>278.0</v>
      </c>
    </row>
    <row r="38" ht="21.0" customHeight="1">
      <c r="A38" s="7">
        <v>44486.0</v>
      </c>
      <c r="B38" s="8">
        <v>44486.60789351852</v>
      </c>
      <c r="C38" s="6" t="s">
        <v>50</v>
      </c>
      <c r="D38" s="6" t="s">
        <v>920</v>
      </c>
      <c r="E38" s="6" t="s">
        <v>28</v>
      </c>
      <c r="F38" s="6" t="s">
        <v>34</v>
      </c>
      <c r="G38" s="6" t="s">
        <v>921</v>
      </c>
      <c r="H38" s="9" t="s">
        <v>922</v>
      </c>
      <c r="I38" s="10">
        <v>1.0</v>
      </c>
      <c r="J38" s="10">
        <v>103.0</v>
      </c>
      <c r="K38" s="10">
        <v>106.0</v>
      </c>
      <c r="L38" s="10">
        <v>0.0</v>
      </c>
      <c r="M38" s="10">
        <v>3.0</v>
      </c>
      <c r="N38" s="10">
        <v>103.0</v>
      </c>
    </row>
    <row r="39" ht="21.0" customHeight="1">
      <c r="A39" s="7">
        <v>44486.0</v>
      </c>
      <c r="B39" s="8">
        <v>44486.667291666665</v>
      </c>
      <c r="C39" s="6" t="s">
        <v>50</v>
      </c>
      <c r="D39" s="6" t="s">
        <v>876</v>
      </c>
      <c r="E39" s="6" t="s">
        <v>28</v>
      </c>
      <c r="F39" s="6" t="s">
        <v>34</v>
      </c>
      <c r="G39" s="6" t="s">
        <v>877</v>
      </c>
      <c r="H39" s="9" t="s">
        <v>878</v>
      </c>
      <c r="I39" s="10">
        <v>1.0</v>
      </c>
      <c r="J39" s="10">
        <v>94.0</v>
      </c>
      <c r="K39" s="10">
        <v>96.0</v>
      </c>
      <c r="L39" s="10">
        <v>3.0</v>
      </c>
      <c r="M39" s="10">
        <v>3.0</v>
      </c>
      <c r="N39" s="10">
        <v>94.0</v>
      </c>
    </row>
    <row r="40" ht="21.0" customHeight="1">
      <c r="A40" s="7">
        <v>44487.0</v>
      </c>
      <c r="B40" s="8">
        <v>44487.58388888889</v>
      </c>
      <c r="C40" s="6" t="s">
        <v>50</v>
      </c>
      <c r="D40" s="6" t="s">
        <v>855</v>
      </c>
      <c r="E40" s="6" t="s">
        <v>28</v>
      </c>
      <c r="F40" s="6" t="s">
        <v>34</v>
      </c>
      <c r="G40" s="6" t="s">
        <v>856</v>
      </c>
      <c r="H40" s="9" t="s">
        <v>857</v>
      </c>
      <c r="I40" s="10">
        <v>1.0</v>
      </c>
      <c r="J40" s="10">
        <v>110.0</v>
      </c>
      <c r="K40" s="10">
        <v>111.0</v>
      </c>
      <c r="L40" s="10">
        <v>0.0</v>
      </c>
      <c r="M40" s="10">
        <v>5.0</v>
      </c>
      <c r="N40" s="10">
        <v>110.0</v>
      </c>
    </row>
    <row r="41" ht="21.0" customHeight="1">
      <c r="A41" s="7">
        <v>44488.0</v>
      </c>
      <c r="B41" s="8">
        <v>44488.58363425926</v>
      </c>
      <c r="C41" s="6" t="s">
        <v>50</v>
      </c>
      <c r="D41" s="6" t="s">
        <v>891</v>
      </c>
      <c r="E41" s="6" t="s">
        <v>28</v>
      </c>
      <c r="F41" s="6" t="s">
        <v>34</v>
      </c>
      <c r="G41" s="6" t="s">
        <v>892</v>
      </c>
      <c r="H41" s="9" t="s">
        <v>893</v>
      </c>
      <c r="I41" s="10">
        <v>1.0</v>
      </c>
      <c r="J41" s="10">
        <v>91.0</v>
      </c>
      <c r="K41" s="10">
        <v>92.0</v>
      </c>
      <c r="L41" s="10">
        <v>0.0</v>
      </c>
      <c r="N41" s="10">
        <v>91.0</v>
      </c>
    </row>
    <row r="42" ht="21.0" customHeight="1">
      <c r="A42" s="7">
        <v>44488.0</v>
      </c>
      <c r="B42" s="8">
        <v>44488.87501157408</v>
      </c>
      <c r="C42" s="6" t="s">
        <v>50</v>
      </c>
      <c r="D42" s="6" t="s">
        <v>801</v>
      </c>
      <c r="E42" s="6" t="s">
        <v>28</v>
      </c>
      <c r="F42" s="6" t="s">
        <v>34</v>
      </c>
      <c r="G42" s="6" t="s">
        <v>802</v>
      </c>
      <c r="H42" s="9" t="s">
        <v>803</v>
      </c>
      <c r="I42" s="10">
        <v>1.0</v>
      </c>
      <c r="J42" s="10">
        <v>124.0</v>
      </c>
      <c r="K42" s="10">
        <v>126.0</v>
      </c>
      <c r="L42" s="10">
        <v>5.0</v>
      </c>
      <c r="M42" s="10">
        <v>5.0</v>
      </c>
      <c r="N42" s="10">
        <v>124.0</v>
      </c>
    </row>
    <row r="43" ht="21.0" customHeight="1">
      <c r="A43" s="7">
        <v>44489.0</v>
      </c>
      <c r="B43" s="8">
        <v>44489.56886574074</v>
      </c>
      <c r="C43" s="6" t="s">
        <v>50</v>
      </c>
      <c r="D43" s="6" t="s">
        <v>1153</v>
      </c>
      <c r="E43" s="6" t="s">
        <v>61</v>
      </c>
      <c r="F43" s="6" t="s">
        <v>62</v>
      </c>
      <c r="G43" s="6" t="s">
        <v>1154</v>
      </c>
      <c r="H43" s="9" t="s">
        <v>1155</v>
      </c>
      <c r="I43" s="10">
        <v>1.0</v>
      </c>
      <c r="J43" s="10">
        <v>571.0</v>
      </c>
      <c r="K43" s="10">
        <v>592.0</v>
      </c>
      <c r="L43" s="10">
        <v>14.0</v>
      </c>
      <c r="M43" s="10">
        <v>29.0</v>
      </c>
      <c r="N43" s="10">
        <v>571.0</v>
      </c>
    </row>
    <row r="44" ht="21.0" customHeight="1">
      <c r="A44" s="7">
        <v>44489.0</v>
      </c>
      <c r="B44" s="8">
        <v>44489.67017361111</v>
      </c>
      <c r="C44" s="6" t="s">
        <v>50</v>
      </c>
      <c r="D44" s="6" t="s">
        <v>1034</v>
      </c>
      <c r="E44" s="6" t="s">
        <v>28</v>
      </c>
      <c r="F44" s="6" t="s">
        <v>229</v>
      </c>
      <c r="G44" s="6" t="s">
        <v>1035</v>
      </c>
      <c r="H44" s="9" t="s">
        <v>1036</v>
      </c>
      <c r="I44" s="10">
        <v>1.0</v>
      </c>
      <c r="J44" s="10">
        <v>512.0</v>
      </c>
      <c r="K44" s="10">
        <v>518.0</v>
      </c>
      <c r="L44" s="10">
        <v>6.0</v>
      </c>
      <c r="M44" s="10">
        <v>15.0</v>
      </c>
      <c r="N44" s="10">
        <v>512.0</v>
      </c>
    </row>
    <row r="45" ht="21.0" customHeight="1">
      <c r="A45" s="7">
        <v>44489.0</v>
      </c>
      <c r="B45" s="8">
        <v>44489.75</v>
      </c>
      <c r="C45" s="6" t="s">
        <v>50</v>
      </c>
      <c r="D45" s="6" t="s">
        <v>911</v>
      </c>
      <c r="E45" s="6" t="s">
        <v>61</v>
      </c>
      <c r="F45" s="6" t="s">
        <v>62</v>
      </c>
      <c r="G45" s="6" t="s">
        <v>912</v>
      </c>
      <c r="H45" s="9" t="s">
        <v>913</v>
      </c>
      <c r="I45" s="10">
        <v>1.0</v>
      </c>
      <c r="J45" s="10">
        <v>1389.0</v>
      </c>
      <c r="K45" s="10">
        <v>1459.0</v>
      </c>
      <c r="L45" s="10">
        <v>6.0</v>
      </c>
      <c r="M45" s="10">
        <v>79.0</v>
      </c>
      <c r="N45" s="10">
        <v>1389.0</v>
      </c>
    </row>
    <row r="46" ht="21.0" customHeight="1">
      <c r="A46" s="7">
        <v>44495.0</v>
      </c>
      <c r="B46" s="8">
        <v>44495.472916666666</v>
      </c>
      <c r="C46" s="6" t="s">
        <v>50</v>
      </c>
      <c r="D46" s="6" t="s">
        <v>1307</v>
      </c>
      <c r="E46" s="6" t="s">
        <v>28</v>
      </c>
      <c r="F46" s="6" t="s">
        <v>34</v>
      </c>
      <c r="G46" s="6" t="s">
        <v>1308</v>
      </c>
      <c r="H46" s="9" t="s">
        <v>1309</v>
      </c>
      <c r="I46" s="10">
        <v>1.0</v>
      </c>
      <c r="J46" s="10">
        <v>1179.0</v>
      </c>
      <c r="K46" s="10">
        <v>1204.0</v>
      </c>
      <c r="L46" s="10">
        <v>17.0</v>
      </c>
      <c r="M46" s="10">
        <v>57.0</v>
      </c>
      <c r="N46" s="10">
        <v>1179.0</v>
      </c>
    </row>
    <row r="47" ht="21.0" customHeight="1">
      <c r="A47" s="7">
        <v>44496.0</v>
      </c>
      <c r="B47" s="8">
        <v>44496.60428240741</v>
      </c>
      <c r="C47" s="6" t="s">
        <v>50</v>
      </c>
      <c r="D47" s="6" t="s">
        <v>983</v>
      </c>
      <c r="E47" s="6" t="s">
        <v>61</v>
      </c>
      <c r="F47" s="6" t="s">
        <v>62</v>
      </c>
      <c r="G47" s="6" t="s">
        <v>984</v>
      </c>
      <c r="H47" s="9" t="s">
        <v>985</v>
      </c>
      <c r="I47" s="10">
        <v>1.0</v>
      </c>
      <c r="J47" s="10">
        <v>5307.0</v>
      </c>
      <c r="K47" s="10">
        <v>5448.0</v>
      </c>
      <c r="L47" s="10">
        <v>92.0</v>
      </c>
      <c r="M47" s="10">
        <v>514.0</v>
      </c>
      <c r="N47" s="10">
        <v>5307.0</v>
      </c>
    </row>
    <row r="48" ht="21.0" customHeight="1">
      <c r="A48" s="7">
        <v>44496.0</v>
      </c>
      <c r="B48" s="8">
        <v>44496.70836805556</v>
      </c>
      <c r="C48" s="6" t="s">
        <v>50</v>
      </c>
      <c r="D48" s="6" t="s">
        <v>1007</v>
      </c>
      <c r="E48" s="6" t="s">
        <v>28</v>
      </c>
      <c r="F48" s="6" t="s">
        <v>229</v>
      </c>
      <c r="G48" s="6" t="s">
        <v>1008</v>
      </c>
      <c r="H48" s="9" t="s">
        <v>1009</v>
      </c>
      <c r="I48" s="10">
        <v>1.0</v>
      </c>
      <c r="J48" s="10">
        <v>227.0</v>
      </c>
      <c r="K48" s="10">
        <v>231.0</v>
      </c>
      <c r="L48" s="10">
        <v>7.0</v>
      </c>
      <c r="M48" s="10">
        <v>11.0</v>
      </c>
      <c r="N48" s="10">
        <v>227.0</v>
      </c>
    </row>
    <row r="49" ht="21.0" customHeight="1">
      <c r="A49" s="7">
        <v>44496.0</v>
      </c>
      <c r="B49" s="8">
        <v>44496.75682870371</v>
      </c>
      <c r="C49" s="6" t="s">
        <v>50</v>
      </c>
      <c r="D49" s="6" t="s">
        <v>51</v>
      </c>
      <c r="E49" s="6" t="s">
        <v>28</v>
      </c>
      <c r="F49" s="6" t="s">
        <v>37</v>
      </c>
      <c r="H49" s="9" t="s">
        <v>52</v>
      </c>
      <c r="I49" s="10">
        <v>1.0</v>
      </c>
      <c r="J49" s="10">
        <v>353.0</v>
      </c>
      <c r="K49" s="10">
        <v>359.0</v>
      </c>
      <c r="L49" s="10">
        <v>4.0</v>
      </c>
      <c r="M49" s="10">
        <v>2.0</v>
      </c>
      <c r="N49" s="10">
        <v>353.0</v>
      </c>
    </row>
    <row r="50" ht="21.0" customHeight="1">
      <c r="A50" s="7">
        <v>44496.0</v>
      </c>
      <c r="B50" s="8">
        <v>44496.85076388889</v>
      </c>
      <c r="C50" s="6" t="s">
        <v>50</v>
      </c>
      <c r="D50" s="6" t="s">
        <v>328</v>
      </c>
      <c r="E50" s="6" t="s">
        <v>33</v>
      </c>
      <c r="F50" s="6" t="s">
        <v>62</v>
      </c>
      <c r="G50" s="6" t="s">
        <v>329</v>
      </c>
      <c r="H50" s="9" t="s">
        <v>330</v>
      </c>
      <c r="I50" s="10">
        <v>1.0</v>
      </c>
      <c r="J50" s="10">
        <v>628.0</v>
      </c>
      <c r="K50" s="10">
        <v>643.0</v>
      </c>
      <c r="L50" s="10">
        <v>2.0</v>
      </c>
      <c r="M50" s="10">
        <v>29.0</v>
      </c>
      <c r="N50" s="10">
        <v>628.0</v>
      </c>
    </row>
    <row r="51" ht="21.0" customHeight="1">
      <c r="A51" s="7">
        <v>44497.0</v>
      </c>
      <c r="B51" s="8">
        <v>44497.42607638889</v>
      </c>
      <c r="C51" s="6" t="s">
        <v>50</v>
      </c>
      <c r="D51" s="6" t="s">
        <v>798</v>
      </c>
      <c r="E51" s="6" t="s">
        <v>28</v>
      </c>
      <c r="F51" s="6" t="s">
        <v>34</v>
      </c>
      <c r="G51" s="6" t="s">
        <v>799</v>
      </c>
      <c r="H51" s="9" t="s">
        <v>800</v>
      </c>
      <c r="I51" s="10">
        <v>1.0</v>
      </c>
      <c r="J51" s="10">
        <v>4064.0</v>
      </c>
      <c r="K51" s="10">
        <v>4392.0</v>
      </c>
      <c r="L51" s="10">
        <v>20.0</v>
      </c>
      <c r="M51" s="10">
        <v>184.0</v>
      </c>
      <c r="N51" s="10">
        <v>4064.0</v>
      </c>
    </row>
    <row r="52" ht="21.0" customHeight="1">
      <c r="A52" s="7">
        <v>44499.0</v>
      </c>
      <c r="B52" s="8">
        <v>44499.58362268518</v>
      </c>
      <c r="C52" s="6" t="s">
        <v>50</v>
      </c>
      <c r="D52" s="6" t="s">
        <v>858</v>
      </c>
      <c r="E52" s="6" t="s">
        <v>61</v>
      </c>
      <c r="F52" s="6" t="s">
        <v>62</v>
      </c>
      <c r="G52" s="6" t="s">
        <v>859</v>
      </c>
      <c r="H52" s="9" t="s">
        <v>860</v>
      </c>
      <c r="I52" s="10">
        <v>1.0</v>
      </c>
      <c r="J52" s="10">
        <v>387.0</v>
      </c>
      <c r="K52" s="10">
        <v>439.0</v>
      </c>
      <c r="L52" s="10">
        <v>6.0</v>
      </c>
      <c r="M52" s="10">
        <v>24.0</v>
      </c>
      <c r="N52" s="10">
        <v>387.0</v>
      </c>
    </row>
    <row r="53" ht="21.0" customHeight="1">
      <c r="A53" s="7">
        <v>44500.0</v>
      </c>
      <c r="B53" s="8">
        <v>44500.68800925926</v>
      </c>
      <c r="C53" s="6" t="s">
        <v>50</v>
      </c>
      <c r="D53" s="6" t="s">
        <v>693</v>
      </c>
      <c r="E53" s="6" t="s">
        <v>28</v>
      </c>
      <c r="F53" s="6" t="s">
        <v>34</v>
      </c>
      <c r="G53" s="6" t="s">
        <v>694</v>
      </c>
      <c r="H53" s="9" t="s">
        <v>695</v>
      </c>
      <c r="I53" s="10">
        <v>1.0</v>
      </c>
      <c r="J53" s="10">
        <v>172.0</v>
      </c>
      <c r="K53" s="10">
        <v>176.0</v>
      </c>
      <c r="L53" s="10">
        <v>1.0</v>
      </c>
      <c r="M53" s="10">
        <v>4.0</v>
      </c>
      <c r="N53" s="10">
        <v>172.0</v>
      </c>
    </row>
    <row r="54" ht="21.0" customHeight="1">
      <c r="A54" s="7">
        <v>44501.0</v>
      </c>
      <c r="B54" s="8">
        <v>44501.75001157408</v>
      </c>
      <c r="C54" s="6" t="s">
        <v>50</v>
      </c>
      <c r="D54" s="6" t="s">
        <v>1016</v>
      </c>
      <c r="E54" s="6" t="s">
        <v>28</v>
      </c>
      <c r="F54" s="6" t="s">
        <v>34</v>
      </c>
      <c r="G54" s="6" t="s">
        <v>1017</v>
      </c>
      <c r="H54" s="9" t="s">
        <v>1018</v>
      </c>
      <c r="I54" s="10">
        <v>1.0</v>
      </c>
      <c r="J54" s="10">
        <v>383.0</v>
      </c>
      <c r="K54" s="10">
        <v>387.0</v>
      </c>
      <c r="L54" s="10">
        <v>4.0</v>
      </c>
      <c r="M54" s="10">
        <v>29.0</v>
      </c>
      <c r="N54" s="10">
        <v>383.0</v>
      </c>
    </row>
    <row r="55" ht="21.0" customHeight="1">
      <c r="A55" s="7">
        <v>44502.0</v>
      </c>
      <c r="B55" s="8">
        <v>44502.41569444445</v>
      </c>
      <c r="C55" s="6" t="s">
        <v>50</v>
      </c>
      <c r="D55" s="6" t="s">
        <v>1295</v>
      </c>
      <c r="E55" s="6" t="s">
        <v>28</v>
      </c>
      <c r="F55" s="6" t="s">
        <v>34</v>
      </c>
      <c r="G55" s="6" t="s">
        <v>1296</v>
      </c>
      <c r="H55" s="9" t="s">
        <v>1297</v>
      </c>
      <c r="I55" s="10">
        <v>1.0</v>
      </c>
      <c r="J55" s="10">
        <v>2273.0</v>
      </c>
      <c r="K55" s="10">
        <v>2313.0</v>
      </c>
      <c r="L55" s="10">
        <v>44.0</v>
      </c>
      <c r="M55" s="10">
        <v>177.0</v>
      </c>
      <c r="N55" s="10">
        <v>2273.0</v>
      </c>
    </row>
    <row r="56" ht="21.0" customHeight="1">
      <c r="A56" s="7">
        <v>44502.0</v>
      </c>
      <c r="B56" s="8">
        <v>44502.77284722222</v>
      </c>
      <c r="C56" s="6" t="s">
        <v>50</v>
      </c>
      <c r="D56" s="6" t="s">
        <v>1249</v>
      </c>
      <c r="E56" s="6" t="s">
        <v>61</v>
      </c>
      <c r="F56" s="6" t="s">
        <v>62</v>
      </c>
      <c r="G56" s="6" t="s">
        <v>1250</v>
      </c>
      <c r="H56" s="9" t="s">
        <v>1251</v>
      </c>
      <c r="I56" s="10">
        <v>1.0</v>
      </c>
      <c r="J56" s="10">
        <v>1327.0</v>
      </c>
      <c r="K56" s="10">
        <v>1740.0</v>
      </c>
      <c r="L56" s="10">
        <v>742.0</v>
      </c>
      <c r="M56" s="10">
        <v>268.0</v>
      </c>
      <c r="N56" s="10">
        <v>1327.0</v>
      </c>
    </row>
    <row r="57" ht="21.0" customHeight="1">
      <c r="A57" s="7">
        <v>44502.0</v>
      </c>
      <c r="B57" s="8">
        <v>44502.875023148146</v>
      </c>
      <c r="C57" s="6" t="s">
        <v>50</v>
      </c>
      <c r="D57" s="6" t="s">
        <v>929</v>
      </c>
      <c r="E57" s="6" t="s">
        <v>28</v>
      </c>
      <c r="F57" s="6" t="s">
        <v>34</v>
      </c>
      <c r="G57" s="6" t="s">
        <v>930</v>
      </c>
      <c r="H57" s="9" t="s">
        <v>931</v>
      </c>
      <c r="I57" s="10">
        <v>1.0</v>
      </c>
      <c r="J57" s="10">
        <v>195.0</v>
      </c>
      <c r="K57" s="10">
        <v>200.0</v>
      </c>
      <c r="L57" s="10">
        <v>11.0</v>
      </c>
      <c r="M57" s="10">
        <v>5.0</v>
      </c>
      <c r="N57" s="10">
        <v>195.0</v>
      </c>
    </row>
    <row r="58" ht="21.0" customHeight="1">
      <c r="A58" s="7">
        <v>44503.0</v>
      </c>
      <c r="B58" s="8">
        <v>44503.575844907406</v>
      </c>
      <c r="C58" s="6" t="s">
        <v>50</v>
      </c>
      <c r="D58" s="6" t="s">
        <v>54</v>
      </c>
      <c r="E58" s="6" t="s">
        <v>28</v>
      </c>
      <c r="F58" s="6" t="s">
        <v>37</v>
      </c>
      <c r="H58" s="9" t="s">
        <v>55</v>
      </c>
      <c r="I58" s="10">
        <v>1.0</v>
      </c>
      <c r="J58" s="10">
        <v>247.0</v>
      </c>
      <c r="K58" s="10">
        <v>253.0</v>
      </c>
      <c r="L58" s="10">
        <v>3.0</v>
      </c>
      <c r="M58" s="10">
        <v>2.0</v>
      </c>
      <c r="N58" s="10">
        <v>247.0</v>
      </c>
    </row>
    <row r="59" ht="21.0" customHeight="1">
      <c r="A59" s="7">
        <v>44503.0</v>
      </c>
      <c r="B59" s="8">
        <v>44503.65280092593</v>
      </c>
      <c r="C59" s="6" t="s">
        <v>50</v>
      </c>
      <c r="D59" s="6" t="s">
        <v>1237</v>
      </c>
      <c r="E59" s="6" t="s">
        <v>28</v>
      </c>
      <c r="F59" s="6" t="s">
        <v>34</v>
      </c>
      <c r="G59" s="6" t="s">
        <v>1238</v>
      </c>
      <c r="H59" s="9" t="s">
        <v>1239</v>
      </c>
      <c r="I59" s="10">
        <v>1.0</v>
      </c>
      <c r="J59" s="10">
        <v>655.0</v>
      </c>
      <c r="K59" s="10">
        <v>661.0</v>
      </c>
      <c r="L59" s="10">
        <v>4.0</v>
      </c>
      <c r="M59" s="10">
        <v>7.0</v>
      </c>
      <c r="N59" s="10">
        <v>655.0</v>
      </c>
    </row>
    <row r="60" ht="21.0" customHeight="1">
      <c r="A60" s="7">
        <v>44503.0</v>
      </c>
      <c r="B60" s="8">
        <v>44503.66706018519</v>
      </c>
      <c r="C60" s="6" t="s">
        <v>50</v>
      </c>
      <c r="D60" s="6" t="s">
        <v>971</v>
      </c>
      <c r="E60" s="6" t="s">
        <v>61</v>
      </c>
      <c r="F60" s="6" t="s">
        <v>62</v>
      </c>
      <c r="G60" s="6" t="s">
        <v>972</v>
      </c>
      <c r="H60" s="9" t="s">
        <v>973</v>
      </c>
      <c r="I60" s="10">
        <v>1.0</v>
      </c>
      <c r="J60" s="10">
        <v>478.0</v>
      </c>
      <c r="K60" s="10">
        <v>484.0</v>
      </c>
      <c r="L60" s="10">
        <v>5.0</v>
      </c>
      <c r="M60" s="10">
        <v>18.0</v>
      </c>
      <c r="N60" s="10">
        <v>478.0</v>
      </c>
    </row>
    <row r="61" ht="21.0" customHeight="1">
      <c r="A61" s="7">
        <v>44503.0</v>
      </c>
      <c r="B61" s="8">
        <v>44503.69159722222</v>
      </c>
      <c r="C61" s="6" t="s">
        <v>50</v>
      </c>
      <c r="D61" s="6" t="s">
        <v>849</v>
      </c>
      <c r="E61" s="6" t="s">
        <v>28</v>
      </c>
      <c r="F61" s="6" t="s">
        <v>229</v>
      </c>
      <c r="G61" s="6" t="s">
        <v>850</v>
      </c>
      <c r="H61" s="9" t="s">
        <v>851</v>
      </c>
      <c r="I61" s="10">
        <v>1.0</v>
      </c>
      <c r="J61" s="10">
        <v>914.0</v>
      </c>
      <c r="K61" s="10">
        <v>930.0</v>
      </c>
      <c r="L61" s="10">
        <v>32.0</v>
      </c>
      <c r="M61" s="10">
        <v>114.0</v>
      </c>
      <c r="N61" s="10">
        <v>914.0</v>
      </c>
    </row>
    <row r="62" ht="21.0" customHeight="1">
      <c r="A62" s="7">
        <v>44503.0</v>
      </c>
      <c r="B62" s="8">
        <v>44503.77442129629</v>
      </c>
      <c r="C62" s="6" t="s">
        <v>50</v>
      </c>
      <c r="D62" s="6" t="s">
        <v>1276</v>
      </c>
      <c r="E62" s="6" t="s">
        <v>61</v>
      </c>
      <c r="F62" s="6" t="s">
        <v>62</v>
      </c>
      <c r="G62" s="6" t="s">
        <v>1277</v>
      </c>
      <c r="H62" s="9" t="s">
        <v>1278</v>
      </c>
      <c r="I62" s="10">
        <v>1.0</v>
      </c>
      <c r="J62" s="10">
        <v>1103.0</v>
      </c>
      <c r="K62" s="10">
        <v>1558.0</v>
      </c>
      <c r="L62" s="10">
        <v>717.0</v>
      </c>
      <c r="M62" s="10">
        <v>192.0</v>
      </c>
      <c r="N62" s="10">
        <v>1103.0</v>
      </c>
    </row>
    <row r="63" ht="21.0" customHeight="1">
      <c r="A63" s="7">
        <v>44504.0</v>
      </c>
      <c r="B63" s="8">
        <v>44504.7671875</v>
      </c>
      <c r="C63" s="6" t="s">
        <v>50</v>
      </c>
      <c r="D63" s="6" t="s">
        <v>1270</v>
      </c>
      <c r="E63" s="6" t="s">
        <v>61</v>
      </c>
      <c r="F63" s="6" t="s">
        <v>62</v>
      </c>
      <c r="G63" s="6" t="s">
        <v>1271</v>
      </c>
      <c r="H63" s="9" t="s">
        <v>1272</v>
      </c>
      <c r="I63" s="10">
        <v>1.0</v>
      </c>
      <c r="J63" s="10">
        <v>959.0</v>
      </c>
      <c r="K63" s="10">
        <v>1289.0</v>
      </c>
      <c r="L63" s="10">
        <v>919.0</v>
      </c>
      <c r="M63" s="10">
        <v>145.0</v>
      </c>
      <c r="N63" s="10">
        <v>959.0</v>
      </c>
    </row>
    <row r="64" ht="21.0" customHeight="1">
      <c r="A64" s="7">
        <v>44505.0</v>
      </c>
      <c r="B64" s="8">
        <v>44505.57957175926</v>
      </c>
      <c r="C64" s="6" t="s">
        <v>50</v>
      </c>
      <c r="D64" s="6" t="s">
        <v>1037</v>
      </c>
      <c r="E64" s="6" t="s">
        <v>61</v>
      </c>
      <c r="F64" s="6" t="s">
        <v>62</v>
      </c>
      <c r="G64" s="6" t="s">
        <v>1038</v>
      </c>
      <c r="H64" s="9" t="s">
        <v>1039</v>
      </c>
      <c r="I64" s="10">
        <v>1.0</v>
      </c>
      <c r="J64" s="10">
        <v>1545.0</v>
      </c>
      <c r="K64" s="10">
        <v>1570.0</v>
      </c>
      <c r="L64" s="10">
        <v>20.0</v>
      </c>
      <c r="M64" s="10">
        <v>69.0</v>
      </c>
      <c r="N64" s="10">
        <v>1545.0</v>
      </c>
    </row>
    <row r="65" ht="21.0" customHeight="1">
      <c r="A65" s="7">
        <v>44505.0</v>
      </c>
      <c r="B65" s="8">
        <v>44505.66677083333</v>
      </c>
      <c r="C65" s="6" t="s">
        <v>50</v>
      </c>
      <c r="D65" s="6" t="s">
        <v>992</v>
      </c>
      <c r="E65" s="6" t="s">
        <v>61</v>
      </c>
      <c r="F65" s="6" t="s">
        <v>62</v>
      </c>
      <c r="G65" s="6" t="s">
        <v>993</v>
      </c>
      <c r="H65" s="9" t="s">
        <v>994</v>
      </c>
      <c r="I65" s="10">
        <v>1.0</v>
      </c>
      <c r="J65" s="10">
        <v>133.0</v>
      </c>
      <c r="K65" s="10">
        <v>136.0</v>
      </c>
      <c r="L65" s="10">
        <v>2.0</v>
      </c>
      <c r="M65" s="10">
        <v>8.0</v>
      </c>
      <c r="N65" s="10">
        <v>133.0</v>
      </c>
    </row>
    <row r="66" ht="21.0" customHeight="1">
      <c r="A66" s="7">
        <v>44505.0</v>
      </c>
      <c r="B66" s="8">
        <v>44505.767696759256</v>
      </c>
      <c r="C66" s="6" t="s">
        <v>50</v>
      </c>
      <c r="D66" s="6" t="s">
        <v>1279</v>
      </c>
      <c r="E66" s="6" t="s">
        <v>61</v>
      </c>
      <c r="F66" s="6" t="s">
        <v>62</v>
      </c>
      <c r="G66" s="6" t="s">
        <v>1280</v>
      </c>
      <c r="H66" s="9" t="s">
        <v>1281</v>
      </c>
      <c r="I66" s="10">
        <v>1.0</v>
      </c>
      <c r="J66" s="10">
        <v>591.0</v>
      </c>
      <c r="K66" s="10">
        <v>843.0</v>
      </c>
      <c r="L66" s="10">
        <v>317.0</v>
      </c>
      <c r="M66" s="10">
        <v>98.0</v>
      </c>
      <c r="N66" s="10">
        <v>591.0</v>
      </c>
    </row>
    <row r="67" ht="21.0" customHeight="1">
      <c r="A67" s="7">
        <v>44505.0</v>
      </c>
      <c r="B67" s="8">
        <v>44505.87105324074</v>
      </c>
      <c r="C67" s="6" t="s">
        <v>50</v>
      </c>
      <c r="D67" s="6" t="s">
        <v>1282</v>
      </c>
      <c r="E67" s="6" t="s">
        <v>61</v>
      </c>
      <c r="F67" s="6" t="s">
        <v>62</v>
      </c>
      <c r="G67" s="6" t="s">
        <v>1280</v>
      </c>
      <c r="H67" s="9" t="s">
        <v>1283</v>
      </c>
      <c r="I67" s="10">
        <v>1.0</v>
      </c>
      <c r="J67" s="10">
        <v>665.0</v>
      </c>
      <c r="K67" s="10">
        <v>817.0</v>
      </c>
      <c r="L67" s="10">
        <v>312.0</v>
      </c>
      <c r="M67" s="10">
        <v>49.0</v>
      </c>
      <c r="N67" s="10">
        <v>665.0</v>
      </c>
    </row>
    <row r="68" ht="21.0" customHeight="1">
      <c r="A68" s="7">
        <v>44506.0</v>
      </c>
      <c r="B68" s="8">
        <v>44506.49736111111</v>
      </c>
      <c r="C68" s="6" t="s">
        <v>50</v>
      </c>
      <c r="D68" s="6" t="s">
        <v>1240</v>
      </c>
      <c r="E68" s="6" t="s">
        <v>28</v>
      </c>
      <c r="F68" s="6" t="s">
        <v>34</v>
      </c>
      <c r="G68" s="6" t="s">
        <v>1241</v>
      </c>
      <c r="H68" s="9" t="s">
        <v>1242</v>
      </c>
      <c r="I68" s="10">
        <v>1.0</v>
      </c>
      <c r="J68" s="10">
        <v>931.0</v>
      </c>
      <c r="K68" s="10">
        <v>943.0</v>
      </c>
      <c r="L68" s="10">
        <v>19.0</v>
      </c>
      <c r="M68" s="10">
        <v>20.0</v>
      </c>
      <c r="N68" s="10">
        <v>931.0</v>
      </c>
    </row>
    <row r="69" ht="21.0" customHeight="1">
      <c r="A69" s="7">
        <v>44506.0</v>
      </c>
      <c r="B69" s="8">
        <v>44506.762025462966</v>
      </c>
      <c r="C69" s="6" t="s">
        <v>50</v>
      </c>
      <c r="D69" s="6" t="s">
        <v>1273</v>
      </c>
      <c r="E69" s="6" t="s">
        <v>61</v>
      </c>
      <c r="F69" s="6" t="s">
        <v>62</v>
      </c>
      <c r="G69" s="6" t="s">
        <v>1274</v>
      </c>
      <c r="H69" s="9" t="s">
        <v>1275</v>
      </c>
      <c r="I69" s="10">
        <v>1.0</v>
      </c>
      <c r="J69" s="10">
        <v>731.0</v>
      </c>
      <c r="K69" s="10">
        <v>975.0</v>
      </c>
      <c r="L69" s="10">
        <v>347.0</v>
      </c>
      <c r="M69" s="10">
        <v>113.0</v>
      </c>
      <c r="N69" s="10">
        <v>731.0</v>
      </c>
    </row>
    <row r="70" ht="21.0" customHeight="1">
      <c r="A70" s="7">
        <v>44507.0</v>
      </c>
      <c r="B70" s="8">
        <v>44507.759375</v>
      </c>
      <c r="C70" s="6" t="s">
        <v>50</v>
      </c>
      <c r="D70" s="6" t="s">
        <v>1284</v>
      </c>
      <c r="E70" s="6" t="s">
        <v>61</v>
      </c>
      <c r="F70" s="6" t="s">
        <v>62</v>
      </c>
      <c r="G70" s="6" t="s">
        <v>1285</v>
      </c>
      <c r="H70" s="9" t="s">
        <v>1286</v>
      </c>
      <c r="I70" s="10">
        <v>1.0</v>
      </c>
      <c r="J70" s="10">
        <v>675.0</v>
      </c>
      <c r="K70" s="10">
        <v>893.0</v>
      </c>
      <c r="L70" s="10">
        <v>412.0</v>
      </c>
      <c r="M70" s="10">
        <v>99.0</v>
      </c>
      <c r="N70" s="10">
        <v>675.0</v>
      </c>
    </row>
    <row r="71" ht="21.0" customHeight="1">
      <c r="A71" s="7">
        <v>44507.0</v>
      </c>
      <c r="B71" s="8">
        <v>44507.88118055555</v>
      </c>
      <c r="C71" s="6" t="s">
        <v>50</v>
      </c>
      <c r="D71" s="6" t="s">
        <v>1287</v>
      </c>
      <c r="E71" s="6" t="s">
        <v>61</v>
      </c>
      <c r="F71" s="6" t="s">
        <v>62</v>
      </c>
      <c r="G71" s="6" t="s">
        <v>1285</v>
      </c>
      <c r="H71" s="9" t="s">
        <v>1288</v>
      </c>
      <c r="I71" s="10">
        <v>1.0</v>
      </c>
      <c r="J71" s="10">
        <v>876.0</v>
      </c>
      <c r="K71" s="10">
        <v>1323.0</v>
      </c>
      <c r="L71" s="10">
        <v>760.0</v>
      </c>
      <c r="M71" s="10">
        <v>71.0</v>
      </c>
      <c r="N71" s="10">
        <v>876.0</v>
      </c>
    </row>
    <row r="72" ht="21.0" customHeight="1">
      <c r="A72" s="7">
        <v>44508.0</v>
      </c>
      <c r="B72" s="8">
        <v>44508.54001157408</v>
      </c>
      <c r="C72" s="6" t="s">
        <v>50</v>
      </c>
      <c r="D72" s="6" t="s">
        <v>1043</v>
      </c>
      <c r="E72" s="6" t="s">
        <v>28</v>
      </c>
      <c r="F72" s="6" t="s">
        <v>229</v>
      </c>
      <c r="G72" s="6" t="s">
        <v>1044</v>
      </c>
      <c r="H72" s="9" t="s">
        <v>1045</v>
      </c>
      <c r="I72" s="10">
        <v>1.0</v>
      </c>
      <c r="J72" s="10">
        <v>2988.0</v>
      </c>
      <c r="K72" s="10">
        <v>3060.0</v>
      </c>
      <c r="L72" s="10">
        <v>40.0</v>
      </c>
      <c r="M72" s="10">
        <v>67.0</v>
      </c>
      <c r="N72" s="10">
        <v>2988.0</v>
      </c>
    </row>
    <row r="73" ht="21.0" customHeight="1">
      <c r="A73" s="7">
        <v>44509.0</v>
      </c>
      <c r="B73" s="8">
        <v>44509.39586805556</v>
      </c>
      <c r="C73" s="6" t="s">
        <v>50</v>
      </c>
      <c r="D73" s="6" t="s">
        <v>1370</v>
      </c>
      <c r="E73" s="6" t="s">
        <v>28</v>
      </c>
      <c r="F73" s="6" t="s">
        <v>34</v>
      </c>
      <c r="G73" s="6" t="s">
        <v>1371</v>
      </c>
      <c r="H73" s="9" t="s">
        <v>1372</v>
      </c>
      <c r="I73" s="10">
        <v>1.0</v>
      </c>
      <c r="J73" s="10">
        <v>1602.0</v>
      </c>
      <c r="K73" s="10">
        <v>1623.0</v>
      </c>
      <c r="L73" s="10">
        <v>43.0</v>
      </c>
      <c r="M73" s="10">
        <v>283.0</v>
      </c>
      <c r="N73" s="10">
        <v>1602.0</v>
      </c>
    </row>
    <row r="74" ht="21.0" customHeight="1">
      <c r="A74" s="7">
        <v>44509.0</v>
      </c>
      <c r="B74" s="8">
        <v>44509.607465277775</v>
      </c>
      <c r="C74" s="6" t="s">
        <v>50</v>
      </c>
      <c r="D74" s="6" t="s">
        <v>1343</v>
      </c>
      <c r="E74" s="6" t="s">
        <v>28</v>
      </c>
      <c r="F74" s="6" t="s">
        <v>34</v>
      </c>
      <c r="G74" s="6" t="s">
        <v>1344</v>
      </c>
      <c r="H74" s="9" t="s">
        <v>1345</v>
      </c>
      <c r="I74" s="10">
        <v>1.0</v>
      </c>
      <c r="J74" s="10">
        <v>1106.0</v>
      </c>
      <c r="K74" s="10">
        <v>1275.0</v>
      </c>
      <c r="L74" s="10">
        <v>4.0</v>
      </c>
      <c r="M74" s="10">
        <v>28.0</v>
      </c>
      <c r="N74" s="10">
        <v>1106.0</v>
      </c>
    </row>
    <row r="75" ht="21.0" customHeight="1">
      <c r="A75" s="7">
        <v>44510.0</v>
      </c>
      <c r="B75" s="8">
        <v>44510.58400462963</v>
      </c>
      <c r="C75" s="6" t="s">
        <v>50</v>
      </c>
      <c r="D75" s="6" t="s">
        <v>681</v>
      </c>
      <c r="E75" s="6" t="s">
        <v>28</v>
      </c>
      <c r="F75" s="6" t="s">
        <v>229</v>
      </c>
      <c r="G75" s="6" t="s">
        <v>682</v>
      </c>
      <c r="H75" s="9" t="s">
        <v>683</v>
      </c>
      <c r="I75" s="10">
        <v>1.0</v>
      </c>
      <c r="J75" s="10">
        <v>303.0</v>
      </c>
      <c r="K75" s="10">
        <v>307.0</v>
      </c>
      <c r="L75" s="10">
        <v>7.0</v>
      </c>
      <c r="M75" s="10">
        <v>20.0</v>
      </c>
      <c r="N75" s="10">
        <v>303.0</v>
      </c>
    </row>
    <row r="76" ht="21.0" customHeight="1">
      <c r="A76" s="7">
        <v>44510.0</v>
      </c>
      <c r="B76" s="8">
        <v>44510.75318287037</v>
      </c>
      <c r="C76" s="6" t="s">
        <v>50</v>
      </c>
      <c r="D76" s="6" t="s">
        <v>792</v>
      </c>
      <c r="E76" s="6" t="s">
        <v>61</v>
      </c>
      <c r="F76" s="6" t="s">
        <v>62</v>
      </c>
      <c r="G76" s="6" t="s">
        <v>793</v>
      </c>
      <c r="H76" s="9" t="s">
        <v>794</v>
      </c>
      <c r="I76" s="10">
        <v>1.0</v>
      </c>
      <c r="J76" s="10">
        <v>436.0</v>
      </c>
      <c r="K76" s="10">
        <v>450.0</v>
      </c>
      <c r="L76" s="10">
        <v>15.0</v>
      </c>
      <c r="M76" s="10">
        <v>60.0</v>
      </c>
      <c r="N76" s="10">
        <v>436.0</v>
      </c>
    </row>
    <row r="77" ht="21.0" customHeight="1">
      <c r="A77" s="7">
        <v>44511.0</v>
      </c>
      <c r="B77" s="8">
        <v>44511.5834837963</v>
      </c>
      <c r="C77" s="6" t="s">
        <v>50</v>
      </c>
      <c r="D77" s="6" t="s">
        <v>1156</v>
      </c>
      <c r="E77" s="6" t="s">
        <v>28</v>
      </c>
      <c r="F77" s="6" t="s">
        <v>34</v>
      </c>
      <c r="G77" s="6" t="s">
        <v>1157</v>
      </c>
      <c r="H77" s="9" t="s">
        <v>1158</v>
      </c>
      <c r="I77" s="10">
        <v>1.0</v>
      </c>
      <c r="J77" s="10">
        <v>329.0</v>
      </c>
      <c r="K77" s="10">
        <v>334.0</v>
      </c>
      <c r="L77" s="10">
        <v>25.0</v>
      </c>
      <c r="M77" s="10">
        <v>32.0</v>
      </c>
      <c r="N77" s="10">
        <v>329.0</v>
      </c>
    </row>
    <row r="78" ht="21.0" customHeight="1">
      <c r="A78" s="7">
        <v>44511.0</v>
      </c>
      <c r="B78" s="8">
        <v>44511.66704861111</v>
      </c>
      <c r="C78" s="6" t="s">
        <v>50</v>
      </c>
      <c r="D78" s="6" t="s">
        <v>974</v>
      </c>
      <c r="E78" s="6" t="s">
        <v>61</v>
      </c>
      <c r="F78" s="6" t="s">
        <v>62</v>
      </c>
      <c r="G78" s="6" t="s">
        <v>975</v>
      </c>
      <c r="H78" s="9" t="s">
        <v>976</v>
      </c>
      <c r="I78" s="10">
        <v>1.0</v>
      </c>
      <c r="J78" s="10">
        <v>611.0</v>
      </c>
      <c r="K78" s="10">
        <v>623.0</v>
      </c>
      <c r="L78" s="10">
        <v>7.0</v>
      </c>
      <c r="M78" s="10">
        <v>6.0</v>
      </c>
      <c r="N78" s="10">
        <v>611.0</v>
      </c>
    </row>
    <row r="79" ht="21.0" customHeight="1">
      <c r="A79" s="7">
        <v>44512.0</v>
      </c>
      <c r="B79" s="8">
        <v>44512.61215277778</v>
      </c>
      <c r="C79" s="6" t="s">
        <v>50</v>
      </c>
      <c r="D79" s="6" t="s">
        <v>1313</v>
      </c>
      <c r="E79" s="6" t="s">
        <v>28</v>
      </c>
      <c r="F79" s="6" t="s">
        <v>34</v>
      </c>
      <c r="G79" s="6" t="s">
        <v>1314</v>
      </c>
      <c r="H79" s="9" t="s">
        <v>1315</v>
      </c>
      <c r="I79" s="10">
        <v>1.0</v>
      </c>
      <c r="J79" s="10">
        <v>322.0</v>
      </c>
      <c r="K79" s="10">
        <v>324.0</v>
      </c>
      <c r="L79" s="10">
        <v>3.0</v>
      </c>
      <c r="M79" s="10">
        <v>5.0</v>
      </c>
      <c r="N79" s="10">
        <v>322.0</v>
      </c>
    </row>
    <row r="80" ht="21.0" customHeight="1">
      <c r="A80" s="7">
        <v>44512.0</v>
      </c>
      <c r="B80" s="8">
        <v>44512.888136574074</v>
      </c>
      <c r="C80" s="6" t="s">
        <v>50</v>
      </c>
      <c r="D80" s="6" t="s">
        <v>158</v>
      </c>
      <c r="E80" s="6" t="s">
        <v>33</v>
      </c>
      <c r="F80" s="6" t="s">
        <v>62</v>
      </c>
      <c r="G80" s="6" t="s">
        <v>159</v>
      </c>
      <c r="H80" s="9" t="s">
        <v>160</v>
      </c>
      <c r="I80" s="10">
        <v>1.0</v>
      </c>
      <c r="J80" s="10">
        <v>185.0</v>
      </c>
      <c r="K80" s="10">
        <v>211.0</v>
      </c>
      <c r="L80" s="10">
        <v>3.0</v>
      </c>
      <c r="M80" s="10">
        <v>1.0</v>
      </c>
      <c r="N80" s="10">
        <v>185.0</v>
      </c>
    </row>
    <row r="81" ht="21.0" customHeight="1">
      <c r="A81" s="7">
        <v>44513.0</v>
      </c>
      <c r="B81" s="8">
        <v>44513.582708333335</v>
      </c>
      <c r="C81" s="6" t="s">
        <v>50</v>
      </c>
      <c r="D81" s="6" t="s">
        <v>1358</v>
      </c>
      <c r="E81" s="6" t="s">
        <v>28</v>
      </c>
      <c r="F81" s="6" t="s">
        <v>34</v>
      </c>
      <c r="G81" s="6" t="s">
        <v>1359</v>
      </c>
      <c r="H81" s="9" t="s">
        <v>1360</v>
      </c>
      <c r="I81" s="10">
        <v>1.0</v>
      </c>
      <c r="J81" s="10">
        <v>2917.0</v>
      </c>
      <c r="K81" s="10">
        <v>2995.0</v>
      </c>
      <c r="L81" s="10">
        <v>21.0</v>
      </c>
      <c r="M81" s="10">
        <v>222.0</v>
      </c>
      <c r="N81" s="10">
        <v>2917.0</v>
      </c>
    </row>
    <row r="82" ht="21.0" customHeight="1">
      <c r="A82" s="7">
        <v>44514.0</v>
      </c>
      <c r="B82" s="8">
        <v>44514.558912037035</v>
      </c>
      <c r="C82" s="6" t="s">
        <v>50</v>
      </c>
      <c r="D82" s="6" t="s">
        <v>1331</v>
      </c>
      <c r="E82" s="6" t="s">
        <v>28</v>
      </c>
      <c r="F82" s="6" t="s">
        <v>229</v>
      </c>
      <c r="G82" s="6" t="s">
        <v>1332</v>
      </c>
      <c r="H82" s="9" t="s">
        <v>1333</v>
      </c>
      <c r="I82" s="10">
        <v>1.0</v>
      </c>
      <c r="J82" s="10">
        <v>2476.0</v>
      </c>
      <c r="K82" s="10">
        <v>2529.0</v>
      </c>
      <c r="L82" s="10">
        <v>4.0</v>
      </c>
      <c r="M82" s="10">
        <v>211.0</v>
      </c>
      <c r="N82" s="10">
        <v>2476.0</v>
      </c>
    </row>
    <row r="83" ht="21.0" customHeight="1">
      <c r="A83" s="7">
        <v>44514.0</v>
      </c>
      <c r="B83" s="8">
        <v>44514.708344907405</v>
      </c>
      <c r="C83" s="6" t="s">
        <v>50</v>
      </c>
      <c r="D83" s="6" t="s">
        <v>1246</v>
      </c>
      <c r="E83" s="6" t="s">
        <v>28</v>
      </c>
      <c r="F83" s="6" t="s">
        <v>34</v>
      </c>
      <c r="G83" s="6" t="s">
        <v>1247</v>
      </c>
      <c r="H83" s="9" t="s">
        <v>1248</v>
      </c>
      <c r="I83" s="10">
        <v>1.0</v>
      </c>
      <c r="J83" s="10">
        <v>1306.0</v>
      </c>
      <c r="K83" s="10">
        <v>1324.0</v>
      </c>
      <c r="L83" s="10">
        <v>15.0</v>
      </c>
      <c r="M83" s="10">
        <v>33.0</v>
      </c>
      <c r="N83" s="10">
        <v>1306.0</v>
      </c>
    </row>
    <row r="84" ht="21.0" customHeight="1">
      <c r="A84" s="7">
        <v>44515.0</v>
      </c>
      <c r="B84" s="8">
        <v>44515.54982638889</v>
      </c>
      <c r="C84" s="6" t="s">
        <v>50</v>
      </c>
      <c r="D84" s="6" t="s">
        <v>1304</v>
      </c>
      <c r="E84" s="6" t="s">
        <v>61</v>
      </c>
      <c r="F84" s="6" t="s">
        <v>62</v>
      </c>
      <c r="G84" s="6" t="s">
        <v>1305</v>
      </c>
      <c r="H84" s="9" t="s">
        <v>1306</v>
      </c>
      <c r="I84" s="10">
        <v>1.0</v>
      </c>
      <c r="J84" s="10">
        <v>422.0</v>
      </c>
      <c r="K84" s="10">
        <v>432.0</v>
      </c>
      <c r="L84" s="10">
        <v>10.0</v>
      </c>
      <c r="M84" s="10">
        <v>16.0</v>
      </c>
      <c r="N84" s="10">
        <v>422.0</v>
      </c>
    </row>
    <row r="85" ht="21.0" customHeight="1">
      <c r="A85" s="7">
        <v>44515.0</v>
      </c>
      <c r="B85" s="8">
        <v>44515.60471064815</v>
      </c>
      <c r="C85" s="6" t="s">
        <v>50</v>
      </c>
      <c r="D85" s="6" t="s">
        <v>1177</v>
      </c>
      <c r="E85" s="6" t="s">
        <v>28</v>
      </c>
      <c r="F85" s="6" t="s">
        <v>34</v>
      </c>
      <c r="G85" s="6" t="s">
        <v>1178</v>
      </c>
      <c r="H85" s="9" t="s">
        <v>1179</v>
      </c>
      <c r="I85" s="10">
        <v>1.0</v>
      </c>
      <c r="J85" s="10">
        <v>1049.0</v>
      </c>
      <c r="K85" s="10">
        <v>1061.0</v>
      </c>
      <c r="L85" s="10">
        <v>7.0</v>
      </c>
      <c r="M85" s="10">
        <v>9.0</v>
      </c>
      <c r="N85" s="10">
        <v>1049.0</v>
      </c>
    </row>
    <row r="86" ht="21.0" customHeight="1">
      <c r="A86" s="7">
        <v>44515.0</v>
      </c>
      <c r="B86" s="8">
        <v>44515.64865740741</v>
      </c>
      <c r="C86" s="6" t="s">
        <v>50</v>
      </c>
      <c r="D86" s="6" t="s">
        <v>1171</v>
      </c>
      <c r="E86" s="6" t="s">
        <v>61</v>
      </c>
      <c r="F86" s="6" t="s">
        <v>62</v>
      </c>
      <c r="G86" s="6" t="s">
        <v>1172</v>
      </c>
      <c r="H86" s="9" t="s">
        <v>1173</v>
      </c>
      <c r="I86" s="10">
        <v>1.0</v>
      </c>
      <c r="J86" s="10">
        <v>1450.0</v>
      </c>
      <c r="K86" s="10">
        <v>1724.0</v>
      </c>
      <c r="L86" s="10">
        <v>246.0</v>
      </c>
      <c r="M86" s="10">
        <v>194.0</v>
      </c>
      <c r="N86" s="10">
        <v>1450.0</v>
      </c>
    </row>
    <row r="87" ht="21.0" customHeight="1">
      <c r="A87" s="7">
        <v>44515.0</v>
      </c>
      <c r="B87" s="8">
        <v>44515.65321759259</v>
      </c>
      <c r="C87" s="6" t="s">
        <v>50</v>
      </c>
      <c r="D87" s="6" t="s">
        <v>1192</v>
      </c>
      <c r="E87" s="6" t="s">
        <v>28</v>
      </c>
      <c r="F87" s="6" t="s">
        <v>34</v>
      </c>
      <c r="G87" s="6" t="s">
        <v>1193</v>
      </c>
      <c r="H87" s="9" t="s">
        <v>1194</v>
      </c>
      <c r="I87" s="10">
        <v>1.0</v>
      </c>
      <c r="J87" s="10">
        <v>482.0</v>
      </c>
      <c r="K87" s="10">
        <v>489.0</v>
      </c>
      <c r="L87" s="10">
        <v>0.0</v>
      </c>
      <c r="M87" s="10">
        <v>6.0</v>
      </c>
      <c r="N87" s="10">
        <v>482.0</v>
      </c>
    </row>
    <row r="88" ht="21.0" customHeight="1">
      <c r="A88" s="7">
        <v>44516.0</v>
      </c>
      <c r="B88" s="8">
        <v>44516.46184027778</v>
      </c>
      <c r="C88" s="6" t="s">
        <v>50</v>
      </c>
      <c r="D88" s="6" t="s">
        <v>1352</v>
      </c>
      <c r="E88" s="6" t="s">
        <v>28</v>
      </c>
      <c r="F88" s="6" t="s">
        <v>34</v>
      </c>
      <c r="G88" s="6" t="s">
        <v>1353</v>
      </c>
      <c r="H88" s="9" t="s">
        <v>1354</v>
      </c>
      <c r="I88" s="10">
        <v>1.0</v>
      </c>
      <c r="J88" s="10">
        <v>1661.0</v>
      </c>
      <c r="K88" s="10">
        <v>1885.0</v>
      </c>
      <c r="L88" s="10">
        <v>39.0</v>
      </c>
      <c r="M88" s="10">
        <v>86.0</v>
      </c>
      <c r="N88" s="10">
        <v>1661.0</v>
      </c>
    </row>
    <row r="89" ht="21.0" customHeight="1">
      <c r="A89" s="7">
        <v>44516.0</v>
      </c>
      <c r="B89" s="8">
        <v>44516.62501157408</v>
      </c>
      <c r="C89" s="6" t="s">
        <v>50</v>
      </c>
      <c r="D89" s="6" t="s">
        <v>1310</v>
      </c>
      <c r="E89" s="6" t="s">
        <v>28</v>
      </c>
      <c r="F89" s="6" t="s">
        <v>229</v>
      </c>
      <c r="G89" s="6" t="s">
        <v>1311</v>
      </c>
      <c r="H89" s="9" t="s">
        <v>1312</v>
      </c>
      <c r="I89" s="10">
        <v>1.0</v>
      </c>
      <c r="J89" s="10">
        <v>2390.0</v>
      </c>
      <c r="K89" s="10">
        <v>2429.0</v>
      </c>
      <c r="L89" s="10">
        <v>5.0</v>
      </c>
      <c r="M89" s="10">
        <v>17.0</v>
      </c>
      <c r="N89" s="10">
        <v>2390.0</v>
      </c>
    </row>
    <row r="90" ht="21.0" customHeight="1">
      <c r="A90" s="7">
        <v>44516.0</v>
      </c>
      <c r="B90" s="8">
        <v>44516.750023148146</v>
      </c>
      <c r="C90" s="6" t="s">
        <v>50</v>
      </c>
      <c r="D90" s="6" t="s">
        <v>1243</v>
      </c>
      <c r="E90" s="6" t="s">
        <v>61</v>
      </c>
      <c r="F90" s="6" t="s">
        <v>62</v>
      </c>
      <c r="G90" s="6" t="s">
        <v>1244</v>
      </c>
      <c r="H90" s="9" t="s">
        <v>1245</v>
      </c>
      <c r="I90" s="10">
        <v>1.0</v>
      </c>
      <c r="J90" s="10">
        <v>493.0</v>
      </c>
      <c r="K90" s="10">
        <v>501.0</v>
      </c>
      <c r="L90" s="10">
        <v>10.0</v>
      </c>
      <c r="M90" s="10">
        <v>41.0</v>
      </c>
      <c r="N90" s="10">
        <v>493.0</v>
      </c>
    </row>
    <row r="91" ht="21.0" customHeight="1">
      <c r="A91" s="7">
        <v>44516.0</v>
      </c>
      <c r="B91" s="8">
        <v>44516.8055787037</v>
      </c>
      <c r="C91" s="6" t="s">
        <v>50</v>
      </c>
      <c r="D91" s="6" t="s">
        <v>1325</v>
      </c>
      <c r="E91" s="6" t="s">
        <v>28</v>
      </c>
      <c r="F91" s="6" t="s">
        <v>229</v>
      </c>
      <c r="G91" s="6" t="s">
        <v>1326</v>
      </c>
      <c r="H91" s="9" t="s">
        <v>1327</v>
      </c>
      <c r="I91" s="10">
        <v>1.0</v>
      </c>
      <c r="J91" s="10">
        <v>2032.0</v>
      </c>
      <c r="K91" s="10">
        <v>2063.0</v>
      </c>
      <c r="L91" s="10">
        <v>13.0</v>
      </c>
      <c r="M91" s="10">
        <v>14.0</v>
      </c>
      <c r="N91" s="10">
        <v>2032.0</v>
      </c>
    </row>
    <row r="92" ht="21.0" customHeight="1">
      <c r="A92" s="7">
        <v>44516.0</v>
      </c>
      <c r="B92" s="8">
        <v>44516.875023148146</v>
      </c>
      <c r="C92" s="6" t="s">
        <v>50</v>
      </c>
      <c r="D92" s="6" t="s">
        <v>807</v>
      </c>
      <c r="E92" s="6" t="s">
        <v>28</v>
      </c>
      <c r="F92" s="6" t="s">
        <v>34</v>
      </c>
      <c r="G92" s="6" t="s">
        <v>808</v>
      </c>
      <c r="H92" s="9" t="s">
        <v>809</v>
      </c>
      <c r="I92" s="10">
        <v>1.0</v>
      </c>
      <c r="J92" s="10">
        <v>162.0</v>
      </c>
      <c r="K92" s="10">
        <v>164.0</v>
      </c>
      <c r="L92" s="10">
        <v>11.0</v>
      </c>
      <c r="M92" s="10">
        <v>8.0</v>
      </c>
      <c r="N92" s="10">
        <v>162.0</v>
      </c>
    </row>
    <row r="93" ht="21.0" customHeight="1">
      <c r="A93" s="7">
        <v>44517.0</v>
      </c>
      <c r="B93" s="8">
        <v>44517.3750462963</v>
      </c>
      <c r="C93" s="6" t="s">
        <v>50</v>
      </c>
      <c r="D93" s="6" t="s">
        <v>1355</v>
      </c>
      <c r="E93" s="6" t="s">
        <v>28</v>
      </c>
      <c r="F93" s="6" t="s">
        <v>34</v>
      </c>
      <c r="G93" s="6" t="s">
        <v>1356</v>
      </c>
      <c r="H93" s="9" t="s">
        <v>1357</v>
      </c>
      <c r="I93" s="10">
        <v>1.0</v>
      </c>
      <c r="J93" s="10">
        <v>821.0</v>
      </c>
      <c r="K93" s="10">
        <v>827.0</v>
      </c>
      <c r="L93" s="10">
        <v>8.0</v>
      </c>
      <c r="M93" s="10">
        <v>45.0</v>
      </c>
      <c r="N93" s="10">
        <v>821.0</v>
      </c>
    </row>
    <row r="94" ht="21.0" customHeight="1">
      <c r="A94" s="7">
        <v>44517.0</v>
      </c>
      <c r="B94" s="8">
        <v>44517.458344907405</v>
      </c>
      <c r="C94" s="6" t="s">
        <v>50</v>
      </c>
      <c r="D94" s="6" t="s">
        <v>1340</v>
      </c>
      <c r="E94" s="6" t="s">
        <v>28</v>
      </c>
      <c r="F94" s="6" t="s">
        <v>34</v>
      </c>
      <c r="G94" s="6" t="s">
        <v>1341</v>
      </c>
      <c r="H94" s="9" t="s">
        <v>1342</v>
      </c>
      <c r="I94" s="10">
        <v>1.0</v>
      </c>
      <c r="J94" s="10">
        <v>1181.0</v>
      </c>
      <c r="K94" s="10">
        <v>1208.0</v>
      </c>
      <c r="L94" s="10">
        <v>7.0</v>
      </c>
      <c r="M94" s="10">
        <v>22.0</v>
      </c>
      <c r="N94" s="10">
        <v>1181.0</v>
      </c>
    </row>
    <row r="95" ht="21.0" customHeight="1">
      <c r="A95" s="7">
        <v>44517.0</v>
      </c>
      <c r="B95" s="8">
        <v>44517.625023148146</v>
      </c>
      <c r="C95" s="6" t="s">
        <v>50</v>
      </c>
      <c r="D95" s="6" t="s">
        <v>1346</v>
      </c>
      <c r="E95" s="6" t="s">
        <v>61</v>
      </c>
      <c r="F95" s="6" t="s">
        <v>62</v>
      </c>
      <c r="G95" s="6" t="s">
        <v>1347</v>
      </c>
      <c r="H95" s="9" t="s">
        <v>1348</v>
      </c>
      <c r="I95" s="10">
        <v>1.0</v>
      </c>
      <c r="J95" s="10">
        <v>602.0</v>
      </c>
      <c r="K95" s="10">
        <v>612.0</v>
      </c>
      <c r="L95" s="10">
        <v>1.0</v>
      </c>
      <c r="M95" s="10">
        <v>77.0</v>
      </c>
      <c r="N95" s="10">
        <v>602.0</v>
      </c>
    </row>
    <row r="96" ht="21.0" customHeight="1">
      <c r="A96" s="7">
        <v>44517.0</v>
      </c>
      <c r="B96" s="8">
        <v>44517.76175925926</v>
      </c>
      <c r="C96" s="6" t="s">
        <v>50</v>
      </c>
      <c r="D96" s="6" t="s">
        <v>1388</v>
      </c>
      <c r="E96" s="6" t="s">
        <v>28</v>
      </c>
      <c r="F96" s="6" t="s">
        <v>34</v>
      </c>
      <c r="G96" s="6" t="s">
        <v>1389</v>
      </c>
      <c r="H96" s="9" t="s">
        <v>1390</v>
      </c>
      <c r="I96" s="10">
        <v>1.0</v>
      </c>
      <c r="J96" s="10">
        <v>1439.0</v>
      </c>
      <c r="K96" s="10">
        <v>1467.0</v>
      </c>
      <c r="L96" s="10">
        <v>12.0</v>
      </c>
      <c r="M96" s="10">
        <v>51.0</v>
      </c>
      <c r="N96" s="10">
        <v>1439.0</v>
      </c>
    </row>
    <row r="97" ht="21.0" customHeight="1">
      <c r="A97" s="7">
        <v>44518.0</v>
      </c>
      <c r="B97" s="8">
        <v>44518.3750462963</v>
      </c>
      <c r="C97" s="6" t="s">
        <v>50</v>
      </c>
      <c r="D97" s="6" t="s">
        <v>1334</v>
      </c>
      <c r="E97" s="6" t="s">
        <v>28</v>
      </c>
      <c r="F97" s="6" t="s">
        <v>34</v>
      </c>
      <c r="G97" s="6" t="s">
        <v>1335</v>
      </c>
      <c r="H97" s="9" t="s">
        <v>1336</v>
      </c>
      <c r="I97" s="10">
        <v>1.0</v>
      </c>
      <c r="J97" s="10">
        <v>1193.0</v>
      </c>
      <c r="K97" s="10">
        <v>1261.0</v>
      </c>
      <c r="L97" s="10">
        <v>10.0</v>
      </c>
      <c r="M97" s="10">
        <v>57.0</v>
      </c>
      <c r="N97" s="10">
        <v>1193.0</v>
      </c>
    </row>
    <row r="98" ht="21.0" customHeight="1">
      <c r="A98" s="7">
        <v>44518.0</v>
      </c>
      <c r="B98" s="8">
        <v>44518.489583333336</v>
      </c>
      <c r="C98" s="6" t="s">
        <v>50</v>
      </c>
      <c r="D98" s="6" t="s">
        <v>1349</v>
      </c>
      <c r="E98" s="6" t="s">
        <v>61</v>
      </c>
      <c r="F98" s="6" t="s">
        <v>62</v>
      </c>
      <c r="G98" s="6" t="s">
        <v>1350</v>
      </c>
      <c r="H98" s="9" t="s">
        <v>1351</v>
      </c>
      <c r="I98" s="10">
        <v>1.0</v>
      </c>
      <c r="J98" s="10">
        <v>311.0</v>
      </c>
      <c r="K98" s="10">
        <v>315.0</v>
      </c>
      <c r="L98" s="10">
        <v>0.0</v>
      </c>
      <c r="M98" s="10">
        <v>3.0</v>
      </c>
      <c r="N98" s="10">
        <v>311.0</v>
      </c>
    </row>
    <row r="99" ht="21.0" customHeight="1">
      <c r="A99" s="7">
        <v>44518.0</v>
      </c>
      <c r="B99" s="8">
        <v>44518.58329861111</v>
      </c>
      <c r="C99" s="6" t="s">
        <v>50</v>
      </c>
      <c r="D99" s="6" t="s">
        <v>1463</v>
      </c>
      <c r="E99" s="6" t="s">
        <v>28</v>
      </c>
      <c r="F99" s="6" t="s">
        <v>34</v>
      </c>
      <c r="G99" s="6" t="s">
        <v>1464</v>
      </c>
      <c r="H99" s="9" t="s">
        <v>1465</v>
      </c>
      <c r="I99" s="10">
        <v>1.0</v>
      </c>
      <c r="J99" s="10">
        <v>2002.0</v>
      </c>
      <c r="K99" s="10">
        <v>2043.0</v>
      </c>
      <c r="L99" s="10">
        <v>16.0</v>
      </c>
      <c r="M99" s="10">
        <v>367.0</v>
      </c>
      <c r="N99" s="10">
        <v>2002.0</v>
      </c>
    </row>
    <row r="100" ht="21.0" customHeight="1">
      <c r="A100" s="7">
        <v>44518.0</v>
      </c>
      <c r="B100" s="8">
        <v>44518.67832175926</v>
      </c>
      <c r="C100" s="6" t="s">
        <v>50</v>
      </c>
      <c r="D100" s="6" t="s">
        <v>1460</v>
      </c>
      <c r="E100" s="6" t="s">
        <v>28</v>
      </c>
      <c r="F100" s="6" t="s">
        <v>34</v>
      </c>
      <c r="G100" s="6" t="s">
        <v>1461</v>
      </c>
      <c r="H100" s="9" t="s">
        <v>1462</v>
      </c>
      <c r="I100" s="10">
        <v>1.0</v>
      </c>
      <c r="J100" s="10">
        <v>1843.0</v>
      </c>
      <c r="K100" s="10">
        <v>1874.0</v>
      </c>
      <c r="L100" s="10">
        <v>53.0</v>
      </c>
      <c r="M100" s="10">
        <v>49.0</v>
      </c>
      <c r="N100" s="10">
        <v>1843.0</v>
      </c>
    </row>
    <row r="101" ht="21.0" customHeight="1">
      <c r="A101" s="7">
        <v>44518.0</v>
      </c>
      <c r="B101" s="8">
        <v>44518.71876157408</v>
      </c>
      <c r="C101" s="6" t="s">
        <v>50</v>
      </c>
      <c r="D101" s="6" t="s">
        <v>1391</v>
      </c>
      <c r="E101" s="6" t="s">
        <v>28</v>
      </c>
      <c r="F101" s="6" t="s">
        <v>34</v>
      </c>
      <c r="G101" s="6" t="s">
        <v>1392</v>
      </c>
      <c r="H101" s="9" t="s">
        <v>1393</v>
      </c>
      <c r="I101" s="10">
        <v>1.0</v>
      </c>
      <c r="J101" s="10">
        <v>2469.0</v>
      </c>
      <c r="K101" s="10">
        <v>3021.0</v>
      </c>
      <c r="L101" s="10">
        <v>40.0</v>
      </c>
      <c r="M101" s="10">
        <v>104.0</v>
      </c>
      <c r="N101" s="10">
        <v>2469.0</v>
      </c>
    </row>
    <row r="102" ht="21.0" customHeight="1">
      <c r="A102" s="7">
        <v>44518.0</v>
      </c>
      <c r="B102" s="8">
        <v>44518.78136574074</v>
      </c>
      <c r="C102" s="6" t="s">
        <v>50</v>
      </c>
      <c r="D102" s="6" t="s">
        <v>1337</v>
      </c>
      <c r="E102" s="6" t="s">
        <v>61</v>
      </c>
      <c r="F102" s="6" t="s">
        <v>62</v>
      </c>
      <c r="G102" s="6" t="s">
        <v>1338</v>
      </c>
      <c r="H102" s="9" t="s">
        <v>1339</v>
      </c>
      <c r="I102" s="10">
        <v>1.0</v>
      </c>
      <c r="J102" s="10">
        <v>223.0</v>
      </c>
      <c r="K102" s="10">
        <v>225.0</v>
      </c>
      <c r="L102" s="10">
        <v>0.0</v>
      </c>
      <c r="M102" s="10">
        <v>9.0</v>
      </c>
      <c r="N102" s="10">
        <v>223.0</v>
      </c>
    </row>
    <row r="103" ht="21.0" customHeight="1">
      <c r="A103" s="7">
        <v>44518.0</v>
      </c>
      <c r="B103" s="8">
        <v>44518.8403587963</v>
      </c>
      <c r="C103" s="6" t="s">
        <v>50</v>
      </c>
      <c r="D103" s="6" t="s">
        <v>1400</v>
      </c>
      <c r="E103" s="6" t="s">
        <v>28</v>
      </c>
      <c r="F103" s="6" t="s">
        <v>229</v>
      </c>
      <c r="G103" s="6" t="s">
        <v>1401</v>
      </c>
      <c r="H103" s="9" t="s">
        <v>1402</v>
      </c>
      <c r="I103" s="10">
        <v>1.0</v>
      </c>
      <c r="J103" s="10">
        <v>3332.0</v>
      </c>
      <c r="K103" s="10">
        <v>3418.0</v>
      </c>
      <c r="L103" s="10">
        <v>22.0</v>
      </c>
      <c r="M103" s="10">
        <v>123.0</v>
      </c>
      <c r="N103" s="10">
        <v>3332.0</v>
      </c>
    </row>
    <row r="104" ht="21.0" customHeight="1">
      <c r="A104" s="7">
        <v>44519.0</v>
      </c>
      <c r="B104" s="8">
        <v>44519.333391203705</v>
      </c>
      <c r="C104" s="6" t="s">
        <v>50</v>
      </c>
      <c r="D104" s="6" t="s">
        <v>1475</v>
      </c>
      <c r="E104" s="6" t="s">
        <v>28</v>
      </c>
      <c r="F104" s="6" t="s">
        <v>34</v>
      </c>
      <c r="G104" s="6" t="s">
        <v>1476</v>
      </c>
      <c r="H104" s="9" t="s">
        <v>1477</v>
      </c>
      <c r="I104" s="10">
        <v>1.0</v>
      </c>
      <c r="J104" s="10">
        <v>1948.0</v>
      </c>
      <c r="K104" s="10">
        <v>2087.0</v>
      </c>
      <c r="L104" s="10">
        <v>18.0</v>
      </c>
      <c r="M104" s="10">
        <v>359.0</v>
      </c>
      <c r="N104" s="10">
        <v>1948.0</v>
      </c>
    </row>
    <row r="105" ht="21.0" customHeight="1">
      <c r="A105" s="7">
        <v>44519.0</v>
      </c>
      <c r="B105" s="8">
        <v>44519.695543981485</v>
      </c>
      <c r="C105" s="6" t="s">
        <v>50</v>
      </c>
      <c r="D105" s="6" t="s">
        <v>1568</v>
      </c>
      <c r="E105" s="6" t="s">
        <v>28</v>
      </c>
      <c r="F105" s="6" t="s">
        <v>34</v>
      </c>
      <c r="G105" s="6" t="s">
        <v>1569</v>
      </c>
      <c r="H105" s="9" t="s">
        <v>1570</v>
      </c>
      <c r="I105" s="10">
        <v>1.0</v>
      </c>
      <c r="J105" s="10">
        <v>1730.0</v>
      </c>
      <c r="K105" s="10">
        <v>1758.0</v>
      </c>
      <c r="L105" s="10">
        <v>36.0</v>
      </c>
      <c r="M105" s="10">
        <v>75.0</v>
      </c>
      <c r="N105" s="10">
        <v>1730.0</v>
      </c>
    </row>
    <row r="106" ht="21.0" customHeight="1">
      <c r="A106" s="7">
        <v>44519.0</v>
      </c>
      <c r="B106" s="8">
        <v>44519.95097222222</v>
      </c>
      <c r="C106" s="6" t="s">
        <v>50</v>
      </c>
      <c r="D106" s="6" t="s">
        <v>1499</v>
      </c>
      <c r="E106" s="6" t="s">
        <v>28</v>
      </c>
      <c r="F106" s="6" t="s">
        <v>229</v>
      </c>
      <c r="G106" s="6" t="s">
        <v>1500</v>
      </c>
      <c r="H106" s="9" t="s">
        <v>1501</v>
      </c>
      <c r="I106" s="10">
        <v>1.0</v>
      </c>
      <c r="J106" s="10">
        <v>974.0</v>
      </c>
      <c r="K106" s="10">
        <v>986.0</v>
      </c>
      <c r="L106" s="10">
        <v>4.0</v>
      </c>
      <c r="M106" s="10">
        <v>38.0</v>
      </c>
      <c r="N106" s="10">
        <v>974.0</v>
      </c>
    </row>
    <row r="107" ht="21.0" customHeight="1">
      <c r="A107" s="7">
        <v>44520.0</v>
      </c>
      <c r="B107" s="8">
        <v>44520.354166666664</v>
      </c>
      <c r="C107" s="6" t="s">
        <v>50</v>
      </c>
      <c r="D107" s="6" t="s">
        <v>1472</v>
      </c>
      <c r="E107" s="6" t="s">
        <v>28</v>
      </c>
      <c r="F107" s="6" t="s">
        <v>34</v>
      </c>
      <c r="G107" s="6" t="s">
        <v>1473</v>
      </c>
      <c r="H107" s="9" t="s">
        <v>1474</v>
      </c>
      <c r="I107" s="10">
        <v>1.0</v>
      </c>
      <c r="J107" s="10">
        <v>952.0</v>
      </c>
      <c r="K107" s="10">
        <v>971.0</v>
      </c>
      <c r="L107" s="10">
        <v>7.0</v>
      </c>
      <c r="M107" s="10">
        <v>45.0</v>
      </c>
      <c r="N107" s="10">
        <v>952.0</v>
      </c>
    </row>
    <row r="108" ht="21.0" customHeight="1">
      <c r="A108" s="7">
        <v>44520.0</v>
      </c>
      <c r="B108" s="8">
        <v>44520.455671296295</v>
      </c>
      <c r="C108" s="6" t="s">
        <v>50</v>
      </c>
      <c r="D108" s="6" t="s">
        <v>1478</v>
      </c>
      <c r="E108" s="6" t="s">
        <v>28</v>
      </c>
      <c r="F108" s="6" t="s">
        <v>34</v>
      </c>
      <c r="G108" s="6" t="s">
        <v>1479</v>
      </c>
      <c r="H108" s="9" t="s">
        <v>1480</v>
      </c>
      <c r="I108" s="10">
        <v>1.0</v>
      </c>
      <c r="J108" s="10">
        <v>899.0</v>
      </c>
      <c r="K108" s="10">
        <v>1074.0</v>
      </c>
      <c r="L108" s="10">
        <v>10.0</v>
      </c>
      <c r="M108" s="10">
        <v>49.0</v>
      </c>
      <c r="N108" s="10">
        <v>899.0</v>
      </c>
    </row>
    <row r="109" ht="21.0" customHeight="1">
      <c r="A109" s="7">
        <v>44520.0</v>
      </c>
      <c r="B109" s="8">
        <v>44520.68996527778</v>
      </c>
      <c r="C109" s="6" t="s">
        <v>50</v>
      </c>
      <c r="D109" s="6" t="s">
        <v>1586</v>
      </c>
      <c r="E109" s="6" t="s">
        <v>28</v>
      </c>
      <c r="F109" s="6" t="s">
        <v>229</v>
      </c>
      <c r="G109" s="6" t="s">
        <v>1587</v>
      </c>
      <c r="H109" s="9" t="s">
        <v>1588</v>
      </c>
      <c r="I109" s="10">
        <v>1.0</v>
      </c>
      <c r="J109" s="10">
        <v>599.0</v>
      </c>
      <c r="K109" s="10">
        <v>605.0</v>
      </c>
      <c r="L109" s="10">
        <v>7.0</v>
      </c>
      <c r="M109" s="10">
        <v>16.0</v>
      </c>
      <c r="N109" s="10">
        <v>599.0</v>
      </c>
    </row>
    <row r="110" ht="21.0" customHeight="1">
      <c r="A110" s="7">
        <v>44520.0</v>
      </c>
      <c r="B110" s="8">
        <v>44520.786770833336</v>
      </c>
      <c r="C110" s="6" t="s">
        <v>50</v>
      </c>
      <c r="D110" s="6" t="s">
        <v>1361</v>
      </c>
      <c r="E110" s="6" t="s">
        <v>28</v>
      </c>
      <c r="F110" s="6" t="s">
        <v>34</v>
      </c>
      <c r="G110" s="6" t="s">
        <v>1362</v>
      </c>
      <c r="H110" s="9" t="s">
        <v>1363</v>
      </c>
      <c r="I110" s="10">
        <v>1.0</v>
      </c>
      <c r="J110" s="10">
        <v>5022.0</v>
      </c>
      <c r="K110" s="10">
        <v>5572.0</v>
      </c>
      <c r="L110" s="10">
        <v>64.0</v>
      </c>
      <c r="M110" s="10">
        <v>478.0</v>
      </c>
      <c r="N110" s="10">
        <v>5022.0</v>
      </c>
    </row>
    <row r="111" ht="21.0" customHeight="1">
      <c r="A111" s="7">
        <v>44520.0</v>
      </c>
      <c r="B111" s="8">
        <v>44520.91446759259</v>
      </c>
      <c r="C111" s="6" t="s">
        <v>50</v>
      </c>
      <c r="D111" s="6" t="s">
        <v>1538</v>
      </c>
      <c r="E111" s="6" t="s">
        <v>28</v>
      </c>
      <c r="F111" s="6" t="s">
        <v>229</v>
      </c>
      <c r="G111" s="6" t="s">
        <v>1539</v>
      </c>
      <c r="H111" s="9" t="s">
        <v>1540</v>
      </c>
      <c r="I111" s="10">
        <v>1.0</v>
      </c>
      <c r="J111" s="10">
        <v>1212.0</v>
      </c>
      <c r="K111" s="10">
        <v>1281.0</v>
      </c>
      <c r="L111" s="10">
        <v>26.0</v>
      </c>
      <c r="M111" s="10">
        <v>59.0</v>
      </c>
      <c r="N111" s="10">
        <v>1212.0</v>
      </c>
    </row>
    <row r="112" ht="21.0" customHeight="1">
      <c r="A112" s="7">
        <v>44521.0</v>
      </c>
      <c r="B112" s="8">
        <v>44521.35420138889</v>
      </c>
      <c r="C112" s="6" t="s">
        <v>50</v>
      </c>
      <c r="D112" s="6" t="s">
        <v>1481</v>
      </c>
      <c r="E112" s="6" t="s">
        <v>28</v>
      </c>
      <c r="F112" s="6" t="s">
        <v>34</v>
      </c>
      <c r="G112" s="6" t="s">
        <v>1482</v>
      </c>
      <c r="H112" s="9" t="s">
        <v>1483</v>
      </c>
      <c r="I112" s="10">
        <v>1.0</v>
      </c>
      <c r="J112" s="10">
        <v>1156.0</v>
      </c>
      <c r="K112" s="10">
        <v>1180.0</v>
      </c>
      <c r="L112" s="10">
        <v>6.0</v>
      </c>
      <c r="M112" s="10">
        <v>28.0</v>
      </c>
      <c r="N112" s="10">
        <v>1156.0</v>
      </c>
    </row>
    <row r="113" ht="21.0" customHeight="1">
      <c r="A113" s="7">
        <v>44521.0</v>
      </c>
      <c r="B113" s="8">
        <v>44521.621041666665</v>
      </c>
      <c r="C113" s="6" t="s">
        <v>50</v>
      </c>
      <c r="D113" s="6" t="s">
        <v>1382</v>
      </c>
      <c r="E113" s="6" t="s">
        <v>28</v>
      </c>
      <c r="F113" s="6" t="s">
        <v>34</v>
      </c>
      <c r="G113" s="6" t="s">
        <v>1383</v>
      </c>
      <c r="H113" s="9" t="s">
        <v>1384</v>
      </c>
      <c r="I113" s="10">
        <v>1.0</v>
      </c>
      <c r="J113" s="10">
        <v>5988.0</v>
      </c>
      <c r="K113" s="10">
        <v>6579.0</v>
      </c>
      <c r="L113" s="10">
        <v>65.0</v>
      </c>
      <c r="M113" s="10">
        <v>395.0</v>
      </c>
      <c r="N113" s="10">
        <v>5988.0</v>
      </c>
    </row>
    <row r="114" ht="21.0" customHeight="1">
      <c r="A114" s="7">
        <v>44521.0</v>
      </c>
      <c r="B114" s="8">
        <v>44521.65060185185</v>
      </c>
      <c r="C114" s="6" t="s">
        <v>50</v>
      </c>
      <c r="D114" s="6" t="s">
        <v>1421</v>
      </c>
      <c r="E114" s="6" t="s">
        <v>28</v>
      </c>
      <c r="F114" s="6" t="s">
        <v>229</v>
      </c>
      <c r="G114" s="6" t="s">
        <v>1422</v>
      </c>
      <c r="H114" s="9" t="s">
        <v>1423</v>
      </c>
      <c r="I114" s="10">
        <v>1.0</v>
      </c>
      <c r="J114" s="10">
        <v>1048.0</v>
      </c>
      <c r="K114" s="10">
        <v>1058.0</v>
      </c>
      <c r="L114" s="10">
        <v>17.0</v>
      </c>
      <c r="M114" s="10">
        <v>41.0</v>
      </c>
      <c r="N114" s="10">
        <v>1048.0</v>
      </c>
    </row>
    <row r="115" ht="21.0" customHeight="1">
      <c r="A115" s="7">
        <v>44521.0</v>
      </c>
      <c r="B115" s="8">
        <v>44521.92974537037</v>
      </c>
      <c r="C115" s="6" t="s">
        <v>50</v>
      </c>
      <c r="D115" s="6" t="s">
        <v>1514</v>
      </c>
      <c r="E115" s="6" t="s">
        <v>28</v>
      </c>
      <c r="F115" s="6" t="s">
        <v>229</v>
      </c>
      <c r="G115" s="6" t="s">
        <v>1515</v>
      </c>
      <c r="H115" s="9" t="s">
        <v>1516</v>
      </c>
      <c r="I115" s="10">
        <v>1.0</v>
      </c>
      <c r="J115" s="10">
        <v>1407.0</v>
      </c>
      <c r="K115" s="10">
        <v>1465.0</v>
      </c>
      <c r="L115" s="10">
        <v>32.0</v>
      </c>
      <c r="M115" s="10">
        <v>77.0</v>
      </c>
      <c r="N115" s="10">
        <v>1407.0</v>
      </c>
    </row>
    <row r="116" ht="21.0" customHeight="1">
      <c r="A116" s="7">
        <v>44522.0</v>
      </c>
      <c r="B116" s="8">
        <v>44522.48226851852</v>
      </c>
      <c r="C116" s="6" t="s">
        <v>50</v>
      </c>
      <c r="D116" s="6" t="s">
        <v>1412</v>
      </c>
      <c r="E116" s="6" t="s">
        <v>61</v>
      </c>
      <c r="F116" s="6" t="s">
        <v>62</v>
      </c>
      <c r="G116" s="6" t="s">
        <v>1413</v>
      </c>
      <c r="H116" s="9" t="s">
        <v>1414</v>
      </c>
      <c r="I116" s="10">
        <v>1.0</v>
      </c>
      <c r="J116" s="10">
        <v>426.0</v>
      </c>
      <c r="K116" s="10">
        <v>435.0</v>
      </c>
      <c r="L116" s="10">
        <v>0.0</v>
      </c>
      <c r="M116" s="10">
        <v>21.0</v>
      </c>
      <c r="N116" s="10">
        <v>426.0</v>
      </c>
    </row>
    <row r="117" ht="21.0" customHeight="1">
      <c r="A117" s="7">
        <v>44522.0</v>
      </c>
      <c r="B117" s="8">
        <v>44522.59611111111</v>
      </c>
      <c r="C117" s="6" t="s">
        <v>50</v>
      </c>
      <c r="D117" s="6" t="s">
        <v>1643</v>
      </c>
      <c r="E117" s="6" t="s">
        <v>28</v>
      </c>
      <c r="F117" s="6" t="s">
        <v>34</v>
      </c>
      <c r="G117" s="6" t="s">
        <v>1644</v>
      </c>
      <c r="H117" s="9" t="s">
        <v>1645</v>
      </c>
      <c r="I117" s="10">
        <v>1.0</v>
      </c>
      <c r="J117" s="10">
        <v>1296.0</v>
      </c>
      <c r="K117" s="10">
        <v>1309.0</v>
      </c>
      <c r="L117" s="10">
        <v>4.0</v>
      </c>
      <c r="M117" s="10">
        <v>16.0</v>
      </c>
      <c r="N117" s="10">
        <v>1296.0</v>
      </c>
    </row>
    <row r="118" ht="21.0" customHeight="1">
      <c r="A118" s="7">
        <v>44522.0</v>
      </c>
      <c r="B118" s="8">
        <v>44522.7215162037</v>
      </c>
      <c r="C118" s="6" t="s">
        <v>50</v>
      </c>
      <c r="D118" s="6" t="s">
        <v>1601</v>
      </c>
      <c r="E118" s="6" t="s">
        <v>28</v>
      </c>
      <c r="F118" s="6" t="s">
        <v>34</v>
      </c>
      <c r="G118" s="6" t="s">
        <v>1602</v>
      </c>
      <c r="H118" s="9" t="s">
        <v>1603</v>
      </c>
      <c r="I118" s="10">
        <v>1.0</v>
      </c>
      <c r="J118" s="10">
        <v>1870.0</v>
      </c>
      <c r="K118" s="10">
        <v>1912.0</v>
      </c>
      <c r="L118" s="10">
        <v>11.0</v>
      </c>
      <c r="M118" s="10">
        <v>62.0</v>
      </c>
      <c r="N118" s="10">
        <v>1870.0</v>
      </c>
    </row>
    <row r="119" ht="21.0" customHeight="1">
      <c r="A119" s="7">
        <v>44522.0</v>
      </c>
      <c r="B119" s="8">
        <v>44522.75001157408</v>
      </c>
      <c r="C119" s="6" t="s">
        <v>50</v>
      </c>
      <c r="D119" s="6" t="s">
        <v>1010</v>
      </c>
      <c r="E119" s="6" t="s">
        <v>28</v>
      </c>
      <c r="F119" s="6" t="s">
        <v>34</v>
      </c>
      <c r="G119" s="6" t="s">
        <v>1011</v>
      </c>
      <c r="H119" s="9" t="s">
        <v>1012</v>
      </c>
      <c r="I119" s="10">
        <v>1.0</v>
      </c>
      <c r="J119" s="10">
        <v>85.0</v>
      </c>
      <c r="K119" s="10">
        <v>88.0</v>
      </c>
      <c r="L119" s="10">
        <v>0.0</v>
      </c>
      <c r="M119" s="10">
        <v>1.0</v>
      </c>
      <c r="N119" s="10">
        <v>85.0</v>
      </c>
    </row>
    <row r="120" ht="21.0" customHeight="1">
      <c r="A120" s="7">
        <v>44522.0</v>
      </c>
      <c r="B120" s="8">
        <v>44522.842673611114</v>
      </c>
      <c r="C120" s="6" t="s">
        <v>50</v>
      </c>
      <c r="D120" s="6" t="s">
        <v>71</v>
      </c>
      <c r="E120" s="6" t="s">
        <v>72</v>
      </c>
      <c r="F120" s="6" t="s">
        <v>44</v>
      </c>
      <c r="G120" s="6" t="s">
        <v>73</v>
      </c>
      <c r="H120" s="9" t="s">
        <v>74</v>
      </c>
      <c r="I120" s="10">
        <v>1.0</v>
      </c>
      <c r="J120" s="10">
        <v>224.0</v>
      </c>
      <c r="K120" s="10">
        <v>227.0</v>
      </c>
      <c r="L120" s="10">
        <v>1.0</v>
      </c>
      <c r="M120" s="10">
        <v>3.0</v>
      </c>
      <c r="N120" s="10">
        <v>224.0</v>
      </c>
    </row>
    <row r="121" ht="21.0" customHeight="1">
      <c r="A121" s="7">
        <v>44523.0</v>
      </c>
      <c r="B121" s="8">
        <v>44523.55877314815</v>
      </c>
      <c r="C121" s="6" t="s">
        <v>50</v>
      </c>
      <c r="D121" s="6" t="s">
        <v>1589</v>
      </c>
      <c r="E121" s="6" t="s">
        <v>28</v>
      </c>
      <c r="F121" s="6" t="s">
        <v>34</v>
      </c>
      <c r="G121" s="6" t="s">
        <v>1590</v>
      </c>
      <c r="H121" s="9" t="s">
        <v>1591</v>
      </c>
      <c r="I121" s="10">
        <v>1.0</v>
      </c>
      <c r="J121" s="10">
        <v>1269.0</v>
      </c>
      <c r="K121" s="10">
        <v>1305.0</v>
      </c>
      <c r="L121" s="10">
        <v>24.0</v>
      </c>
      <c r="M121" s="10">
        <v>92.0</v>
      </c>
      <c r="N121" s="10">
        <v>1269.0</v>
      </c>
    </row>
    <row r="122" ht="21.0" customHeight="1">
      <c r="A122" s="7">
        <v>44523.0</v>
      </c>
      <c r="B122" s="8">
        <v>44523.626296296294</v>
      </c>
      <c r="C122" s="6" t="s">
        <v>50</v>
      </c>
      <c r="D122" s="6" t="s">
        <v>1439</v>
      </c>
      <c r="E122" s="6" t="s">
        <v>28</v>
      </c>
      <c r="F122" s="6" t="s">
        <v>34</v>
      </c>
      <c r="G122" s="6" t="s">
        <v>1440</v>
      </c>
      <c r="H122" s="9" t="s">
        <v>1441</v>
      </c>
      <c r="I122" s="10">
        <v>1.0</v>
      </c>
      <c r="J122" s="10">
        <v>987.0</v>
      </c>
      <c r="K122" s="10">
        <v>1012.0</v>
      </c>
      <c r="L122" s="10">
        <v>4.0</v>
      </c>
      <c r="M122" s="10">
        <v>25.0</v>
      </c>
      <c r="N122" s="10">
        <v>987.0</v>
      </c>
    </row>
    <row r="123" ht="21.0" customHeight="1">
      <c r="A123" s="7">
        <v>44523.0</v>
      </c>
      <c r="B123" s="8">
        <v>44523.67590277778</v>
      </c>
      <c r="C123" s="6" t="s">
        <v>50</v>
      </c>
      <c r="D123" s="6" t="s">
        <v>1132</v>
      </c>
      <c r="E123" s="6" t="s">
        <v>61</v>
      </c>
      <c r="F123" s="6" t="s">
        <v>62</v>
      </c>
      <c r="G123" s="6" t="s">
        <v>1133</v>
      </c>
      <c r="H123" s="9" t="s">
        <v>1134</v>
      </c>
      <c r="I123" s="10">
        <v>1.0</v>
      </c>
      <c r="J123" s="10">
        <v>229.0</v>
      </c>
      <c r="K123" s="10">
        <v>231.0</v>
      </c>
      <c r="L123" s="10">
        <v>0.0</v>
      </c>
      <c r="M123" s="10">
        <v>9.0</v>
      </c>
      <c r="N123" s="10">
        <v>229.0</v>
      </c>
    </row>
    <row r="124" ht="21.0" customHeight="1">
      <c r="A124" s="7">
        <v>44523.0</v>
      </c>
      <c r="B124" s="8">
        <v>44523.89388888889</v>
      </c>
      <c r="C124" s="6" t="s">
        <v>50</v>
      </c>
      <c r="D124" s="6" t="s">
        <v>1622</v>
      </c>
      <c r="E124" s="6" t="s">
        <v>28</v>
      </c>
      <c r="F124" s="6" t="s">
        <v>34</v>
      </c>
      <c r="G124" s="6" t="s">
        <v>1623</v>
      </c>
      <c r="H124" s="9" t="s">
        <v>1624</v>
      </c>
      <c r="I124" s="10">
        <v>1.0</v>
      </c>
      <c r="J124" s="10">
        <v>1252.0</v>
      </c>
      <c r="K124" s="10">
        <v>1264.0</v>
      </c>
      <c r="L124" s="10">
        <v>16.0</v>
      </c>
      <c r="M124" s="10">
        <v>41.0</v>
      </c>
      <c r="N124" s="10">
        <v>1252.0</v>
      </c>
    </row>
    <row r="125" ht="21.0" customHeight="1">
      <c r="A125" s="7">
        <v>44524.0</v>
      </c>
      <c r="B125" s="8">
        <v>44524.541666666664</v>
      </c>
      <c r="C125" s="6" t="s">
        <v>50</v>
      </c>
      <c r="D125" s="6" t="s">
        <v>897</v>
      </c>
      <c r="E125" s="6" t="s">
        <v>28</v>
      </c>
      <c r="F125" s="6" t="s">
        <v>34</v>
      </c>
      <c r="G125" s="6" t="s">
        <v>898</v>
      </c>
      <c r="H125" s="9" t="s">
        <v>899</v>
      </c>
      <c r="I125" s="10">
        <v>1.0</v>
      </c>
      <c r="J125" s="10">
        <v>378.0</v>
      </c>
      <c r="K125" s="10">
        <v>381.0</v>
      </c>
      <c r="L125" s="10">
        <v>8.0</v>
      </c>
      <c r="M125" s="10">
        <v>22.0</v>
      </c>
      <c r="N125" s="10">
        <v>378.0</v>
      </c>
    </row>
    <row r="126" ht="21.0" customHeight="1">
      <c r="A126" s="7">
        <v>44524.0</v>
      </c>
      <c r="B126" s="8">
        <v>44524.54859953704</v>
      </c>
      <c r="C126" s="6" t="s">
        <v>50</v>
      </c>
      <c r="D126" s="6" t="s">
        <v>1607</v>
      </c>
      <c r="E126" s="6" t="s">
        <v>28</v>
      </c>
      <c r="F126" s="6" t="s">
        <v>34</v>
      </c>
      <c r="G126" s="6" t="s">
        <v>1608</v>
      </c>
      <c r="H126" s="9" t="s">
        <v>1609</v>
      </c>
      <c r="I126" s="10">
        <v>1.0</v>
      </c>
      <c r="J126" s="10">
        <v>607.0</v>
      </c>
      <c r="K126" s="10">
        <v>633.0</v>
      </c>
      <c r="L126" s="10">
        <v>8.0</v>
      </c>
      <c r="M126" s="10">
        <v>25.0</v>
      </c>
      <c r="N126" s="10">
        <v>607.0</v>
      </c>
    </row>
    <row r="127" ht="21.0" customHeight="1">
      <c r="A127" s="7">
        <v>44524.0</v>
      </c>
      <c r="B127" s="8">
        <v>44524.632314814815</v>
      </c>
      <c r="C127" s="6" t="s">
        <v>50</v>
      </c>
      <c r="D127" s="6" t="s">
        <v>888</v>
      </c>
      <c r="E127" s="6" t="s">
        <v>28</v>
      </c>
      <c r="F127" s="6" t="s">
        <v>34</v>
      </c>
      <c r="G127" s="6" t="s">
        <v>889</v>
      </c>
      <c r="H127" s="9" t="s">
        <v>890</v>
      </c>
      <c r="I127" s="10">
        <v>1.0</v>
      </c>
      <c r="J127" s="10">
        <v>197.0</v>
      </c>
      <c r="K127" s="10">
        <v>199.0</v>
      </c>
      <c r="L127" s="10">
        <v>0.0</v>
      </c>
      <c r="M127" s="10">
        <v>14.0</v>
      </c>
      <c r="N127" s="10">
        <v>197.0</v>
      </c>
    </row>
    <row r="128" ht="21.0" customHeight="1">
      <c r="A128" s="7">
        <v>44524.0</v>
      </c>
      <c r="B128" s="8">
        <v>44524.94188657407</v>
      </c>
      <c r="C128" s="6" t="s">
        <v>50</v>
      </c>
      <c r="D128" s="6" t="s">
        <v>1640</v>
      </c>
      <c r="E128" s="6" t="s">
        <v>28</v>
      </c>
      <c r="F128" s="6" t="s">
        <v>34</v>
      </c>
      <c r="G128" s="6" t="s">
        <v>1641</v>
      </c>
      <c r="H128" s="9" t="s">
        <v>1642</v>
      </c>
      <c r="I128" s="10">
        <v>1.0</v>
      </c>
      <c r="J128" s="10">
        <v>1181.0</v>
      </c>
      <c r="K128" s="10">
        <v>1199.0</v>
      </c>
      <c r="L128" s="10">
        <v>22.0</v>
      </c>
      <c r="M128" s="10">
        <v>26.0</v>
      </c>
      <c r="N128" s="10">
        <v>1181.0</v>
      </c>
    </row>
    <row r="129" ht="21.0" customHeight="1">
      <c r="A129" s="7">
        <v>44524.0</v>
      </c>
      <c r="B129" s="8">
        <v>44524.96047453704</v>
      </c>
      <c r="C129" s="6" t="s">
        <v>50</v>
      </c>
      <c r="D129" s="6" t="s">
        <v>1613</v>
      </c>
      <c r="E129" s="6" t="s">
        <v>28</v>
      </c>
      <c r="F129" s="6" t="s">
        <v>34</v>
      </c>
      <c r="G129" s="6" t="s">
        <v>1614</v>
      </c>
      <c r="H129" s="9" t="s">
        <v>1615</v>
      </c>
      <c r="I129" s="10">
        <v>1.0</v>
      </c>
      <c r="J129" s="10">
        <v>1988.0</v>
      </c>
      <c r="K129" s="10">
        <v>2059.0</v>
      </c>
      <c r="L129" s="10">
        <v>24.0</v>
      </c>
      <c r="M129" s="10">
        <v>30.0</v>
      </c>
      <c r="N129" s="10">
        <v>1988.0</v>
      </c>
    </row>
    <row r="130" ht="21.0" customHeight="1">
      <c r="A130" s="7">
        <v>44525.0</v>
      </c>
      <c r="B130" s="8">
        <v>44525.55311342593</v>
      </c>
      <c r="C130" s="6" t="s">
        <v>50</v>
      </c>
      <c r="D130" s="6" t="s">
        <v>1610</v>
      </c>
      <c r="E130" s="6" t="s">
        <v>28</v>
      </c>
      <c r="F130" s="6" t="s">
        <v>34</v>
      </c>
      <c r="G130" s="6" t="s">
        <v>1611</v>
      </c>
      <c r="H130" s="9" t="s">
        <v>1612</v>
      </c>
      <c r="I130" s="10">
        <v>1.0</v>
      </c>
      <c r="J130" s="10">
        <v>767.0</v>
      </c>
      <c r="K130" s="10">
        <v>788.0</v>
      </c>
      <c r="L130" s="10">
        <v>12.0</v>
      </c>
      <c r="M130" s="10">
        <v>24.0</v>
      </c>
      <c r="N130" s="10">
        <v>767.0</v>
      </c>
    </row>
    <row r="131" ht="21.0" customHeight="1">
      <c r="A131" s="7">
        <v>44525.0</v>
      </c>
      <c r="B131" s="8">
        <v>44525.58337962963</v>
      </c>
      <c r="C131" s="6" t="s">
        <v>50</v>
      </c>
      <c r="D131" s="6" t="s">
        <v>310</v>
      </c>
      <c r="E131" s="6" t="s">
        <v>28</v>
      </c>
      <c r="F131" s="6" t="s">
        <v>34</v>
      </c>
      <c r="G131" s="6" t="s">
        <v>311</v>
      </c>
      <c r="H131" s="9" t="s">
        <v>312</v>
      </c>
      <c r="I131" s="10">
        <v>1.0</v>
      </c>
      <c r="J131" s="10">
        <v>390.0</v>
      </c>
      <c r="K131" s="10">
        <v>393.0</v>
      </c>
      <c r="L131" s="10">
        <v>1.0</v>
      </c>
      <c r="M131" s="10">
        <v>10.0</v>
      </c>
      <c r="N131" s="10">
        <v>390.0</v>
      </c>
    </row>
    <row r="132" ht="21.0" customHeight="1">
      <c r="A132" s="7">
        <v>44525.0</v>
      </c>
      <c r="B132" s="8">
        <v>44525.625023148146</v>
      </c>
      <c r="C132" s="6" t="s">
        <v>50</v>
      </c>
      <c r="D132" s="6" t="s">
        <v>1631</v>
      </c>
      <c r="E132" s="6" t="s">
        <v>61</v>
      </c>
      <c r="F132" s="6" t="s">
        <v>62</v>
      </c>
      <c r="G132" s="6" t="s">
        <v>1632</v>
      </c>
      <c r="H132" s="9" t="s">
        <v>1633</v>
      </c>
      <c r="I132" s="10">
        <v>1.0</v>
      </c>
      <c r="J132" s="10">
        <v>224.0</v>
      </c>
      <c r="K132" s="10">
        <v>228.0</v>
      </c>
      <c r="L132" s="10">
        <v>1.0</v>
      </c>
      <c r="M132" s="10">
        <v>5.0</v>
      </c>
      <c r="N132" s="10">
        <v>224.0</v>
      </c>
    </row>
    <row r="133" ht="21.0" customHeight="1">
      <c r="A133" s="7">
        <v>44525.0</v>
      </c>
      <c r="B133" s="8">
        <v>44525.898206018515</v>
      </c>
      <c r="C133" s="6" t="s">
        <v>50</v>
      </c>
      <c r="D133" s="6" t="s">
        <v>1634</v>
      </c>
      <c r="E133" s="6" t="s">
        <v>28</v>
      </c>
      <c r="F133" s="6" t="s">
        <v>34</v>
      </c>
      <c r="G133" s="6" t="s">
        <v>1635</v>
      </c>
      <c r="H133" s="9" t="s">
        <v>1636</v>
      </c>
      <c r="I133" s="10">
        <v>1.0</v>
      </c>
      <c r="J133" s="10">
        <v>5051.0</v>
      </c>
      <c r="K133" s="10">
        <v>5893.0</v>
      </c>
      <c r="L133" s="10">
        <v>143.0</v>
      </c>
      <c r="M133" s="10">
        <v>1026.0</v>
      </c>
      <c r="N133" s="10">
        <v>5051.0</v>
      </c>
    </row>
    <row r="134" ht="21.0" customHeight="1">
      <c r="A134" s="7">
        <v>44525.0</v>
      </c>
      <c r="B134" s="8">
        <v>44525.908101851855</v>
      </c>
      <c r="C134" s="6" t="s">
        <v>50</v>
      </c>
      <c r="D134" s="6" t="s">
        <v>1646</v>
      </c>
      <c r="E134" s="6" t="s">
        <v>28</v>
      </c>
      <c r="F134" s="6" t="s">
        <v>34</v>
      </c>
      <c r="G134" s="6" t="s">
        <v>1647</v>
      </c>
      <c r="H134" s="9" t="s">
        <v>1648</v>
      </c>
      <c r="I134" s="10">
        <v>1.0</v>
      </c>
      <c r="J134" s="10">
        <v>1904.0</v>
      </c>
      <c r="K134" s="10">
        <v>2053.0</v>
      </c>
      <c r="L134" s="10">
        <v>40.0</v>
      </c>
      <c r="M134" s="10">
        <v>79.0</v>
      </c>
      <c r="N134" s="10">
        <v>1904.0</v>
      </c>
    </row>
    <row r="135" ht="21.0" customHeight="1">
      <c r="A135" s="7">
        <v>44526.0</v>
      </c>
      <c r="B135" s="8">
        <v>44526.45836805556</v>
      </c>
      <c r="C135" s="6" t="s">
        <v>50</v>
      </c>
      <c r="D135" s="6" t="s">
        <v>1661</v>
      </c>
      <c r="E135" s="6" t="s">
        <v>61</v>
      </c>
      <c r="F135" s="6" t="s">
        <v>62</v>
      </c>
      <c r="G135" s="6" t="s">
        <v>1662</v>
      </c>
      <c r="H135" s="9" t="s">
        <v>1663</v>
      </c>
      <c r="I135" s="10">
        <v>1.0</v>
      </c>
      <c r="J135" s="10">
        <v>438.0</v>
      </c>
      <c r="K135" s="10">
        <v>451.0</v>
      </c>
      <c r="L135" s="10">
        <v>3.0</v>
      </c>
      <c r="M135" s="10">
        <v>16.0</v>
      </c>
      <c r="N135" s="10">
        <v>438.0</v>
      </c>
    </row>
    <row r="136" ht="21.0" customHeight="1">
      <c r="A136" s="7">
        <v>44526.0</v>
      </c>
      <c r="B136" s="8">
        <v>44526.57513888889</v>
      </c>
      <c r="C136" s="6" t="s">
        <v>50</v>
      </c>
      <c r="D136" s="6" t="s">
        <v>1598</v>
      </c>
      <c r="E136" s="6" t="s">
        <v>28</v>
      </c>
      <c r="F136" s="6" t="s">
        <v>34</v>
      </c>
      <c r="G136" s="6" t="s">
        <v>1599</v>
      </c>
      <c r="H136" s="9" t="s">
        <v>1600</v>
      </c>
      <c r="I136" s="10">
        <v>1.0</v>
      </c>
      <c r="J136" s="10">
        <v>918.0</v>
      </c>
      <c r="K136" s="10">
        <v>938.0</v>
      </c>
      <c r="L136" s="10">
        <v>42.0</v>
      </c>
      <c r="M136" s="10">
        <v>14.0</v>
      </c>
      <c r="N136" s="10">
        <v>918.0</v>
      </c>
    </row>
    <row r="137" ht="21.0" customHeight="1">
      <c r="A137" s="7">
        <v>44526.0</v>
      </c>
      <c r="B137" s="8">
        <v>44526.625023148146</v>
      </c>
      <c r="C137" s="6" t="s">
        <v>50</v>
      </c>
      <c r="D137" s="6" t="s">
        <v>696</v>
      </c>
      <c r="E137" s="6" t="s">
        <v>28</v>
      </c>
      <c r="F137" s="6" t="s">
        <v>229</v>
      </c>
      <c r="G137" s="6" t="s">
        <v>697</v>
      </c>
      <c r="H137" s="9" t="s">
        <v>698</v>
      </c>
      <c r="I137" s="10">
        <v>1.0</v>
      </c>
      <c r="J137" s="10">
        <v>95.0</v>
      </c>
      <c r="K137" s="10">
        <v>97.0</v>
      </c>
      <c r="L137" s="10">
        <v>0.0</v>
      </c>
      <c r="M137" s="10">
        <v>1.0</v>
      </c>
      <c r="N137" s="10">
        <v>95.0</v>
      </c>
    </row>
    <row r="138" ht="21.0" customHeight="1">
      <c r="A138" s="7">
        <v>44526.0</v>
      </c>
      <c r="B138" s="8">
        <v>44526.691041666665</v>
      </c>
      <c r="C138" s="6" t="s">
        <v>50</v>
      </c>
      <c r="D138" s="6" t="s">
        <v>1076</v>
      </c>
      <c r="E138" s="6" t="s">
        <v>61</v>
      </c>
      <c r="F138" s="6" t="s">
        <v>62</v>
      </c>
      <c r="G138" s="6" t="s">
        <v>1077</v>
      </c>
      <c r="H138" s="9" t="s">
        <v>1078</v>
      </c>
      <c r="I138" s="10">
        <v>1.0</v>
      </c>
      <c r="J138" s="10">
        <v>840.0</v>
      </c>
      <c r="K138" s="10">
        <v>872.0</v>
      </c>
      <c r="L138" s="10">
        <v>6.0</v>
      </c>
      <c r="M138" s="10">
        <v>33.0</v>
      </c>
      <c r="N138" s="10">
        <v>840.0</v>
      </c>
    </row>
    <row r="139" ht="21.0" customHeight="1">
      <c r="A139" s="7">
        <v>44526.0</v>
      </c>
      <c r="B139" s="8">
        <v>44526.83335648148</v>
      </c>
      <c r="C139" s="6" t="s">
        <v>50</v>
      </c>
      <c r="D139" s="6" t="s">
        <v>1511</v>
      </c>
      <c r="E139" s="6" t="s">
        <v>28</v>
      </c>
      <c r="F139" s="6" t="s">
        <v>34</v>
      </c>
      <c r="G139" s="6" t="s">
        <v>1512</v>
      </c>
      <c r="H139" s="9" t="s">
        <v>1513</v>
      </c>
      <c r="I139" s="10">
        <v>1.0</v>
      </c>
      <c r="J139" s="10">
        <v>1816.0</v>
      </c>
      <c r="K139" s="10">
        <v>1917.0</v>
      </c>
      <c r="L139" s="10">
        <v>12.0</v>
      </c>
      <c r="M139" s="10">
        <v>31.0</v>
      </c>
      <c r="N139" s="10">
        <v>1816.0</v>
      </c>
    </row>
    <row r="140" ht="21.0" customHeight="1">
      <c r="A140" s="7">
        <v>44527.0</v>
      </c>
      <c r="B140" s="8">
        <v>44527.41667824074</v>
      </c>
      <c r="C140" s="6" t="s">
        <v>50</v>
      </c>
      <c r="D140" s="6" t="s">
        <v>1079</v>
      </c>
      <c r="E140" s="6" t="s">
        <v>33</v>
      </c>
      <c r="F140" s="6" t="s">
        <v>89</v>
      </c>
      <c r="G140" s="6" t="s">
        <v>1080</v>
      </c>
      <c r="H140" s="9" t="s">
        <v>1081</v>
      </c>
      <c r="I140" s="10">
        <v>1.0</v>
      </c>
      <c r="J140" s="10">
        <v>481.0</v>
      </c>
      <c r="K140" s="10">
        <v>494.0</v>
      </c>
      <c r="L140" s="10">
        <v>0.0</v>
      </c>
      <c r="M140" s="10">
        <v>13.0</v>
      </c>
      <c r="N140" s="10">
        <v>481.0</v>
      </c>
    </row>
    <row r="141" ht="21.0" customHeight="1">
      <c r="A141" s="7">
        <v>44527.0</v>
      </c>
      <c r="B141" s="8">
        <v>44527.49930555555</v>
      </c>
      <c r="C141" s="6" t="s">
        <v>50</v>
      </c>
      <c r="D141" s="6" t="s">
        <v>1493</v>
      </c>
      <c r="E141" s="6" t="s">
        <v>28</v>
      </c>
      <c r="F141" s="6" t="s">
        <v>34</v>
      </c>
      <c r="G141" s="6" t="s">
        <v>1494</v>
      </c>
      <c r="H141" s="9" t="s">
        <v>1495</v>
      </c>
      <c r="I141" s="10">
        <v>1.0</v>
      </c>
      <c r="J141" s="10">
        <v>2017.0</v>
      </c>
      <c r="K141" s="10">
        <v>2067.0</v>
      </c>
      <c r="L141" s="10">
        <v>28.0</v>
      </c>
      <c r="M141" s="10">
        <v>95.0</v>
      </c>
      <c r="N141" s="10">
        <v>2017.0</v>
      </c>
    </row>
    <row r="142" ht="21.0" customHeight="1">
      <c r="A142" s="7">
        <v>44527.0</v>
      </c>
      <c r="B142" s="8">
        <v>44527.54174768519</v>
      </c>
      <c r="C142" s="6" t="s">
        <v>50</v>
      </c>
      <c r="D142" s="6" t="s">
        <v>1415</v>
      </c>
      <c r="E142" s="6" t="s">
        <v>61</v>
      </c>
      <c r="F142" s="6" t="s">
        <v>62</v>
      </c>
      <c r="G142" s="6" t="s">
        <v>1416</v>
      </c>
      <c r="H142" s="9" t="s">
        <v>1417</v>
      </c>
      <c r="I142" s="10">
        <v>1.0</v>
      </c>
      <c r="J142" s="10">
        <v>169.0</v>
      </c>
      <c r="K142" s="10">
        <v>176.0</v>
      </c>
      <c r="L142" s="10">
        <v>0.0</v>
      </c>
      <c r="M142" s="10">
        <v>16.0</v>
      </c>
      <c r="N142" s="10">
        <v>169.0</v>
      </c>
    </row>
    <row r="143" ht="21.0" customHeight="1">
      <c r="A143" s="7">
        <v>44527.0</v>
      </c>
      <c r="B143" s="8">
        <v>44527.583344907405</v>
      </c>
      <c r="C143" s="6" t="s">
        <v>50</v>
      </c>
      <c r="D143" s="6" t="s">
        <v>1165</v>
      </c>
      <c r="E143" s="6" t="s">
        <v>28</v>
      </c>
      <c r="F143" s="6" t="s">
        <v>34</v>
      </c>
      <c r="G143" s="6" t="s">
        <v>1166</v>
      </c>
      <c r="H143" s="9" t="s">
        <v>1167</v>
      </c>
      <c r="I143" s="10">
        <v>1.0</v>
      </c>
      <c r="J143" s="10">
        <v>201.0</v>
      </c>
      <c r="K143" s="10">
        <v>203.0</v>
      </c>
      <c r="L143" s="10">
        <v>5.0</v>
      </c>
      <c r="M143" s="10">
        <v>7.0</v>
      </c>
      <c r="N143" s="10">
        <v>201.0</v>
      </c>
    </row>
    <row r="144" ht="21.0" customHeight="1">
      <c r="A144" s="7">
        <v>44527.0</v>
      </c>
      <c r="B144" s="8">
        <v>44527.87295138889</v>
      </c>
      <c r="C144" s="6" t="s">
        <v>50</v>
      </c>
      <c r="D144" s="6" t="s">
        <v>1574</v>
      </c>
      <c r="E144" s="6" t="s">
        <v>28</v>
      </c>
      <c r="F144" s="6" t="s">
        <v>34</v>
      </c>
      <c r="G144" s="6" t="s">
        <v>1575</v>
      </c>
      <c r="H144" s="9" t="s">
        <v>1576</v>
      </c>
      <c r="I144" s="10">
        <v>1.0</v>
      </c>
      <c r="J144" s="10">
        <v>797.0</v>
      </c>
      <c r="K144" s="10">
        <v>803.0</v>
      </c>
      <c r="L144" s="10">
        <v>10.0</v>
      </c>
      <c r="M144" s="10">
        <v>10.0</v>
      </c>
      <c r="N144" s="10">
        <v>797.0</v>
      </c>
    </row>
    <row r="145" ht="21.0" customHeight="1">
      <c r="A145" s="7">
        <v>44527.0</v>
      </c>
      <c r="B145" s="8">
        <v>44527.88167824074</v>
      </c>
      <c r="C145" s="6" t="s">
        <v>50</v>
      </c>
      <c r="D145" s="6" t="s">
        <v>1517</v>
      </c>
      <c r="E145" s="6" t="s">
        <v>28</v>
      </c>
      <c r="F145" s="6" t="s">
        <v>34</v>
      </c>
      <c r="G145" s="6" t="s">
        <v>1518</v>
      </c>
      <c r="H145" s="9" t="s">
        <v>1519</v>
      </c>
      <c r="I145" s="10">
        <v>1.0</v>
      </c>
      <c r="J145" s="10">
        <v>169.0</v>
      </c>
      <c r="K145" s="10">
        <v>171.0</v>
      </c>
      <c r="L145" s="10">
        <v>0.0</v>
      </c>
      <c r="M145" s="10">
        <v>3.0</v>
      </c>
      <c r="N145" s="10">
        <v>169.0</v>
      </c>
    </row>
    <row r="146" ht="21.0" customHeight="1">
      <c r="A146" s="7">
        <v>44528.0</v>
      </c>
      <c r="B146" s="8">
        <v>44528.49935185185</v>
      </c>
      <c r="C146" s="6" t="s">
        <v>50</v>
      </c>
      <c r="D146" s="6" t="s">
        <v>1490</v>
      </c>
      <c r="E146" s="6" t="s">
        <v>28</v>
      </c>
      <c r="F146" s="6" t="s">
        <v>34</v>
      </c>
      <c r="G146" s="6" t="s">
        <v>1491</v>
      </c>
      <c r="H146" s="9" t="s">
        <v>1492</v>
      </c>
      <c r="I146" s="10">
        <v>1.0</v>
      </c>
      <c r="J146" s="10">
        <v>958.0</v>
      </c>
      <c r="K146" s="10">
        <v>983.0</v>
      </c>
      <c r="L146" s="10">
        <v>11.0</v>
      </c>
      <c r="M146" s="10">
        <v>21.0</v>
      </c>
      <c r="N146" s="10">
        <v>958.0</v>
      </c>
    </row>
    <row r="147" ht="21.0" customHeight="1">
      <c r="A147" s="7">
        <v>44528.0</v>
      </c>
      <c r="B147" s="8">
        <v>44528.86565972222</v>
      </c>
      <c r="C147" s="6" t="s">
        <v>50</v>
      </c>
      <c r="D147" s="6" t="s">
        <v>1595</v>
      </c>
      <c r="E147" s="6" t="s">
        <v>28</v>
      </c>
      <c r="F147" s="6" t="s">
        <v>34</v>
      </c>
      <c r="G147" s="6" t="s">
        <v>1596</v>
      </c>
      <c r="H147" s="9" t="s">
        <v>1597</v>
      </c>
      <c r="I147" s="10">
        <v>1.0</v>
      </c>
      <c r="J147" s="10">
        <v>926.0</v>
      </c>
      <c r="K147" s="10">
        <v>935.0</v>
      </c>
      <c r="L147" s="10">
        <v>34.0</v>
      </c>
      <c r="M147" s="10">
        <v>13.0</v>
      </c>
      <c r="N147" s="10">
        <v>926.0</v>
      </c>
    </row>
    <row r="148" ht="21.0" customHeight="1">
      <c r="A148" s="7">
        <v>44529.0</v>
      </c>
      <c r="B148" s="8">
        <v>44529.54167824074</v>
      </c>
      <c r="C148" s="6" t="s">
        <v>50</v>
      </c>
      <c r="D148" s="6" t="s">
        <v>1442</v>
      </c>
      <c r="E148" s="6" t="s">
        <v>28</v>
      </c>
      <c r="F148" s="6" t="s">
        <v>34</v>
      </c>
      <c r="G148" s="6" t="s">
        <v>1443</v>
      </c>
      <c r="H148" s="9" t="s">
        <v>1444</v>
      </c>
      <c r="I148" s="10">
        <v>1.0</v>
      </c>
      <c r="J148" s="10">
        <v>1088.0</v>
      </c>
      <c r="K148" s="10">
        <v>1113.0</v>
      </c>
      <c r="L148" s="10">
        <v>20.0</v>
      </c>
      <c r="M148" s="10">
        <v>34.0</v>
      </c>
      <c r="N148" s="10">
        <v>1088.0</v>
      </c>
    </row>
    <row r="149" ht="21.0" customHeight="1">
      <c r="A149" s="7">
        <v>44529.0</v>
      </c>
      <c r="B149" s="8">
        <v>44529.55570601852</v>
      </c>
      <c r="C149" s="6" t="s">
        <v>50</v>
      </c>
      <c r="D149" s="6" t="s">
        <v>1658</v>
      </c>
      <c r="E149" s="6" t="s">
        <v>61</v>
      </c>
      <c r="F149" s="6" t="s">
        <v>62</v>
      </c>
      <c r="G149" s="6" t="s">
        <v>1659</v>
      </c>
      <c r="H149" s="9" t="s">
        <v>1660</v>
      </c>
      <c r="I149" s="10">
        <v>1.0</v>
      </c>
      <c r="J149" s="10">
        <v>562.0</v>
      </c>
      <c r="K149" s="10">
        <v>572.0</v>
      </c>
      <c r="L149" s="10">
        <v>1.0</v>
      </c>
      <c r="M149" s="10">
        <v>31.0</v>
      </c>
      <c r="N149" s="10">
        <v>562.0</v>
      </c>
    </row>
    <row r="150" ht="21.0" customHeight="1">
      <c r="A150" s="7">
        <v>44529.0</v>
      </c>
      <c r="B150" s="8">
        <v>44529.62556712963</v>
      </c>
      <c r="C150" s="6" t="s">
        <v>50</v>
      </c>
      <c r="D150" s="6" t="s">
        <v>543</v>
      </c>
      <c r="E150" s="6" t="s">
        <v>61</v>
      </c>
      <c r="F150" s="6" t="s">
        <v>62</v>
      </c>
      <c r="G150" s="6" t="s">
        <v>544</v>
      </c>
      <c r="H150" s="9" t="s">
        <v>545</v>
      </c>
      <c r="I150" s="10">
        <v>1.0</v>
      </c>
      <c r="J150" s="10">
        <v>134.0</v>
      </c>
      <c r="K150" s="10">
        <v>145.0</v>
      </c>
      <c r="L150" s="10">
        <v>1.0</v>
      </c>
      <c r="M150" s="10">
        <v>25.0</v>
      </c>
      <c r="N150" s="10">
        <v>134.0</v>
      </c>
    </row>
    <row r="151" ht="21.0" customHeight="1">
      <c r="A151" s="7">
        <v>44529.0</v>
      </c>
      <c r="B151" s="8">
        <v>44529.666712962964</v>
      </c>
      <c r="C151" s="6" t="s">
        <v>50</v>
      </c>
      <c r="D151" s="6" t="s">
        <v>1394</v>
      </c>
      <c r="E151" s="6" t="s">
        <v>28</v>
      </c>
      <c r="F151" s="6" t="s">
        <v>34</v>
      </c>
      <c r="G151" s="6" t="s">
        <v>1395</v>
      </c>
      <c r="H151" s="9" t="s">
        <v>1396</v>
      </c>
      <c r="I151" s="10">
        <v>1.0</v>
      </c>
      <c r="J151" s="10">
        <v>203.0</v>
      </c>
      <c r="K151" s="10">
        <v>203.0</v>
      </c>
      <c r="L151" s="10">
        <v>0.0</v>
      </c>
      <c r="M151" s="10">
        <v>2.0</v>
      </c>
      <c r="N151" s="10">
        <v>203.0</v>
      </c>
    </row>
    <row r="152" ht="21.0" customHeight="1">
      <c r="A152" s="7">
        <v>44529.0</v>
      </c>
      <c r="B152" s="8">
        <v>44529.68659722222</v>
      </c>
      <c r="C152" s="6" t="s">
        <v>50</v>
      </c>
      <c r="D152" s="6" t="s">
        <v>1301</v>
      </c>
      <c r="E152" s="6" t="s">
        <v>61</v>
      </c>
      <c r="F152" s="6" t="s">
        <v>62</v>
      </c>
      <c r="G152" s="6" t="s">
        <v>1302</v>
      </c>
      <c r="H152" s="9" t="s">
        <v>1303</v>
      </c>
      <c r="I152" s="10">
        <v>1.0</v>
      </c>
      <c r="J152" s="10">
        <v>501.0</v>
      </c>
      <c r="K152" s="10">
        <v>686.0</v>
      </c>
      <c r="L152" s="10">
        <v>220.0</v>
      </c>
      <c r="M152" s="10">
        <v>110.0</v>
      </c>
      <c r="N152" s="10">
        <v>501.0</v>
      </c>
    </row>
    <row r="153" ht="21.0" customHeight="1">
      <c r="A153" s="7">
        <v>44529.0</v>
      </c>
      <c r="B153" s="8">
        <v>44529.6875</v>
      </c>
      <c r="C153" s="6" t="s">
        <v>50</v>
      </c>
      <c r="D153" s="6" t="s">
        <v>1424</v>
      </c>
      <c r="E153" s="6" t="s">
        <v>33</v>
      </c>
      <c r="F153" s="6" t="s">
        <v>89</v>
      </c>
      <c r="G153" s="6" t="s">
        <v>1425</v>
      </c>
      <c r="H153" s="9" t="s">
        <v>1426</v>
      </c>
      <c r="I153" s="10">
        <v>1.0</v>
      </c>
      <c r="J153" s="10">
        <v>45.0</v>
      </c>
      <c r="K153" s="10">
        <v>46.0</v>
      </c>
      <c r="L153" s="10">
        <v>0.0</v>
      </c>
      <c r="M153" s="10">
        <v>2.0</v>
      </c>
      <c r="N153" s="10">
        <v>45.0</v>
      </c>
    </row>
    <row r="154" ht="21.0" customHeight="1">
      <c r="A154" s="7">
        <v>44529.0</v>
      </c>
      <c r="B154" s="8">
        <v>44529.89931712963</v>
      </c>
      <c r="C154" s="6" t="s">
        <v>50</v>
      </c>
      <c r="D154" s="6" t="s">
        <v>1457</v>
      </c>
      <c r="E154" s="6" t="s">
        <v>28</v>
      </c>
      <c r="F154" s="6" t="s">
        <v>34</v>
      </c>
      <c r="G154" s="6" t="s">
        <v>1458</v>
      </c>
      <c r="H154" s="9" t="s">
        <v>1459</v>
      </c>
      <c r="I154" s="10">
        <v>1.0</v>
      </c>
      <c r="J154" s="10">
        <v>929.0</v>
      </c>
      <c r="K154" s="10">
        <v>937.0</v>
      </c>
      <c r="L154" s="10">
        <v>16.0</v>
      </c>
      <c r="M154" s="10">
        <v>9.0</v>
      </c>
      <c r="N154" s="10">
        <v>929.0</v>
      </c>
    </row>
    <row r="155" ht="21.0" customHeight="1">
      <c r="A155" s="7">
        <v>44530.0</v>
      </c>
      <c r="B155" s="8">
        <v>44530.37509259259</v>
      </c>
      <c r="C155" s="6" t="s">
        <v>50</v>
      </c>
      <c r="D155" s="6" t="s">
        <v>1655</v>
      </c>
      <c r="E155" s="6" t="s">
        <v>61</v>
      </c>
      <c r="F155" s="6" t="s">
        <v>62</v>
      </c>
      <c r="G155" s="6" t="s">
        <v>1656</v>
      </c>
      <c r="H155" s="9" t="s">
        <v>1657</v>
      </c>
      <c r="I155" s="10">
        <v>1.0</v>
      </c>
      <c r="J155" s="10">
        <v>186.0</v>
      </c>
      <c r="K155" s="10">
        <v>190.0</v>
      </c>
      <c r="L155" s="10">
        <v>0.0</v>
      </c>
      <c r="M155" s="10">
        <v>10.0</v>
      </c>
      <c r="N155" s="10">
        <v>186.0</v>
      </c>
    </row>
    <row r="156" ht="21.0" customHeight="1">
      <c r="A156" s="7">
        <v>44530.0</v>
      </c>
      <c r="B156" s="8">
        <v>44530.55221064815</v>
      </c>
      <c r="C156" s="6" t="s">
        <v>50</v>
      </c>
      <c r="D156" s="6" t="s">
        <v>1577</v>
      </c>
      <c r="E156" s="6" t="s">
        <v>28</v>
      </c>
      <c r="F156" s="6" t="s">
        <v>34</v>
      </c>
      <c r="G156" s="6" t="s">
        <v>1578</v>
      </c>
      <c r="H156" s="9" t="s">
        <v>1579</v>
      </c>
      <c r="I156" s="10">
        <v>1.0</v>
      </c>
      <c r="J156" s="10">
        <v>507.0</v>
      </c>
      <c r="K156" s="10">
        <v>512.0</v>
      </c>
      <c r="L156" s="10">
        <v>7.0</v>
      </c>
      <c r="M156" s="10">
        <v>17.0</v>
      </c>
      <c r="N156" s="10">
        <v>507.0</v>
      </c>
    </row>
    <row r="157" ht="21.0" customHeight="1">
      <c r="A157" s="7">
        <v>44530.0</v>
      </c>
      <c r="B157" s="8">
        <v>44530.79803240741</v>
      </c>
      <c r="C157" s="6" t="s">
        <v>50</v>
      </c>
      <c r="D157" s="6" t="s">
        <v>1580</v>
      </c>
      <c r="E157" s="6" t="s">
        <v>28</v>
      </c>
      <c r="F157" s="6" t="s">
        <v>34</v>
      </c>
      <c r="G157" s="6" t="s">
        <v>1581</v>
      </c>
      <c r="H157" s="9" t="s">
        <v>1582</v>
      </c>
      <c r="I157" s="10">
        <v>1.0</v>
      </c>
      <c r="J157" s="10">
        <v>3924.0</v>
      </c>
      <c r="K157" s="10">
        <v>4396.0</v>
      </c>
      <c r="L157" s="10">
        <v>69.0</v>
      </c>
      <c r="M157" s="10">
        <v>532.0</v>
      </c>
      <c r="N157" s="10">
        <v>3924.0</v>
      </c>
    </row>
    <row r="158" ht="21.0" customHeight="1">
      <c r="A158" s="7">
        <v>44530.0</v>
      </c>
      <c r="B158" s="8">
        <v>44530.86976851852</v>
      </c>
      <c r="C158" s="6" t="s">
        <v>50</v>
      </c>
      <c r="D158" s="6" t="s">
        <v>1637</v>
      </c>
      <c r="E158" s="6" t="s">
        <v>28</v>
      </c>
      <c r="F158" s="6" t="s">
        <v>34</v>
      </c>
      <c r="G158" s="6" t="s">
        <v>1638</v>
      </c>
      <c r="H158" s="9" t="s">
        <v>1639</v>
      </c>
      <c r="I158" s="10">
        <v>1.0</v>
      </c>
      <c r="J158" s="10">
        <v>1589.0</v>
      </c>
      <c r="K158" s="10">
        <v>1682.0</v>
      </c>
      <c r="L158" s="10">
        <v>19.0</v>
      </c>
      <c r="M158" s="10">
        <v>41.0</v>
      </c>
      <c r="N158" s="10">
        <v>1589.0</v>
      </c>
    </row>
    <row r="159" ht="21.0" customHeight="1">
      <c r="A159" s="7">
        <v>44530.0</v>
      </c>
      <c r="B159" s="8">
        <v>44530.87503472222</v>
      </c>
      <c r="C159" s="6" t="s">
        <v>50</v>
      </c>
      <c r="D159" s="6" t="s">
        <v>923</v>
      </c>
      <c r="E159" s="6" t="s">
        <v>28</v>
      </c>
      <c r="F159" s="6" t="s">
        <v>34</v>
      </c>
      <c r="G159" s="6" t="s">
        <v>924</v>
      </c>
      <c r="H159" s="9" t="s">
        <v>925</v>
      </c>
      <c r="I159" s="10">
        <v>1.0</v>
      </c>
      <c r="J159" s="10">
        <v>156.0</v>
      </c>
      <c r="K159" s="10">
        <v>161.0</v>
      </c>
      <c r="L159" s="10">
        <v>14.0</v>
      </c>
      <c r="M159" s="10">
        <v>9.0</v>
      </c>
      <c r="N159" s="10">
        <v>156.0</v>
      </c>
    </row>
    <row r="160" ht="21.0" customHeight="1">
      <c r="A160" s="7">
        <v>44531.0</v>
      </c>
      <c r="B160" s="8">
        <v>44531.37503472222</v>
      </c>
      <c r="C160" s="6" t="s">
        <v>50</v>
      </c>
      <c r="D160" s="6" t="s">
        <v>1652</v>
      </c>
      <c r="E160" s="6" t="s">
        <v>61</v>
      </c>
      <c r="F160" s="6" t="s">
        <v>62</v>
      </c>
      <c r="G160" s="6" t="s">
        <v>1653</v>
      </c>
      <c r="H160" s="9" t="s">
        <v>1654</v>
      </c>
      <c r="I160" s="10">
        <v>1.0</v>
      </c>
      <c r="J160" s="10">
        <v>133.0</v>
      </c>
      <c r="K160" s="10">
        <v>135.0</v>
      </c>
      <c r="L160" s="10">
        <v>0.0</v>
      </c>
      <c r="M160" s="10">
        <v>7.0</v>
      </c>
      <c r="N160" s="10">
        <v>133.0</v>
      </c>
    </row>
    <row r="161" ht="21.0" customHeight="1">
      <c r="A161" s="7">
        <v>44531.0</v>
      </c>
      <c r="B161" s="8">
        <v>44531.55252314815</v>
      </c>
      <c r="C161" s="6" t="s">
        <v>50</v>
      </c>
      <c r="D161" s="6" t="s">
        <v>1559</v>
      </c>
      <c r="E161" s="6" t="s">
        <v>28</v>
      </c>
      <c r="F161" s="6" t="s">
        <v>34</v>
      </c>
      <c r="G161" s="6" t="s">
        <v>1560</v>
      </c>
      <c r="H161" s="9" t="s">
        <v>1561</v>
      </c>
      <c r="I161" s="10">
        <v>1.0</v>
      </c>
      <c r="J161" s="10">
        <v>341.0</v>
      </c>
      <c r="K161" s="10">
        <v>342.0</v>
      </c>
      <c r="L161" s="10">
        <v>6.0</v>
      </c>
      <c r="M161" s="10">
        <v>3.0</v>
      </c>
      <c r="N161" s="10">
        <v>341.0</v>
      </c>
    </row>
    <row r="162" ht="21.0" customHeight="1">
      <c r="A162" s="7">
        <v>44531.0</v>
      </c>
      <c r="B162" s="8">
        <v>44531.59082175926</v>
      </c>
      <c r="C162" s="6" t="s">
        <v>50</v>
      </c>
      <c r="D162" s="6" t="s">
        <v>1067</v>
      </c>
      <c r="E162" s="6" t="s">
        <v>61</v>
      </c>
      <c r="F162" s="6" t="s">
        <v>62</v>
      </c>
      <c r="G162" s="6" t="s">
        <v>1068</v>
      </c>
      <c r="H162" s="9" t="s">
        <v>1069</v>
      </c>
      <c r="I162" s="10">
        <v>1.0</v>
      </c>
      <c r="J162" s="10">
        <v>60.0</v>
      </c>
      <c r="K162" s="10">
        <v>60.0</v>
      </c>
      <c r="L162" s="10">
        <v>0.0</v>
      </c>
      <c r="M162" s="10">
        <v>6.0</v>
      </c>
      <c r="N162" s="10">
        <v>60.0</v>
      </c>
    </row>
    <row r="163" ht="21.0" customHeight="1">
      <c r="A163" s="7">
        <v>44531.0</v>
      </c>
      <c r="B163" s="8">
        <v>44531.625023148146</v>
      </c>
      <c r="C163" s="6" t="s">
        <v>50</v>
      </c>
      <c r="D163" s="6" t="s">
        <v>1649</v>
      </c>
      <c r="E163" s="6" t="s">
        <v>61</v>
      </c>
      <c r="F163" s="6" t="s">
        <v>62</v>
      </c>
      <c r="G163" s="6" t="s">
        <v>1650</v>
      </c>
      <c r="H163" s="9" t="s">
        <v>1651</v>
      </c>
      <c r="I163" s="10">
        <v>1.0</v>
      </c>
      <c r="J163" s="10">
        <v>3457.0</v>
      </c>
      <c r="K163" s="10">
        <v>3520.0</v>
      </c>
      <c r="L163" s="10">
        <v>6.0</v>
      </c>
      <c r="M163" s="10">
        <v>84.0</v>
      </c>
      <c r="N163" s="10">
        <v>3457.0</v>
      </c>
    </row>
    <row r="164" ht="21.0" customHeight="1">
      <c r="A164" s="7">
        <v>44531.0</v>
      </c>
      <c r="B164" s="8">
        <v>44531.64244212963</v>
      </c>
      <c r="C164" s="6" t="s">
        <v>50</v>
      </c>
      <c r="D164" s="6" t="s">
        <v>636</v>
      </c>
      <c r="E164" s="6" t="s">
        <v>61</v>
      </c>
      <c r="F164" s="6" t="s">
        <v>62</v>
      </c>
      <c r="G164" s="6" t="s">
        <v>637</v>
      </c>
      <c r="H164" s="9" t="s">
        <v>638</v>
      </c>
      <c r="I164" s="10">
        <v>1.0</v>
      </c>
      <c r="J164" s="10">
        <v>991.0</v>
      </c>
      <c r="K164" s="10">
        <v>1025.0</v>
      </c>
      <c r="L164" s="10">
        <v>31.0</v>
      </c>
      <c r="M164" s="10">
        <v>108.0</v>
      </c>
      <c r="N164" s="10">
        <v>991.0</v>
      </c>
    </row>
    <row r="165" ht="21.0" customHeight="1">
      <c r="A165" s="7">
        <v>44531.0</v>
      </c>
      <c r="B165" s="8">
        <v>44531.68759259259</v>
      </c>
      <c r="C165" s="6" t="s">
        <v>50</v>
      </c>
      <c r="D165" s="6" t="s">
        <v>1604</v>
      </c>
      <c r="E165" s="6" t="s">
        <v>28</v>
      </c>
      <c r="F165" s="6" t="s">
        <v>34</v>
      </c>
      <c r="G165" s="6" t="s">
        <v>1605</v>
      </c>
      <c r="H165" s="9" t="s">
        <v>1606</v>
      </c>
      <c r="I165" s="10">
        <v>1.0</v>
      </c>
      <c r="J165" s="10">
        <v>563.0</v>
      </c>
      <c r="K165" s="10">
        <v>587.0</v>
      </c>
      <c r="L165" s="10">
        <v>2.0</v>
      </c>
      <c r="M165" s="10">
        <v>10.0</v>
      </c>
      <c r="N165" s="10">
        <v>563.0</v>
      </c>
    </row>
    <row r="166" ht="21.0" customHeight="1">
      <c r="A166" s="7">
        <v>44531.0</v>
      </c>
      <c r="B166" s="8">
        <v>44531.92496527778</v>
      </c>
      <c r="C166" s="6" t="s">
        <v>50</v>
      </c>
      <c r="D166" s="6" t="s">
        <v>1628</v>
      </c>
      <c r="E166" s="6" t="s">
        <v>28</v>
      </c>
      <c r="F166" s="6" t="s">
        <v>34</v>
      </c>
      <c r="G166" s="6" t="s">
        <v>1629</v>
      </c>
      <c r="H166" s="9" t="s">
        <v>1630</v>
      </c>
      <c r="I166" s="10">
        <v>1.0</v>
      </c>
      <c r="J166" s="10">
        <v>687.0</v>
      </c>
      <c r="K166" s="10">
        <v>696.0</v>
      </c>
      <c r="L166" s="10">
        <v>15.0</v>
      </c>
      <c r="M166" s="10">
        <v>10.0</v>
      </c>
      <c r="N166" s="10">
        <v>687.0</v>
      </c>
    </row>
    <row r="167" ht="21.0" customHeight="1">
      <c r="A167" s="7">
        <v>44532.0</v>
      </c>
      <c r="B167" s="8">
        <v>44532.54226851852</v>
      </c>
      <c r="C167" s="6" t="s">
        <v>50</v>
      </c>
      <c r="D167" s="6" t="s">
        <v>1082</v>
      </c>
      <c r="E167" s="6" t="s">
        <v>72</v>
      </c>
      <c r="F167" s="6" t="s">
        <v>44</v>
      </c>
      <c r="G167" s="6" t="s">
        <v>1083</v>
      </c>
      <c r="H167" s="9" t="s">
        <v>1084</v>
      </c>
      <c r="I167" s="10">
        <v>1.0</v>
      </c>
      <c r="J167" s="10">
        <v>179.0</v>
      </c>
      <c r="K167" s="10">
        <v>182.0</v>
      </c>
      <c r="L167" s="10">
        <v>2.0</v>
      </c>
      <c r="M167" s="10">
        <v>2.0</v>
      </c>
      <c r="N167" s="10">
        <v>179.0</v>
      </c>
    </row>
    <row r="168" ht="21.0" customHeight="1">
      <c r="A168" s="7">
        <v>44532.0</v>
      </c>
      <c r="B168" s="8">
        <v>44532.58899305556</v>
      </c>
      <c r="C168" s="6" t="s">
        <v>50</v>
      </c>
      <c r="D168" s="6" t="s">
        <v>1616</v>
      </c>
      <c r="E168" s="6" t="s">
        <v>28</v>
      </c>
      <c r="F168" s="6" t="s">
        <v>34</v>
      </c>
      <c r="G168" s="6" t="s">
        <v>1617</v>
      </c>
      <c r="H168" s="9" t="s">
        <v>1618</v>
      </c>
      <c r="I168" s="10">
        <v>1.0</v>
      </c>
      <c r="J168" s="10">
        <v>462.0</v>
      </c>
      <c r="K168" s="10">
        <v>468.0</v>
      </c>
      <c r="L168" s="10">
        <v>4.0</v>
      </c>
      <c r="M168" s="10">
        <v>9.0</v>
      </c>
      <c r="N168" s="10">
        <v>462.0</v>
      </c>
    </row>
    <row r="169" ht="21.0" customHeight="1">
      <c r="A169" s="7">
        <v>44532.0</v>
      </c>
      <c r="B169" s="8">
        <v>44532.62547453704</v>
      </c>
      <c r="C169" s="6" t="s">
        <v>50</v>
      </c>
      <c r="D169" s="6" t="s">
        <v>396</v>
      </c>
      <c r="E169" s="6" t="s">
        <v>28</v>
      </c>
      <c r="F169" s="6" t="s">
        <v>229</v>
      </c>
      <c r="G169" s="6" t="s">
        <v>397</v>
      </c>
      <c r="H169" s="9" t="s">
        <v>398</v>
      </c>
      <c r="I169" s="10">
        <v>1.0</v>
      </c>
      <c r="J169" s="10">
        <v>257.0</v>
      </c>
      <c r="K169" s="10">
        <v>262.0</v>
      </c>
      <c r="L169" s="10">
        <v>13.0</v>
      </c>
      <c r="M169" s="10">
        <v>20.0</v>
      </c>
      <c r="N169" s="10">
        <v>257.0</v>
      </c>
    </row>
    <row r="170" ht="21.0" customHeight="1">
      <c r="A170" s="7">
        <v>44532.0</v>
      </c>
      <c r="B170" s="8">
        <v>44532.868101851855</v>
      </c>
      <c r="C170" s="6" t="s">
        <v>50</v>
      </c>
      <c r="D170" s="6" t="s">
        <v>1556</v>
      </c>
      <c r="E170" s="6" t="s">
        <v>28</v>
      </c>
      <c r="F170" s="6" t="s">
        <v>34</v>
      </c>
      <c r="G170" s="6" t="s">
        <v>1557</v>
      </c>
      <c r="H170" s="9" t="s">
        <v>1558</v>
      </c>
      <c r="I170" s="10">
        <v>1.0</v>
      </c>
      <c r="J170" s="10">
        <v>899.0</v>
      </c>
      <c r="K170" s="10">
        <v>905.0</v>
      </c>
      <c r="L170" s="10">
        <v>34.0</v>
      </c>
      <c r="M170" s="10">
        <v>28.0</v>
      </c>
      <c r="N170" s="10">
        <v>899.0</v>
      </c>
    </row>
    <row r="171" ht="21.0" customHeight="1">
      <c r="A171" s="7">
        <v>44533.0</v>
      </c>
      <c r="B171" s="8">
        <v>44533.458333333336</v>
      </c>
      <c r="C171" s="6" t="s">
        <v>50</v>
      </c>
      <c r="D171" s="6" t="s">
        <v>1664</v>
      </c>
      <c r="E171" s="6" t="s">
        <v>61</v>
      </c>
      <c r="F171" s="6" t="s">
        <v>62</v>
      </c>
      <c r="G171" s="6" t="s">
        <v>1665</v>
      </c>
      <c r="H171" s="9" t="s">
        <v>1666</v>
      </c>
      <c r="I171" s="10">
        <v>1.0</v>
      </c>
      <c r="J171" s="10">
        <v>128.0</v>
      </c>
      <c r="K171" s="10">
        <v>129.0</v>
      </c>
      <c r="L171" s="10">
        <v>2.0</v>
      </c>
      <c r="M171" s="10">
        <v>3.0</v>
      </c>
      <c r="N171" s="10">
        <v>128.0</v>
      </c>
    </row>
    <row r="172" ht="21.0" customHeight="1">
      <c r="A172" s="7">
        <v>44533.0</v>
      </c>
      <c r="B172" s="8">
        <v>44533.62510416667</v>
      </c>
      <c r="C172" s="6" t="s">
        <v>50</v>
      </c>
      <c r="D172" s="6" t="s">
        <v>1088</v>
      </c>
      <c r="E172" s="6" t="s">
        <v>61</v>
      </c>
      <c r="F172" s="6" t="s">
        <v>62</v>
      </c>
      <c r="G172" s="6" t="s">
        <v>1089</v>
      </c>
      <c r="H172" s="9" t="s">
        <v>1090</v>
      </c>
      <c r="I172" s="10">
        <v>1.0</v>
      </c>
      <c r="J172" s="10">
        <v>195.0</v>
      </c>
      <c r="K172" s="10">
        <v>199.0</v>
      </c>
      <c r="L172" s="10">
        <v>0.0</v>
      </c>
      <c r="M172" s="10">
        <v>16.0</v>
      </c>
      <c r="N172" s="10">
        <v>195.0</v>
      </c>
    </row>
    <row r="173" ht="21.0" customHeight="1">
      <c r="A173" s="7">
        <v>44533.0</v>
      </c>
      <c r="B173" s="8">
        <v>44533.667037037034</v>
      </c>
      <c r="C173" s="6" t="s">
        <v>50</v>
      </c>
      <c r="D173" s="6" t="s">
        <v>774</v>
      </c>
      <c r="E173" s="6" t="s">
        <v>33</v>
      </c>
      <c r="F173" s="6" t="s">
        <v>89</v>
      </c>
      <c r="G173" s="6" t="s">
        <v>775</v>
      </c>
      <c r="H173" s="9" t="s">
        <v>776</v>
      </c>
      <c r="I173" s="10">
        <v>1.0</v>
      </c>
      <c r="J173" s="10">
        <v>126.0</v>
      </c>
      <c r="K173" s="10">
        <v>129.0</v>
      </c>
      <c r="L173" s="10">
        <v>1.0</v>
      </c>
      <c r="M173" s="10">
        <v>6.0</v>
      </c>
      <c r="N173" s="10">
        <v>126.0</v>
      </c>
    </row>
    <row r="174" ht="21.0" customHeight="1">
      <c r="A174" s="7">
        <v>44533.0</v>
      </c>
      <c r="B174" s="8">
        <v>44533.77092592593</v>
      </c>
      <c r="C174" s="6" t="s">
        <v>50</v>
      </c>
      <c r="D174" s="6" t="s">
        <v>1484</v>
      </c>
      <c r="E174" s="6" t="s">
        <v>61</v>
      </c>
      <c r="F174" s="6" t="s">
        <v>62</v>
      </c>
      <c r="G174" s="6" t="s">
        <v>1485</v>
      </c>
      <c r="H174" s="9" t="s">
        <v>1486</v>
      </c>
      <c r="I174" s="10">
        <v>1.0</v>
      </c>
      <c r="J174" s="10">
        <v>112.0</v>
      </c>
      <c r="K174" s="10">
        <v>115.0</v>
      </c>
      <c r="L174" s="10">
        <v>0.0</v>
      </c>
      <c r="M174" s="10">
        <v>6.0</v>
      </c>
      <c r="N174" s="10">
        <v>112.0</v>
      </c>
    </row>
    <row r="175" ht="21.0" customHeight="1">
      <c r="A175" s="7">
        <v>44534.0</v>
      </c>
      <c r="B175" s="8">
        <v>44534.45836805556</v>
      </c>
      <c r="C175" s="6" t="s">
        <v>50</v>
      </c>
      <c r="D175" s="6" t="s">
        <v>1085</v>
      </c>
      <c r="E175" s="6" t="s">
        <v>61</v>
      </c>
      <c r="F175" s="6" t="s">
        <v>62</v>
      </c>
      <c r="G175" s="6" t="s">
        <v>1086</v>
      </c>
      <c r="H175" s="9" t="s">
        <v>1087</v>
      </c>
      <c r="I175" s="10">
        <v>1.0</v>
      </c>
      <c r="J175" s="10">
        <v>366.0</v>
      </c>
      <c r="K175" s="10">
        <v>381.0</v>
      </c>
      <c r="L175" s="10">
        <v>3.0</v>
      </c>
      <c r="M175" s="10">
        <v>9.0</v>
      </c>
      <c r="N175" s="10">
        <v>366.0</v>
      </c>
    </row>
    <row r="176" ht="21.0" customHeight="1">
      <c r="A176" s="7">
        <v>44534.0</v>
      </c>
      <c r="B176" s="8">
        <v>44534.54167824074</v>
      </c>
      <c r="C176" s="6" t="s">
        <v>50</v>
      </c>
      <c r="D176" s="6" t="s">
        <v>1529</v>
      </c>
      <c r="E176" s="6" t="s">
        <v>28</v>
      </c>
      <c r="F176" s="6" t="s">
        <v>34</v>
      </c>
      <c r="G176" s="6" t="s">
        <v>1530</v>
      </c>
      <c r="H176" s="9" t="s">
        <v>1531</v>
      </c>
      <c r="I176" s="10">
        <v>1.0</v>
      </c>
      <c r="J176" s="10">
        <v>1323.0</v>
      </c>
      <c r="K176" s="10">
        <v>1355.0</v>
      </c>
      <c r="L176" s="10">
        <v>17.0</v>
      </c>
      <c r="M176" s="10">
        <v>57.0</v>
      </c>
      <c r="N176" s="10">
        <v>1323.0</v>
      </c>
    </row>
    <row r="177" ht="21.0" customHeight="1">
      <c r="A177" s="7">
        <v>44534.0</v>
      </c>
      <c r="B177" s="8">
        <v>44534.58688657408</v>
      </c>
      <c r="C177" s="6" t="s">
        <v>50</v>
      </c>
      <c r="D177" s="6" t="s">
        <v>149</v>
      </c>
      <c r="E177" s="6" t="s">
        <v>72</v>
      </c>
      <c r="F177" s="6" t="s">
        <v>44</v>
      </c>
      <c r="G177" s="6" t="s">
        <v>150</v>
      </c>
      <c r="H177" s="9" t="s">
        <v>151</v>
      </c>
      <c r="I177" s="10">
        <v>1.0</v>
      </c>
      <c r="J177" s="10">
        <v>70.0</v>
      </c>
      <c r="K177" s="10">
        <v>70.0</v>
      </c>
      <c r="L177" s="10">
        <v>0.0</v>
      </c>
      <c r="N177" s="10">
        <v>70.0</v>
      </c>
    </row>
    <row r="178" ht="21.0" customHeight="1">
      <c r="A178" s="7">
        <v>44534.0</v>
      </c>
      <c r="B178" s="8">
        <v>44534.87259259259</v>
      </c>
      <c r="C178" s="6" t="s">
        <v>50</v>
      </c>
      <c r="D178" s="6" t="s">
        <v>1526</v>
      </c>
      <c r="E178" s="6" t="s">
        <v>28</v>
      </c>
      <c r="F178" s="6" t="s">
        <v>34</v>
      </c>
      <c r="G178" s="6" t="s">
        <v>1527</v>
      </c>
      <c r="H178" s="9" t="s">
        <v>1528</v>
      </c>
      <c r="I178" s="10">
        <v>1.0</v>
      </c>
      <c r="J178" s="10">
        <v>691.0</v>
      </c>
      <c r="K178" s="10">
        <v>698.0</v>
      </c>
      <c r="L178" s="10">
        <v>18.0</v>
      </c>
      <c r="M178" s="10">
        <v>5.0</v>
      </c>
      <c r="N178" s="10">
        <v>691.0</v>
      </c>
    </row>
    <row r="179" ht="21.0" customHeight="1">
      <c r="A179" s="7">
        <v>44535.0</v>
      </c>
      <c r="B179" s="8">
        <v>44535.54167824074</v>
      </c>
      <c r="C179" s="6" t="s">
        <v>50</v>
      </c>
      <c r="D179" s="6" t="s">
        <v>1523</v>
      </c>
      <c r="E179" s="6" t="s">
        <v>28</v>
      </c>
      <c r="F179" s="6" t="s">
        <v>34</v>
      </c>
      <c r="G179" s="6" t="s">
        <v>1524</v>
      </c>
      <c r="H179" s="9" t="s">
        <v>1525</v>
      </c>
      <c r="I179" s="10">
        <v>1.0</v>
      </c>
      <c r="J179" s="10">
        <v>491.0</v>
      </c>
      <c r="K179" s="10">
        <v>499.0</v>
      </c>
      <c r="L179" s="10">
        <v>0.0</v>
      </c>
      <c r="M179" s="10">
        <v>11.0</v>
      </c>
      <c r="N179" s="10">
        <v>491.0</v>
      </c>
    </row>
    <row r="180" ht="21.0" customHeight="1">
      <c r="A180" s="7">
        <v>44535.0</v>
      </c>
      <c r="B180" s="8">
        <v>44535.66619212963</v>
      </c>
      <c r="C180" s="6" t="s">
        <v>50</v>
      </c>
      <c r="D180" s="6" t="s">
        <v>1553</v>
      </c>
      <c r="E180" s="6" t="s">
        <v>28</v>
      </c>
      <c r="F180" s="6" t="s">
        <v>34</v>
      </c>
      <c r="G180" s="6" t="s">
        <v>1554</v>
      </c>
      <c r="H180" s="9" t="s">
        <v>1555</v>
      </c>
      <c r="I180" s="10">
        <v>1.0</v>
      </c>
      <c r="J180" s="10">
        <v>56.0</v>
      </c>
      <c r="K180" s="10">
        <v>56.0</v>
      </c>
      <c r="L180" s="10">
        <v>0.0</v>
      </c>
      <c r="N180" s="10">
        <v>56.0</v>
      </c>
    </row>
    <row r="181" ht="21.0" customHeight="1">
      <c r="A181" s="7">
        <v>44535.0</v>
      </c>
      <c r="B181" s="8">
        <v>44535.863530092596</v>
      </c>
      <c r="C181" s="6" t="s">
        <v>50</v>
      </c>
      <c r="D181" s="6" t="s">
        <v>1562</v>
      </c>
      <c r="E181" s="6" t="s">
        <v>28</v>
      </c>
      <c r="F181" s="6" t="s">
        <v>34</v>
      </c>
      <c r="G181" s="6" t="s">
        <v>1563</v>
      </c>
      <c r="H181" s="9" t="s">
        <v>1564</v>
      </c>
      <c r="I181" s="10">
        <v>1.0</v>
      </c>
      <c r="J181" s="10">
        <v>1044.0</v>
      </c>
      <c r="K181" s="10">
        <v>1060.0</v>
      </c>
      <c r="L181" s="10">
        <v>21.0</v>
      </c>
      <c r="M181" s="10">
        <v>31.0</v>
      </c>
      <c r="N181" s="10">
        <v>1044.0</v>
      </c>
    </row>
    <row r="182" ht="21.0" customHeight="1">
      <c r="A182" s="7">
        <v>44536.0</v>
      </c>
      <c r="B182" s="8">
        <v>44536.54168981482</v>
      </c>
      <c r="C182" s="6" t="s">
        <v>50</v>
      </c>
      <c r="D182" s="6" t="s">
        <v>1466</v>
      </c>
      <c r="E182" s="6" t="s">
        <v>28</v>
      </c>
      <c r="F182" s="6" t="s">
        <v>34</v>
      </c>
      <c r="G182" s="6" t="s">
        <v>1467</v>
      </c>
      <c r="H182" s="9" t="s">
        <v>1468</v>
      </c>
      <c r="I182" s="10">
        <v>1.0</v>
      </c>
      <c r="J182" s="10">
        <v>1237.0</v>
      </c>
      <c r="K182" s="10">
        <v>1257.0</v>
      </c>
      <c r="L182" s="10">
        <v>19.0</v>
      </c>
      <c r="M182" s="10">
        <v>27.0</v>
      </c>
      <c r="N182" s="10">
        <v>1237.0</v>
      </c>
    </row>
    <row r="183" ht="21.0" customHeight="1">
      <c r="A183" s="7">
        <v>44536.0</v>
      </c>
      <c r="B183" s="8">
        <v>44536.89527777778</v>
      </c>
      <c r="C183" s="6" t="s">
        <v>50</v>
      </c>
      <c r="D183" s="6" t="s">
        <v>1619</v>
      </c>
      <c r="E183" s="6" t="s">
        <v>28</v>
      </c>
      <c r="F183" s="6" t="s">
        <v>34</v>
      </c>
      <c r="G183" s="6" t="s">
        <v>1620</v>
      </c>
      <c r="H183" s="9" t="s">
        <v>1621</v>
      </c>
      <c r="I183" s="10">
        <v>1.0</v>
      </c>
      <c r="J183" s="10">
        <v>943.0</v>
      </c>
      <c r="K183" s="10">
        <v>945.0</v>
      </c>
      <c r="L183" s="10">
        <v>20.0</v>
      </c>
      <c r="M183" s="10">
        <v>12.0</v>
      </c>
      <c r="N183" s="10">
        <v>943.0</v>
      </c>
    </row>
    <row r="184" ht="21.0" customHeight="1">
      <c r="A184" s="7">
        <v>44537.0</v>
      </c>
      <c r="B184" s="8">
        <v>44537.47797453704</v>
      </c>
      <c r="C184" s="6" t="s">
        <v>50</v>
      </c>
      <c r="D184" s="6" t="s">
        <v>179</v>
      </c>
      <c r="E184" s="6" t="s">
        <v>72</v>
      </c>
      <c r="F184" s="6" t="s">
        <v>44</v>
      </c>
      <c r="G184" s="6" t="s">
        <v>180</v>
      </c>
      <c r="H184" s="9" t="s">
        <v>181</v>
      </c>
      <c r="I184" s="10">
        <v>1.0</v>
      </c>
      <c r="J184" s="10">
        <v>59.0</v>
      </c>
      <c r="K184" s="10">
        <v>59.0</v>
      </c>
      <c r="L184" s="10">
        <v>0.0</v>
      </c>
      <c r="N184" s="10">
        <v>59.0</v>
      </c>
    </row>
    <row r="185" ht="21.0" customHeight="1">
      <c r="A185" s="7">
        <v>44537.0</v>
      </c>
      <c r="B185" s="8">
        <v>44537.54167824074</v>
      </c>
      <c r="C185" s="6" t="s">
        <v>50</v>
      </c>
      <c r="D185" s="6" t="s">
        <v>1583</v>
      </c>
      <c r="E185" s="6" t="s">
        <v>28</v>
      </c>
      <c r="F185" s="6" t="s">
        <v>34</v>
      </c>
      <c r="G185" s="6" t="s">
        <v>1584</v>
      </c>
      <c r="H185" s="9" t="s">
        <v>1585</v>
      </c>
      <c r="I185" s="10">
        <v>1.0</v>
      </c>
      <c r="J185" s="10">
        <v>404.0</v>
      </c>
      <c r="K185" s="10">
        <v>409.0</v>
      </c>
      <c r="L185" s="10">
        <v>4.0</v>
      </c>
      <c r="M185" s="10">
        <v>16.0</v>
      </c>
      <c r="N185" s="10">
        <v>404.0</v>
      </c>
    </row>
    <row r="186" ht="21.0" customHeight="1">
      <c r="A186" s="7">
        <v>44537.0</v>
      </c>
      <c r="B186" s="8">
        <v>44537.58341435185</v>
      </c>
      <c r="C186" s="6" t="s">
        <v>50</v>
      </c>
      <c r="D186" s="6" t="s">
        <v>965</v>
      </c>
      <c r="E186" s="6" t="s">
        <v>61</v>
      </c>
      <c r="F186" s="6" t="s">
        <v>62</v>
      </c>
      <c r="G186" s="6" t="s">
        <v>966</v>
      </c>
      <c r="H186" s="9" t="s">
        <v>967</v>
      </c>
      <c r="I186" s="10">
        <v>1.0</v>
      </c>
      <c r="J186" s="10">
        <v>106.0</v>
      </c>
      <c r="K186" s="10">
        <v>107.0</v>
      </c>
      <c r="L186" s="10">
        <v>8.0</v>
      </c>
      <c r="M186" s="10">
        <v>6.0</v>
      </c>
      <c r="N186" s="10">
        <v>106.0</v>
      </c>
    </row>
    <row r="187" ht="21.0" customHeight="1">
      <c r="A187" s="7">
        <v>44537.0</v>
      </c>
      <c r="B187" s="8">
        <v>44537.645844907405</v>
      </c>
      <c r="C187" s="6" t="s">
        <v>50</v>
      </c>
      <c r="D187" s="6" t="s">
        <v>1433</v>
      </c>
      <c r="E187" s="6" t="s">
        <v>61</v>
      </c>
      <c r="F187" s="6" t="s">
        <v>62</v>
      </c>
      <c r="G187" s="6" t="s">
        <v>1434</v>
      </c>
      <c r="H187" s="9" t="s">
        <v>1435</v>
      </c>
      <c r="I187" s="10">
        <v>1.0</v>
      </c>
      <c r="J187" s="10">
        <v>76.0</v>
      </c>
      <c r="K187" s="10">
        <v>77.0</v>
      </c>
      <c r="L187" s="10">
        <v>0.0</v>
      </c>
      <c r="M187" s="10">
        <v>2.0</v>
      </c>
      <c r="N187" s="10">
        <v>76.0</v>
      </c>
    </row>
    <row r="188" ht="21.0" customHeight="1">
      <c r="A188" s="7">
        <v>44537.0</v>
      </c>
      <c r="B188" s="8">
        <v>44537.88527777778</v>
      </c>
      <c r="C188" s="6" t="s">
        <v>50</v>
      </c>
      <c r="D188" s="6" t="s">
        <v>1550</v>
      </c>
      <c r="E188" s="6" t="s">
        <v>28</v>
      </c>
      <c r="F188" s="6" t="s">
        <v>34</v>
      </c>
      <c r="G188" s="6" t="s">
        <v>1551</v>
      </c>
      <c r="H188" s="9" t="s">
        <v>1552</v>
      </c>
      <c r="I188" s="10">
        <v>1.0</v>
      </c>
      <c r="J188" s="10">
        <v>668.0</v>
      </c>
      <c r="K188" s="10">
        <v>669.0</v>
      </c>
      <c r="L188" s="10">
        <v>8.0</v>
      </c>
      <c r="M188" s="10">
        <v>7.0</v>
      </c>
      <c r="N188" s="10">
        <v>668.0</v>
      </c>
    </row>
    <row r="189" ht="21.0" customHeight="1">
      <c r="A189" s="7">
        <v>44538.0</v>
      </c>
      <c r="B189" s="8">
        <v>44538.48168981481</v>
      </c>
      <c r="C189" s="6" t="s">
        <v>50</v>
      </c>
      <c r="D189" s="6" t="s">
        <v>79</v>
      </c>
      <c r="E189" s="6" t="s">
        <v>72</v>
      </c>
      <c r="F189" s="6" t="s">
        <v>44</v>
      </c>
      <c r="G189" s="6" t="s">
        <v>80</v>
      </c>
      <c r="H189" s="9" t="s">
        <v>81</v>
      </c>
      <c r="I189" s="10">
        <v>1.0</v>
      </c>
      <c r="J189" s="10">
        <v>76.0</v>
      </c>
      <c r="K189" s="10">
        <v>76.0</v>
      </c>
      <c r="L189" s="10">
        <v>0.0</v>
      </c>
      <c r="M189" s="10">
        <v>1.0</v>
      </c>
      <c r="N189" s="10">
        <v>76.0</v>
      </c>
    </row>
    <row r="190" ht="21.0" customHeight="1">
      <c r="A190" s="7">
        <v>44538.0</v>
      </c>
      <c r="B190" s="8">
        <v>44538.52340277778</v>
      </c>
      <c r="C190" s="6" t="s">
        <v>50</v>
      </c>
      <c r="D190" s="6" t="s">
        <v>195</v>
      </c>
      <c r="E190" s="6" t="s">
        <v>61</v>
      </c>
      <c r="F190" s="6" t="s">
        <v>62</v>
      </c>
      <c r="G190" s="6" t="s">
        <v>196</v>
      </c>
      <c r="H190" s="9" t="s">
        <v>197</v>
      </c>
      <c r="I190" s="10">
        <v>1.0</v>
      </c>
      <c r="J190" s="10">
        <v>301.0</v>
      </c>
      <c r="K190" s="10">
        <v>363.0</v>
      </c>
      <c r="L190" s="10">
        <v>1.0</v>
      </c>
      <c r="M190" s="10">
        <v>23.0</v>
      </c>
      <c r="N190" s="10">
        <v>301.0</v>
      </c>
    </row>
    <row r="191" ht="21.0" customHeight="1">
      <c r="A191" s="7">
        <v>44538.0</v>
      </c>
      <c r="B191" s="8">
        <v>44538.55017361111</v>
      </c>
      <c r="C191" s="6" t="s">
        <v>50</v>
      </c>
      <c r="D191" s="6" t="s">
        <v>1571</v>
      </c>
      <c r="E191" s="6" t="s">
        <v>28</v>
      </c>
      <c r="F191" s="6" t="s">
        <v>34</v>
      </c>
      <c r="G191" s="6" t="s">
        <v>1572</v>
      </c>
      <c r="H191" s="9" t="s">
        <v>1573</v>
      </c>
      <c r="I191" s="10">
        <v>1.0</v>
      </c>
      <c r="J191" s="10">
        <v>295.0</v>
      </c>
      <c r="K191" s="10">
        <v>298.0</v>
      </c>
      <c r="L191" s="10">
        <v>1.0</v>
      </c>
      <c r="M191" s="10">
        <v>3.0</v>
      </c>
      <c r="N191" s="10">
        <v>295.0</v>
      </c>
    </row>
    <row r="192" ht="21.0" customHeight="1">
      <c r="A192" s="7">
        <v>44538.0</v>
      </c>
      <c r="B192" s="8">
        <v>44538.625127314815</v>
      </c>
      <c r="C192" s="6" t="s">
        <v>50</v>
      </c>
      <c r="D192" s="6" t="s">
        <v>1001</v>
      </c>
      <c r="E192" s="6" t="s">
        <v>28</v>
      </c>
      <c r="F192" s="6" t="s">
        <v>229</v>
      </c>
      <c r="G192" s="6" t="s">
        <v>1002</v>
      </c>
      <c r="H192" s="9" t="s">
        <v>1003</v>
      </c>
      <c r="I192" s="10">
        <v>1.0</v>
      </c>
      <c r="J192" s="10">
        <v>218.0</v>
      </c>
      <c r="K192" s="10">
        <v>224.0</v>
      </c>
      <c r="L192" s="10">
        <v>3.0</v>
      </c>
      <c r="M192" s="10">
        <v>33.0</v>
      </c>
      <c r="N192" s="10">
        <v>218.0</v>
      </c>
    </row>
    <row r="193" ht="21.0" customHeight="1">
      <c r="A193" s="7">
        <v>44538.0</v>
      </c>
      <c r="B193" s="8">
        <v>44538.90555555555</v>
      </c>
      <c r="C193" s="6" t="s">
        <v>50</v>
      </c>
      <c r="D193" s="6" t="s">
        <v>1625</v>
      </c>
      <c r="E193" s="6" t="s">
        <v>28</v>
      </c>
      <c r="F193" s="6" t="s">
        <v>34</v>
      </c>
      <c r="G193" s="6" t="s">
        <v>1626</v>
      </c>
      <c r="H193" s="9" t="s">
        <v>1627</v>
      </c>
      <c r="I193" s="10">
        <v>1.0</v>
      </c>
      <c r="J193" s="10">
        <v>706.0</v>
      </c>
      <c r="K193" s="10">
        <v>713.0</v>
      </c>
      <c r="L193" s="10">
        <v>14.0</v>
      </c>
      <c r="M193" s="10">
        <v>6.0</v>
      </c>
      <c r="N193" s="10">
        <v>706.0</v>
      </c>
    </row>
    <row r="194" ht="21.0" customHeight="1">
      <c r="A194" s="7">
        <v>44539.0</v>
      </c>
      <c r="B194" s="8">
        <v>44539.39586805556</v>
      </c>
      <c r="C194" s="6" t="s">
        <v>50</v>
      </c>
      <c r="D194" s="6" t="s">
        <v>355</v>
      </c>
      <c r="E194" s="6" t="s">
        <v>28</v>
      </c>
      <c r="F194" s="6" t="s">
        <v>34</v>
      </c>
      <c r="G194" s="6" t="s">
        <v>356</v>
      </c>
      <c r="H194" s="9" t="s">
        <v>357</v>
      </c>
      <c r="I194" s="10">
        <v>1.0</v>
      </c>
      <c r="J194" s="10">
        <v>569.0</v>
      </c>
      <c r="K194" s="10">
        <v>573.0</v>
      </c>
      <c r="L194" s="10">
        <v>14.0</v>
      </c>
      <c r="M194" s="10">
        <v>41.0</v>
      </c>
      <c r="N194" s="10">
        <v>569.0</v>
      </c>
    </row>
    <row r="195" ht="21.0" customHeight="1">
      <c r="A195" s="7">
        <v>44539.0</v>
      </c>
      <c r="B195" s="8">
        <v>44539.55001157407</v>
      </c>
      <c r="C195" s="6" t="s">
        <v>50</v>
      </c>
      <c r="D195" s="6" t="s">
        <v>1565</v>
      </c>
      <c r="E195" s="6" t="s">
        <v>28</v>
      </c>
      <c r="F195" s="6" t="s">
        <v>34</v>
      </c>
      <c r="G195" s="6" t="s">
        <v>1566</v>
      </c>
      <c r="H195" s="9" t="s">
        <v>1567</v>
      </c>
      <c r="I195" s="10">
        <v>1.0</v>
      </c>
      <c r="J195" s="10">
        <v>630.0</v>
      </c>
      <c r="K195" s="10">
        <v>647.0</v>
      </c>
      <c r="L195" s="10">
        <v>10.0</v>
      </c>
      <c r="M195" s="10">
        <v>19.0</v>
      </c>
      <c r="N195" s="10">
        <v>630.0</v>
      </c>
    </row>
    <row r="196" ht="21.0" customHeight="1">
      <c r="A196" s="7">
        <v>44539.0</v>
      </c>
      <c r="B196" s="8">
        <v>44539.584027777775</v>
      </c>
      <c r="C196" s="6" t="s">
        <v>50</v>
      </c>
      <c r="D196" s="6" t="s">
        <v>831</v>
      </c>
      <c r="E196" s="6" t="s">
        <v>61</v>
      </c>
      <c r="F196" s="6" t="s">
        <v>62</v>
      </c>
      <c r="G196" s="6" t="s">
        <v>832</v>
      </c>
      <c r="H196" s="9" t="s">
        <v>833</v>
      </c>
      <c r="I196" s="10">
        <v>1.0</v>
      </c>
      <c r="J196" s="10">
        <v>163.0</v>
      </c>
      <c r="K196" s="10">
        <v>170.0</v>
      </c>
      <c r="L196" s="10">
        <v>3.0</v>
      </c>
      <c r="M196" s="10">
        <v>9.0</v>
      </c>
      <c r="N196" s="10">
        <v>163.0</v>
      </c>
    </row>
    <row r="197" ht="21.0" customHeight="1">
      <c r="A197" s="7">
        <v>44539.0</v>
      </c>
      <c r="B197" s="8">
        <v>44539.62525462963</v>
      </c>
      <c r="C197" s="6" t="s">
        <v>50</v>
      </c>
      <c r="D197" s="6" t="s">
        <v>1592</v>
      </c>
      <c r="E197" s="6" t="s">
        <v>28</v>
      </c>
      <c r="F197" s="6" t="s">
        <v>34</v>
      </c>
      <c r="G197" s="6" t="s">
        <v>1593</v>
      </c>
      <c r="H197" s="9" t="s">
        <v>1594</v>
      </c>
      <c r="I197" s="10">
        <v>1.0</v>
      </c>
      <c r="J197" s="10">
        <v>1340.0</v>
      </c>
      <c r="K197" s="10">
        <v>1443.0</v>
      </c>
      <c r="L197" s="10">
        <v>57.0</v>
      </c>
      <c r="M197" s="10">
        <v>33.0</v>
      </c>
      <c r="N197" s="10">
        <v>1340.0</v>
      </c>
    </row>
    <row r="198" ht="21.0" customHeight="1">
      <c r="A198" s="7">
        <v>44539.0</v>
      </c>
      <c r="B198" s="8">
        <v>44539.80310185185</v>
      </c>
      <c r="C198" s="6" t="s">
        <v>50</v>
      </c>
      <c r="D198" s="6" t="s">
        <v>1541</v>
      </c>
      <c r="E198" s="6" t="s">
        <v>28</v>
      </c>
      <c r="F198" s="6" t="s">
        <v>34</v>
      </c>
      <c r="G198" s="6" t="s">
        <v>1542</v>
      </c>
      <c r="H198" s="9" t="s">
        <v>1543</v>
      </c>
      <c r="I198" s="10">
        <v>1.0</v>
      </c>
      <c r="J198" s="10">
        <v>3700.0</v>
      </c>
      <c r="K198" s="10">
        <v>4145.0</v>
      </c>
      <c r="L198" s="10">
        <v>49.0</v>
      </c>
      <c r="M198" s="10">
        <v>294.0</v>
      </c>
      <c r="N198" s="10">
        <v>3700.0</v>
      </c>
    </row>
    <row r="199" ht="21.0" customHeight="1">
      <c r="A199" s="7">
        <v>44539.0</v>
      </c>
      <c r="B199" s="8">
        <v>44539.87940972222</v>
      </c>
      <c r="C199" s="6" t="s">
        <v>50</v>
      </c>
      <c r="D199" s="6" t="s">
        <v>1532</v>
      </c>
      <c r="E199" s="6" t="s">
        <v>28</v>
      </c>
      <c r="F199" s="6" t="s">
        <v>34</v>
      </c>
      <c r="G199" s="6" t="s">
        <v>1533</v>
      </c>
      <c r="H199" s="9" t="s">
        <v>1534</v>
      </c>
      <c r="I199" s="10">
        <v>1.0</v>
      </c>
      <c r="J199" s="10">
        <v>1509.0</v>
      </c>
      <c r="K199" s="10">
        <v>1560.0</v>
      </c>
      <c r="L199" s="10">
        <v>28.0</v>
      </c>
      <c r="M199" s="10">
        <v>38.0</v>
      </c>
      <c r="N199" s="10">
        <v>1509.0</v>
      </c>
    </row>
    <row r="200" ht="21.0" customHeight="1">
      <c r="A200" s="7">
        <v>44540.0</v>
      </c>
      <c r="B200" s="8">
        <v>44540.40662037037</v>
      </c>
      <c r="C200" s="6" t="s">
        <v>50</v>
      </c>
      <c r="D200" s="6" t="s">
        <v>188</v>
      </c>
      <c r="E200" s="6" t="s">
        <v>61</v>
      </c>
      <c r="F200" s="6" t="s">
        <v>189</v>
      </c>
      <c r="G200" s="6" t="s">
        <v>190</v>
      </c>
      <c r="H200" s="9" t="s">
        <v>191</v>
      </c>
      <c r="I200" s="10">
        <v>1.0</v>
      </c>
      <c r="J200" s="10">
        <v>733.0</v>
      </c>
      <c r="K200" s="10">
        <v>890.0</v>
      </c>
      <c r="L200" s="10">
        <v>159.0</v>
      </c>
      <c r="M200" s="10">
        <v>306.0</v>
      </c>
      <c r="N200" s="10">
        <v>733.0</v>
      </c>
    </row>
    <row r="201" ht="21.0" customHeight="1">
      <c r="A201" s="7">
        <v>44540.0</v>
      </c>
      <c r="B201" s="8">
        <v>44540.4103125</v>
      </c>
      <c r="C201" s="6" t="s">
        <v>50</v>
      </c>
      <c r="D201" s="6" t="s">
        <v>56</v>
      </c>
      <c r="E201" s="6" t="s">
        <v>28</v>
      </c>
      <c r="F201" s="6" t="s">
        <v>37</v>
      </c>
      <c r="H201" s="9" t="s">
        <v>57</v>
      </c>
      <c r="I201" s="10">
        <v>1.0</v>
      </c>
      <c r="J201" s="10">
        <v>105.0</v>
      </c>
      <c r="K201" s="10">
        <v>107.0</v>
      </c>
      <c r="L201" s="10">
        <v>0.0</v>
      </c>
      <c r="N201" s="10">
        <v>105.0</v>
      </c>
    </row>
    <row r="202" ht="21.0" customHeight="1">
      <c r="A202" s="7">
        <v>44540.0</v>
      </c>
      <c r="B202" s="8">
        <v>44540.42261574074</v>
      </c>
      <c r="C202" s="6" t="s">
        <v>50</v>
      </c>
      <c r="D202" s="6" t="s">
        <v>58</v>
      </c>
      <c r="E202" s="6" t="s">
        <v>33</v>
      </c>
      <c r="F202" s="6" t="s">
        <v>44</v>
      </c>
      <c r="H202" s="9" t="s">
        <v>59</v>
      </c>
      <c r="I202" s="10">
        <v>1.0</v>
      </c>
      <c r="J202" s="10">
        <v>32.0</v>
      </c>
      <c r="K202" s="10">
        <v>33.0</v>
      </c>
      <c r="L202" s="10">
        <v>0.0</v>
      </c>
      <c r="N202" s="10">
        <v>32.0</v>
      </c>
    </row>
    <row r="203" ht="21.0" customHeight="1">
      <c r="A203" s="7">
        <v>44540.0</v>
      </c>
      <c r="B203" s="8">
        <v>44540.50366898148</v>
      </c>
      <c r="C203" s="6" t="s">
        <v>50</v>
      </c>
      <c r="D203" s="6" t="s">
        <v>1061</v>
      </c>
      <c r="E203" s="6" t="s">
        <v>28</v>
      </c>
      <c r="F203" s="6" t="s">
        <v>34</v>
      </c>
      <c r="G203" s="6" t="s">
        <v>1062</v>
      </c>
      <c r="H203" s="9" t="s">
        <v>1063</v>
      </c>
      <c r="I203" s="10">
        <v>1.0</v>
      </c>
      <c r="J203" s="10">
        <v>876.0</v>
      </c>
      <c r="K203" s="10">
        <v>906.0</v>
      </c>
      <c r="L203" s="10">
        <v>54.0</v>
      </c>
      <c r="M203" s="10">
        <v>187.0</v>
      </c>
      <c r="N203" s="10">
        <v>876.0</v>
      </c>
    </row>
    <row r="204" ht="21.0" customHeight="1">
      <c r="A204" s="7">
        <v>44540.0</v>
      </c>
      <c r="B204" s="8">
        <v>44540.583402777775</v>
      </c>
      <c r="C204" s="6" t="s">
        <v>50</v>
      </c>
      <c r="D204" s="6" t="s">
        <v>1502</v>
      </c>
      <c r="E204" s="6" t="s">
        <v>28</v>
      </c>
      <c r="F204" s="6" t="s">
        <v>34</v>
      </c>
      <c r="G204" s="6" t="s">
        <v>1503</v>
      </c>
      <c r="H204" s="9" t="s">
        <v>1504</v>
      </c>
      <c r="I204" s="10">
        <v>1.0</v>
      </c>
      <c r="J204" s="10">
        <v>1058.0</v>
      </c>
      <c r="K204" s="10">
        <v>1080.0</v>
      </c>
      <c r="L204" s="10">
        <v>0.0</v>
      </c>
      <c r="M204" s="10">
        <v>15.0</v>
      </c>
      <c r="N204" s="10">
        <v>1058.0</v>
      </c>
    </row>
    <row r="205" ht="21.0" customHeight="1">
      <c r="A205" s="7">
        <v>44540.0</v>
      </c>
      <c r="B205" s="8">
        <v>44540.708344907405</v>
      </c>
      <c r="C205" s="6" t="s">
        <v>50</v>
      </c>
      <c r="D205" s="6" t="s">
        <v>1520</v>
      </c>
      <c r="E205" s="6" t="s">
        <v>61</v>
      </c>
      <c r="F205" s="6" t="s">
        <v>62</v>
      </c>
      <c r="G205" s="6" t="s">
        <v>1521</v>
      </c>
      <c r="H205" s="9" t="s">
        <v>1522</v>
      </c>
      <c r="I205" s="10">
        <v>1.0</v>
      </c>
      <c r="J205" s="10">
        <v>1720.0</v>
      </c>
      <c r="K205" s="10">
        <v>1749.0</v>
      </c>
      <c r="L205" s="10">
        <v>1.0</v>
      </c>
      <c r="M205" s="10">
        <v>28.0</v>
      </c>
      <c r="N205" s="10">
        <v>1720.0</v>
      </c>
    </row>
    <row r="206" ht="21.0" customHeight="1">
      <c r="A206" s="7">
        <v>44540.0</v>
      </c>
      <c r="B206" s="8">
        <v>44540.75015046296</v>
      </c>
      <c r="C206" s="6" t="s">
        <v>50</v>
      </c>
      <c r="D206" s="6" t="s">
        <v>1298</v>
      </c>
      <c r="E206" s="6" t="s">
        <v>61</v>
      </c>
      <c r="F206" s="6" t="s">
        <v>62</v>
      </c>
      <c r="G206" s="6" t="s">
        <v>1299</v>
      </c>
      <c r="H206" s="9" t="s">
        <v>1300</v>
      </c>
      <c r="I206" s="10">
        <v>1.0</v>
      </c>
      <c r="J206" s="10">
        <v>341.0</v>
      </c>
      <c r="K206" s="10">
        <v>350.0</v>
      </c>
      <c r="L206" s="10">
        <v>10.0</v>
      </c>
      <c r="M206" s="10">
        <v>28.0</v>
      </c>
      <c r="N206" s="10">
        <v>341.0</v>
      </c>
    </row>
    <row r="207" ht="21.0" customHeight="1">
      <c r="A207" s="7">
        <v>44541.0</v>
      </c>
      <c r="B207" s="8">
        <v>44541.54167824074</v>
      </c>
      <c r="C207" s="6" t="s">
        <v>50</v>
      </c>
      <c r="D207" s="6" t="s">
        <v>1508</v>
      </c>
      <c r="E207" s="6" t="s">
        <v>28</v>
      </c>
      <c r="F207" s="6" t="s">
        <v>34</v>
      </c>
      <c r="G207" s="6" t="s">
        <v>1509</v>
      </c>
      <c r="H207" s="9" t="s">
        <v>1510</v>
      </c>
      <c r="I207" s="10">
        <v>1.0</v>
      </c>
      <c r="J207" s="10">
        <v>1115.0</v>
      </c>
      <c r="K207" s="10">
        <v>1142.0</v>
      </c>
      <c r="L207" s="10">
        <v>13.0</v>
      </c>
      <c r="M207" s="10">
        <v>40.0</v>
      </c>
      <c r="N207" s="10">
        <v>1115.0</v>
      </c>
    </row>
    <row r="208" ht="21.0" customHeight="1">
      <c r="A208" s="7">
        <v>44541.0</v>
      </c>
      <c r="B208" s="8">
        <v>44541.62501157408</v>
      </c>
      <c r="C208" s="6" t="s">
        <v>50</v>
      </c>
      <c r="D208" s="6" t="s">
        <v>1103</v>
      </c>
      <c r="E208" s="6" t="s">
        <v>61</v>
      </c>
      <c r="F208" s="6" t="s">
        <v>62</v>
      </c>
      <c r="G208" s="6" t="s">
        <v>1104</v>
      </c>
      <c r="H208" s="9" t="s">
        <v>1105</v>
      </c>
      <c r="I208" s="10">
        <v>1.0</v>
      </c>
      <c r="J208" s="10">
        <v>566.0</v>
      </c>
      <c r="K208" s="10">
        <v>583.0</v>
      </c>
      <c r="L208" s="10">
        <v>0.0</v>
      </c>
      <c r="M208" s="10">
        <v>8.0</v>
      </c>
      <c r="N208" s="10">
        <v>566.0</v>
      </c>
    </row>
    <row r="209" ht="21.0" customHeight="1">
      <c r="A209" s="7">
        <v>44541.0</v>
      </c>
      <c r="B209" s="8">
        <v>44541.89613425926</v>
      </c>
      <c r="C209" s="6" t="s">
        <v>50</v>
      </c>
      <c r="D209" s="6" t="s">
        <v>1547</v>
      </c>
      <c r="E209" s="6" t="s">
        <v>28</v>
      </c>
      <c r="F209" s="6" t="s">
        <v>34</v>
      </c>
      <c r="G209" s="6" t="s">
        <v>1548</v>
      </c>
      <c r="H209" s="9" t="s">
        <v>1549</v>
      </c>
      <c r="I209" s="10">
        <v>1.0</v>
      </c>
      <c r="J209" s="10">
        <v>646.0</v>
      </c>
      <c r="K209" s="10">
        <v>648.0</v>
      </c>
      <c r="L209" s="10">
        <v>3.0</v>
      </c>
      <c r="M209" s="10">
        <v>10.0</v>
      </c>
      <c r="N209" s="10">
        <v>646.0</v>
      </c>
    </row>
    <row r="210" ht="21.0" customHeight="1">
      <c r="A210" s="7">
        <v>44542.0</v>
      </c>
      <c r="B210" s="8">
        <v>44542.54168981482</v>
      </c>
      <c r="C210" s="6" t="s">
        <v>50</v>
      </c>
      <c r="D210" s="6" t="s">
        <v>1505</v>
      </c>
      <c r="E210" s="6" t="s">
        <v>28</v>
      </c>
      <c r="F210" s="6" t="s">
        <v>34</v>
      </c>
      <c r="G210" s="6" t="s">
        <v>1506</v>
      </c>
      <c r="H210" s="9" t="s">
        <v>1507</v>
      </c>
      <c r="I210" s="10">
        <v>1.0</v>
      </c>
      <c r="J210" s="10">
        <v>589.0</v>
      </c>
      <c r="K210" s="10">
        <v>598.0</v>
      </c>
      <c r="L210" s="10">
        <v>6.0</v>
      </c>
      <c r="M210" s="10">
        <v>9.0</v>
      </c>
      <c r="N210" s="10">
        <v>589.0</v>
      </c>
    </row>
    <row r="211" ht="21.0" customHeight="1">
      <c r="A211" s="7">
        <v>44542.0</v>
      </c>
      <c r="B211" s="8">
        <v>44542.646527777775</v>
      </c>
      <c r="C211" s="6" t="s">
        <v>50</v>
      </c>
      <c r="D211" s="6" t="s">
        <v>1487</v>
      </c>
      <c r="E211" s="6" t="s">
        <v>61</v>
      </c>
      <c r="F211" s="6" t="s">
        <v>62</v>
      </c>
      <c r="G211" s="6" t="s">
        <v>1488</v>
      </c>
      <c r="H211" s="9" t="s">
        <v>1489</v>
      </c>
      <c r="I211" s="10">
        <v>1.0</v>
      </c>
      <c r="J211" s="10">
        <v>962.0</v>
      </c>
      <c r="K211" s="10">
        <v>1054.0</v>
      </c>
      <c r="L211" s="10">
        <v>10.0</v>
      </c>
      <c r="M211" s="10">
        <v>76.0</v>
      </c>
      <c r="N211" s="10">
        <v>962.0</v>
      </c>
    </row>
    <row r="212" ht="21.0" customHeight="1">
      <c r="A212" s="7">
        <v>44542.0</v>
      </c>
      <c r="B212" s="8">
        <v>44542.67710648148</v>
      </c>
      <c r="C212" s="6" t="s">
        <v>50</v>
      </c>
      <c r="D212" s="6" t="s">
        <v>1535</v>
      </c>
      <c r="E212" s="6" t="s">
        <v>28</v>
      </c>
      <c r="F212" s="6" t="s">
        <v>34</v>
      </c>
      <c r="G212" s="6" t="s">
        <v>1536</v>
      </c>
      <c r="H212" s="9" t="s">
        <v>1537</v>
      </c>
      <c r="I212" s="10">
        <v>1.0</v>
      </c>
      <c r="J212" s="10">
        <v>175.0</v>
      </c>
      <c r="K212" s="10">
        <v>176.0</v>
      </c>
      <c r="L212" s="10">
        <v>0.0</v>
      </c>
      <c r="M212" s="10">
        <v>3.0</v>
      </c>
      <c r="N212" s="10">
        <v>175.0</v>
      </c>
    </row>
    <row r="213" ht="21.0" customHeight="1">
      <c r="A213" s="7">
        <v>44542.0</v>
      </c>
      <c r="B213" s="8">
        <v>44542.85474537037</v>
      </c>
      <c r="C213" s="6" t="s">
        <v>50</v>
      </c>
      <c r="D213" s="6" t="s">
        <v>1469</v>
      </c>
      <c r="E213" s="6" t="s">
        <v>28</v>
      </c>
      <c r="F213" s="6" t="s">
        <v>34</v>
      </c>
      <c r="G213" s="6" t="s">
        <v>1470</v>
      </c>
      <c r="H213" s="9" t="s">
        <v>1471</v>
      </c>
      <c r="I213" s="10">
        <v>1.0</v>
      </c>
      <c r="J213" s="10">
        <v>1111.0</v>
      </c>
      <c r="K213" s="10">
        <v>1132.0</v>
      </c>
      <c r="L213" s="10">
        <v>14.0</v>
      </c>
      <c r="M213" s="10">
        <v>33.0</v>
      </c>
      <c r="N213" s="10">
        <v>1111.0</v>
      </c>
    </row>
    <row r="214" ht="21.0" customHeight="1">
      <c r="A214" s="7">
        <v>44543.0</v>
      </c>
      <c r="B214" s="8">
        <v>44543.417916666665</v>
      </c>
      <c r="C214" s="6" t="s">
        <v>50</v>
      </c>
      <c r="D214" s="6" t="s">
        <v>1544</v>
      </c>
      <c r="E214" s="6" t="s">
        <v>28</v>
      </c>
      <c r="F214" s="6" t="s">
        <v>34</v>
      </c>
      <c r="G214" s="6" t="s">
        <v>1545</v>
      </c>
      <c r="H214" s="9" t="s">
        <v>1546</v>
      </c>
      <c r="I214" s="10">
        <v>1.0</v>
      </c>
      <c r="J214" s="10">
        <v>1449.0</v>
      </c>
      <c r="K214" s="10">
        <v>1459.0</v>
      </c>
      <c r="L214" s="10">
        <v>28.0</v>
      </c>
      <c r="M214" s="10">
        <v>41.0</v>
      </c>
      <c r="N214" s="10">
        <v>1449.0</v>
      </c>
    </row>
    <row r="215" ht="21.0" customHeight="1">
      <c r="A215" s="7">
        <v>44543.0</v>
      </c>
      <c r="B215" s="8">
        <v>44543.64550925926</v>
      </c>
      <c r="C215" s="6" t="s">
        <v>50</v>
      </c>
      <c r="D215" s="6" t="s">
        <v>789</v>
      </c>
      <c r="E215" s="6" t="s">
        <v>61</v>
      </c>
      <c r="F215" s="6" t="s">
        <v>62</v>
      </c>
      <c r="G215" s="6" t="s">
        <v>790</v>
      </c>
      <c r="H215" s="9" t="s">
        <v>791</v>
      </c>
      <c r="I215" s="10">
        <v>1.0</v>
      </c>
      <c r="J215" s="10">
        <v>1663.0</v>
      </c>
      <c r="K215" s="10">
        <v>2001.0</v>
      </c>
      <c r="L215" s="10">
        <v>72.0</v>
      </c>
      <c r="M215" s="10">
        <v>455.0</v>
      </c>
      <c r="N215" s="10">
        <v>1663.0</v>
      </c>
    </row>
    <row r="216" ht="21.0" customHeight="1">
      <c r="A216" s="7">
        <v>44543.0</v>
      </c>
      <c r="B216" s="8">
        <v>44543.840266203704</v>
      </c>
      <c r="C216" s="6" t="s">
        <v>50</v>
      </c>
      <c r="D216" s="6" t="s">
        <v>864</v>
      </c>
      <c r="E216" s="6" t="s">
        <v>72</v>
      </c>
      <c r="F216" s="6" t="s">
        <v>44</v>
      </c>
      <c r="G216" s="6" t="s">
        <v>865</v>
      </c>
      <c r="H216" s="9" t="s">
        <v>866</v>
      </c>
      <c r="I216" s="10">
        <v>1.0</v>
      </c>
      <c r="J216" s="10">
        <v>61.0</v>
      </c>
      <c r="K216" s="10">
        <v>61.0</v>
      </c>
      <c r="L216" s="10">
        <v>0.0</v>
      </c>
      <c r="N216" s="10">
        <v>61.0</v>
      </c>
    </row>
    <row r="217" ht="21.0" customHeight="1">
      <c r="A217" s="7">
        <v>44544.0</v>
      </c>
      <c r="B217" s="8">
        <v>44544.64586805556</v>
      </c>
      <c r="C217" s="6" t="s">
        <v>50</v>
      </c>
      <c r="D217" s="6" t="s">
        <v>1100</v>
      </c>
      <c r="E217" s="6" t="s">
        <v>61</v>
      </c>
      <c r="F217" s="6" t="s">
        <v>62</v>
      </c>
      <c r="G217" s="6" t="s">
        <v>1101</v>
      </c>
      <c r="H217" s="9" t="s">
        <v>1102</v>
      </c>
      <c r="I217" s="10">
        <v>1.0</v>
      </c>
      <c r="J217" s="10">
        <v>233.0</v>
      </c>
      <c r="K217" s="10">
        <v>238.0</v>
      </c>
      <c r="L217" s="10">
        <v>0.0</v>
      </c>
      <c r="M217" s="10">
        <v>8.0</v>
      </c>
      <c r="N217" s="10">
        <v>233.0</v>
      </c>
    </row>
    <row r="218" ht="21.0" customHeight="1">
      <c r="A218" s="7">
        <v>44544.0</v>
      </c>
      <c r="B218" s="8">
        <v>44544.74623842593</v>
      </c>
      <c r="C218" s="6" t="s">
        <v>50</v>
      </c>
      <c r="D218" s="6" t="s">
        <v>1451</v>
      </c>
      <c r="E218" s="6" t="s">
        <v>61</v>
      </c>
      <c r="F218" s="6" t="s">
        <v>62</v>
      </c>
      <c r="G218" s="6" t="s">
        <v>1452</v>
      </c>
      <c r="H218" s="9" t="s">
        <v>1453</v>
      </c>
      <c r="I218" s="10">
        <v>1.0</v>
      </c>
      <c r="J218" s="10">
        <v>134.0</v>
      </c>
      <c r="K218" s="10">
        <v>137.0</v>
      </c>
      <c r="L218" s="10">
        <v>0.0</v>
      </c>
      <c r="M218" s="10">
        <v>3.0</v>
      </c>
      <c r="N218" s="10">
        <v>134.0</v>
      </c>
    </row>
    <row r="219" ht="21.0" customHeight="1">
      <c r="A219" s="7">
        <v>44544.0</v>
      </c>
      <c r="B219" s="8">
        <v>44544.875</v>
      </c>
      <c r="C219" s="6" t="s">
        <v>50</v>
      </c>
      <c r="D219" s="6" t="s">
        <v>795</v>
      </c>
      <c r="E219" s="6" t="s">
        <v>28</v>
      </c>
      <c r="F219" s="6" t="s">
        <v>34</v>
      </c>
      <c r="G219" s="6" t="s">
        <v>796</v>
      </c>
      <c r="H219" s="9" t="s">
        <v>797</v>
      </c>
      <c r="I219" s="10">
        <v>1.0</v>
      </c>
      <c r="J219" s="10">
        <v>90.0</v>
      </c>
      <c r="K219" s="10">
        <v>93.0</v>
      </c>
      <c r="L219" s="10">
        <v>7.0</v>
      </c>
      <c r="M219" s="10">
        <v>3.0</v>
      </c>
      <c r="N219" s="10">
        <v>90.0</v>
      </c>
    </row>
    <row r="220" ht="21.0" customHeight="1">
      <c r="A220" s="7">
        <v>44545.0</v>
      </c>
      <c r="B220" s="8">
        <v>44545.413449074076</v>
      </c>
      <c r="C220" s="6" t="s">
        <v>50</v>
      </c>
      <c r="D220" s="6" t="s">
        <v>1180</v>
      </c>
      <c r="E220" s="6" t="s">
        <v>28</v>
      </c>
      <c r="F220" s="6" t="s">
        <v>34</v>
      </c>
      <c r="G220" s="6" t="s">
        <v>1181</v>
      </c>
      <c r="H220" s="9" t="s">
        <v>1182</v>
      </c>
      <c r="I220" s="10">
        <v>1.0</v>
      </c>
      <c r="J220" s="10">
        <v>96.0</v>
      </c>
      <c r="K220" s="10">
        <v>99.0</v>
      </c>
      <c r="L220" s="10">
        <v>0.0</v>
      </c>
      <c r="M220" s="10">
        <v>19.0</v>
      </c>
      <c r="N220" s="10">
        <v>96.0</v>
      </c>
    </row>
    <row r="221" ht="21.0" customHeight="1">
      <c r="A221" s="7">
        <v>44545.0</v>
      </c>
      <c r="B221" s="8">
        <v>44545.542129629626</v>
      </c>
      <c r="C221" s="6" t="s">
        <v>50</v>
      </c>
      <c r="D221" s="6" t="s">
        <v>1004</v>
      </c>
      <c r="E221" s="6" t="s">
        <v>28</v>
      </c>
      <c r="F221" s="6" t="s">
        <v>229</v>
      </c>
      <c r="G221" s="6" t="s">
        <v>1005</v>
      </c>
      <c r="H221" s="9" t="s">
        <v>1006</v>
      </c>
      <c r="I221" s="10">
        <v>1.0</v>
      </c>
      <c r="J221" s="10">
        <v>169.0</v>
      </c>
      <c r="K221" s="10">
        <v>173.0</v>
      </c>
      <c r="L221" s="10">
        <v>10.0</v>
      </c>
      <c r="M221" s="10">
        <v>16.0</v>
      </c>
      <c r="N221" s="10">
        <v>169.0</v>
      </c>
    </row>
    <row r="222" ht="21.0" customHeight="1">
      <c r="A222" s="7">
        <v>44545.0</v>
      </c>
      <c r="B222" s="8">
        <v>44545.62568287037</v>
      </c>
      <c r="C222" s="6" t="s">
        <v>50</v>
      </c>
      <c r="D222" s="6" t="s">
        <v>822</v>
      </c>
      <c r="E222" s="6" t="s">
        <v>28</v>
      </c>
      <c r="F222" s="6" t="s">
        <v>229</v>
      </c>
      <c r="G222" s="6" t="s">
        <v>823</v>
      </c>
      <c r="H222" s="9" t="s">
        <v>824</v>
      </c>
      <c r="I222" s="10">
        <v>1.0</v>
      </c>
      <c r="J222" s="10">
        <v>139.0</v>
      </c>
      <c r="K222" s="10">
        <v>142.0</v>
      </c>
      <c r="L222" s="10">
        <v>0.0</v>
      </c>
      <c r="M222" s="10">
        <v>10.0</v>
      </c>
      <c r="N222" s="10">
        <v>139.0</v>
      </c>
    </row>
    <row r="223" ht="21.0" customHeight="1">
      <c r="A223" s="7">
        <v>44545.0</v>
      </c>
      <c r="B223" s="8">
        <v>44545.708344907405</v>
      </c>
      <c r="C223" s="6" t="s">
        <v>50</v>
      </c>
      <c r="D223" s="6" t="s">
        <v>1496</v>
      </c>
      <c r="E223" s="6" t="s">
        <v>61</v>
      </c>
      <c r="F223" s="6" t="s">
        <v>62</v>
      </c>
      <c r="G223" s="6" t="s">
        <v>1497</v>
      </c>
      <c r="H223" s="9" t="s">
        <v>1498</v>
      </c>
      <c r="I223" s="10">
        <v>1.0</v>
      </c>
      <c r="J223" s="10">
        <v>2992.0</v>
      </c>
      <c r="K223" s="10">
        <v>3112.0</v>
      </c>
      <c r="L223" s="10">
        <v>10.0</v>
      </c>
      <c r="M223" s="10">
        <v>123.0</v>
      </c>
      <c r="N223" s="10">
        <v>2992.0</v>
      </c>
    </row>
    <row r="224" ht="21.0" customHeight="1">
      <c r="A224" s="7">
        <v>44546.0</v>
      </c>
      <c r="B224" s="8">
        <v>44546.395844907405</v>
      </c>
      <c r="C224" s="6" t="s">
        <v>50</v>
      </c>
      <c r="D224" s="6" t="s">
        <v>1445</v>
      </c>
      <c r="E224" s="6" t="s">
        <v>61</v>
      </c>
      <c r="F224" s="6" t="s">
        <v>62</v>
      </c>
      <c r="G224" s="6" t="s">
        <v>1446</v>
      </c>
      <c r="H224" s="9" t="s">
        <v>1447</v>
      </c>
      <c r="I224" s="10">
        <v>1.0</v>
      </c>
      <c r="J224" s="10">
        <v>2495.0</v>
      </c>
      <c r="K224" s="10">
        <v>2552.0</v>
      </c>
      <c r="L224" s="10">
        <v>3.0</v>
      </c>
      <c r="M224" s="10">
        <v>45.0</v>
      </c>
      <c r="N224" s="10">
        <v>2495.0</v>
      </c>
    </row>
    <row r="225" ht="21.0" customHeight="1">
      <c r="A225" s="7">
        <v>44546.0</v>
      </c>
      <c r="B225" s="8">
        <v>44546.565474537034</v>
      </c>
      <c r="C225" s="6" t="s">
        <v>50</v>
      </c>
      <c r="D225" s="6" t="s">
        <v>1448</v>
      </c>
      <c r="E225" s="6" t="s">
        <v>28</v>
      </c>
      <c r="F225" s="6" t="s">
        <v>34</v>
      </c>
      <c r="G225" s="6" t="s">
        <v>1449</v>
      </c>
      <c r="H225" s="9" t="s">
        <v>1450</v>
      </c>
      <c r="I225" s="10">
        <v>1.0</v>
      </c>
      <c r="J225" s="10">
        <v>1247.0</v>
      </c>
      <c r="K225" s="10">
        <v>1275.0</v>
      </c>
      <c r="L225" s="10">
        <v>30.0</v>
      </c>
      <c r="M225" s="10">
        <v>71.0</v>
      </c>
      <c r="N225" s="10">
        <v>1247.0</v>
      </c>
    </row>
    <row r="226" ht="21.0" customHeight="1">
      <c r="A226" s="7">
        <v>44546.0</v>
      </c>
      <c r="B226" s="8">
        <v>44546.856782407405</v>
      </c>
      <c r="C226" s="6" t="s">
        <v>50</v>
      </c>
      <c r="D226" s="6" t="s">
        <v>1379</v>
      </c>
      <c r="E226" s="6" t="s">
        <v>28</v>
      </c>
      <c r="F226" s="6" t="s">
        <v>34</v>
      </c>
      <c r="G226" s="6" t="s">
        <v>1380</v>
      </c>
      <c r="H226" s="9" t="s">
        <v>1381</v>
      </c>
      <c r="I226" s="10">
        <v>1.0</v>
      </c>
      <c r="J226" s="10">
        <v>1483.0</v>
      </c>
      <c r="K226" s="10">
        <v>1504.0</v>
      </c>
      <c r="L226" s="10">
        <v>29.0</v>
      </c>
      <c r="M226" s="10">
        <v>35.0</v>
      </c>
      <c r="N226" s="10">
        <v>1483.0</v>
      </c>
    </row>
    <row r="227" ht="21.0" customHeight="1">
      <c r="A227" s="7">
        <v>44547.0</v>
      </c>
      <c r="B227" s="8">
        <v>44547.41673611111</v>
      </c>
      <c r="C227" s="6" t="s">
        <v>50</v>
      </c>
      <c r="D227" s="6" t="s">
        <v>1091</v>
      </c>
      <c r="E227" s="6" t="s">
        <v>72</v>
      </c>
      <c r="F227" s="6" t="s">
        <v>44</v>
      </c>
      <c r="G227" s="6" t="s">
        <v>1092</v>
      </c>
      <c r="H227" s="9" t="s">
        <v>1093</v>
      </c>
      <c r="I227" s="10">
        <v>1.0</v>
      </c>
      <c r="J227" s="10">
        <v>81.0</v>
      </c>
      <c r="K227" s="10">
        <v>81.0</v>
      </c>
      <c r="L227" s="10">
        <v>0.0</v>
      </c>
      <c r="N227" s="10">
        <v>81.0</v>
      </c>
    </row>
    <row r="228" ht="21.0" customHeight="1">
      <c r="A228" s="7">
        <v>44547.0</v>
      </c>
      <c r="B228" s="8">
        <v>44547.5562037037</v>
      </c>
      <c r="C228" s="6" t="s">
        <v>50</v>
      </c>
      <c r="D228" s="6" t="s">
        <v>1367</v>
      </c>
      <c r="E228" s="6" t="s">
        <v>28</v>
      </c>
      <c r="F228" s="6" t="s">
        <v>34</v>
      </c>
      <c r="G228" s="6" t="s">
        <v>1368</v>
      </c>
      <c r="H228" s="9" t="s">
        <v>1369</v>
      </c>
      <c r="I228" s="10">
        <v>1.0</v>
      </c>
      <c r="J228" s="10">
        <v>963.0</v>
      </c>
      <c r="K228" s="10">
        <v>979.0</v>
      </c>
      <c r="L228" s="10">
        <v>53.0</v>
      </c>
      <c r="M228" s="10">
        <v>65.0</v>
      </c>
      <c r="N228" s="10">
        <v>963.0</v>
      </c>
    </row>
    <row r="229" ht="21.0" customHeight="1">
      <c r="A229" s="7">
        <v>44547.0</v>
      </c>
      <c r="B229" s="8">
        <v>44547.583333333336</v>
      </c>
      <c r="C229" s="6" t="s">
        <v>50</v>
      </c>
      <c r="D229" s="6" t="s">
        <v>816</v>
      </c>
      <c r="E229" s="6" t="s">
        <v>28</v>
      </c>
      <c r="F229" s="6" t="s">
        <v>229</v>
      </c>
      <c r="G229" s="6" t="s">
        <v>817</v>
      </c>
      <c r="H229" s="9" t="s">
        <v>818</v>
      </c>
      <c r="I229" s="10">
        <v>1.0</v>
      </c>
      <c r="J229" s="10">
        <v>112.0</v>
      </c>
      <c r="K229" s="10">
        <v>115.0</v>
      </c>
      <c r="L229" s="10">
        <v>2.0</v>
      </c>
      <c r="M229" s="10">
        <v>3.0</v>
      </c>
      <c r="N229" s="10">
        <v>112.0</v>
      </c>
    </row>
    <row r="230" ht="21.0" customHeight="1">
      <c r="A230" s="7">
        <v>44547.0</v>
      </c>
      <c r="B230" s="8">
        <v>44547.64616898148</v>
      </c>
      <c r="C230" s="6" t="s">
        <v>50</v>
      </c>
      <c r="D230" s="6" t="s">
        <v>1397</v>
      </c>
      <c r="E230" s="6" t="s">
        <v>28</v>
      </c>
      <c r="F230" s="6" t="s">
        <v>34</v>
      </c>
      <c r="G230" s="6" t="s">
        <v>1398</v>
      </c>
      <c r="H230" s="9" t="s">
        <v>1399</v>
      </c>
      <c r="I230" s="10">
        <v>1.0</v>
      </c>
      <c r="J230" s="10">
        <v>2460.0</v>
      </c>
      <c r="K230" s="10">
        <v>2600.0</v>
      </c>
      <c r="L230" s="10">
        <v>20.0</v>
      </c>
      <c r="M230" s="10">
        <v>112.0</v>
      </c>
      <c r="N230" s="10">
        <v>2460.0</v>
      </c>
    </row>
    <row r="231" ht="21.0" customHeight="1">
      <c r="A231" s="7">
        <v>44547.0</v>
      </c>
      <c r="B231" s="8">
        <v>44547.686527777776</v>
      </c>
      <c r="C231" s="6" t="s">
        <v>50</v>
      </c>
      <c r="D231" s="6" t="s">
        <v>1409</v>
      </c>
      <c r="E231" s="6" t="s">
        <v>28</v>
      </c>
      <c r="F231" s="6" t="s">
        <v>34</v>
      </c>
      <c r="G231" s="6" t="s">
        <v>1410</v>
      </c>
      <c r="H231" s="9" t="s">
        <v>1411</v>
      </c>
      <c r="I231" s="10">
        <v>1.0</v>
      </c>
      <c r="J231" s="10">
        <v>218.0</v>
      </c>
      <c r="K231" s="10">
        <v>218.0</v>
      </c>
      <c r="L231" s="10">
        <v>0.0</v>
      </c>
      <c r="M231" s="10">
        <v>5.0</v>
      </c>
      <c r="N231" s="10">
        <v>218.0</v>
      </c>
    </row>
    <row r="232" ht="21.0" customHeight="1">
      <c r="A232" s="7">
        <v>44547.0</v>
      </c>
      <c r="B232" s="8">
        <v>44547.87383101852</v>
      </c>
      <c r="C232" s="6" t="s">
        <v>50</v>
      </c>
      <c r="D232" s="6" t="s">
        <v>1403</v>
      </c>
      <c r="E232" s="6" t="s">
        <v>28</v>
      </c>
      <c r="F232" s="6" t="s">
        <v>34</v>
      </c>
      <c r="G232" s="6" t="s">
        <v>1404</v>
      </c>
      <c r="H232" s="9" t="s">
        <v>1405</v>
      </c>
      <c r="I232" s="10">
        <v>1.0</v>
      </c>
      <c r="J232" s="10">
        <v>956.0</v>
      </c>
      <c r="K232" s="10">
        <v>961.0</v>
      </c>
      <c r="L232" s="10">
        <v>14.0</v>
      </c>
      <c r="M232" s="10">
        <v>10.0</v>
      </c>
      <c r="N232" s="10">
        <v>956.0</v>
      </c>
    </row>
    <row r="233" ht="21.0" customHeight="1">
      <c r="A233" s="7">
        <v>44548.0</v>
      </c>
      <c r="B233" s="8">
        <v>44548.55069444444</v>
      </c>
      <c r="C233" s="6" t="s">
        <v>50</v>
      </c>
      <c r="D233" s="6" t="s">
        <v>1373</v>
      </c>
      <c r="E233" s="6" t="s">
        <v>28</v>
      </c>
      <c r="F233" s="6" t="s">
        <v>34</v>
      </c>
      <c r="G233" s="6" t="s">
        <v>1374</v>
      </c>
      <c r="H233" s="9" t="s">
        <v>1375</v>
      </c>
      <c r="I233" s="10">
        <v>1.0</v>
      </c>
      <c r="J233" s="10">
        <v>262.0</v>
      </c>
      <c r="K233" s="10">
        <v>262.0</v>
      </c>
      <c r="L233" s="10">
        <v>5.0</v>
      </c>
      <c r="M233" s="10">
        <v>7.0</v>
      </c>
      <c r="N233" s="10">
        <v>262.0</v>
      </c>
    </row>
    <row r="234" ht="21.0" customHeight="1">
      <c r="A234" s="7">
        <v>44548.0</v>
      </c>
      <c r="B234" s="8">
        <v>44548.86114583333</v>
      </c>
      <c r="C234" s="6" t="s">
        <v>50</v>
      </c>
      <c r="D234" s="6" t="s">
        <v>1430</v>
      </c>
      <c r="E234" s="6" t="s">
        <v>28</v>
      </c>
      <c r="F234" s="6" t="s">
        <v>34</v>
      </c>
      <c r="G234" s="6" t="s">
        <v>1431</v>
      </c>
      <c r="H234" s="9" t="s">
        <v>1432</v>
      </c>
      <c r="I234" s="10">
        <v>1.0</v>
      </c>
      <c r="J234" s="10">
        <v>893.0</v>
      </c>
      <c r="K234" s="10">
        <v>895.0</v>
      </c>
      <c r="L234" s="10">
        <v>12.0</v>
      </c>
      <c r="M234" s="10">
        <v>14.0</v>
      </c>
      <c r="N234" s="10">
        <v>893.0</v>
      </c>
    </row>
    <row r="235" ht="21.0" customHeight="1">
      <c r="A235" s="7">
        <v>44549.0</v>
      </c>
      <c r="B235" s="8">
        <v>44549.54613425926</v>
      </c>
      <c r="C235" s="6" t="s">
        <v>50</v>
      </c>
      <c r="D235" s="6" t="s">
        <v>1385</v>
      </c>
      <c r="E235" s="6" t="s">
        <v>28</v>
      </c>
      <c r="F235" s="6" t="s">
        <v>34</v>
      </c>
      <c r="G235" s="6" t="s">
        <v>1386</v>
      </c>
      <c r="H235" s="9" t="s">
        <v>1387</v>
      </c>
      <c r="I235" s="10">
        <v>1.0</v>
      </c>
      <c r="J235" s="10">
        <v>353.0</v>
      </c>
      <c r="K235" s="10">
        <v>355.0</v>
      </c>
      <c r="L235" s="10">
        <v>3.0</v>
      </c>
      <c r="M235" s="10">
        <v>11.0</v>
      </c>
      <c r="N235" s="10">
        <v>353.0</v>
      </c>
    </row>
    <row r="236" ht="21.0" customHeight="1">
      <c r="A236" s="7">
        <v>44549.0</v>
      </c>
      <c r="B236" s="8">
        <v>44549.626863425925</v>
      </c>
      <c r="C236" s="6" t="s">
        <v>50</v>
      </c>
      <c r="D236" s="6" t="s">
        <v>1418</v>
      </c>
      <c r="E236" s="6" t="s">
        <v>72</v>
      </c>
      <c r="F236" s="6" t="s">
        <v>44</v>
      </c>
      <c r="G236" s="6" t="s">
        <v>1419</v>
      </c>
      <c r="H236" s="9" t="s">
        <v>1420</v>
      </c>
      <c r="I236" s="10">
        <v>1.0</v>
      </c>
      <c r="J236" s="10">
        <v>59.0</v>
      </c>
      <c r="K236" s="10">
        <v>60.0</v>
      </c>
      <c r="L236" s="10">
        <v>1.0</v>
      </c>
      <c r="M236" s="10">
        <v>1.0</v>
      </c>
      <c r="N236" s="10">
        <v>59.0</v>
      </c>
    </row>
    <row r="237" ht="21.0" customHeight="1">
      <c r="A237" s="7">
        <v>44549.0</v>
      </c>
      <c r="B237" s="8">
        <v>44549.721655092595</v>
      </c>
      <c r="C237" s="6" t="s">
        <v>50</v>
      </c>
      <c r="D237" s="6" t="s">
        <v>786</v>
      </c>
      <c r="E237" s="6" t="s">
        <v>28</v>
      </c>
      <c r="F237" s="6" t="s">
        <v>34</v>
      </c>
      <c r="G237" s="6" t="s">
        <v>787</v>
      </c>
      <c r="H237" s="9" t="s">
        <v>788</v>
      </c>
      <c r="I237" s="10">
        <v>1.0</v>
      </c>
      <c r="J237" s="10">
        <v>1050.0</v>
      </c>
      <c r="K237" s="10">
        <v>1091.0</v>
      </c>
      <c r="L237" s="10">
        <v>18.0</v>
      </c>
      <c r="M237" s="10">
        <v>189.0</v>
      </c>
      <c r="N237" s="10">
        <v>1050.0</v>
      </c>
    </row>
    <row r="238" ht="21.0" customHeight="1">
      <c r="A238" s="7">
        <v>44549.0</v>
      </c>
      <c r="B238" s="8">
        <v>44549.86306712963</v>
      </c>
      <c r="C238" s="6" t="s">
        <v>50</v>
      </c>
      <c r="D238" s="6" t="s">
        <v>1097</v>
      </c>
      <c r="E238" s="6" t="s">
        <v>28</v>
      </c>
      <c r="F238" s="6" t="s">
        <v>34</v>
      </c>
      <c r="G238" s="6" t="s">
        <v>1098</v>
      </c>
      <c r="H238" s="9" t="s">
        <v>1099</v>
      </c>
      <c r="I238" s="10">
        <v>1.0</v>
      </c>
      <c r="J238" s="10">
        <v>28705.0</v>
      </c>
      <c r="K238" s="10">
        <v>28953.0</v>
      </c>
      <c r="L238" s="10">
        <v>61.0</v>
      </c>
      <c r="M238" s="10">
        <v>437.0</v>
      </c>
      <c r="N238" s="10">
        <v>28705.0</v>
      </c>
    </row>
    <row r="239" ht="21.0" customHeight="1">
      <c r="A239" s="7">
        <v>44549.0</v>
      </c>
      <c r="B239" s="8">
        <v>44549.870046296295</v>
      </c>
      <c r="C239" s="6" t="s">
        <v>50</v>
      </c>
      <c r="D239" s="6" t="s">
        <v>1022</v>
      </c>
      <c r="E239" s="6" t="s">
        <v>28</v>
      </c>
      <c r="F239" s="6" t="s">
        <v>229</v>
      </c>
      <c r="G239" s="6" t="s">
        <v>1023</v>
      </c>
      <c r="H239" s="9" t="s">
        <v>1024</v>
      </c>
      <c r="I239" s="10">
        <v>1.0</v>
      </c>
      <c r="J239" s="10">
        <v>1052.0</v>
      </c>
      <c r="K239" s="10">
        <v>1066.0</v>
      </c>
      <c r="L239" s="10">
        <v>15.0</v>
      </c>
      <c r="M239" s="10">
        <v>58.0</v>
      </c>
      <c r="N239" s="10">
        <v>1052.0</v>
      </c>
    </row>
    <row r="240" ht="21.0" customHeight="1">
      <c r="A240" s="7">
        <v>44550.0</v>
      </c>
      <c r="B240" s="8">
        <v>44550.520833333336</v>
      </c>
      <c r="C240" s="6" t="s">
        <v>50</v>
      </c>
      <c r="D240" s="6" t="s">
        <v>1109</v>
      </c>
      <c r="E240" s="6" t="s">
        <v>28</v>
      </c>
      <c r="F240" s="6" t="s">
        <v>34</v>
      </c>
      <c r="G240" s="6" t="s">
        <v>1110</v>
      </c>
      <c r="H240" s="9" t="s">
        <v>1111</v>
      </c>
      <c r="I240" s="10">
        <v>1.0</v>
      </c>
      <c r="J240" s="10">
        <v>2934.0</v>
      </c>
      <c r="K240" s="10">
        <v>2992.0</v>
      </c>
      <c r="L240" s="10">
        <v>21.0</v>
      </c>
      <c r="M240" s="10">
        <v>56.0</v>
      </c>
      <c r="N240" s="10">
        <v>2934.0</v>
      </c>
    </row>
    <row r="241" ht="21.0" customHeight="1">
      <c r="A241" s="7">
        <v>44550.0</v>
      </c>
      <c r="B241" s="8">
        <v>44550.62511574074</v>
      </c>
      <c r="C241" s="6" t="s">
        <v>50</v>
      </c>
      <c r="D241" s="6" t="s">
        <v>989</v>
      </c>
      <c r="E241" s="6" t="s">
        <v>61</v>
      </c>
      <c r="F241" s="6" t="s">
        <v>62</v>
      </c>
      <c r="G241" s="6" t="s">
        <v>990</v>
      </c>
      <c r="H241" s="9" t="s">
        <v>991</v>
      </c>
      <c r="I241" s="10">
        <v>1.0</v>
      </c>
      <c r="J241" s="10">
        <v>180.0</v>
      </c>
      <c r="K241" s="10">
        <v>187.0</v>
      </c>
      <c r="L241" s="10">
        <v>6.0</v>
      </c>
      <c r="M241" s="10">
        <v>17.0</v>
      </c>
      <c r="N241" s="10">
        <v>180.0</v>
      </c>
    </row>
    <row r="242" ht="21.0" customHeight="1">
      <c r="A242" s="7">
        <v>44550.0</v>
      </c>
      <c r="B242" s="8">
        <v>44550.75</v>
      </c>
      <c r="C242" s="6" t="s">
        <v>50</v>
      </c>
      <c r="D242" s="6" t="s">
        <v>1040</v>
      </c>
      <c r="E242" s="6" t="s">
        <v>61</v>
      </c>
      <c r="F242" s="6" t="s">
        <v>62</v>
      </c>
      <c r="G242" s="6" t="s">
        <v>1041</v>
      </c>
      <c r="H242" s="9" t="s">
        <v>1042</v>
      </c>
      <c r="I242" s="10">
        <v>1.0</v>
      </c>
      <c r="J242" s="10">
        <v>105.0</v>
      </c>
      <c r="K242" s="10">
        <v>107.0</v>
      </c>
      <c r="L242" s="10">
        <v>1.0</v>
      </c>
      <c r="M242" s="10">
        <v>9.0</v>
      </c>
      <c r="N242" s="10">
        <v>105.0</v>
      </c>
    </row>
    <row r="243" ht="21.0" customHeight="1">
      <c r="A243" s="7">
        <v>44550.0</v>
      </c>
      <c r="B243" s="8">
        <v>44550.83336805556</v>
      </c>
      <c r="C243" s="6" t="s">
        <v>50</v>
      </c>
      <c r="D243" s="6" t="s">
        <v>926</v>
      </c>
      <c r="E243" s="6" t="s">
        <v>28</v>
      </c>
      <c r="F243" s="6" t="s">
        <v>34</v>
      </c>
      <c r="G243" s="6" t="s">
        <v>927</v>
      </c>
      <c r="H243" s="9" t="s">
        <v>928</v>
      </c>
      <c r="I243" s="10">
        <v>1.0</v>
      </c>
      <c r="J243" s="10">
        <v>75.0</v>
      </c>
      <c r="K243" s="10">
        <v>76.0</v>
      </c>
      <c r="L243" s="10">
        <v>0.0</v>
      </c>
      <c r="M243" s="10">
        <v>2.0</v>
      </c>
      <c r="N243" s="10">
        <v>75.0</v>
      </c>
    </row>
    <row r="244" ht="21.0" customHeight="1">
      <c r="A244" s="7">
        <v>44551.0</v>
      </c>
      <c r="B244" s="8">
        <v>44551.676099537035</v>
      </c>
      <c r="C244" s="6" t="s">
        <v>50</v>
      </c>
      <c r="D244" s="6" t="s">
        <v>110</v>
      </c>
      <c r="E244" s="6" t="s">
        <v>72</v>
      </c>
      <c r="F244" s="6" t="s">
        <v>44</v>
      </c>
      <c r="G244" s="6" t="s">
        <v>111</v>
      </c>
      <c r="H244" s="9" t="s">
        <v>112</v>
      </c>
      <c r="I244" s="10">
        <v>1.0</v>
      </c>
      <c r="J244" s="10">
        <v>135.0</v>
      </c>
      <c r="K244" s="10">
        <v>137.0</v>
      </c>
      <c r="L244" s="10">
        <v>0.0</v>
      </c>
      <c r="M244" s="10">
        <v>1.0</v>
      </c>
      <c r="N244" s="10">
        <v>135.0</v>
      </c>
    </row>
    <row r="245" ht="21.0" customHeight="1">
      <c r="A245" s="7">
        <v>44552.0</v>
      </c>
      <c r="B245" s="8">
        <v>44552.7053125</v>
      </c>
      <c r="C245" s="6" t="s">
        <v>50</v>
      </c>
      <c r="D245" s="6" t="s">
        <v>402</v>
      </c>
      <c r="E245" s="6" t="s">
        <v>72</v>
      </c>
      <c r="F245" s="6" t="s">
        <v>44</v>
      </c>
      <c r="G245" s="6" t="s">
        <v>403</v>
      </c>
      <c r="H245" s="9" t="s">
        <v>404</v>
      </c>
      <c r="I245" s="10">
        <v>1.0</v>
      </c>
      <c r="J245" s="10">
        <v>40.0</v>
      </c>
      <c r="K245" s="10">
        <v>41.0</v>
      </c>
      <c r="L245" s="10">
        <v>0.0</v>
      </c>
      <c r="N245" s="10">
        <v>40.0</v>
      </c>
    </row>
    <row r="246" ht="21.0" customHeight="1">
      <c r="A246" s="7">
        <v>44555.0</v>
      </c>
      <c r="B246" s="8">
        <v>44555.62501157408</v>
      </c>
      <c r="C246" s="6" t="s">
        <v>50</v>
      </c>
      <c r="D246" s="6" t="s">
        <v>1147</v>
      </c>
      <c r="E246" s="6" t="s">
        <v>28</v>
      </c>
      <c r="F246" s="6" t="s">
        <v>34</v>
      </c>
      <c r="G246" s="6" t="s">
        <v>1148</v>
      </c>
      <c r="H246" s="9" t="s">
        <v>1149</v>
      </c>
      <c r="I246" s="10">
        <v>1.0</v>
      </c>
      <c r="J246" s="10">
        <v>239.0</v>
      </c>
      <c r="K246" s="10">
        <v>249.0</v>
      </c>
      <c r="L246" s="10">
        <v>4.0</v>
      </c>
      <c r="M246" s="10">
        <v>6.0</v>
      </c>
      <c r="N246" s="10">
        <v>239.0</v>
      </c>
    </row>
    <row r="247" ht="21.0" customHeight="1">
      <c r="A247" s="7">
        <v>44555.0</v>
      </c>
      <c r="B247" s="8">
        <v>44555.687685185185</v>
      </c>
      <c r="C247" s="6" t="s">
        <v>50</v>
      </c>
      <c r="D247" s="6" t="s">
        <v>986</v>
      </c>
      <c r="E247" s="6" t="s">
        <v>28</v>
      </c>
      <c r="F247" s="6" t="s">
        <v>229</v>
      </c>
      <c r="G247" s="6" t="s">
        <v>987</v>
      </c>
      <c r="H247" s="9" t="s">
        <v>988</v>
      </c>
      <c r="I247" s="10">
        <v>1.0</v>
      </c>
      <c r="J247" s="10">
        <v>261.0</v>
      </c>
      <c r="K247" s="10">
        <v>263.0</v>
      </c>
      <c r="L247" s="10">
        <v>1.0</v>
      </c>
      <c r="M247" s="10">
        <v>2.0</v>
      </c>
      <c r="N247" s="10">
        <v>261.0</v>
      </c>
    </row>
    <row r="248" ht="21.0" customHeight="1">
      <c r="A248" s="7">
        <v>44555.0</v>
      </c>
      <c r="B248" s="8">
        <v>44555.87501157408</v>
      </c>
      <c r="C248" s="6" t="s">
        <v>50</v>
      </c>
      <c r="D248" s="6" t="s">
        <v>879</v>
      </c>
      <c r="E248" s="6" t="s">
        <v>61</v>
      </c>
      <c r="F248" s="6" t="s">
        <v>62</v>
      </c>
      <c r="G248" s="6" t="s">
        <v>880</v>
      </c>
      <c r="H248" s="9" t="s">
        <v>881</v>
      </c>
      <c r="I248" s="10">
        <v>1.0</v>
      </c>
      <c r="J248" s="10">
        <v>121.0</v>
      </c>
      <c r="K248" s="10">
        <v>129.0</v>
      </c>
      <c r="L248" s="10">
        <v>1.0</v>
      </c>
      <c r="M248" s="10">
        <v>6.0</v>
      </c>
      <c r="N248" s="10">
        <v>121.0</v>
      </c>
    </row>
    <row r="249" ht="21.0" customHeight="1"/>
    <row r="250" ht="21.0" customHeight="1"/>
    <row r="251" ht="21.0" customHeight="1"/>
    <row r="252" ht="21.0" customHeight="1"/>
    <row r="253" ht="21.0" customHeight="1"/>
    <row r="254" ht="21.0" customHeight="1"/>
    <row r="255" ht="21.0" customHeight="1"/>
    <row r="256" ht="21.0" customHeight="1"/>
    <row r="257" ht="21.0" customHeight="1"/>
    <row r="258" ht="21.0" customHeight="1"/>
    <row r="259" ht="21.0" customHeight="1"/>
    <row r="260" ht="21.0" customHeight="1"/>
    <row r="261" ht="21.0" customHeight="1"/>
    <row r="262" ht="21.0" customHeight="1"/>
    <row r="263" ht="21.0" customHeight="1"/>
    <row r="264" ht="21.0" customHeight="1"/>
    <row r="265" ht="21.0" customHeight="1"/>
    <row r="266" ht="21.0" customHeight="1"/>
    <row r="267" ht="21.0" customHeight="1"/>
    <row r="268" ht="21.0" customHeight="1"/>
    <row r="269" ht="21.0" customHeight="1"/>
    <row r="270" ht="21.0" customHeight="1"/>
    <row r="271" ht="21.0" customHeight="1"/>
    <row r="272" ht="21.0" customHeight="1"/>
    <row r="273" ht="21.0" customHeight="1"/>
    <row r="274" ht="21.0" customHeight="1"/>
    <row r="275" ht="21.0" customHeight="1"/>
    <row r="276" ht="21.0" customHeight="1"/>
    <row r="277" ht="21.0" customHeight="1"/>
    <row r="278" ht="21.0" customHeight="1"/>
    <row r="279" ht="21.0" customHeight="1"/>
    <row r="280" ht="21.0" customHeight="1"/>
    <row r="281" ht="21.0" customHeight="1"/>
    <row r="282" ht="21.0" customHeight="1"/>
    <row r="283" ht="21.0" customHeight="1"/>
    <row r="284" ht="21.0" customHeight="1"/>
    <row r="285" ht="21.0" customHeight="1"/>
    <row r="286" ht="21.0" customHeight="1"/>
    <row r="287" ht="21.0" customHeight="1"/>
    <row r="288" ht="21.0" customHeight="1"/>
    <row r="289" ht="21.0" customHeight="1"/>
    <row r="290" ht="21.0" customHeight="1"/>
    <row r="291" ht="21.0" customHeight="1"/>
    <row r="292" ht="21.0" customHeight="1"/>
    <row r="293" ht="21.0" customHeight="1"/>
    <row r="294" ht="21.0" customHeight="1"/>
    <row r="295" ht="21.0" customHeight="1"/>
    <row r="296" ht="21.0" customHeight="1"/>
    <row r="297" ht="21.0" customHeight="1"/>
    <row r="298" ht="21.0" customHeight="1"/>
    <row r="299" ht="21.0" customHeight="1"/>
    <row r="300" ht="21.0" customHeight="1"/>
    <row r="301" ht="21.0" customHeight="1"/>
    <row r="302" ht="21.0" customHeight="1"/>
    <row r="303" ht="21.0" customHeight="1"/>
    <row r="304" ht="21.0" customHeight="1"/>
    <row r="305" ht="21.0" customHeight="1"/>
    <row r="306" ht="21.0" customHeight="1"/>
    <row r="307" ht="21.0" customHeight="1"/>
    <row r="308" ht="21.0" customHeight="1"/>
    <row r="309" ht="21.0" customHeight="1"/>
    <row r="310" ht="21.0" customHeight="1"/>
    <row r="311" ht="21.0" customHeight="1"/>
    <row r="312" ht="21.0" customHeight="1"/>
    <row r="313" ht="21.0" customHeight="1"/>
    <row r="314" ht="21.0" customHeight="1"/>
    <row r="315" ht="21.0" customHeight="1"/>
    <row r="316" ht="21.0" customHeight="1"/>
    <row r="317" ht="21.0" customHeight="1"/>
    <row r="318" ht="21.0" customHeight="1"/>
    <row r="319" ht="21.0" customHeight="1"/>
    <row r="320" ht="21.0" customHeight="1"/>
    <row r="321" ht="21.0" customHeight="1"/>
    <row r="322" ht="21.0" customHeight="1"/>
    <row r="323" ht="21.0" customHeight="1"/>
    <row r="324" ht="21.0" customHeight="1"/>
    <row r="325" ht="21.0" customHeight="1"/>
    <row r="326" ht="21.0" customHeight="1"/>
    <row r="327" ht="21.0" customHeight="1"/>
    <row r="328" ht="21.0" customHeight="1"/>
    <row r="329" ht="21.0" customHeight="1"/>
    <row r="330" ht="21.0" customHeight="1"/>
    <row r="331" ht="21.0" customHeight="1"/>
    <row r="332" ht="21.0" customHeight="1"/>
    <row r="333" ht="21.0" customHeight="1"/>
    <row r="334" ht="21.0" customHeight="1"/>
    <row r="335" ht="21.0" customHeight="1"/>
    <row r="336" ht="21.0" customHeight="1"/>
    <row r="337" ht="21.0" customHeight="1"/>
    <row r="338" ht="21.0" customHeight="1"/>
    <row r="339" ht="21.0" customHeight="1"/>
    <row r="340" ht="21.0" customHeight="1"/>
    <row r="341" ht="21.0" customHeight="1"/>
    <row r="342" ht="21.0" customHeight="1"/>
    <row r="343" ht="21.0" customHeight="1"/>
    <row r="344" ht="21.0" customHeight="1"/>
    <row r="345" ht="21.0" customHeight="1"/>
    <row r="346" ht="21.0" customHeight="1"/>
    <row r="347" ht="21.0" customHeight="1"/>
    <row r="348" ht="21.0" customHeight="1"/>
    <row r="349" ht="21.0" customHeight="1"/>
    <row r="350" ht="21.0" customHeight="1"/>
    <row r="351" ht="21.0" customHeight="1"/>
    <row r="352" ht="21.0" customHeight="1"/>
    <row r="353" ht="21.0" customHeight="1"/>
    <row r="354" ht="21.0" customHeight="1"/>
    <row r="355" ht="21.0" customHeight="1"/>
    <row r="356" ht="21.0" customHeight="1"/>
    <row r="357" ht="21.0" customHeight="1"/>
    <row r="358" ht="21.0" customHeight="1"/>
    <row r="359" ht="21.0" customHeight="1"/>
    <row r="360" ht="21.0" customHeight="1"/>
    <row r="361" ht="21.0" customHeight="1"/>
    <row r="362" ht="21.0" customHeight="1"/>
    <row r="363" ht="21.0" customHeight="1"/>
    <row r="364" ht="21.0" customHeight="1"/>
    <row r="365" ht="21.0" customHeight="1"/>
    <row r="366" ht="21.0" customHeight="1"/>
    <row r="367" ht="21.0" customHeight="1"/>
    <row r="368" ht="21.0" customHeight="1"/>
    <row r="369" ht="21.0" customHeight="1"/>
    <row r="370" ht="21.0" customHeight="1"/>
    <row r="371" ht="21.0" customHeight="1"/>
    <row r="372" ht="21.0" customHeight="1"/>
    <row r="373" ht="21.0" customHeight="1"/>
    <row r="374" ht="21.0" customHeight="1"/>
    <row r="375" ht="21.0" customHeight="1"/>
    <row r="376" ht="21.0" customHeight="1"/>
    <row r="377" ht="21.0" customHeight="1"/>
    <row r="378" ht="21.0" customHeight="1"/>
    <row r="379" ht="21.0" customHeight="1"/>
    <row r="380" ht="21.0" customHeight="1"/>
    <row r="381" ht="21.0" customHeight="1"/>
    <row r="382" ht="21.0" customHeight="1"/>
    <row r="383" ht="21.0" customHeight="1"/>
    <row r="384" ht="21.0" customHeight="1"/>
    <row r="385" ht="21.0" customHeight="1"/>
    <row r="386" ht="21.0" customHeight="1"/>
    <row r="387" ht="21.0" customHeight="1"/>
    <row r="388" ht="21.0" customHeight="1"/>
    <row r="389" ht="21.0" customHeight="1"/>
    <row r="390" ht="21.0" customHeight="1"/>
    <row r="391" ht="21.0" customHeight="1"/>
    <row r="392" ht="21.0" customHeight="1"/>
    <row r="393" ht="21.0" customHeight="1"/>
    <row r="394" ht="21.0" customHeight="1"/>
    <row r="395" ht="21.0" customHeight="1"/>
    <row r="396" ht="21.0" customHeight="1"/>
    <row r="397" ht="21.0" customHeight="1"/>
    <row r="398" ht="21.0" customHeight="1"/>
    <row r="399" ht="21.0" customHeight="1"/>
    <row r="400" ht="21.0" customHeight="1"/>
    <row r="401" ht="21.0" customHeight="1"/>
    <row r="402" ht="21.0" customHeight="1"/>
    <row r="403" ht="21.0" customHeight="1"/>
    <row r="404" ht="21.0" customHeight="1"/>
    <row r="405" ht="21.0" customHeight="1"/>
    <row r="406" ht="21.0" customHeight="1"/>
    <row r="407" ht="21.0" customHeight="1"/>
    <row r="408" ht="21.0" customHeight="1"/>
    <row r="409" ht="21.0" customHeight="1"/>
    <row r="410" ht="21.0" customHeight="1"/>
    <row r="411" ht="21.0" customHeight="1"/>
    <row r="412" ht="21.0" customHeight="1"/>
    <row r="413" ht="21.0" customHeight="1"/>
    <row r="414" ht="21.0" customHeight="1"/>
    <row r="415" ht="21.0" customHeight="1"/>
    <row r="416" ht="21.0" customHeight="1"/>
    <row r="417" ht="21.0" customHeight="1"/>
    <row r="418" ht="21.0" customHeight="1"/>
    <row r="419" ht="21.0" customHeight="1"/>
    <row r="420" ht="21.0" customHeight="1"/>
    <row r="421" ht="21.0" customHeight="1"/>
    <row r="422" ht="21.0" customHeight="1"/>
    <row r="423" ht="21.0" customHeight="1"/>
    <row r="424" ht="21.0" customHeight="1"/>
    <row r="425" ht="21.0" customHeight="1"/>
    <row r="426" ht="21.0" customHeight="1"/>
    <row r="427" ht="21.0" customHeight="1"/>
    <row r="428" ht="21.0" customHeight="1"/>
    <row r="429" ht="21.0" customHeight="1"/>
    <row r="430" ht="21.0" customHeight="1"/>
    <row r="431" ht="21.0" customHeight="1"/>
    <row r="432" ht="21.0" customHeight="1"/>
    <row r="433" ht="21.0" customHeight="1"/>
    <row r="434" ht="21.0" customHeight="1"/>
    <row r="435" ht="21.0" customHeight="1"/>
    <row r="436" ht="21.0" customHeight="1"/>
    <row r="437" ht="21.0" customHeight="1"/>
    <row r="438" ht="21.0" customHeight="1"/>
    <row r="439" ht="21.0" customHeight="1"/>
    <row r="440" ht="21.0" customHeight="1"/>
    <row r="441" ht="21.0" customHeight="1"/>
    <row r="442" ht="21.0" customHeight="1"/>
    <row r="443" ht="21.0" customHeight="1"/>
    <row r="444" ht="21.0" customHeight="1"/>
    <row r="445" ht="21.0" customHeight="1"/>
    <row r="446" ht="21.0" customHeight="1"/>
    <row r="447" ht="21.0" customHeight="1"/>
    <row r="448" ht="21.0" customHeight="1"/>
    <row r="449" ht="21.0" customHeight="1"/>
    <row r="450" ht="21.0" customHeight="1"/>
    <row r="451" ht="21.0" customHeight="1"/>
    <row r="452" ht="21.0" customHeight="1"/>
    <row r="453" ht="21.0" customHeight="1"/>
    <row r="454" ht="21.0" customHeight="1"/>
    <row r="455" ht="21.0" customHeight="1"/>
    <row r="456" ht="21.0" customHeight="1"/>
    <row r="457" ht="21.0" customHeight="1"/>
    <row r="458" ht="21.0" customHeight="1"/>
    <row r="459" ht="21.0" customHeight="1"/>
    <row r="460" ht="21.0" customHeight="1"/>
    <row r="461" ht="21.0" customHeight="1"/>
    <row r="462" ht="21.0" customHeight="1"/>
    <row r="463" ht="21.0" customHeight="1"/>
    <row r="464" ht="21.0" customHeight="1"/>
    <row r="465" ht="21.0" customHeight="1"/>
    <row r="466" ht="21.0" customHeight="1"/>
    <row r="467" ht="21.0" customHeight="1"/>
    <row r="468" ht="21.0" customHeight="1"/>
    <row r="469" ht="21.0" customHeight="1"/>
    <row r="470" ht="21.0" customHeight="1"/>
    <row r="471" ht="21.0" customHeight="1"/>
    <row r="472" ht="21.0" customHeight="1"/>
    <row r="473" ht="21.0" customHeight="1"/>
    <row r="474" ht="21.0" customHeight="1"/>
    <row r="475" ht="21.0" customHeight="1"/>
    <row r="476" ht="21.0" customHeight="1"/>
    <row r="477" ht="21.0" customHeight="1"/>
    <row r="478" ht="21.0" customHeight="1"/>
    <row r="479" ht="21.0" customHeight="1"/>
    <row r="480" ht="21.0" customHeight="1"/>
    <row r="481" ht="21.0" customHeight="1"/>
    <row r="482" ht="21.0" customHeight="1"/>
    <row r="483" ht="21.0" customHeight="1"/>
    <row r="484" ht="21.0" customHeight="1"/>
    <row r="485" ht="21.0" customHeight="1"/>
    <row r="486" ht="21.0" customHeight="1"/>
    <row r="487" ht="21.0" customHeight="1"/>
    <row r="488" ht="21.0" customHeight="1"/>
    <row r="489" ht="21.0" customHeight="1"/>
    <row r="490" ht="21.0" customHeight="1"/>
    <row r="491" ht="21.0" customHeight="1"/>
    <row r="492" ht="21.0" customHeight="1"/>
    <row r="493" ht="21.0" customHeight="1"/>
    <row r="494" ht="21.0" customHeight="1"/>
    <row r="495" ht="21.0" customHeight="1"/>
    <row r="496" ht="21.0" customHeight="1"/>
    <row r="497" ht="21.0" customHeight="1"/>
    <row r="498" ht="21.0" customHeight="1"/>
    <row r="499" ht="21.0" customHeight="1"/>
    <row r="500" ht="21.0" customHeight="1"/>
    <row r="501" ht="21.0" customHeight="1"/>
    <row r="502" ht="21.0" customHeight="1"/>
    <row r="503" ht="21.0" customHeight="1"/>
    <row r="504" ht="21.0" customHeight="1"/>
    <row r="505" ht="21.0" customHeight="1"/>
    <row r="506" ht="21.0" customHeight="1"/>
    <row r="507" ht="21.0" customHeight="1"/>
    <row r="508" ht="21.0" customHeight="1"/>
    <row r="509" ht="21.0" customHeight="1"/>
    <row r="510" ht="21.0" customHeight="1"/>
    <row r="511" ht="21.0" customHeight="1"/>
    <row r="512" ht="21.0" customHeight="1"/>
    <row r="513" ht="21.0" customHeight="1"/>
    <row r="514" ht="21.0" customHeight="1"/>
    <row r="515" ht="21.0" customHeight="1"/>
    <row r="516" ht="21.0" customHeight="1"/>
    <row r="517" ht="21.0" customHeight="1"/>
    <row r="518" ht="21.0" customHeight="1"/>
    <row r="519" ht="21.0" customHeight="1"/>
    <row r="520" ht="21.0" customHeight="1"/>
    <row r="521" ht="21.0" customHeight="1"/>
    <row r="522" ht="21.0" customHeight="1"/>
    <row r="523" ht="21.0" customHeight="1"/>
    <row r="524" ht="21.0" customHeight="1"/>
    <row r="525" ht="21.0" customHeight="1"/>
    <row r="526" ht="21.0" customHeight="1"/>
    <row r="527" ht="21.0" customHeight="1"/>
    <row r="528" ht="21.0" customHeight="1"/>
    <row r="529" ht="21.0" customHeight="1"/>
    <row r="530" ht="21.0" customHeight="1"/>
    <row r="531" ht="21.0" customHeight="1"/>
    <row r="532" ht="21.0" customHeight="1"/>
    <row r="533" ht="21.0" customHeight="1"/>
    <row r="534" ht="21.0" customHeight="1"/>
    <row r="535" ht="21.0" customHeight="1"/>
    <row r="536" ht="21.0" customHeight="1"/>
    <row r="537" ht="21.0" customHeight="1"/>
    <row r="538" ht="21.0" customHeight="1"/>
    <row r="539" ht="21.0" customHeight="1"/>
    <row r="540" ht="21.0" customHeight="1"/>
    <row r="541" ht="21.0" customHeight="1"/>
    <row r="542" ht="21.0" customHeight="1"/>
    <row r="543" ht="21.0" customHeight="1"/>
    <row r="544" ht="21.0" customHeight="1"/>
    <row r="545" ht="21.0" customHeight="1"/>
    <row r="546" ht="21.0" customHeight="1"/>
    <row r="547" ht="21.0" customHeight="1"/>
    <row r="548" ht="21.0" customHeight="1"/>
    <row r="549" ht="21.0" customHeight="1"/>
    <row r="550" ht="21.0" customHeight="1"/>
    <row r="551" ht="21.0" customHeight="1"/>
    <row r="552" ht="21.0" customHeight="1"/>
    <row r="553" ht="21.0" customHeight="1"/>
    <row r="554" ht="21.0" customHeight="1"/>
    <row r="555" ht="21.0" customHeight="1"/>
    <row r="556" ht="21.0" customHeight="1"/>
    <row r="557" ht="21.0" customHeight="1"/>
    <row r="558" ht="21.0" customHeight="1"/>
    <row r="559" ht="21.0" customHeight="1"/>
    <row r="560" ht="21.0" customHeight="1"/>
    <row r="561" ht="21.0" customHeight="1"/>
    <row r="562" ht="21.0" customHeight="1"/>
    <row r="563" ht="21.0" customHeight="1"/>
    <row r="564" ht="21.0" customHeight="1"/>
    <row r="565" ht="21.0" customHeight="1"/>
    <row r="566" ht="21.0" customHeight="1"/>
    <row r="567" ht="21.0" customHeight="1"/>
    <row r="568" ht="21.0" customHeight="1"/>
    <row r="569" ht="21.0" customHeight="1"/>
    <row r="570" ht="21.0" customHeight="1"/>
    <row r="571" ht="21.0" customHeight="1"/>
    <row r="572" ht="21.0" customHeight="1"/>
    <row r="573" ht="21.0" customHeight="1"/>
    <row r="574" ht="21.0" customHeight="1"/>
    <row r="575" ht="21.0" customHeight="1"/>
    <row r="576" ht="21.0" customHeight="1"/>
    <row r="577" ht="21.0" customHeight="1"/>
    <row r="578" ht="21.0" customHeight="1"/>
    <row r="579" ht="21.0" customHeight="1"/>
    <row r="580" ht="21.0" customHeight="1"/>
    <row r="581" ht="21.0" customHeight="1"/>
    <row r="582" ht="21.0" customHeight="1"/>
    <row r="583" ht="21.0" customHeight="1"/>
    <row r="584" ht="21.0" customHeight="1"/>
    <row r="585" ht="21.0" customHeight="1"/>
    <row r="586" ht="21.0" customHeight="1"/>
    <row r="587" ht="21.0" customHeight="1"/>
    <row r="588" ht="21.0" customHeight="1"/>
    <row r="589" ht="21.0" customHeight="1"/>
    <row r="590" ht="21.0" customHeight="1"/>
    <row r="591" ht="21.0" customHeight="1"/>
    <row r="592" ht="21.0" customHeight="1"/>
    <row r="593" ht="21.0" customHeight="1"/>
    <row r="594" ht="21.0" customHeight="1"/>
    <row r="595" ht="21.0" customHeight="1"/>
    <row r="596" ht="21.0" customHeight="1"/>
    <row r="597" ht="21.0" customHeight="1"/>
    <row r="598" ht="21.0" customHeight="1"/>
    <row r="599" ht="21.0" customHeight="1"/>
    <row r="600" ht="21.0" customHeight="1"/>
    <row r="601" ht="21.0" customHeight="1"/>
    <row r="602" ht="21.0" customHeight="1"/>
    <row r="603" ht="21.0" customHeight="1"/>
    <row r="604" ht="21.0" customHeight="1"/>
    <row r="605" ht="21.0" customHeight="1"/>
    <row r="606" ht="21.0" customHeight="1"/>
    <row r="607" ht="21.0" customHeight="1"/>
    <row r="608" ht="21.0" customHeight="1"/>
    <row r="609" ht="21.0" customHeight="1"/>
    <row r="610" ht="21.0" customHeight="1"/>
    <row r="611" ht="21.0" customHeight="1"/>
    <row r="612" ht="21.0" customHeight="1"/>
    <row r="613" ht="21.0" customHeight="1"/>
    <row r="614" ht="21.0" customHeight="1"/>
    <row r="615" ht="21.0" customHeight="1"/>
    <row r="616" ht="21.0" customHeight="1"/>
    <row r="617" ht="21.0" customHeight="1"/>
    <row r="618" ht="21.0" customHeight="1"/>
    <row r="619" ht="21.0" customHeight="1"/>
    <row r="620" ht="21.0" customHeight="1"/>
    <row r="621" ht="21.0" customHeight="1"/>
    <row r="622" ht="21.0" customHeight="1"/>
    <row r="623" ht="21.0" customHeight="1"/>
    <row r="624" ht="21.0" customHeight="1"/>
    <row r="625" ht="21.0" customHeight="1"/>
    <row r="626" ht="21.0" customHeight="1"/>
    <row r="627" ht="21.0" customHeight="1"/>
    <row r="628" ht="21.0" customHeight="1"/>
    <row r="629" ht="21.0" customHeight="1"/>
    <row r="630" ht="21.0" customHeight="1"/>
    <row r="631" ht="21.0" customHeight="1"/>
    <row r="632" ht="21.0" customHeight="1"/>
    <row r="633" ht="21.0" customHeight="1"/>
    <row r="634" ht="21.0" customHeight="1"/>
    <row r="635" ht="21.0" customHeight="1"/>
    <row r="636" ht="21.0" customHeight="1"/>
    <row r="637" ht="21.0" customHeight="1"/>
    <row r="638" ht="21.0" customHeight="1"/>
    <row r="639" ht="21.0" customHeight="1"/>
    <row r="640" ht="21.0" customHeight="1"/>
    <row r="641" ht="21.0" customHeight="1"/>
    <row r="642" ht="21.0" customHeight="1"/>
    <row r="643" ht="21.0" customHeight="1"/>
    <row r="644" ht="21.0" customHeight="1"/>
    <row r="645" ht="21.0" customHeight="1"/>
    <row r="646" ht="21.0" customHeight="1"/>
    <row r="647" ht="21.0" customHeight="1"/>
    <row r="648" ht="21.0" customHeight="1"/>
    <row r="649" ht="21.0" customHeight="1"/>
    <row r="650" ht="21.0" customHeight="1"/>
    <row r="651" ht="21.0" customHeight="1"/>
    <row r="652" ht="21.0" customHeight="1"/>
    <row r="653" ht="21.0" customHeight="1"/>
    <row r="654" ht="21.0" customHeight="1"/>
    <row r="655" ht="21.0" customHeight="1"/>
    <row r="656" ht="21.0" customHeight="1"/>
    <row r="657" ht="21.0" customHeight="1"/>
    <row r="658" ht="21.0" customHeight="1"/>
    <row r="659" ht="21.0" customHeight="1"/>
    <row r="660" ht="21.0" customHeight="1"/>
    <row r="661" ht="21.0" customHeight="1"/>
    <row r="662" ht="21.0" customHeight="1"/>
    <row r="663" ht="21.0" customHeight="1"/>
    <row r="664" ht="21.0" customHeight="1"/>
    <row r="665" ht="21.0" customHeight="1"/>
    <row r="666" ht="21.0" customHeight="1"/>
    <row r="667" ht="21.0" customHeight="1"/>
    <row r="668" ht="21.0" customHeight="1"/>
    <row r="669" ht="21.0" customHeight="1"/>
    <row r="670" ht="21.0" customHeight="1"/>
    <row r="671" ht="21.0" customHeight="1"/>
    <row r="672" ht="21.0" customHeight="1"/>
    <row r="673" ht="21.0" customHeight="1"/>
    <row r="674" ht="21.0" customHeight="1"/>
    <row r="675" ht="21.0" customHeight="1"/>
    <row r="676" ht="21.0" customHeight="1"/>
    <row r="677" ht="21.0" customHeight="1"/>
    <row r="678" ht="21.0" customHeight="1"/>
    <row r="679" ht="21.0" customHeight="1"/>
    <row r="680" ht="21.0" customHeight="1"/>
    <row r="681" ht="21.0" customHeight="1"/>
    <row r="682" ht="21.0" customHeight="1"/>
    <row r="683" ht="21.0" customHeight="1"/>
    <row r="684" ht="21.0" customHeight="1"/>
    <row r="685" ht="21.0" customHeight="1"/>
    <row r="686" ht="21.0" customHeight="1"/>
    <row r="687" ht="21.0" customHeight="1"/>
    <row r="688" ht="21.0" customHeight="1"/>
    <row r="689" ht="21.0" customHeight="1"/>
    <row r="690" ht="21.0" customHeight="1"/>
    <row r="691" ht="21.0" customHeight="1"/>
    <row r="692" ht="21.0" customHeight="1"/>
    <row r="693" ht="21.0" customHeight="1"/>
    <row r="694" ht="21.0" customHeight="1"/>
    <row r="695" ht="21.0" customHeight="1"/>
    <row r="696" ht="21.0" customHeight="1"/>
    <row r="697" ht="21.0" customHeight="1"/>
    <row r="698" ht="21.0" customHeight="1"/>
    <row r="699" ht="21.0" customHeight="1"/>
    <row r="700" ht="21.0" customHeight="1"/>
    <row r="701" ht="21.0" customHeight="1"/>
    <row r="702" ht="21.0" customHeight="1"/>
    <row r="703" ht="21.0" customHeight="1"/>
    <row r="704" ht="21.0" customHeight="1"/>
    <row r="705" ht="21.0" customHeight="1"/>
    <row r="706" ht="21.0" customHeight="1"/>
    <row r="707" ht="21.0" customHeight="1"/>
    <row r="708" ht="21.0" customHeight="1"/>
    <row r="709" ht="21.0" customHeight="1"/>
    <row r="710" ht="21.0" customHeight="1"/>
    <row r="711" ht="21.0" customHeight="1"/>
    <row r="712" ht="21.0" customHeight="1"/>
    <row r="713" ht="21.0" customHeight="1"/>
    <row r="714" ht="21.0" customHeight="1"/>
    <row r="715" ht="21.0" customHeight="1"/>
    <row r="716" ht="21.0" customHeight="1"/>
    <row r="717" ht="21.0" customHeight="1"/>
    <row r="718" ht="21.0" customHeight="1"/>
    <row r="719" ht="21.0" customHeight="1"/>
    <row r="720" ht="21.0" customHeight="1"/>
    <row r="721" ht="21.0" customHeight="1"/>
    <row r="722" ht="21.0" customHeight="1"/>
    <row r="723" ht="21.0" customHeight="1"/>
    <row r="724" ht="21.0" customHeight="1"/>
    <row r="725" ht="21.0" customHeight="1"/>
    <row r="726" ht="21.0" customHeight="1"/>
    <row r="727" ht="21.0" customHeight="1"/>
    <row r="728" ht="21.0" customHeight="1"/>
    <row r="729" ht="21.0" customHeight="1"/>
    <row r="730" ht="21.0" customHeight="1"/>
    <row r="731" ht="21.0" customHeight="1"/>
    <row r="732" ht="21.0" customHeight="1"/>
    <row r="733" ht="21.0" customHeight="1"/>
    <row r="734" ht="21.0" customHeight="1"/>
    <row r="735" ht="21.0" customHeight="1"/>
    <row r="736" ht="21.0" customHeight="1"/>
    <row r="737" ht="21.0" customHeight="1"/>
    <row r="738" ht="21.0" customHeight="1"/>
    <row r="739" ht="21.0" customHeight="1"/>
    <row r="740" ht="21.0" customHeight="1"/>
    <row r="741" ht="21.0" customHeight="1"/>
    <row r="742" ht="21.0" customHeight="1"/>
    <row r="743" ht="21.0" customHeight="1"/>
    <row r="744" ht="21.0" customHeight="1"/>
    <row r="745" ht="21.0" customHeight="1"/>
    <row r="746" ht="21.0" customHeight="1"/>
    <row r="747" ht="21.0" customHeight="1"/>
    <row r="748" ht="21.0" customHeight="1"/>
    <row r="749" ht="21.0" customHeight="1"/>
    <row r="750" ht="21.0" customHeight="1"/>
    <row r="751" ht="21.0" customHeight="1"/>
    <row r="752" ht="21.0" customHeight="1"/>
    <row r="753" ht="21.0" customHeight="1"/>
    <row r="754" ht="21.0" customHeight="1"/>
    <row r="755" ht="21.0" customHeight="1"/>
    <row r="756" ht="21.0" customHeight="1"/>
    <row r="757" ht="21.0" customHeight="1"/>
    <row r="758" ht="21.0" customHeight="1"/>
    <row r="759" ht="21.0" customHeight="1"/>
    <row r="760" ht="21.0" customHeight="1"/>
    <row r="761" ht="21.0" customHeight="1"/>
    <row r="762" ht="21.0" customHeight="1"/>
    <row r="763" ht="21.0" customHeight="1"/>
    <row r="764" ht="21.0" customHeight="1"/>
    <row r="765" ht="21.0" customHeight="1"/>
    <row r="766" ht="21.0" customHeight="1"/>
    <row r="767" ht="21.0" customHeight="1"/>
    <row r="768" ht="21.0" customHeight="1"/>
    <row r="769" ht="21.0" customHeight="1"/>
    <row r="770" ht="21.0" customHeight="1"/>
    <row r="771" ht="21.0" customHeight="1"/>
    <row r="772" ht="21.0" customHeight="1"/>
    <row r="773" ht="21.0" customHeight="1"/>
    <row r="774" ht="21.0" customHeight="1"/>
    <row r="775" ht="21.0" customHeight="1"/>
    <row r="776" ht="21.0" customHeight="1"/>
    <row r="777" ht="21.0" customHeight="1"/>
    <row r="778" ht="21.0" customHeight="1"/>
    <row r="779" ht="21.0" customHeight="1"/>
    <row r="780" ht="21.0" customHeight="1"/>
    <row r="781" ht="21.0" customHeight="1"/>
    <row r="782" ht="21.0" customHeight="1"/>
    <row r="783" ht="21.0" customHeight="1"/>
    <row r="784" ht="21.0" customHeight="1"/>
    <row r="785" ht="21.0" customHeight="1"/>
    <row r="786" ht="21.0" customHeight="1"/>
    <row r="787" ht="21.0" customHeight="1"/>
    <row r="788" ht="21.0" customHeight="1"/>
    <row r="789" ht="21.0" customHeight="1"/>
    <row r="790" ht="21.0" customHeight="1"/>
    <row r="791" ht="21.0" customHeight="1"/>
    <row r="792" ht="21.0" customHeight="1"/>
    <row r="793" ht="21.0" customHeight="1"/>
    <row r="794" ht="21.0" customHeight="1"/>
    <row r="795" ht="21.0" customHeight="1"/>
    <row r="796" ht="21.0" customHeight="1"/>
    <row r="797" ht="21.0" customHeight="1"/>
    <row r="798" ht="21.0" customHeight="1"/>
    <row r="799" ht="21.0" customHeight="1"/>
    <row r="800" ht="21.0" customHeight="1"/>
    <row r="801" ht="21.0" customHeight="1"/>
    <row r="802" ht="21.0" customHeight="1"/>
    <row r="803" ht="21.0" customHeight="1"/>
    <row r="804" ht="21.0" customHeight="1"/>
    <row r="805" ht="21.0" customHeight="1"/>
    <row r="806" ht="21.0" customHeight="1"/>
    <row r="807" ht="21.0" customHeight="1"/>
    <row r="808" ht="21.0" customHeight="1"/>
    <row r="809" ht="21.0" customHeight="1"/>
    <row r="810" ht="21.0" customHeight="1"/>
    <row r="811" ht="21.0" customHeight="1"/>
    <row r="812" ht="21.0" customHeight="1"/>
    <row r="813" ht="21.0" customHeight="1"/>
    <row r="814" ht="21.0" customHeight="1"/>
    <row r="815" ht="21.0" customHeight="1"/>
    <row r="816" ht="21.0" customHeight="1"/>
    <row r="817" ht="21.0" customHeight="1"/>
    <row r="818" ht="21.0" customHeight="1"/>
    <row r="819" ht="21.0" customHeight="1"/>
    <row r="820" ht="21.0" customHeight="1"/>
    <row r="821" ht="21.0" customHeight="1"/>
    <row r="822" ht="21.0" customHeight="1"/>
    <row r="823" ht="21.0" customHeight="1"/>
    <row r="824" ht="21.0" customHeight="1"/>
    <row r="825" ht="21.0" customHeight="1"/>
    <row r="826" ht="21.0" customHeight="1"/>
    <row r="827" ht="21.0" customHeight="1"/>
    <row r="828" ht="21.0" customHeight="1"/>
    <row r="829" ht="21.0" customHeight="1"/>
    <row r="830" ht="21.0" customHeight="1"/>
    <row r="831" ht="21.0" customHeight="1"/>
    <row r="832" ht="21.0" customHeight="1"/>
    <row r="833" ht="21.0" customHeight="1"/>
    <row r="834" ht="21.0" customHeight="1"/>
    <row r="835" ht="21.0" customHeight="1"/>
    <row r="836" ht="21.0" customHeight="1"/>
    <row r="837" ht="21.0" customHeight="1"/>
    <row r="838" ht="21.0" customHeight="1"/>
    <row r="839" ht="21.0" customHeight="1"/>
    <row r="840" ht="21.0" customHeight="1"/>
    <row r="841" ht="21.0" customHeight="1"/>
    <row r="842" ht="21.0" customHeight="1"/>
    <row r="843" ht="21.0" customHeight="1"/>
    <row r="844" ht="21.0" customHeight="1"/>
    <row r="845" ht="21.0" customHeight="1"/>
    <row r="846" ht="21.0" customHeight="1"/>
    <row r="847" ht="21.0" customHeight="1"/>
    <row r="848" ht="21.0" customHeight="1"/>
    <row r="849" ht="21.0" customHeight="1"/>
    <row r="850" ht="21.0" customHeight="1"/>
    <row r="851" ht="21.0" customHeight="1"/>
    <row r="852" ht="21.0" customHeight="1"/>
    <row r="853" ht="21.0" customHeight="1"/>
    <row r="854" ht="21.0" customHeight="1"/>
    <row r="855" ht="21.0" customHeight="1"/>
    <row r="856" ht="21.0" customHeight="1"/>
    <row r="857" ht="21.0" customHeight="1"/>
    <row r="858" ht="21.0" customHeight="1"/>
    <row r="859" ht="21.0" customHeight="1"/>
    <row r="860" ht="21.0" customHeight="1"/>
    <row r="861" ht="21.0" customHeight="1"/>
    <row r="862" ht="21.0" customHeight="1"/>
    <row r="863" ht="21.0" customHeight="1"/>
    <row r="864" ht="21.0" customHeight="1"/>
    <row r="865" ht="21.0" customHeight="1"/>
    <row r="866" ht="21.0" customHeight="1"/>
    <row r="867" ht="21.0" customHeight="1"/>
    <row r="868" ht="21.0" customHeight="1"/>
    <row r="869" ht="21.0" customHeight="1"/>
    <row r="870" ht="21.0" customHeight="1"/>
    <row r="871" ht="21.0" customHeight="1"/>
    <row r="872" ht="21.0" customHeight="1"/>
    <row r="873" ht="21.0" customHeight="1"/>
    <row r="874" ht="21.0" customHeight="1"/>
    <row r="875" ht="21.0" customHeight="1"/>
    <row r="876" ht="21.0" customHeight="1"/>
    <row r="877" ht="21.0" customHeight="1"/>
    <row r="878" ht="21.0" customHeight="1"/>
    <row r="879" ht="21.0" customHeight="1"/>
    <row r="880" ht="21.0" customHeight="1"/>
    <row r="881" ht="21.0" customHeight="1"/>
    <row r="882" ht="21.0" customHeight="1"/>
    <row r="883" ht="21.0" customHeight="1"/>
    <row r="884" ht="21.0" customHeight="1"/>
    <row r="885" ht="21.0" customHeight="1"/>
    <row r="886" ht="21.0" customHeight="1"/>
    <row r="887" ht="21.0" customHeight="1"/>
    <row r="888" ht="21.0" customHeight="1"/>
    <row r="889" ht="21.0" customHeight="1"/>
    <row r="890" ht="21.0" customHeight="1"/>
    <row r="891" ht="21.0" customHeight="1"/>
    <row r="892" ht="21.0" customHeight="1"/>
    <row r="893" ht="21.0" customHeight="1"/>
    <row r="894" ht="21.0" customHeight="1"/>
    <row r="895" ht="21.0" customHeight="1"/>
    <row r="896" ht="21.0" customHeight="1"/>
    <row r="897" ht="21.0" customHeight="1"/>
    <row r="898" ht="21.0" customHeight="1"/>
    <row r="899" ht="21.0" customHeight="1"/>
    <row r="900" ht="21.0" customHeight="1"/>
    <row r="901" ht="21.0" customHeight="1"/>
    <row r="902" ht="21.0" customHeight="1"/>
    <row r="903" ht="21.0" customHeight="1"/>
    <row r="904" ht="21.0" customHeight="1"/>
    <row r="905" ht="21.0" customHeight="1"/>
    <row r="906" ht="21.0" customHeight="1"/>
    <row r="907" ht="21.0" customHeight="1"/>
    <row r="908" ht="21.0" customHeight="1"/>
    <row r="909" ht="21.0" customHeight="1"/>
    <row r="910" ht="21.0" customHeight="1"/>
    <row r="911" ht="21.0" customHeight="1"/>
    <row r="912" ht="21.0" customHeight="1"/>
    <row r="913" ht="21.0" customHeight="1"/>
    <row r="914" ht="21.0" customHeight="1"/>
    <row r="915" ht="21.0" customHeight="1"/>
    <row r="916" ht="21.0" customHeight="1"/>
    <row r="917" ht="21.0" customHeight="1"/>
    <row r="918" ht="21.0" customHeight="1"/>
    <row r="919" ht="21.0" customHeight="1"/>
    <row r="920" ht="21.0" customHeight="1"/>
    <row r="921" ht="21.0" customHeight="1"/>
    <row r="922" ht="21.0" customHeight="1"/>
    <row r="923" ht="21.0" customHeight="1"/>
    <row r="924" ht="21.0" customHeight="1"/>
    <row r="925" ht="21.0" customHeight="1"/>
    <row r="926" ht="21.0" customHeight="1"/>
    <row r="927" ht="21.0" customHeight="1"/>
    <row r="928" ht="21.0" customHeight="1"/>
    <row r="929" ht="21.0" customHeight="1"/>
    <row r="930" ht="21.0" customHeight="1"/>
    <row r="931" ht="21.0" customHeight="1"/>
    <row r="932" ht="21.0" customHeight="1"/>
    <row r="933" ht="21.0" customHeight="1"/>
    <row r="934" ht="21.0" customHeight="1"/>
    <row r="935" ht="21.0" customHeight="1"/>
    <row r="936" ht="21.0" customHeight="1"/>
    <row r="937" ht="21.0" customHeight="1"/>
    <row r="938" ht="21.0" customHeight="1"/>
    <row r="939" ht="21.0" customHeight="1"/>
    <row r="940" ht="21.0" customHeight="1"/>
    <row r="941" ht="21.0" customHeight="1"/>
    <row r="942" ht="21.0" customHeight="1"/>
    <row r="943" ht="21.0" customHeight="1"/>
    <row r="944" ht="21.0" customHeight="1"/>
    <row r="945" ht="21.0" customHeight="1"/>
    <row r="946" ht="21.0" customHeight="1"/>
    <row r="947" ht="21.0" customHeight="1"/>
    <row r="948" ht="21.0" customHeight="1"/>
    <row r="949" ht="21.0" customHeight="1"/>
    <row r="950" ht="21.0" customHeight="1"/>
    <row r="951" ht="21.0" customHeight="1"/>
    <row r="952" ht="21.0" customHeight="1"/>
    <row r="953" ht="21.0" customHeight="1"/>
    <row r="954" ht="21.0" customHeight="1"/>
    <row r="955" ht="21.0" customHeight="1"/>
    <row r="956" ht="21.0" customHeight="1"/>
    <row r="957" ht="21.0" customHeight="1"/>
    <row r="958" ht="21.0" customHeight="1"/>
    <row r="959" ht="21.0" customHeight="1"/>
    <row r="960" ht="21.0" customHeight="1"/>
    <row r="961" ht="21.0" customHeight="1"/>
    <row r="962" ht="21.0" customHeight="1"/>
    <row r="963" ht="21.0" customHeight="1"/>
    <row r="964" ht="21.0" customHeight="1"/>
    <row r="965" ht="21.0" customHeight="1"/>
    <row r="966" ht="21.0" customHeight="1"/>
    <row r="967" ht="21.0" customHeight="1"/>
    <row r="968" ht="21.0" customHeight="1"/>
    <row r="969" ht="21.0" customHeight="1"/>
    <row r="970" ht="21.0" customHeight="1"/>
    <row r="971" ht="21.0" customHeight="1"/>
    <row r="972" ht="21.0" customHeight="1"/>
    <row r="973" ht="21.0" customHeight="1"/>
    <row r="974" ht="21.0" customHeight="1"/>
    <row r="975" ht="21.0" customHeight="1"/>
    <row r="976" ht="21.0" customHeight="1"/>
    <row r="977" ht="21.0" customHeight="1"/>
    <row r="978" ht="21.0" customHeight="1"/>
    <row r="979" ht="21.0" customHeight="1"/>
    <row r="980" ht="21.0" customHeight="1"/>
    <row r="981" ht="21.0" customHeight="1"/>
    <row r="982" ht="21.0" customHeight="1"/>
    <row r="983" ht="21.0" customHeight="1"/>
    <row r="984" ht="21.0" customHeight="1"/>
    <row r="985" ht="21.0" customHeight="1"/>
    <row r="986" ht="21.0" customHeight="1"/>
    <row r="987" ht="21.0" customHeight="1"/>
    <row r="988" ht="21.0" customHeight="1"/>
    <row r="989" ht="21.0" customHeight="1"/>
    <row r="990" ht="21.0" customHeight="1"/>
    <row r="991" ht="21.0" customHeight="1"/>
    <row r="992" ht="21.0" customHeight="1"/>
    <row r="993" ht="21.0" customHeight="1"/>
    <row r="994" ht="21.0" customHeight="1"/>
    <row r="995" ht="21.0" customHeight="1"/>
    <row r="996" ht="21.0" customHeight="1"/>
    <row r="997" ht="21.0" customHeight="1"/>
    <row r="998" ht="21.0" customHeight="1"/>
    <row r="999" ht="21.0" customHeight="1"/>
    <row r="1000" ht="21.0" customHeight="1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</hyperlinks>
  <drawing r:id="rId24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D2" s="11" t="s">
        <v>229</v>
      </c>
      <c r="E2" s="11">
        <v>7549.0</v>
      </c>
    </row>
    <row r="3">
      <c r="D3" s="11" t="s">
        <v>37</v>
      </c>
      <c r="E3" s="11">
        <v>35.0</v>
      </c>
    </row>
    <row r="4">
      <c r="D4" s="11" t="s">
        <v>89</v>
      </c>
      <c r="E4" s="11">
        <v>161.0</v>
      </c>
    </row>
    <row r="5">
      <c r="D5" s="11" t="s">
        <v>34</v>
      </c>
      <c r="E5" s="11">
        <v>32476.0</v>
      </c>
    </row>
    <row r="6">
      <c r="D6" s="11" t="s">
        <v>29</v>
      </c>
      <c r="E6" s="11">
        <v>233.0</v>
      </c>
    </row>
    <row r="7">
      <c r="D7" s="11" t="s">
        <v>44</v>
      </c>
      <c r="E7" s="11">
        <v>334.0</v>
      </c>
    </row>
    <row r="8">
      <c r="D8" s="11" t="s">
        <v>76</v>
      </c>
      <c r="E8" s="11">
        <v>2528.0</v>
      </c>
    </row>
    <row r="9">
      <c r="D9" s="11" t="s">
        <v>189</v>
      </c>
      <c r="E9" s="11">
        <v>306.0</v>
      </c>
    </row>
    <row r="10">
      <c r="D10" s="11" t="s">
        <v>62</v>
      </c>
      <c r="E10" s="11">
        <v>5889.0</v>
      </c>
    </row>
    <row r="11"/>
    <row r="12"/>
    <row r="18"/>
    <row r="19"/>
    <row r="20"/>
    <row r="21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>
      <c r="I58" s="11" t="str">
        <f>IFERROR(__xludf.DUMMYFUNCTION("Query(FULLDATA, ""select D, K, L, M, P order by P"")"),"Post ID")</f>
        <v>Post ID</v>
      </c>
      <c r="J58" s="11" t="str">
        <f>IFERROR(__xludf.DUMMYFUNCTION("""COMPUTED_VALUE"""),"Reactions")</f>
        <v>Reactions</v>
      </c>
      <c r="K58" s="11" t="str">
        <f>IFERROR(__xludf.DUMMYFUNCTION("""COMPUTED_VALUE"""),"Comments")</f>
        <v>Comments</v>
      </c>
      <c r="L58" s="11" t="str">
        <f>IFERROR(__xludf.DUMMYFUNCTION("""COMPUTED_VALUE"""),"Post shares")</f>
        <v>Post shares</v>
      </c>
      <c r="M58" s="11" t="str">
        <f>IFERROR(__xludf.DUMMYFUNCTION("""COMPUTED_VALUE"""),"Lenght of Message")</f>
        <v>Lenght of Message</v>
      </c>
      <c r="N58" s="6" t="s">
        <v>1672</v>
      </c>
    </row>
    <row r="59">
      <c r="I59" s="11" t="str">
        <f>IFERROR(__xludf.DUMMYFUNCTION("""COMPUTED_VALUE"""),"740460599475760_1913693218819153")</f>
        <v>740460599475760_1913693218819153</v>
      </c>
      <c r="J59" s="11">
        <f>IFERROR(__xludf.DUMMYFUNCTION("""COMPUTED_VALUE"""),18460.0)</f>
        <v>18460</v>
      </c>
      <c r="K59" s="11">
        <f>IFERROR(__xludf.DUMMYFUNCTION("""COMPUTED_VALUE"""),2083.0)</f>
        <v>2083</v>
      </c>
      <c r="L59" s="11">
        <f>IFERROR(__xludf.DUMMYFUNCTION("""COMPUTED_VALUE"""),219.0)</f>
        <v>219</v>
      </c>
      <c r="M59" s="11">
        <f>IFERROR(__xludf.DUMMYFUNCTION("""COMPUTED_VALUE"""),0.0)</f>
        <v>0</v>
      </c>
      <c r="N59" s="11">
        <f t="shared" ref="N59:N605" si="1">sum(J59:L59)</f>
        <v>20762</v>
      </c>
    </row>
    <row r="60">
      <c r="I60" s="11" t="str">
        <f>IFERROR(__xludf.DUMMYFUNCTION("""COMPUTED_VALUE"""),"740460599475760_1914580795397062")</f>
        <v>740460599475760_1914580795397062</v>
      </c>
      <c r="J60" s="11">
        <f>IFERROR(__xludf.DUMMYFUNCTION("""COMPUTED_VALUE"""),1150.0)</f>
        <v>1150</v>
      </c>
      <c r="K60" s="11">
        <f>IFERROR(__xludf.DUMMYFUNCTION("""COMPUTED_VALUE"""),105.0)</f>
        <v>105</v>
      </c>
      <c r="L60" s="11">
        <f>IFERROR(__xludf.DUMMYFUNCTION("""COMPUTED_VALUE"""),50.0)</f>
        <v>50</v>
      </c>
      <c r="M60" s="11">
        <f>IFERROR(__xludf.DUMMYFUNCTION("""COMPUTED_VALUE"""),0.0)</f>
        <v>0</v>
      </c>
      <c r="N60" s="11">
        <f t="shared" si="1"/>
        <v>1305</v>
      </c>
    </row>
    <row r="61">
      <c r="I61" s="11" t="str">
        <f>IFERROR(__xludf.DUMMYFUNCTION("""COMPUTED_VALUE"""),"740460599475760_1916081251913683")</f>
        <v>740460599475760_1916081251913683</v>
      </c>
      <c r="J61" s="11">
        <f>IFERROR(__xludf.DUMMYFUNCTION("""COMPUTED_VALUE"""),735.0)</f>
        <v>735</v>
      </c>
      <c r="K61" s="11">
        <f>IFERROR(__xludf.DUMMYFUNCTION("""COMPUTED_VALUE"""),46.0)</f>
        <v>46</v>
      </c>
      <c r="L61" s="11">
        <f>IFERROR(__xludf.DUMMYFUNCTION("""COMPUTED_VALUE"""),12.0)</f>
        <v>12</v>
      </c>
      <c r="M61" s="11">
        <f>IFERROR(__xludf.DUMMYFUNCTION("""COMPUTED_VALUE"""),0.0)</f>
        <v>0</v>
      </c>
      <c r="N61" s="11">
        <f t="shared" si="1"/>
        <v>793</v>
      </c>
    </row>
    <row r="62">
      <c r="I62" s="11" t="str">
        <f>IFERROR(__xludf.DUMMYFUNCTION("""COMPUTED_VALUE"""),"740460599475760_1927797234075418")</f>
        <v>740460599475760_1927797234075418</v>
      </c>
      <c r="J62" s="11">
        <f>IFERROR(__xludf.DUMMYFUNCTION("""COMPUTED_VALUE"""),1273.0)</f>
        <v>1273</v>
      </c>
      <c r="K62" s="11">
        <f>IFERROR(__xludf.DUMMYFUNCTION("""COMPUTED_VALUE"""),60.0)</f>
        <v>60</v>
      </c>
      <c r="L62" s="11">
        <f>IFERROR(__xludf.DUMMYFUNCTION("""COMPUTED_VALUE"""),7.0)</f>
        <v>7</v>
      </c>
      <c r="M62" s="11">
        <f>IFERROR(__xludf.DUMMYFUNCTION("""COMPUTED_VALUE"""),0.0)</f>
        <v>0</v>
      </c>
      <c r="N62" s="11">
        <f t="shared" si="1"/>
        <v>1340</v>
      </c>
    </row>
    <row r="63">
      <c r="E63" s="11" t="s">
        <v>1670</v>
      </c>
      <c r="F63" s="11" t="s">
        <v>1671</v>
      </c>
      <c r="I63" s="11" t="str">
        <f>IFERROR(__xludf.DUMMYFUNCTION("""COMPUTED_VALUE"""),"740460599475760_1927801720741636")</f>
        <v>740460599475760_1927801720741636</v>
      </c>
      <c r="J63" s="11">
        <f>IFERROR(__xludf.DUMMYFUNCTION("""COMPUTED_VALUE"""),5473.0)</f>
        <v>5473</v>
      </c>
      <c r="K63" s="11">
        <f>IFERROR(__xludf.DUMMYFUNCTION("""COMPUTED_VALUE"""),351.0)</f>
        <v>351</v>
      </c>
      <c r="L63" s="11">
        <f>IFERROR(__xludf.DUMMYFUNCTION("""COMPUTED_VALUE"""),14.0)</f>
        <v>14</v>
      </c>
      <c r="M63" s="11">
        <f>IFERROR(__xludf.DUMMYFUNCTION("""COMPUTED_VALUE"""),0.0)</f>
        <v>0</v>
      </c>
      <c r="N63" s="11">
        <f t="shared" si="1"/>
        <v>5838</v>
      </c>
    </row>
    <row r="64">
      <c r="D64" s="11" t="s">
        <v>50</v>
      </c>
      <c r="E64" s="11">
        <v>28705.0</v>
      </c>
      <c r="F64" s="11">
        <v>1010.9554655870445</v>
      </c>
      <c r="I64" s="11" t="str">
        <f>IFERROR(__xludf.DUMMYFUNCTION("""COMPUTED_VALUE"""),"740460599475760_1932721116916363")</f>
        <v>740460599475760_1932721116916363</v>
      </c>
      <c r="J64" s="11">
        <f>IFERROR(__xludf.DUMMYFUNCTION("""COMPUTED_VALUE"""),407.0)</f>
        <v>407</v>
      </c>
      <c r="K64" s="11">
        <f>IFERROR(__xludf.DUMMYFUNCTION("""COMPUTED_VALUE"""),26.0)</f>
        <v>26</v>
      </c>
      <c r="L64" s="11"/>
      <c r="M64" s="11">
        <f>IFERROR(__xludf.DUMMYFUNCTION("""COMPUTED_VALUE"""),0.0)</f>
        <v>0</v>
      </c>
      <c r="N64" s="11">
        <f t="shared" si="1"/>
        <v>433</v>
      </c>
    </row>
    <row r="65">
      <c r="I65" s="11" t="str">
        <f>IFERROR(__xludf.DUMMYFUNCTION("""COMPUTED_VALUE"""),"740460599475760_1940827519439056")</f>
        <v>740460599475760_1940827519439056</v>
      </c>
      <c r="J65" s="11">
        <f>IFERROR(__xludf.DUMMYFUNCTION("""COMPUTED_VALUE"""),1272.0)</f>
        <v>1272</v>
      </c>
      <c r="K65" s="11">
        <f>IFERROR(__xludf.DUMMYFUNCTION("""COMPUTED_VALUE"""),92.0)</f>
        <v>92</v>
      </c>
      <c r="L65" s="11">
        <f>IFERROR(__xludf.DUMMYFUNCTION("""COMPUTED_VALUE"""),12.0)</f>
        <v>12</v>
      </c>
      <c r="M65" s="11">
        <f>IFERROR(__xludf.DUMMYFUNCTION("""COMPUTED_VALUE"""),0.0)</f>
        <v>0</v>
      </c>
      <c r="N65" s="11">
        <f t="shared" si="1"/>
        <v>1376</v>
      </c>
    </row>
    <row r="66">
      <c r="I66" s="11" t="str">
        <f>IFERROR(__xludf.DUMMYFUNCTION("""COMPUTED_VALUE"""),"740460599475760_1949208095267665")</f>
        <v>740460599475760_1949208095267665</v>
      </c>
      <c r="J66" s="11">
        <f>IFERROR(__xludf.DUMMYFUNCTION("""COMPUTED_VALUE"""),288.0)</f>
        <v>288</v>
      </c>
      <c r="K66" s="11">
        <f>IFERROR(__xludf.DUMMYFUNCTION("""COMPUTED_VALUE"""),65.0)</f>
        <v>65</v>
      </c>
      <c r="L66" s="11"/>
      <c r="M66" s="11">
        <f>IFERROR(__xludf.DUMMYFUNCTION("""COMPUTED_VALUE"""),0.0)</f>
        <v>0</v>
      </c>
      <c r="N66" s="11">
        <f t="shared" si="1"/>
        <v>353</v>
      </c>
    </row>
    <row r="67">
      <c r="D67" s="13"/>
      <c r="E67" s="13"/>
      <c r="F67" s="13"/>
      <c r="G67" s="13"/>
      <c r="H67" s="13"/>
      <c r="I67" s="14" t="str">
        <f>IFERROR(__xludf.DUMMYFUNCTION("""COMPUTED_VALUE"""),"172882636630076_987097465208585")</f>
        <v>172882636630076_987097465208585</v>
      </c>
      <c r="J67" s="13">
        <f>IFERROR(__xludf.DUMMYFUNCTION("""COMPUTED_VALUE"""),359.0)</f>
        <v>359</v>
      </c>
      <c r="K67" s="13">
        <f>IFERROR(__xludf.DUMMYFUNCTION("""COMPUTED_VALUE"""),4.0)</f>
        <v>4</v>
      </c>
      <c r="L67" s="13">
        <f>IFERROR(__xludf.DUMMYFUNCTION("""COMPUTED_VALUE"""),2.0)</f>
        <v>2</v>
      </c>
      <c r="M67" s="13">
        <f>IFERROR(__xludf.DUMMYFUNCTION("""COMPUTED_VALUE"""),0.0)</f>
        <v>0</v>
      </c>
      <c r="N67" s="11">
        <f t="shared" si="1"/>
        <v>365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>
      <c r="I68" s="13" t="str">
        <f>IFERROR(__xludf.DUMMYFUNCTION("""COMPUTED_VALUE"""),"172882636630076_991318428119822")</f>
        <v>172882636630076_991318428119822</v>
      </c>
      <c r="J68" s="13">
        <f>IFERROR(__xludf.DUMMYFUNCTION("""COMPUTED_VALUE"""),253.0)</f>
        <v>253</v>
      </c>
      <c r="K68" s="13">
        <f>IFERROR(__xludf.DUMMYFUNCTION("""COMPUTED_VALUE"""),3.0)</f>
        <v>3</v>
      </c>
      <c r="L68" s="13">
        <f>IFERROR(__xludf.DUMMYFUNCTION("""COMPUTED_VALUE"""),2.0)</f>
        <v>2</v>
      </c>
      <c r="M68" s="13">
        <f>IFERROR(__xludf.DUMMYFUNCTION("""COMPUTED_VALUE"""),0.0)</f>
        <v>0</v>
      </c>
      <c r="N68" s="11">
        <f t="shared" si="1"/>
        <v>258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>
      <c r="I69" s="13" t="str">
        <f>IFERROR(__xludf.DUMMYFUNCTION("""COMPUTED_VALUE"""),"172882636630076_1014482262470105")</f>
        <v>172882636630076_1014482262470105</v>
      </c>
      <c r="J69" s="13">
        <f>IFERROR(__xludf.DUMMYFUNCTION("""COMPUTED_VALUE"""),107.0)</f>
        <v>107</v>
      </c>
      <c r="K69" s="13">
        <f>IFERROR(__xludf.DUMMYFUNCTION("""COMPUTED_VALUE"""),0.0)</f>
        <v>0</v>
      </c>
      <c r="L69" s="13"/>
      <c r="M69" s="13">
        <f>IFERROR(__xludf.DUMMYFUNCTION("""COMPUTED_VALUE"""),0.0)</f>
        <v>0</v>
      </c>
      <c r="N69" s="11">
        <f t="shared" si="1"/>
        <v>107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>
      <c r="I70" s="13" t="str">
        <f>IFERROR(__xludf.DUMMYFUNCTION("""COMPUTED_VALUE"""),"172882636630076_1014489645802700")</f>
        <v>172882636630076_1014489645802700</v>
      </c>
      <c r="J70" s="13">
        <f>IFERROR(__xludf.DUMMYFUNCTION("""COMPUTED_VALUE"""),33.0)</f>
        <v>33</v>
      </c>
      <c r="K70" s="13">
        <f>IFERROR(__xludf.DUMMYFUNCTION("""COMPUTED_VALUE"""),0.0)</f>
        <v>0</v>
      </c>
      <c r="L70" s="13"/>
      <c r="M70" s="13">
        <f>IFERROR(__xludf.DUMMYFUNCTION("""COMPUTED_VALUE"""),0.0)</f>
        <v>0</v>
      </c>
      <c r="N70" s="11">
        <f t="shared" si="1"/>
        <v>33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>
      <c r="I71" s="13" t="str">
        <f>IFERROR(__xludf.DUMMYFUNCTION("""COMPUTED_VALUE"""),"740460599475760_4546634405427841")</f>
        <v>740460599475760_4546634405427841</v>
      </c>
      <c r="J71" s="13">
        <f>IFERROR(__xludf.DUMMYFUNCTION("""COMPUTED_VALUE"""),1984.0)</f>
        <v>1984</v>
      </c>
      <c r="K71" s="13">
        <f>IFERROR(__xludf.DUMMYFUNCTION("""COMPUTED_VALUE"""),1427.0)</f>
        <v>1427</v>
      </c>
      <c r="L71" s="13">
        <f>IFERROR(__xludf.DUMMYFUNCTION("""COMPUTED_VALUE"""),243.0)</f>
        <v>243</v>
      </c>
      <c r="M71" s="13">
        <f>IFERROR(__xludf.DUMMYFUNCTION("""COMPUTED_VALUE"""),41.0)</f>
        <v>41</v>
      </c>
      <c r="N71" s="11">
        <f t="shared" si="1"/>
        <v>3654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</row>
    <row r="72">
      <c r="I72" s="13" t="str">
        <f>IFERROR(__xludf.DUMMYFUNCTION("""COMPUTED_VALUE"""),"740460599475760_306128691099558")</f>
        <v>740460599475760_306128691099558</v>
      </c>
      <c r="J72" s="13">
        <f>IFERROR(__xludf.DUMMYFUNCTION("""COMPUTED_VALUE"""),1080.0)</f>
        <v>1080</v>
      </c>
      <c r="K72" s="13">
        <f>IFERROR(__xludf.DUMMYFUNCTION("""COMPUTED_VALUE"""),240.0)</f>
        <v>240</v>
      </c>
      <c r="L72" s="13">
        <f>IFERROR(__xludf.DUMMYFUNCTION("""COMPUTED_VALUE"""),59.0)</f>
        <v>59</v>
      </c>
      <c r="M72" s="13">
        <f>IFERROR(__xludf.DUMMYFUNCTION("""COMPUTED_VALUE"""),75.0)</f>
        <v>75</v>
      </c>
      <c r="N72" s="11">
        <f t="shared" si="1"/>
        <v>1379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</row>
    <row r="73">
      <c r="I73" s="13" t="str">
        <f>IFERROR(__xludf.DUMMYFUNCTION("""COMPUTED_VALUE"""),"740460599475760_1951513731703768")</f>
        <v>740460599475760_1951513731703768</v>
      </c>
      <c r="J73" s="11">
        <f>IFERROR(__xludf.DUMMYFUNCTION("""COMPUTED_VALUE"""),733.0)</f>
        <v>733</v>
      </c>
      <c r="K73" s="11">
        <f>IFERROR(__xludf.DUMMYFUNCTION("""COMPUTED_VALUE"""),40.0)</f>
        <v>40</v>
      </c>
      <c r="L73" s="11">
        <f>IFERROR(__xludf.DUMMYFUNCTION("""COMPUTED_VALUE"""),111.0)</f>
        <v>111</v>
      </c>
      <c r="M73" s="11">
        <f>IFERROR(__xludf.DUMMYFUNCTION("""COMPUTED_VALUE"""),93.0)</f>
        <v>93</v>
      </c>
      <c r="N73" s="11">
        <f t="shared" si="1"/>
        <v>884</v>
      </c>
    </row>
    <row r="74">
      <c r="I74" s="13" t="str">
        <f>IFERROR(__xludf.DUMMYFUNCTION("""COMPUTED_VALUE"""),"172882636630076_1003205673597764")</f>
        <v>172882636630076_1003205673597764</v>
      </c>
      <c r="J74" s="11">
        <f>IFERROR(__xludf.DUMMYFUNCTION("""COMPUTED_VALUE"""),227.0)</f>
        <v>227</v>
      </c>
      <c r="K74" s="11">
        <f>IFERROR(__xludf.DUMMYFUNCTION("""COMPUTED_VALUE"""),1.0)</f>
        <v>1</v>
      </c>
      <c r="L74" s="11">
        <f>IFERROR(__xludf.DUMMYFUNCTION("""COMPUTED_VALUE"""),3.0)</f>
        <v>3</v>
      </c>
      <c r="M74" s="11">
        <f>IFERROR(__xludf.DUMMYFUNCTION("""COMPUTED_VALUE"""),93.0)</f>
        <v>93</v>
      </c>
      <c r="N74" s="11">
        <f t="shared" si="1"/>
        <v>231</v>
      </c>
    </row>
    <row r="75">
      <c r="I75" s="13" t="str">
        <f>IFERROR(__xludf.DUMMYFUNCTION("""COMPUTED_VALUE"""),"740460599475760_1905962889592186")</f>
        <v>740460599475760_1905962889592186</v>
      </c>
      <c r="J75" s="11">
        <f>IFERROR(__xludf.DUMMYFUNCTION("""COMPUTED_VALUE"""),2168.0)</f>
        <v>2168</v>
      </c>
      <c r="K75" s="11">
        <f>IFERROR(__xludf.DUMMYFUNCTION("""COMPUTED_VALUE"""),158.0)</f>
        <v>158</v>
      </c>
      <c r="L75" s="11">
        <f>IFERROR(__xludf.DUMMYFUNCTION("""COMPUTED_VALUE"""),90.0)</f>
        <v>90</v>
      </c>
      <c r="M75" s="11">
        <f>IFERROR(__xludf.DUMMYFUNCTION("""COMPUTED_VALUE"""),107.0)</f>
        <v>107</v>
      </c>
      <c r="N75" s="11">
        <f t="shared" si="1"/>
        <v>2416</v>
      </c>
    </row>
    <row r="76">
      <c r="I76" s="13" t="str">
        <f>IFERROR(__xludf.DUMMYFUNCTION("""COMPUTED_VALUE"""),"172882636630076_1013230399261958")</f>
        <v>172882636630076_1013230399261958</v>
      </c>
      <c r="J76" s="11">
        <f>IFERROR(__xludf.DUMMYFUNCTION("""COMPUTED_VALUE"""),76.0)</f>
        <v>76</v>
      </c>
      <c r="K76" s="11">
        <f>IFERROR(__xludf.DUMMYFUNCTION("""COMPUTED_VALUE"""),0.0)</f>
        <v>0</v>
      </c>
      <c r="L76" s="11">
        <f>IFERROR(__xludf.DUMMYFUNCTION("""COMPUTED_VALUE"""),1.0)</f>
        <v>1</v>
      </c>
      <c r="M76" s="11">
        <f>IFERROR(__xludf.DUMMYFUNCTION("""COMPUTED_VALUE"""),107.0)</f>
        <v>107</v>
      </c>
      <c r="N76" s="11">
        <f t="shared" si="1"/>
        <v>77</v>
      </c>
    </row>
    <row r="77">
      <c r="I77" s="13" t="str">
        <f>IFERROR(__xludf.DUMMYFUNCTION("""COMPUTED_VALUE"""),"740460599475760_1963778730477268")</f>
        <v>740460599475760_1963778730477268</v>
      </c>
      <c r="J77" s="11">
        <f>IFERROR(__xludf.DUMMYFUNCTION("""COMPUTED_VALUE"""),896.0)</f>
        <v>896</v>
      </c>
      <c r="K77" s="11">
        <f>IFERROR(__xludf.DUMMYFUNCTION("""COMPUTED_VALUE"""),40.0)</f>
        <v>40</v>
      </c>
      <c r="L77" s="11">
        <f>IFERROR(__xludf.DUMMYFUNCTION("""COMPUTED_VALUE"""),40.0)</f>
        <v>40</v>
      </c>
      <c r="M77" s="11">
        <f>IFERROR(__xludf.DUMMYFUNCTION("""COMPUTED_VALUE"""),110.0)</f>
        <v>110</v>
      </c>
      <c r="N77" s="11">
        <f t="shared" si="1"/>
        <v>976</v>
      </c>
    </row>
    <row r="78">
      <c r="I78" s="13" t="str">
        <f>IFERROR(__xludf.DUMMYFUNCTION("""COMPUTED_VALUE"""),"740460599475760_1947695698752238")</f>
        <v>740460599475760_1947695698752238</v>
      </c>
      <c r="J78" s="11">
        <f>IFERROR(__xludf.DUMMYFUNCTION("""COMPUTED_VALUE"""),1180.0)</f>
        <v>1180</v>
      </c>
      <c r="K78" s="11">
        <f>IFERROR(__xludf.DUMMYFUNCTION("""COMPUTED_VALUE"""),147.0)</f>
        <v>147</v>
      </c>
      <c r="L78" s="11">
        <f>IFERROR(__xludf.DUMMYFUNCTION("""COMPUTED_VALUE"""),65.0)</f>
        <v>65</v>
      </c>
      <c r="M78" s="11">
        <f>IFERROR(__xludf.DUMMYFUNCTION("""COMPUTED_VALUE"""),116.0)</f>
        <v>116</v>
      </c>
      <c r="N78" s="11">
        <f t="shared" si="1"/>
        <v>1392</v>
      </c>
    </row>
    <row r="79">
      <c r="I79" s="13" t="str">
        <f>IFERROR(__xludf.DUMMYFUNCTION("""COMPUTED_VALUE"""),"740460599475760_1963827217139086")</f>
        <v>740460599475760_1963827217139086</v>
      </c>
      <c r="J79" s="11">
        <f>IFERROR(__xludf.DUMMYFUNCTION("""COMPUTED_VALUE"""),885.0)</f>
        <v>885</v>
      </c>
      <c r="K79" s="11">
        <f>IFERROR(__xludf.DUMMYFUNCTION("""COMPUTED_VALUE"""),73.0)</f>
        <v>73</v>
      </c>
      <c r="L79" s="11">
        <f>IFERROR(__xludf.DUMMYFUNCTION("""COMPUTED_VALUE"""),17.0)</f>
        <v>17</v>
      </c>
      <c r="M79" s="11">
        <f>IFERROR(__xludf.DUMMYFUNCTION("""COMPUTED_VALUE"""),122.0)</f>
        <v>122</v>
      </c>
      <c r="N79" s="11">
        <f t="shared" si="1"/>
        <v>975</v>
      </c>
    </row>
    <row r="80">
      <c r="I80" s="13" t="str">
        <f>IFERROR(__xludf.DUMMYFUNCTION("""COMPUTED_VALUE"""),"740460599475760_1911243259064149")</f>
        <v>740460599475760_1911243259064149</v>
      </c>
      <c r="J80" s="11">
        <f>IFERROR(__xludf.DUMMYFUNCTION("""COMPUTED_VALUE"""),1673.0)</f>
        <v>1673</v>
      </c>
      <c r="K80" s="11">
        <f>IFERROR(__xludf.DUMMYFUNCTION("""COMPUTED_VALUE"""),250.0)</f>
        <v>250</v>
      </c>
      <c r="L80" s="11">
        <f>IFERROR(__xludf.DUMMYFUNCTION("""COMPUTED_VALUE"""),54.0)</f>
        <v>54</v>
      </c>
      <c r="M80" s="11">
        <f>IFERROR(__xludf.DUMMYFUNCTION("""COMPUTED_VALUE"""),127.0)</f>
        <v>127</v>
      </c>
      <c r="N80" s="11">
        <f t="shared" si="1"/>
        <v>1977</v>
      </c>
    </row>
    <row r="81">
      <c r="I81" s="13" t="str">
        <f>IFERROR(__xludf.DUMMYFUNCTION("""COMPUTED_VALUE"""),"740460599475760_295978249106529")</f>
        <v>740460599475760_295978249106529</v>
      </c>
      <c r="J81" s="11">
        <f>IFERROR(__xludf.DUMMYFUNCTION("""COMPUTED_VALUE"""),606.0)</f>
        <v>606</v>
      </c>
      <c r="K81" s="11">
        <f>IFERROR(__xludf.DUMMYFUNCTION("""COMPUTED_VALUE"""),271.0)</f>
        <v>271</v>
      </c>
      <c r="L81" s="11">
        <f>IFERROR(__xludf.DUMMYFUNCTION("""COMPUTED_VALUE"""),90.0)</f>
        <v>90</v>
      </c>
      <c r="M81" s="11">
        <f>IFERROR(__xludf.DUMMYFUNCTION("""COMPUTED_VALUE"""),127.0)</f>
        <v>127</v>
      </c>
      <c r="N81" s="11">
        <f t="shared" si="1"/>
        <v>967</v>
      </c>
    </row>
    <row r="82">
      <c r="I82" s="13" t="str">
        <f>IFERROR(__xludf.DUMMYFUNCTION("""COMPUTED_VALUE"""),"740460599475760_1963845677137240")</f>
        <v>740460599475760_1963845677137240</v>
      </c>
      <c r="J82" s="11">
        <f>IFERROR(__xludf.DUMMYFUNCTION("""COMPUTED_VALUE"""),424.0)</f>
        <v>424</v>
      </c>
      <c r="K82" s="11">
        <f>IFERROR(__xludf.DUMMYFUNCTION("""COMPUTED_VALUE"""),35.0)</f>
        <v>35</v>
      </c>
      <c r="L82" s="11">
        <f>IFERROR(__xludf.DUMMYFUNCTION("""COMPUTED_VALUE"""),12.0)</f>
        <v>12</v>
      </c>
      <c r="M82" s="11">
        <f>IFERROR(__xludf.DUMMYFUNCTION("""COMPUTED_VALUE"""),127.0)</f>
        <v>127</v>
      </c>
      <c r="N82" s="11">
        <f t="shared" si="1"/>
        <v>471</v>
      </c>
    </row>
    <row r="83">
      <c r="I83" s="13" t="str">
        <f>IFERROR(__xludf.DUMMYFUNCTION("""COMPUTED_VALUE"""),"740460599475760_1949254281929713")</f>
        <v>740460599475760_1949254281929713</v>
      </c>
      <c r="J83" s="11">
        <f>IFERROR(__xludf.DUMMYFUNCTION("""COMPUTED_VALUE"""),2195.0)</f>
        <v>2195</v>
      </c>
      <c r="K83" s="11">
        <f>IFERROR(__xludf.DUMMYFUNCTION("""COMPUTED_VALUE"""),116.0)</f>
        <v>116</v>
      </c>
      <c r="L83" s="11">
        <f>IFERROR(__xludf.DUMMYFUNCTION("""COMPUTED_VALUE"""),51.0)</f>
        <v>51</v>
      </c>
      <c r="M83" s="11">
        <f>IFERROR(__xludf.DUMMYFUNCTION("""COMPUTED_VALUE"""),130.0)</f>
        <v>130</v>
      </c>
      <c r="N83" s="11">
        <f t="shared" si="1"/>
        <v>2362</v>
      </c>
    </row>
    <row r="84">
      <c r="I84" s="13" t="str">
        <f>IFERROR(__xludf.DUMMYFUNCTION("""COMPUTED_VALUE"""),"740460599475760_1908796782642130")</f>
        <v>740460599475760_1908796782642130</v>
      </c>
      <c r="J84" s="11">
        <f>IFERROR(__xludf.DUMMYFUNCTION("""COMPUTED_VALUE"""),4573.0)</f>
        <v>4573</v>
      </c>
      <c r="K84" s="11">
        <f>IFERROR(__xludf.DUMMYFUNCTION("""COMPUTED_VALUE"""),710.0)</f>
        <v>710</v>
      </c>
      <c r="L84" s="11">
        <f>IFERROR(__xludf.DUMMYFUNCTION("""COMPUTED_VALUE"""),723.0)</f>
        <v>723</v>
      </c>
      <c r="M84" s="11">
        <f>IFERROR(__xludf.DUMMYFUNCTION("""COMPUTED_VALUE"""),132.0)</f>
        <v>132</v>
      </c>
      <c r="N84" s="11">
        <f t="shared" si="1"/>
        <v>6006</v>
      </c>
    </row>
    <row r="85">
      <c r="I85" s="13" t="str">
        <f>IFERROR(__xludf.DUMMYFUNCTION("""COMPUTED_VALUE"""),"740460599475760_1908797172642091")</f>
        <v>740460599475760_1908797172642091</v>
      </c>
      <c r="J85" s="11">
        <f>IFERROR(__xludf.DUMMYFUNCTION("""COMPUTED_VALUE"""),916.0)</f>
        <v>916</v>
      </c>
      <c r="K85" s="11">
        <f>IFERROR(__xludf.DUMMYFUNCTION("""COMPUTED_VALUE"""),187.0)</f>
        <v>187</v>
      </c>
      <c r="L85" s="11">
        <f>IFERROR(__xludf.DUMMYFUNCTION("""COMPUTED_VALUE"""),18.0)</f>
        <v>18</v>
      </c>
      <c r="M85" s="11">
        <f>IFERROR(__xludf.DUMMYFUNCTION("""COMPUTED_VALUE"""),133.0)</f>
        <v>133</v>
      </c>
      <c r="N85" s="11">
        <f t="shared" si="1"/>
        <v>1121</v>
      </c>
    </row>
    <row r="86">
      <c r="I86" s="13" t="str">
        <f>IFERROR(__xludf.DUMMYFUNCTION("""COMPUTED_VALUE"""),"172882636630076_1021170775134587")</f>
        <v>172882636630076_1021170775134587</v>
      </c>
      <c r="J86" s="11">
        <f>IFERROR(__xludf.DUMMYFUNCTION("""COMPUTED_VALUE"""),137.0)</f>
        <v>137</v>
      </c>
      <c r="K86" s="11">
        <f>IFERROR(__xludf.DUMMYFUNCTION("""COMPUTED_VALUE"""),0.0)</f>
        <v>0</v>
      </c>
      <c r="L86" s="11">
        <f>IFERROR(__xludf.DUMMYFUNCTION("""COMPUTED_VALUE"""),1.0)</f>
        <v>1</v>
      </c>
      <c r="M86" s="11">
        <f>IFERROR(__xludf.DUMMYFUNCTION("""COMPUTED_VALUE"""),135.0)</f>
        <v>135</v>
      </c>
      <c r="N86" s="11">
        <f t="shared" si="1"/>
        <v>138</v>
      </c>
    </row>
    <row r="87">
      <c r="I87" s="13" t="str">
        <f>IFERROR(__xludf.DUMMYFUNCTION("""COMPUTED_VALUE"""),"740460599475760_1911243639064111")</f>
        <v>740460599475760_1911243639064111</v>
      </c>
      <c r="J87" s="11">
        <f>IFERROR(__xludf.DUMMYFUNCTION("""COMPUTED_VALUE"""),734.0)</f>
        <v>734</v>
      </c>
      <c r="K87" s="11">
        <f>IFERROR(__xludf.DUMMYFUNCTION("""COMPUTED_VALUE"""),23.0)</f>
        <v>23</v>
      </c>
      <c r="L87" s="11">
        <f>IFERROR(__xludf.DUMMYFUNCTION("""COMPUTED_VALUE"""),62.0)</f>
        <v>62</v>
      </c>
      <c r="M87" s="11">
        <f>IFERROR(__xludf.DUMMYFUNCTION("""COMPUTED_VALUE"""),137.0)</f>
        <v>137</v>
      </c>
      <c r="N87" s="11">
        <f t="shared" si="1"/>
        <v>819</v>
      </c>
    </row>
    <row r="88">
      <c r="F88" s="13"/>
      <c r="G88" s="13"/>
      <c r="H88" s="13"/>
      <c r="I88" s="13" t="str">
        <f>IFERROR(__xludf.DUMMYFUNCTION("""COMPUTED_VALUE"""),"740460599475760_1967695280085613")</f>
        <v>740460599475760_1967695280085613</v>
      </c>
      <c r="J88" s="11">
        <f>IFERROR(__xludf.DUMMYFUNCTION("""COMPUTED_VALUE"""),1219.0)</f>
        <v>1219</v>
      </c>
      <c r="K88" s="11">
        <f>IFERROR(__xludf.DUMMYFUNCTION("""COMPUTED_VALUE"""),140.0)</f>
        <v>140</v>
      </c>
      <c r="L88" s="11">
        <f>IFERROR(__xludf.DUMMYFUNCTION("""COMPUTED_VALUE"""),75.0)</f>
        <v>75</v>
      </c>
      <c r="M88" s="11">
        <f>IFERROR(__xludf.DUMMYFUNCTION("""COMPUTED_VALUE"""),137.0)</f>
        <v>137</v>
      </c>
      <c r="N88" s="11">
        <f t="shared" si="1"/>
        <v>1434</v>
      </c>
    </row>
    <row r="89">
      <c r="I89" s="13" t="str">
        <f>IFERROR(__xludf.DUMMYFUNCTION("""COMPUTED_VALUE"""),"740460599475760_1908168186038323")</f>
        <v>740460599475760_1908168186038323</v>
      </c>
      <c r="J89" s="11">
        <f>IFERROR(__xludf.DUMMYFUNCTION("""COMPUTED_VALUE"""),1638.0)</f>
        <v>1638</v>
      </c>
      <c r="K89" s="11">
        <f>IFERROR(__xludf.DUMMYFUNCTION("""COMPUTED_VALUE"""),261.0)</f>
        <v>261</v>
      </c>
      <c r="L89" s="11">
        <f>IFERROR(__xludf.DUMMYFUNCTION("""COMPUTED_VALUE"""),28.0)</f>
        <v>28</v>
      </c>
      <c r="M89" s="11">
        <f>IFERROR(__xludf.DUMMYFUNCTION("""COMPUTED_VALUE"""),138.0)</f>
        <v>138</v>
      </c>
      <c r="N89" s="11">
        <f t="shared" si="1"/>
        <v>1927</v>
      </c>
    </row>
    <row r="90">
      <c r="I90" s="13" t="str">
        <f>IFERROR(__xludf.DUMMYFUNCTION("""COMPUTED_VALUE"""),"740460599475760_1917008835154258")</f>
        <v>740460599475760_1917008835154258</v>
      </c>
      <c r="J90" s="11">
        <f>IFERROR(__xludf.DUMMYFUNCTION("""COMPUTED_VALUE"""),15325.0)</f>
        <v>15325</v>
      </c>
      <c r="K90" s="11">
        <f>IFERROR(__xludf.DUMMYFUNCTION("""COMPUTED_VALUE"""),4257.0)</f>
        <v>4257</v>
      </c>
      <c r="L90" s="11">
        <f>IFERROR(__xludf.DUMMYFUNCTION("""COMPUTED_VALUE"""),1884.0)</f>
        <v>1884</v>
      </c>
      <c r="M90" s="11">
        <f>IFERROR(__xludf.DUMMYFUNCTION("""COMPUTED_VALUE"""),138.0)</f>
        <v>138</v>
      </c>
      <c r="N90" s="11">
        <f t="shared" si="1"/>
        <v>21466</v>
      </c>
    </row>
    <row r="91">
      <c r="I91" s="13" t="str">
        <f>IFERROR(__xludf.DUMMYFUNCTION("""COMPUTED_VALUE"""),"740460599475760_1944019885786486")</f>
        <v>740460599475760_1944019885786486</v>
      </c>
      <c r="J91" s="11">
        <f>IFERROR(__xludf.DUMMYFUNCTION("""COMPUTED_VALUE"""),1136.0)</f>
        <v>1136</v>
      </c>
      <c r="K91" s="11">
        <f>IFERROR(__xludf.DUMMYFUNCTION("""COMPUTED_VALUE"""),37.0)</f>
        <v>37</v>
      </c>
      <c r="L91" s="11">
        <f>IFERROR(__xludf.DUMMYFUNCTION("""COMPUTED_VALUE"""),20.0)</f>
        <v>20</v>
      </c>
      <c r="M91" s="11">
        <f>IFERROR(__xludf.DUMMYFUNCTION("""COMPUTED_VALUE"""),140.0)</f>
        <v>140</v>
      </c>
      <c r="N91" s="11">
        <f t="shared" si="1"/>
        <v>1193</v>
      </c>
    </row>
    <row r="92">
      <c r="I92" s="13" t="str">
        <f>IFERROR(__xludf.DUMMYFUNCTION("""COMPUTED_VALUE"""),"740460599475760_1910342392487569")</f>
        <v>740460599475760_1910342392487569</v>
      </c>
      <c r="J92" s="11">
        <f>IFERROR(__xludf.DUMMYFUNCTION("""COMPUTED_VALUE"""),569.0)</f>
        <v>569</v>
      </c>
      <c r="K92" s="11">
        <f>IFERROR(__xludf.DUMMYFUNCTION("""COMPUTED_VALUE"""),42.0)</f>
        <v>42</v>
      </c>
      <c r="L92" s="11">
        <f>IFERROR(__xludf.DUMMYFUNCTION("""COMPUTED_VALUE"""),24.0)</f>
        <v>24</v>
      </c>
      <c r="M92" s="11">
        <f>IFERROR(__xludf.DUMMYFUNCTION("""COMPUTED_VALUE"""),141.0)</f>
        <v>141</v>
      </c>
      <c r="N92" s="11">
        <f t="shared" si="1"/>
        <v>635</v>
      </c>
    </row>
    <row r="93">
      <c r="I93" s="13" t="str">
        <f>IFERROR(__xludf.DUMMYFUNCTION("""COMPUTED_VALUE"""),"740460599475760_1969128239942317")</f>
        <v>740460599475760_1969128239942317</v>
      </c>
      <c r="J93" s="11">
        <f>IFERROR(__xludf.DUMMYFUNCTION("""COMPUTED_VALUE"""),1777.0)</f>
        <v>1777</v>
      </c>
      <c r="K93" s="11">
        <f>IFERROR(__xludf.DUMMYFUNCTION("""COMPUTED_VALUE"""),113.0)</f>
        <v>113</v>
      </c>
      <c r="L93" s="11">
        <f>IFERROR(__xludf.DUMMYFUNCTION("""COMPUTED_VALUE"""),36.0)</f>
        <v>36</v>
      </c>
      <c r="M93" s="11">
        <f>IFERROR(__xludf.DUMMYFUNCTION("""COMPUTED_VALUE"""),145.0)</f>
        <v>145</v>
      </c>
      <c r="N93" s="11">
        <f t="shared" si="1"/>
        <v>1926</v>
      </c>
    </row>
    <row r="94">
      <c r="I94" s="13" t="str">
        <f>IFERROR(__xludf.DUMMYFUNCTION("""COMPUTED_VALUE"""),"740460599475760_1964456007076207")</f>
        <v>740460599475760_1964456007076207</v>
      </c>
      <c r="J94" s="11">
        <f>IFERROR(__xludf.DUMMYFUNCTION("""COMPUTED_VALUE"""),584.0)</f>
        <v>584</v>
      </c>
      <c r="K94" s="11">
        <f>IFERROR(__xludf.DUMMYFUNCTION("""COMPUTED_VALUE"""),52.0)</f>
        <v>52</v>
      </c>
      <c r="L94" s="11">
        <f>IFERROR(__xludf.DUMMYFUNCTION("""COMPUTED_VALUE"""),13.0)</f>
        <v>13</v>
      </c>
      <c r="M94" s="11">
        <f>IFERROR(__xludf.DUMMYFUNCTION("""COMPUTED_VALUE"""),146.0)</f>
        <v>146</v>
      </c>
      <c r="N94" s="11">
        <f t="shared" si="1"/>
        <v>649</v>
      </c>
    </row>
    <row r="95">
      <c r="I95" s="13" t="str">
        <f>IFERROR(__xludf.DUMMYFUNCTION("""COMPUTED_VALUE"""),"740460599475760_1951423808379427")</f>
        <v>740460599475760_1951423808379427</v>
      </c>
      <c r="J95" s="11">
        <f>IFERROR(__xludf.DUMMYFUNCTION("""COMPUTED_VALUE"""),2970.0)</f>
        <v>2970</v>
      </c>
      <c r="K95" s="11">
        <f>IFERROR(__xludf.DUMMYFUNCTION("""COMPUTED_VALUE"""),131.0)</f>
        <v>131</v>
      </c>
      <c r="L95" s="11">
        <f>IFERROR(__xludf.DUMMYFUNCTION("""COMPUTED_VALUE"""),72.0)</f>
        <v>72</v>
      </c>
      <c r="M95" s="11">
        <f>IFERROR(__xludf.DUMMYFUNCTION("""COMPUTED_VALUE"""),147.0)</f>
        <v>147</v>
      </c>
      <c r="N95" s="11">
        <f t="shared" si="1"/>
        <v>3173</v>
      </c>
    </row>
    <row r="96">
      <c r="I96" s="13" t="str">
        <f>IFERROR(__xludf.DUMMYFUNCTION("""COMPUTED_VALUE"""),"740460599475760_1911245965730545")</f>
        <v>740460599475760_1911245965730545</v>
      </c>
      <c r="J96" s="11">
        <f>IFERROR(__xludf.DUMMYFUNCTION("""COMPUTED_VALUE"""),721.0)</f>
        <v>721</v>
      </c>
      <c r="K96" s="11">
        <f>IFERROR(__xludf.DUMMYFUNCTION("""COMPUTED_VALUE"""),46.0)</f>
        <v>46</v>
      </c>
      <c r="L96" s="11">
        <f>IFERROR(__xludf.DUMMYFUNCTION("""COMPUTED_VALUE"""),10.0)</f>
        <v>10</v>
      </c>
      <c r="M96" s="11">
        <f>IFERROR(__xludf.DUMMYFUNCTION("""COMPUTED_VALUE"""),148.0)</f>
        <v>148</v>
      </c>
      <c r="N96" s="11">
        <f t="shared" si="1"/>
        <v>777</v>
      </c>
    </row>
    <row r="97">
      <c r="I97" s="13" t="str">
        <f>IFERROR(__xludf.DUMMYFUNCTION("""COMPUTED_VALUE"""),"740460599475760_1938587642996377")</f>
        <v>740460599475760_1938587642996377</v>
      </c>
      <c r="J97" s="11">
        <f>IFERROR(__xludf.DUMMYFUNCTION("""COMPUTED_VALUE"""),1184.0)</f>
        <v>1184</v>
      </c>
      <c r="K97" s="11">
        <f>IFERROR(__xludf.DUMMYFUNCTION("""COMPUTED_VALUE"""),64.0)</f>
        <v>64</v>
      </c>
      <c r="L97" s="11">
        <f>IFERROR(__xludf.DUMMYFUNCTION("""COMPUTED_VALUE"""),30.0)</f>
        <v>30</v>
      </c>
      <c r="M97" s="11">
        <f>IFERROR(__xludf.DUMMYFUNCTION("""COMPUTED_VALUE"""),149.0)</f>
        <v>149</v>
      </c>
      <c r="N97" s="11">
        <f t="shared" si="1"/>
        <v>1278</v>
      </c>
    </row>
    <row r="98">
      <c r="I98" s="13" t="str">
        <f>IFERROR(__xludf.DUMMYFUNCTION("""COMPUTED_VALUE"""),"740460599475760_1944766482378493")</f>
        <v>740460599475760_1944766482378493</v>
      </c>
      <c r="J98" s="11">
        <f>IFERROR(__xludf.DUMMYFUNCTION("""COMPUTED_VALUE"""),247.0)</f>
        <v>247</v>
      </c>
      <c r="K98" s="11">
        <f>IFERROR(__xludf.DUMMYFUNCTION("""COMPUTED_VALUE"""),10.0)</f>
        <v>10</v>
      </c>
      <c r="L98" s="11">
        <f>IFERROR(__xludf.DUMMYFUNCTION("""COMPUTED_VALUE"""),12.0)</f>
        <v>12</v>
      </c>
      <c r="M98" s="11">
        <f>IFERROR(__xludf.DUMMYFUNCTION("""COMPUTED_VALUE"""),149.0)</f>
        <v>149</v>
      </c>
      <c r="N98" s="11">
        <f t="shared" si="1"/>
        <v>269</v>
      </c>
    </row>
    <row r="99">
      <c r="I99" s="13" t="str">
        <f>IFERROR(__xludf.DUMMYFUNCTION("""COMPUTED_VALUE"""),"172882636630076_1010822766169388")</f>
        <v>172882636630076_1010822766169388</v>
      </c>
      <c r="J99" s="11">
        <f>IFERROR(__xludf.DUMMYFUNCTION("""COMPUTED_VALUE"""),70.0)</f>
        <v>70</v>
      </c>
      <c r="K99" s="11">
        <f>IFERROR(__xludf.DUMMYFUNCTION("""COMPUTED_VALUE"""),0.0)</f>
        <v>0</v>
      </c>
      <c r="L99" s="11"/>
      <c r="M99" s="11">
        <f>IFERROR(__xludf.DUMMYFUNCTION("""COMPUTED_VALUE"""),149.0)</f>
        <v>149</v>
      </c>
      <c r="N99" s="11">
        <f t="shared" si="1"/>
        <v>70</v>
      </c>
    </row>
    <row r="100">
      <c r="I100" s="13" t="str">
        <f>IFERROR(__xludf.DUMMYFUNCTION("""COMPUTED_VALUE"""),"740460599475760_1928432400678568")</f>
        <v>740460599475760_1928432400678568</v>
      </c>
      <c r="J100" s="11">
        <f>IFERROR(__xludf.DUMMYFUNCTION("""COMPUTED_VALUE"""),53009.0)</f>
        <v>53009</v>
      </c>
      <c r="K100" s="11">
        <f>IFERROR(__xludf.DUMMYFUNCTION("""COMPUTED_VALUE"""),2479.0)</f>
        <v>2479</v>
      </c>
      <c r="L100" s="11">
        <f>IFERROR(__xludf.DUMMYFUNCTION("""COMPUTED_VALUE"""),269.0)</f>
        <v>269</v>
      </c>
      <c r="M100" s="11">
        <f>IFERROR(__xludf.DUMMYFUNCTION("""COMPUTED_VALUE"""),150.0)</f>
        <v>150</v>
      </c>
      <c r="N100" s="11">
        <f t="shared" si="1"/>
        <v>55757</v>
      </c>
    </row>
    <row r="101">
      <c r="I101" s="13" t="str">
        <f>IFERROR(__xludf.DUMMYFUNCTION("""COMPUTED_VALUE"""),"740460599475760_1945472215641253")</f>
        <v>740460599475760_1945472215641253</v>
      </c>
      <c r="J101" s="11">
        <f>IFERROR(__xludf.DUMMYFUNCTION("""COMPUTED_VALUE"""),540.0)</f>
        <v>540</v>
      </c>
      <c r="K101" s="11">
        <f>IFERROR(__xludf.DUMMYFUNCTION("""COMPUTED_VALUE"""),23.0)</f>
        <v>23</v>
      </c>
      <c r="L101" s="11">
        <f>IFERROR(__xludf.DUMMYFUNCTION("""COMPUTED_VALUE"""),24.0)</f>
        <v>24</v>
      </c>
      <c r="M101" s="11">
        <f>IFERROR(__xludf.DUMMYFUNCTION("""COMPUTED_VALUE"""),150.0)</f>
        <v>150</v>
      </c>
      <c r="N101" s="11">
        <f t="shared" si="1"/>
        <v>587</v>
      </c>
    </row>
    <row r="102">
      <c r="I102" s="13" t="str">
        <f>IFERROR(__xludf.DUMMYFUNCTION("""COMPUTED_VALUE"""),"172882636630076_996848754233456")</f>
        <v>172882636630076_996848754233456</v>
      </c>
      <c r="J102" s="11">
        <f>IFERROR(__xludf.DUMMYFUNCTION("""COMPUTED_VALUE"""),211.0)</f>
        <v>211</v>
      </c>
      <c r="K102" s="11">
        <f>IFERROR(__xludf.DUMMYFUNCTION("""COMPUTED_VALUE"""),3.0)</f>
        <v>3</v>
      </c>
      <c r="L102" s="11">
        <f>IFERROR(__xludf.DUMMYFUNCTION("""COMPUTED_VALUE"""),1.0)</f>
        <v>1</v>
      </c>
      <c r="M102" s="11">
        <f>IFERROR(__xludf.DUMMYFUNCTION("""COMPUTED_VALUE"""),151.0)</f>
        <v>151</v>
      </c>
      <c r="N102" s="11">
        <f t="shared" si="1"/>
        <v>215</v>
      </c>
    </row>
    <row r="103">
      <c r="I103" s="13" t="str">
        <f>IFERROR(__xludf.DUMMYFUNCTION("""COMPUTED_VALUE"""),"740460599475760_1963822657139542")</f>
        <v>740460599475760_1963822657139542</v>
      </c>
      <c r="J103" s="11">
        <f>IFERROR(__xludf.DUMMYFUNCTION("""COMPUTED_VALUE"""),9394.0)</f>
        <v>9394</v>
      </c>
      <c r="K103" s="11">
        <f>IFERROR(__xludf.DUMMYFUNCTION("""COMPUTED_VALUE"""),765.0)</f>
        <v>765</v>
      </c>
      <c r="L103" s="11">
        <f>IFERROR(__xludf.DUMMYFUNCTION("""COMPUTED_VALUE"""),405.0)</f>
        <v>405</v>
      </c>
      <c r="M103" s="11">
        <f>IFERROR(__xludf.DUMMYFUNCTION("""COMPUTED_VALUE"""),152.0)</f>
        <v>152</v>
      </c>
      <c r="N103" s="11">
        <f t="shared" si="1"/>
        <v>10564</v>
      </c>
    </row>
    <row r="104">
      <c r="I104" s="13" t="str">
        <f>IFERROR(__xludf.DUMMYFUNCTION("""COMPUTED_VALUE"""),"740460599475760_1933467933508348")</f>
        <v>740460599475760_1933467933508348</v>
      </c>
      <c r="J104" s="11">
        <f>IFERROR(__xludf.DUMMYFUNCTION("""COMPUTED_VALUE"""),1031.0)</f>
        <v>1031</v>
      </c>
      <c r="K104" s="11">
        <f>IFERROR(__xludf.DUMMYFUNCTION("""COMPUTED_VALUE"""),45.0)</f>
        <v>45</v>
      </c>
      <c r="L104" s="11">
        <f>IFERROR(__xludf.DUMMYFUNCTION("""COMPUTED_VALUE"""),27.0)</f>
        <v>27</v>
      </c>
      <c r="M104" s="11">
        <f>IFERROR(__xludf.DUMMYFUNCTION("""COMPUTED_VALUE"""),153.0)</f>
        <v>153</v>
      </c>
      <c r="N104" s="11">
        <f t="shared" si="1"/>
        <v>1103</v>
      </c>
    </row>
    <row r="105">
      <c r="I105" s="13" t="str">
        <f>IFERROR(__xludf.DUMMYFUNCTION("""COMPUTED_VALUE"""),"740460599475760_1933463956842079")</f>
        <v>740460599475760_1933463956842079</v>
      </c>
      <c r="J105" s="11">
        <f>IFERROR(__xludf.DUMMYFUNCTION("""COMPUTED_VALUE"""),2195.0)</f>
        <v>2195</v>
      </c>
      <c r="K105" s="11">
        <f>IFERROR(__xludf.DUMMYFUNCTION("""COMPUTED_VALUE"""),150.0)</f>
        <v>150</v>
      </c>
      <c r="L105" s="11">
        <f>IFERROR(__xludf.DUMMYFUNCTION("""COMPUTED_VALUE"""),86.0)</f>
        <v>86</v>
      </c>
      <c r="M105" s="11">
        <f>IFERROR(__xludf.DUMMYFUNCTION("""COMPUTED_VALUE"""),154.0)</f>
        <v>154</v>
      </c>
      <c r="N105" s="11">
        <f t="shared" si="1"/>
        <v>2431</v>
      </c>
    </row>
    <row r="106">
      <c r="I106" s="13" t="str">
        <f>IFERROR(__xludf.DUMMYFUNCTION("""COMPUTED_VALUE"""),"740460599475760_1911360665719075")</f>
        <v>740460599475760_1911360665719075</v>
      </c>
      <c r="J106" s="11">
        <f>IFERROR(__xludf.DUMMYFUNCTION("""COMPUTED_VALUE"""),938.0)</f>
        <v>938</v>
      </c>
      <c r="K106" s="11">
        <f>IFERROR(__xludf.DUMMYFUNCTION("""COMPUTED_VALUE"""),69.0)</f>
        <v>69</v>
      </c>
      <c r="L106" s="11">
        <f>IFERROR(__xludf.DUMMYFUNCTION("""COMPUTED_VALUE"""),42.0)</f>
        <v>42</v>
      </c>
      <c r="M106" s="11">
        <f>IFERROR(__xludf.DUMMYFUNCTION("""COMPUTED_VALUE"""),155.0)</f>
        <v>155</v>
      </c>
      <c r="N106" s="11">
        <f t="shared" si="1"/>
        <v>1049</v>
      </c>
    </row>
    <row r="107">
      <c r="I107" s="13" t="str">
        <f>IFERROR(__xludf.DUMMYFUNCTION("""COMPUTED_VALUE"""),"740460599475760_1908306979357777")</f>
        <v>740460599475760_1908306979357777</v>
      </c>
      <c r="J107" s="11">
        <f>IFERROR(__xludf.DUMMYFUNCTION("""COMPUTED_VALUE"""),827.0)</f>
        <v>827</v>
      </c>
      <c r="K107" s="11">
        <f>IFERROR(__xludf.DUMMYFUNCTION("""COMPUTED_VALUE"""),108.0)</f>
        <v>108</v>
      </c>
      <c r="L107" s="11">
        <f>IFERROR(__xludf.DUMMYFUNCTION("""COMPUTED_VALUE"""),28.0)</f>
        <v>28</v>
      </c>
      <c r="M107" s="11">
        <f>IFERROR(__xludf.DUMMYFUNCTION("""COMPUTED_VALUE"""),156.0)</f>
        <v>156</v>
      </c>
      <c r="N107" s="11">
        <f t="shared" si="1"/>
        <v>963</v>
      </c>
    </row>
    <row r="108">
      <c r="I108" s="13" t="str">
        <f>IFERROR(__xludf.DUMMYFUNCTION("""COMPUTED_VALUE"""),"740460599475760_1935447329977075")</f>
        <v>740460599475760_1935447329977075</v>
      </c>
      <c r="J108" s="11">
        <f>IFERROR(__xludf.DUMMYFUNCTION("""COMPUTED_VALUE"""),14102.0)</f>
        <v>14102</v>
      </c>
      <c r="K108" s="11">
        <f>IFERROR(__xludf.DUMMYFUNCTION("""COMPUTED_VALUE"""),2562.0)</f>
        <v>2562</v>
      </c>
      <c r="L108" s="11">
        <f>IFERROR(__xludf.DUMMYFUNCTION("""COMPUTED_VALUE"""),287.0)</f>
        <v>287</v>
      </c>
      <c r="M108" s="11">
        <f>IFERROR(__xludf.DUMMYFUNCTION("""COMPUTED_VALUE"""),156.0)</f>
        <v>156</v>
      </c>
      <c r="N108" s="11">
        <f t="shared" si="1"/>
        <v>16951</v>
      </c>
    </row>
    <row r="109">
      <c r="I109" s="13" t="str">
        <f>IFERROR(__xludf.DUMMYFUNCTION("""COMPUTED_VALUE"""),"172882636630076_1012621895989475")</f>
        <v>172882636630076_1012621895989475</v>
      </c>
      <c r="J109" s="11">
        <f>IFERROR(__xludf.DUMMYFUNCTION("""COMPUTED_VALUE"""),59.0)</f>
        <v>59</v>
      </c>
      <c r="K109" s="11">
        <f>IFERROR(__xludf.DUMMYFUNCTION("""COMPUTED_VALUE"""),0.0)</f>
        <v>0</v>
      </c>
      <c r="L109" s="11"/>
      <c r="M109" s="11">
        <f>IFERROR(__xludf.DUMMYFUNCTION("""COMPUTED_VALUE"""),156.0)</f>
        <v>156</v>
      </c>
      <c r="N109" s="11">
        <f t="shared" si="1"/>
        <v>59</v>
      </c>
    </row>
    <row r="110">
      <c r="I110" s="13" t="str">
        <f>IFERROR(__xludf.DUMMYFUNCTION("""COMPUTED_VALUE"""),"740460599475760_1933552703499871")</f>
        <v>740460599475760_1933552703499871</v>
      </c>
      <c r="J110" s="11">
        <f>IFERROR(__xludf.DUMMYFUNCTION("""COMPUTED_VALUE"""),4876.0)</f>
        <v>4876</v>
      </c>
      <c r="K110" s="11">
        <f>IFERROR(__xludf.DUMMYFUNCTION("""COMPUTED_VALUE"""),49.0)</f>
        <v>49</v>
      </c>
      <c r="L110" s="11">
        <f>IFERROR(__xludf.DUMMYFUNCTION("""COMPUTED_VALUE"""),13.0)</f>
        <v>13</v>
      </c>
      <c r="M110" s="11">
        <f>IFERROR(__xludf.DUMMYFUNCTION("""COMPUTED_VALUE"""),158.0)</f>
        <v>158</v>
      </c>
      <c r="N110" s="11">
        <f t="shared" si="1"/>
        <v>4938</v>
      </c>
    </row>
    <row r="111">
      <c r="I111" s="13" t="str">
        <f>IFERROR(__xludf.DUMMYFUNCTION("""COMPUTED_VALUE"""),"740460599475760_1921944611327347")</f>
        <v>740460599475760_1921944611327347</v>
      </c>
      <c r="J111" s="11">
        <f>IFERROR(__xludf.DUMMYFUNCTION("""COMPUTED_VALUE"""),3448.0)</f>
        <v>3448</v>
      </c>
      <c r="K111" s="11">
        <f>IFERROR(__xludf.DUMMYFUNCTION("""COMPUTED_VALUE"""),397.0)</f>
        <v>397</v>
      </c>
      <c r="L111" s="11">
        <f>IFERROR(__xludf.DUMMYFUNCTION("""COMPUTED_VALUE"""),122.0)</f>
        <v>122</v>
      </c>
      <c r="M111" s="11">
        <f>IFERROR(__xludf.DUMMYFUNCTION("""COMPUTED_VALUE"""),160.0)</f>
        <v>160</v>
      </c>
      <c r="N111" s="11">
        <f t="shared" si="1"/>
        <v>3967</v>
      </c>
    </row>
    <row r="112">
      <c r="I112" s="13" t="str">
        <f>IFERROR(__xludf.DUMMYFUNCTION("""COMPUTED_VALUE"""),"172882636630076_1014471625804502")</f>
        <v>172882636630076_1014471625804502</v>
      </c>
      <c r="J112" s="11">
        <f>IFERROR(__xludf.DUMMYFUNCTION("""COMPUTED_VALUE"""),890.0)</f>
        <v>890</v>
      </c>
      <c r="K112" s="11">
        <f>IFERROR(__xludf.DUMMYFUNCTION("""COMPUTED_VALUE"""),159.0)</f>
        <v>159</v>
      </c>
      <c r="L112" s="11">
        <f>IFERROR(__xludf.DUMMYFUNCTION("""COMPUTED_VALUE"""),306.0)</f>
        <v>306</v>
      </c>
      <c r="M112" s="11">
        <f>IFERROR(__xludf.DUMMYFUNCTION("""COMPUTED_VALUE"""),162.0)</f>
        <v>162</v>
      </c>
      <c r="N112" s="11">
        <f t="shared" si="1"/>
        <v>1355</v>
      </c>
    </row>
    <row r="113">
      <c r="I113" s="13" t="str">
        <f>IFERROR(__xludf.DUMMYFUNCTION("""COMPUTED_VALUE"""),"740460599475760_1924909847697490")</f>
        <v>740460599475760_1924909847697490</v>
      </c>
      <c r="J113" s="11">
        <f>IFERROR(__xludf.DUMMYFUNCTION("""COMPUTED_VALUE"""),2014.0)</f>
        <v>2014</v>
      </c>
      <c r="K113" s="11">
        <f>IFERROR(__xludf.DUMMYFUNCTION("""COMPUTED_VALUE"""),143.0)</f>
        <v>143</v>
      </c>
      <c r="L113" s="11">
        <f>IFERROR(__xludf.DUMMYFUNCTION("""COMPUTED_VALUE"""),78.0)</f>
        <v>78</v>
      </c>
      <c r="M113" s="11">
        <f>IFERROR(__xludf.DUMMYFUNCTION("""COMPUTED_VALUE"""),164.0)</f>
        <v>164</v>
      </c>
      <c r="N113" s="11">
        <f t="shared" si="1"/>
        <v>2235</v>
      </c>
    </row>
    <row r="114">
      <c r="I114" s="13" t="str">
        <f>IFERROR(__xludf.DUMMYFUNCTION("""COMPUTED_VALUE"""),"172882636630076_1013251422593189")</f>
        <v>172882636630076_1013251422593189</v>
      </c>
      <c r="J114" s="11">
        <f>IFERROR(__xludf.DUMMYFUNCTION("""COMPUTED_VALUE"""),363.0)</f>
        <v>363</v>
      </c>
      <c r="K114" s="11">
        <f>IFERROR(__xludf.DUMMYFUNCTION("""COMPUTED_VALUE"""),1.0)</f>
        <v>1</v>
      </c>
      <c r="L114" s="11">
        <f>IFERROR(__xludf.DUMMYFUNCTION("""COMPUTED_VALUE"""),23.0)</f>
        <v>23</v>
      </c>
      <c r="M114" s="11">
        <f>IFERROR(__xludf.DUMMYFUNCTION("""COMPUTED_VALUE"""),164.0)</f>
        <v>164</v>
      </c>
      <c r="N114" s="11">
        <f t="shared" si="1"/>
        <v>387</v>
      </c>
    </row>
    <row r="115">
      <c r="I115" s="13" t="str">
        <f>IFERROR(__xludf.DUMMYFUNCTION("""COMPUTED_VALUE"""),"740460599475760_1967775646744243")</f>
        <v>740460599475760_1967775646744243</v>
      </c>
      <c r="J115" s="11">
        <f>IFERROR(__xludf.DUMMYFUNCTION("""COMPUTED_VALUE"""),14789.0)</f>
        <v>14789</v>
      </c>
      <c r="K115" s="11">
        <f>IFERROR(__xludf.DUMMYFUNCTION("""COMPUTED_VALUE"""),1307.0)</f>
        <v>1307</v>
      </c>
      <c r="L115" s="11">
        <f>IFERROR(__xludf.DUMMYFUNCTION("""COMPUTED_VALUE"""),357.0)</f>
        <v>357</v>
      </c>
      <c r="M115" s="11">
        <f>IFERROR(__xludf.DUMMYFUNCTION("""COMPUTED_VALUE"""),165.0)</f>
        <v>165</v>
      </c>
      <c r="N115" s="11">
        <f t="shared" si="1"/>
        <v>16453</v>
      </c>
    </row>
    <row r="116">
      <c r="I116" s="13" t="str">
        <f>IFERROR(__xludf.DUMMYFUNCTION("""COMPUTED_VALUE"""),"740460599475760_1928446460677162")</f>
        <v>740460599475760_1928446460677162</v>
      </c>
      <c r="J116" s="11">
        <f>IFERROR(__xludf.DUMMYFUNCTION("""COMPUTED_VALUE"""),374.0)</f>
        <v>374</v>
      </c>
      <c r="K116" s="11">
        <f>IFERROR(__xludf.DUMMYFUNCTION("""COMPUTED_VALUE"""),37.0)</f>
        <v>37</v>
      </c>
      <c r="L116" s="11">
        <f>IFERROR(__xludf.DUMMYFUNCTION("""COMPUTED_VALUE"""),16.0)</f>
        <v>16</v>
      </c>
      <c r="M116" s="11">
        <f>IFERROR(__xludf.DUMMYFUNCTION("""COMPUTED_VALUE"""),166.0)</f>
        <v>166</v>
      </c>
      <c r="N116" s="11">
        <f t="shared" si="1"/>
        <v>427</v>
      </c>
    </row>
    <row r="117">
      <c r="I117" s="13" t="str">
        <f>IFERROR(__xludf.DUMMYFUNCTION("""COMPUTED_VALUE"""),"740460599475760_1930474490474359")</f>
        <v>740460599475760_1930474490474359</v>
      </c>
      <c r="J117" s="11">
        <f>IFERROR(__xludf.DUMMYFUNCTION("""COMPUTED_VALUE"""),7011.0)</f>
        <v>7011</v>
      </c>
      <c r="K117" s="11">
        <f>IFERROR(__xludf.DUMMYFUNCTION("""COMPUTED_VALUE"""),36.0)</f>
        <v>36</v>
      </c>
      <c r="L117" s="11">
        <f>IFERROR(__xludf.DUMMYFUNCTION("""COMPUTED_VALUE"""),54.0)</f>
        <v>54</v>
      </c>
      <c r="M117" s="11">
        <f>IFERROR(__xludf.DUMMYFUNCTION("""COMPUTED_VALUE"""),166.0)</f>
        <v>166</v>
      </c>
      <c r="N117" s="11">
        <f t="shared" si="1"/>
        <v>7101</v>
      </c>
    </row>
    <row r="118">
      <c r="I118" s="13" t="str">
        <f>IFERROR(__xludf.DUMMYFUNCTION("""COMPUTED_VALUE"""),"740460599475760_1943968502458291")</f>
        <v>740460599475760_1943968502458291</v>
      </c>
      <c r="J118" s="11">
        <f>IFERROR(__xludf.DUMMYFUNCTION("""COMPUTED_VALUE"""),11404.0)</f>
        <v>11404</v>
      </c>
      <c r="K118" s="11">
        <f>IFERROR(__xludf.DUMMYFUNCTION("""COMPUTED_VALUE"""),297.0)</f>
        <v>297</v>
      </c>
      <c r="L118" s="11">
        <f>IFERROR(__xludf.DUMMYFUNCTION("""COMPUTED_VALUE"""),76.0)</f>
        <v>76</v>
      </c>
      <c r="M118" s="11">
        <f>IFERROR(__xludf.DUMMYFUNCTION("""COMPUTED_VALUE"""),166.0)</f>
        <v>166</v>
      </c>
      <c r="N118" s="11">
        <f t="shared" si="1"/>
        <v>11777</v>
      </c>
    </row>
    <row r="119">
      <c r="I119" s="13" t="str">
        <f>IFERROR(__xludf.DUMMYFUNCTION("""COMPUTED_VALUE"""),"740460599475760_1921838101337998")</f>
        <v>740460599475760_1921838101337998</v>
      </c>
      <c r="J119" s="11">
        <f>IFERROR(__xludf.DUMMYFUNCTION("""COMPUTED_VALUE"""),875.0)</f>
        <v>875</v>
      </c>
      <c r="K119" s="11">
        <f>IFERROR(__xludf.DUMMYFUNCTION("""COMPUTED_VALUE"""),58.0)</f>
        <v>58</v>
      </c>
      <c r="L119" s="11">
        <f>IFERROR(__xludf.DUMMYFUNCTION("""COMPUTED_VALUE"""),11.0)</f>
        <v>11</v>
      </c>
      <c r="M119" s="11">
        <f>IFERROR(__xludf.DUMMYFUNCTION("""COMPUTED_VALUE"""),169.0)</f>
        <v>169</v>
      </c>
      <c r="N119" s="11">
        <f t="shared" si="1"/>
        <v>944</v>
      </c>
    </row>
    <row r="120">
      <c r="F120" s="13"/>
      <c r="G120" s="13"/>
      <c r="H120" s="13"/>
      <c r="I120" s="13" t="str">
        <f>IFERROR(__xludf.DUMMYFUNCTION("""COMPUTED_VALUE"""),"740460599475760_1923459334509208")</f>
        <v>740460599475760_1923459334509208</v>
      </c>
      <c r="J120" s="11">
        <f>IFERROR(__xludf.DUMMYFUNCTION("""COMPUTED_VALUE"""),2117.0)</f>
        <v>2117</v>
      </c>
      <c r="K120" s="11">
        <f>IFERROR(__xludf.DUMMYFUNCTION("""COMPUTED_VALUE"""),130.0)</f>
        <v>130</v>
      </c>
      <c r="L120" s="11">
        <f>IFERROR(__xludf.DUMMYFUNCTION("""COMPUTED_VALUE"""),246.0)</f>
        <v>246</v>
      </c>
      <c r="M120" s="11">
        <f>IFERROR(__xludf.DUMMYFUNCTION("""COMPUTED_VALUE"""),170.0)</f>
        <v>170</v>
      </c>
      <c r="N120" s="11">
        <f t="shared" si="1"/>
        <v>2493</v>
      </c>
    </row>
    <row r="121">
      <c r="D121" s="13"/>
      <c r="E121" s="13"/>
      <c r="I121" s="13" t="str">
        <f>IFERROR(__xludf.DUMMYFUNCTION("""COMPUTED_VALUE"""),"740460599475760_1905729416282200")</f>
        <v>740460599475760_1905729416282200</v>
      </c>
      <c r="J121" s="11">
        <f>IFERROR(__xludf.DUMMYFUNCTION("""COMPUTED_VALUE"""),1368.0)</f>
        <v>1368</v>
      </c>
      <c r="K121" s="11">
        <f>IFERROR(__xludf.DUMMYFUNCTION("""COMPUTED_VALUE"""),87.0)</f>
        <v>87</v>
      </c>
      <c r="L121" s="11">
        <f>IFERROR(__xludf.DUMMYFUNCTION("""COMPUTED_VALUE"""),21.0)</f>
        <v>21</v>
      </c>
      <c r="M121" s="11">
        <f>IFERROR(__xludf.DUMMYFUNCTION("""COMPUTED_VALUE"""),171.0)</f>
        <v>171</v>
      </c>
      <c r="N121" s="11">
        <f t="shared" si="1"/>
        <v>1476</v>
      </c>
    </row>
    <row r="122">
      <c r="I122" s="13" t="str">
        <f>IFERROR(__xludf.DUMMYFUNCTION("""COMPUTED_VALUE"""),"740460599475760_1936441439877664")</f>
        <v>740460599475760_1936441439877664</v>
      </c>
      <c r="J122" s="11">
        <f>IFERROR(__xludf.DUMMYFUNCTION("""COMPUTED_VALUE"""),587.0)</f>
        <v>587</v>
      </c>
      <c r="K122" s="11">
        <f>IFERROR(__xludf.DUMMYFUNCTION("""COMPUTED_VALUE"""),39.0)</f>
        <v>39</v>
      </c>
      <c r="L122" s="11">
        <f>IFERROR(__xludf.DUMMYFUNCTION("""COMPUTED_VALUE"""),166.0)</f>
        <v>166</v>
      </c>
      <c r="M122" s="11">
        <f>IFERROR(__xludf.DUMMYFUNCTION("""COMPUTED_VALUE"""),171.0)</f>
        <v>171</v>
      </c>
      <c r="N122" s="11">
        <f t="shared" si="1"/>
        <v>792</v>
      </c>
    </row>
    <row r="123">
      <c r="I123" s="13" t="str">
        <f>IFERROR(__xludf.DUMMYFUNCTION("""COMPUTED_VALUE"""),"740460599475760_1943825175805957")</f>
        <v>740460599475760_1943825175805957</v>
      </c>
      <c r="J123" s="11">
        <f>IFERROR(__xludf.DUMMYFUNCTION("""COMPUTED_VALUE"""),916.0)</f>
        <v>916</v>
      </c>
      <c r="K123" s="11">
        <f>IFERROR(__xludf.DUMMYFUNCTION("""COMPUTED_VALUE"""),115.0)</f>
        <v>115</v>
      </c>
      <c r="L123" s="11">
        <f>IFERROR(__xludf.DUMMYFUNCTION("""COMPUTED_VALUE"""),39.0)</f>
        <v>39</v>
      </c>
      <c r="M123" s="11">
        <f>IFERROR(__xludf.DUMMYFUNCTION("""COMPUTED_VALUE"""),172.0)</f>
        <v>172</v>
      </c>
      <c r="N123" s="11">
        <f t="shared" si="1"/>
        <v>1070</v>
      </c>
    </row>
    <row r="124">
      <c r="I124" s="13" t="str">
        <f>IFERROR(__xludf.DUMMYFUNCTION("""COMPUTED_VALUE"""),"740460599475760_1943971055791369")</f>
        <v>740460599475760_1943971055791369</v>
      </c>
      <c r="J124" s="11">
        <f>IFERROR(__xludf.DUMMYFUNCTION("""COMPUTED_VALUE"""),7205.0)</f>
        <v>7205</v>
      </c>
      <c r="K124" s="11">
        <f>IFERROR(__xludf.DUMMYFUNCTION("""COMPUTED_VALUE"""),92.0)</f>
        <v>92</v>
      </c>
      <c r="L124" s="11">
        <f>IFERROR(__xludf.DUMMYFUNCTION("""COMPUTED_VALUE"""),54.0)</f>
        <v>54</v>
      </c>
      <c r="M124" s="11">
        <f>IFERROR(__xludf.DUMMYFUNCTION("""COMPUTED_VALUE"""),173.0)</f>
        <v>173</v>
      </c>
      <c r="N124" s="11">
        <f t="shared" si="1"/>
        <v>7351</v>
      </c>
    </row>
    <row r="125">
      <c r="I125" s="13" t="str">
        <f>IFERROR(__xludf.DUMMYFUNCTION("""COMPUTED_VALUE"""),"740460599475760_1964448330410308")</f>
        <v>740460599475760_1964448330410308</v>
      </c>
      <c r="J125" s="11">
        <f>IFERROR(__xludf.DUMMYFUNCTION("""COMPUTED_VALUE"""),2784.0)</f>
        <v>2784</v>
      </c>
      <c r="K125" s="11">
        <f>IFERROR(__xludf.DUMMYFUNCTION("""COMPUTED_VALUE"""),212.0)</f>
        <v>212</v>
      </c>
      <c r="L125" s="11">
        <f>IFERROR(__xludf.DUMMYFUNCTION("""COMPUTED_VALUE"""),170.0)</f>
        <v>170</v>
      </c>
      <c r="M125" s="11">
        <f>IFERROR(__xludf.DUMMYFUNCTION("""COMPUTED_VALUE"""),178.0)</f>
        <v>178</v>
      </c>
      <c r="N125" s="11">
        <f t="shared" si="1"/>
        <v>3166</v>
      </c>
    </row>
    <row r="126">
      <c r="I126" s="13" t="str">
        <f>IFERROR(__xludf.DUMMYFUNCTION("""COMPUTED_VALUE"""),"740460599475760_1943171275871347")</f>
        <v>740460599475760_1943171275871347</v>
      </c>
      <c r="J126" s="11">
        <f>IFERROR(__xludf.DUMMYFUNCTION("""COMPUTED_VALUE"""),414.0)</f>
        <v>414</v>
      </c>
      <c r="K126" s="11">
        <f>IFERROR(__xludf.DUMMYFUNCTION("""COMPUTED_VALUE"""),7.0)</f>
        <v>7</v>
      </c>
      <c r="L126" s="11">
        <f>IFERROR(__xludf.DUMMYFUNCTION("""COMPUTED_VALUE"""),22.0)</f>
        <v>22</v>
      </c>
      <c r="M126" s="11">
        <f>IFERROR(__xludf.DUMMYFUNCTION("""COMPUTED_VALUE"""),180.0)</f>
        <v>180</v>
      </c>
      <c r="N126" s="11">
        <f t="shared" si="1"/>
        <v>443</v>
      </c>
    </row>
    <row r="127">
      <c r="I127" s="13" t="str">
        <f>IFERROR(__xludf.DUMMYFUNCTION("""COMPUTED_VALUE"""),"740460599475760_1905971419591333")</f>
        <v>740460599475760_1905971419591333</v>
      </c>
      <c r="J127" s="11">
        <f>IFERROR(__xludf.DUMMYFUNCTION("""COMPUTED_VALUE"""),519.0)</f>
        <v>519</v>
      </c>
      <c r="K127" s="11">
        <f>IFERROR(__xludf.DUMMYFUNCTION("""COMPUTED_VALUE"""),55.0)</f>
        <v>55</v>
      </c>
      <c r="L127" s="11">
        <f>IFERROR(__xludf.DUMMYFUNCTION("""COMPUTED_VALUE"""),17.0)</f>
        <v>17</v>
      </c>
      <c r="M127" s="11">
        <f>IFERROR(__xludf.DUMMYFUNCTION("""COMPUTED_VALUE"""),181.0)</f>
        <v>181</v>
      </c>
      <c r="N127" s="11">
        <f t="shared" si="1"/>
        <v>591</v>
      </c>
    </row>
    <row r="128">
      <c r="I128" s="13" t="str">
        <f>IFERROR(__xludf.DUMMYFUNCTION("""COMPUTED_VALUE"""),"740460599475760_1933489020172906")</f>
        <v>740460599475760_1933489020172906</v>
      </c>
      <c r="J128" s="11">
        <f>IFERROR(__xludf.DUMMYFUNCTION("""COMPUTED_VALUE"""),6864.0)</f>
        <v>6864</v>
      </c>
      <c r="K128" s="11">
        <f>IFERROR(__xludf.DUMMYFUNCTION("""COMPUTED_VALUE"""),197.0)</f>
        <v>197</v>
      </c>
      <c r="L128" s="11">
        <f>IFERROR(__xludf.DUMMYFUNCTION("""COMPUTED_VALUE"""),428.0)</f>
        <v>428</v>
      </c>
      <c r="M128" s="11">
        <f>IFERROR(__xludf.DUMMYFUNCTION("""COMPUTED_VALUE"""),181.0)</f>
        <v>181</v>
      </c>
      <c r="N128" s="11">
        <f t="shared" si="1"/>
        <v>7489</v>
      </c>
    </row>
    <row r="129">
      <c r="I129" s="13" t="str">
        <f>IFERROR(__xludf.DUMMYFUNCTION("""COMPUTED_VALUE"""),"740460599475760_3272605146348688")</f>
        <v>740460599475760_3272605146348688</v>
      </c>
      <c r="J129" s="11">
        <f>IFERROR(__xludf.DUMMYFUNCTION("""COMPUTED_VALUE"""),512.0)</f>
        <v>512</v>
      </c>
      <c r="K129" s="11">
        <f>IFERROR(__xludf.DUMMYFUNCTION("""COMPUTED_VALUE"""),306.0)</f>
        <v>306</v>
      </c>
      <c r="L129" s="11">
        <f>IFERROR(__xludf.DUMMYFUNCTION("""COMPUTED_VALUE"""),91.0)</f>
        <v>91</v>
      </c>
      <c r="M129" s="11">
        <f>IFERROR(__xludf.DUMMYFUNCTION("""COMPUTED_VALUE"""),182.0)</f>
        <v>182</v>
      </c>
      <c r="N129" s="11">
        <f t="shared" si="1"/>
        <v>909</v>
      </c>
    </row>
    <row r="130">
      <c r="I130" s="13" t="str">
        <f>IFERROR(__xludf.DUMMYFUNCTION("""COMPUTED_VALUE"""),"740460599475760_1967821676739640")</f>
        <v>740460599475760_1967821676739640</v>
      </c>
      <c r="J130" s="11">
        <f>IFERROR(__xludf.DUMMYFUNCTION("""COMPUTED_VALUE"""),1068.0)</f>
        <v>1068</v>
      </c>
      <c r="K130" s="11">
        <f>IFERROR(__xludf.DUMMYFUNCTION("""COMPUTED_VALUE"""),78.0)</f>
        <v>78</v>
      </c>
      <c r="L130" s="11">
        <f>IFERROR(__xludf.DUMMYFUNCTION("""COMPUTED_VALUE"""),30.0)</f>
        <v>30</v>
      </c>
      <c r="M130" s="11">
        <f>IFERROR(__xludf.DUMMYFUNCTION("""COMPUTED_VALUE"""),182.0)</f>
        <v>182</v>
      </c>
      <c r="N130" s="11">
        <f t="shared" si="1"/>
        <v>1176</v>
      </c>
    </row>
    <row r="131">
      <c r="I131" s="13" t="str">
        <f>IFERROR(__xludf.DUMMYFUNCTION("""COMPUTED_VALUE"""),"740460599475760_1966795856842222")</f>
        <v>740460599475760_1966795856842222</v>
      </c>
      <c r="J131" s="11">
        <f>IFERROR(__xludf.DUMMYFUNCTION("""COMPUTED_VALUE"""),286.0)</f>
        <v>286</v>
      </c>
      <c r="K131" s="11">
        <f>IFERROR(__xludf.DUMMYFUNCTION("""COMPUTED_VALUE"""),17.0)</f>
        <v>17</v>
      </c>
      <c r="L131" s="11">
        <f>IFERROR(__xludf.DUMMYFUNCTION("""COMPUTED_VALUE"""),6.0)</f>
        <v>6</v>
      </c>
      <c r="M131" s="11">
        <f>IFERROR(__xludf.DUMMYFUNCTION("""COMPUTED_VALUE"""),183.0)</f>
        <v>183</v>
      </c>
      <c r="N131" s="11">
        <f t="shared" si="1"/>
        <v>309</v>
      </c>
    </row>
    <row r="132">
      <c r="I132" s="13" t="str">
        <f>IFERROR(__xludf.DUMMYFUNCTION("""COMPUTED_VALUE"""),"740460599475760_1967657196756088")</f>
        <v>740460599475760_1967657196756088</v>
      </c>
      <c r="J132" s="11">
        <f>IFERROR(__xludf.DUMMYFUNCTION("""COMPUTED_VALUE"""),274.0)</f>
        <v>274</v>
      </c>
      <c r="K132" s="11">
        <f>IFERROR(__xludf.DUMMYFUNCTION("""COMPUTED_VALUE"""),30.0)</f>
        <v>30</v>
      </c>
      <c r="L132" s="11">
        <f>IFERROR(__xludf.DUMMYFUNCTION("""COMPUTED_VALUE"""),3.0)</f>
        <v>3</v>
      </c>
      <c r="M132" s="11">
        <f>IFERROR(__xludf.DUMMYFUNCTION("""COMPUTED_VALUE"""),183.0)</f>
        <v>183</v>
      </c>
      <c r="N132" s="11">
        <f t="shared" si="1"/>
        <v>307</v>
      </c>
    </row>
    <row r="133">
      <c r="I133" s="13" t="str">
        <f>IFERROR(__xludf.DUMMYFUNCTION("""COMPUTED_VALUE"""),"740460599475760_1969321056589702")</f>
        <v>740460599475760_1969321056589702</v>
      </c>
      <c r="J133" s="11">
        <f>IFERROR(__xludf.DUMMYFUNCTION("""COMPUTED_VALUE"""),277.0)</f>
        <v>277</v>
      </c>
      <c r="K133" s="11">
        <f>IFERROR(__xludf.DUMMYFUNCTION("""COMPUTED_VALUE"""),10.0)</f>
        <v>10</v>
      </c>
      <c r="L133" s="11">
        <f>IFERROR(__xludf.DUMMYFUNCTION("""COMPUTED_VALUE"""),3.0)</f>
        <v>3</v>
      </c>
      <c r="M133" s="11">
        <f>IFERROR(__xludf.DUMMYFUNCTION("""COMPUTED_VALUE"""),183.0)</f>
        <v>183</v>
      </c>
      <c r="N133" s="11">
        <f t="shared" si="1"/>
        <v>290</v>
      </c>
    </row>
    <row r="134">
      <c r="I134" s="13" t="str">
        <f>IFERROR(__xludf.DUMMYFUNCTION("""COMPUTED_VALUE"""),"740460599475760_1905939169594558")</f>
        <v>740460599475760_1905939169594558</v>
      </c>
      <c r="J134" s="11">
        <f>IFERROR(__xludf.DUMMYFUNCTION("""COMPUTED_VALUE"""),1630.0)</f>
        <v>1630</v>
      </c>
      <c r="K134" s="11">
        <f>IFERROR(__xludf.DUMMYFUNCTION("""COMPUTED_VALUE"""),331.0)</f>
        <v>331</v>
      </c>
      <c r="L134" s="11">
        <f>IFERROR(__xludf.DUMMYFUNCTION("""COMPUTED_VALUE"""),54.0)</f>
        <v>54</v>
      </c>
      <c r="M134" s="11">
        <f>IFERROR(__xludf.DUMMYFUNCTION("""COMPUTED_VALUE"""),184.0)</f>
        <v>184</v>
      </c>
      <c r="N134" s="11">
        <f t="shared" si="1"/>
        <v>2015</v>
      </c>
    </row>
    <row r="135">
      <c r="I135" s="13" t="str">
        <f>IFERROR(__xludf.DUMMYFUNCTION("""COMPUTED_VALUE"""),"740460599475760_1928430600678748")</f>
        <v>740460599475760_1928430600678748</v>
      </c>
      <c r="J135" s="11">
        <f>IFERROR(__xludf.DUMMYFUNCTION("""COMPUTED_VALUE"""),432.0)</f>
        <v>432</v>
      </c>
      <c r="K135" s="11">
        <f>IFERROR(__xludf.DUMMYFUNCTION("""COMPUTED_VALUE"""),82.0)</f>
        <v>82</v>
      </c>
      <c r="L135" s="11">
        <f>IFERROR(__xludf.DUMMYFUNCTION("""COMPUTED_VALUE"""),12.0)</f>
        <v>12</v>
      </c>
      <c r="M135" s="11">
        <f>IFERROR(__xludf.DUMMYFUNCTION("""COMPUTED_VALUE"""),184.0)</f>
        <v>184</v>
      </c>
      <c r="N135" s="11">
        <f t="shared" si="1"/>
        <v>526</v>
      </c>
    </row>
    <row r="136">
      <c r="D136" s="13"/>
      <c r="E136" s="13"/>
      <c r="I136" s="13" t="str">
        <f>IFERROR(__xludf.DUMMYFUNCTION("""COMPUTED_VALUE"""),"740460599475760_1949241151931026")</f>
        <v>740460599475760_1949241151931026</v>
      </c>
      <c r="J136" s="11">
        <f>IFERROR(__xludf.DUMMYFUNCTION("""COMPUTED_VALUE"""),16546.0)</f>
        <v>16546</v>
      </c>
      <c r="K136" s="11">
        <f>IFERROR(__xludf.DUMMYFUNCTION("""COMPUTED_VALUE"""),1305.0)</f>
        <v>1305</v>
      </c>
      <c r="L136" s="11">
        <f>IFERROR(__xludf.DUMMYFUNCTION("""COMPUTED_VALUE"""),555.0)</f>
        <v>555</v>
      </c>
      <c r="M136" s="11">
        <f>IFERROR(__xludf.DUMMYFUNCTION("""COMPUTED_VALUE"""),184.0)</f>
        <v>184</v>
      </c>
      <c r="N136" s="11">
        <f t="shared" si="1"/>
        <v>18406</v>
      </c>
    </row>
    <row r="137">
      <c r="I137" s="13" t="str">
        <f>IFERROR(__xludf.DUMMYFUNCTION("""COMPUTED_VALUE"""),"740460599475760_1932019070319901")</f>
        <v>740460599475760_1932019070319901</v>
      </c>
      <c r="J137" s="11">
        <f>IFERROR(__xludf.DUMMYFUNCTION("""COMPUTED_VALUE"""),19545.0)</f>
        <v>19545</v>
      </c>
      <c r="K137" s="11">
        <f>IFERROR(__xludf.DUMMYFUNCTION("""COMPUTED_VALUE"""),370.0)</f>
        <v>370</v>
      </c>
      <c r="L137" s="11">
        <f>IFERROR(__xludf.DUMMYFUNCTION("""COMPUTED_VALUE"""),72.0)</f>
        <v>72</v>
      </c>
      <c r="M137" s="11">
        <f>IFERROR(__xludf.DUMMYFUNCTION("""COMPUTED_VALUE"""),185.0)</f>
        <v>185</v>
      </c>
      <c r="N137" s="11">
        <f t="shared" si="1"/>
        <v>19987</v>
      </c>
    </row>
    <row r="138">
      <c r="I138" s="13" t="str">
        <f>IFERROR(__xludf.DUMMYFUNCTION("""COMPUTED_VALUE"""),"740460599475760_1963833767138431")</f>
        <v>740460599475760_1963833767138431</v>
      </c>
      <c r="J138" s="11">
        <f>IFERROR(__xludf.DUMMYFUNCTION("""COMPUTED_VALUE"""),9361.0)</f>
        <v>9361</v>
      </c>
      <c r="K138" s="11">
        <f>IFERROR(__xludf.DUMMYFUNCTION("""COMPUTED_VALUE"""),223.0)</f>
        <v>223</v>
      </c>
      <c r="L138" s="11">
        <f>IFERROR(__xludf.DUMMYFUNCTION("""COMPUTED_VALUE"""),97.0)</f>
        <v>97</v>
      </c>
      <c r="M138" s="11">
        <f>IFERROR(__xludf.DUMMYFUNCTION("""COMPUTED_VALUE"""),185.0)</f>
        <v>185</v>
      </c>
      <c r="N138" s="11">
        <f t="shared" si="1"/>
        <v>9681</v>
      </c>
    </row>
    <row r="139">
      <c r="I139" s="13" t="str">
        <f>IFERROR(__xludf.DUMMYFUNCTION("""COMPUTED_VALUE"""),"740460599475760_1963836677138140")</f>
        <v>740460599475760_1963836677138140</v>
      </c>
      <c r="J139" s="11">
        <f>IFERROR(__xludf.DUMMYFUNCTION("""COMPUTED_VALUE"""),8344.0)</f>
        <v>8344</v>
      </c>
      <c r="K139" s="11">
        <f>IFERROR(__xludf.DUMMYFUNCTION("""COMPUTED_VALUE"""),821.0)</f>
        <v>821</v>
      </c>
      <c r="L139" s="11">
        <f>IFERROR(__xludf.DUMMYFUNCTION("""COMPUTED_VALUE"""),257.0)</f>
        <v>257</v>
      </c>
      <c r="M139" s="11">
        <f>IFERROR(__xludf.DUMMYFUNCTION("""COMPUTED_VALUE"""),186.0)</f>
        <v>186</v>
      </c>
      <c r="N139" s="11">
        <f t="shared" si="1"/>
        <v>9422</v>
      </c>
    </row>
    <row r="140">
      <c r="I140" s="13" t="str">
        <f>IFERROR(__xludf.DUMMYFUNCTION("""COMPUTED_VALUE"""),"740460599475760_1967775140077627")</f>
        <v>740460599475760_1967775140077627</v>
      </c>
      <c r="J140" s="11">
        <f>IFERROR(__xludf.DUMMYFUNCTION("""COMPUTED_VALUE"""),4541.0)</f>
        <v>4541</v>
      </c>
      <c r="K140" s="11">
        <f>IFERROR(__xludf.DUMMYFUNCTION("""COMPUTED_VALUE"""),70.0)</f>
        <v>70</v>
      </c>
      <c r="L140" s="11">
        <f>IFERROR(__xludf.DUMMYFUNCTION("""COMPUTED_VALUE"""),20.0)</f>
        <v>20</v>
      </c>
      <c r="M140" s="11">
        <f>IFERROR(__xludf.DUMMYFUNCTION("""COMPUTED_VALUE"""),186.0)</f>
        <v>186</v>
      </c>
      <c r="N140" s="11">
        <f t="shared" si="1"/>
        <v>4631</v>
      </c>
    </row>
    <row r="141">
      <c r="I141" s="13" t="str">
        <f>IFERROR(__xludf.DUMMYFUNCTION("""COMPUTED_VALUE"""),"740460599475760_1968403463348128")</f>
        <v>740460599475760_1968403463348128</v>
      </c>
      <c r="J141" s="11">
        <f>IFERROR(__xludf.DUMMYFUNCTION("""COMPUTED_VALUE"""),1877.0)</f>
        <v>1877</v>
      </c>
      <c r="K141" s="11">
        <f>IFERROR(__xludf.DUMMYFUNCTION("""COMPUTED_VALUE"""),83.0)</f>
        <v>83</v>
      </c>
      <c r="L141" s="11">
        <f>IFERROR(__xludf.DUMMYFUNCTION("""COMPUTED_VALUE"""),44.0)</f>
        <v>44</v>
      </c>
      <c r="M141" s="11">
        <f>IFERROR(__xludf.DUMMYFUNCTION("""COMPUTED_VALUE"""),186.0)</f>
        <v>186</v>
      </c>
      <c r="N141" s="11">
        <f t="shared" si="1"/>
        <v>2004</v>
      </c>
    </row>
    <row r="142">
      <c r="I142" s="13" t="str">
        <f>IFERROR(__xludf.DUMMYFUNCTION("""COMPUTED_VALUE"""),"740460599475760_1926680174187124")</f>
        <v>740460599475760_1926680174187124</v>
      </c>
      <c r="J142" s="11">
        <f>IFERROR(__xludf.DUMMYFUNCTION("""COMPUTED_VALUE"""),1551.0)</f>
        <v>1551</v>
      </c>
      <c r="K142" s="11">
        <f>IFERROR(__xludf.DUMMYFUNCTION("""COMPUTED_VALUE"""),77.0)</f>
        <v>77</v>
      </c>
      <c r="L142" s="11">
        <f>IFERROR(__xludf.DUMMYFUNCTION("""COMPUTED_VALUE"""),38.0)</f>
        <v>38</v>
      </c>
      <c r="M142" s="11">
        <f>IFERROR(__xludf.DUMMYFUNCTION("""COMPUTED_VALUE"""),187.0)</f>
        <v>187</v>
      </c>
      <c r="N142" s="11">
        <f t="shared" si="1"/>
        <v>1666</v>
      </c>
    </row>
    <row r="143">
      <c r="I143" s="13" t="str">
        <f>IFERROR(__xludf.DUMMYFUNCTION("""COMPUTED_VALUE"""),"740460599475760_1914729018715573")</f>
        <v>740460599475760_1914729018715573</v>
      </c>
      <c r="J143" s="11">
        <f>IFERROR(__xludf.DUMMYFUNCTION("""COMPUTED_VALUE"""),784.0)</f>
        <v>784</v>
      </c>
      <c r="K143" s="11">
        <f>IFERROR(__xludf.DUMMYFUNCTION("""COMPUTED_VALUE"""),81.0)</f>
        <v>81</v>
      </c>
      <c r="L143" s="11">
        <f>IFERROR(__xludf.DUMMYFUNCTION("""COMPUTED_VALUE"""),21.0)</f>
        <v>21</v>
      </c>
      <c r="M143" s="11">
        <f>IFERROR(__xludf.DUMMYFUNCTION("""COMPUTED_VALUE"""),190.0)</f>
        <v>190</v>
      </c>
      <c r="N143" s="11">
        <f t="shared" si="1"/>
        <v>886</v>
      </c>
    </row>
    <row r="144">
      <c r="I144" s="13" t="str">
        <f>IFERROR(__xludf.DUMMYFUNCTION("""COMPUTED_VALUE"""),"740460599475760_1963839930471148")</f>
        <v>740460599475760_1963839930471148</v>
      </c>
      <c r="J144" s="11">
        <f>IFERROR(__xludf.DUMMYFUNCTION("""COMPUTED_VALUE"""),12701.0)</f>
        <v>12701</v>
      </c>
      <c r="K144" s="11">
        <f>IFERROR(__xludf.DUMMYFUNCTION("""COMPUTED_VALUE"""),74.0)</f>
        <v>74</v>
      </c>
      <c r="L144" s="11">
        <f>IFERROR(__xludf.DUMMYFUNCTION("""COMPUTED_VALUE"""),338.0)</f>
        <v>338</v>
      </c>
      <c r="M144" s="11">
        <f>IFERROR(__xludf.DUMMYFUNCTION("""COMPUTED_VALUE"""),192.0)</f>
        <v>192</v>
      </c>
      <c r="N144" s="11">
        <f t="shared" si="1"/>
        <v>13113</v>
      </c>
    </row>
    <row r="145">
      <c r="I145" s="13" t="str">
        <f>IFERROR(__xludf.DUMMYFUNCTION("""COMPUTED_VALUE"""),"740460599475760_1967618723426602")</f>
        <v>740460599475760_1967618723426602</v>
      </c>
      <c r="J145" s="11">
        <f>IFERROR(__xludf.DUMMYFUNCTION("""COMPUTED_VALUE"""),1918.0)</f>
        <v>1918</v>
      </c>
      <c r="K145" s="11">
        <f>IFERROR(__xludf.DUMMYFUNCTION("""COMPUTED_VALUE"""),320.0)</f>
        <v>320</v>
      </c>
      <c r="L145" s="11">
        <f>IFERROR(__xludf.DUMMYFUNCTION("""COMPUTED_VALUE"""),49.0)</f>
        <v>49</v>
      </c>
      <c r="M145" s="11">
        <f>IFERROR(__xludf.DUMMYFUNCTION("""COMPUTED_VALUE"""),192.0)</f>
        <v>192</v>
      </c>
      <c r="N145" s="11">
        <f t="shared" si="1"/>
        <v>2287</v>
      </c>
    </row>
    <row r="146">
      <c r="I146" s="13" t="str">
        <f>IFERROR(__xludf.DUMMYFUNCTION("""COMPUTED_VALUE"""),"740460599475760_1911365515718590")</f>
        <v>740460599475760_1911365515718590</v>
      </c>
      <c r="J146" s="11">
        <f>IFERROR(__xludf.DUMMYFUNCTION("""COMPUTED_VALUE"""),1313.0)</f>
        <v>1313</v>
      </c>
      <c r="K146" s="11">
        <f>IFERROR(__xludf.DUMMYFUNCTION("""COMPUTED_VALUE"""),194.0)</f>
        <v>194</v>
      </c>
      <c r="L146" s="11">
        <f>IFERROR(__xludf.DUMMYFUNCTION("""COMPUTED_VALUE"""),72.0)</f>
        <v>72</v>
      </c>
      <c r="M146" s="11">
        <f>IFERROR(__xludf.DUMMYFUNCTION("""COMPUTED_VALUE"""),193.0)</f>
        <v>193</v>
      </c>
      <c r="N146" s="11">
        <f t="shared" si="1"/>
        <v>1579</v>
      </c>
    </row>
    <row r="147">
      <c r="I147" s="13" t="str">
        <f>IFERROR(__xludf.DUMMYFUNCTION("""COMPUTED_VALUE"""),"740460599475760_1966958943492580")</f>
        <v>740460599475760_1966958943492580</v>
      </c>
      <c r="J147" s="11">
        <f>IFERROR(__xludf.DUMMYFUNCTION("""COMPUTED_VALUE"""),650.0)</f>
        <v>650</v>
      </c>
      <c r="K147" s="11">
        <f>IFERROR(__xludf.DUMMYFUNCTION("""COMPUTED_VALUE"""),59.0)</f>
        <v>59</v>
      </c>
      <c r="L147" s="11">
        <f>IFERROR(__xludf.DUMMYFUNCTION("""COMPUTED_VALUE"""),26.0)</f>
        <v>26</v>
      </c>
      <c r="M147" s="11">
        <f>IFERROR(__xludf.DUMMYFUNCTION("""COMPUTED_VALUE"""),193.0)</f>
        <v>193</v>
      </c>
      <c r="N147" s="11">
        <f t="shared" si="1"/>
        <v>735</v>
      </c>
    </row>
    <row r="148">
      <c r="I148" s="13" t="str">
        <f>IFERROR(__xludf.DUMMYFUNCTION("""COMPUTED_VALUE"""),"740460599475760_1913811978807277")</f>
        <v>740460599475760_1913811978807277</v>
      </c>
      <c r="J148" s="11">
        <f>IFERROR(__xludf.DUMMYFUNCTION("""COMPUTED_VALUE"""),3392.0)</f>
        <v>3392</v>
      </c>
      <c r="K148" s="11">
        <f>IFERROR(__xludf.DUMMYFUNCTION("""COMPUTED_VALUE"""),54.0)</f>
        <v>54</v>
      </c>
      <c r="L148" s="11">
        <f>IFERROR(__xludf.DUMMYFUNCTION("""COMPUTED_VALUE"""),11.0)</f>
        <v>11</v>
      </c>
      <c r="M148" s="11">
        <f>IFERROR(__xludf.DUMMYFUNCTION("""COMPUTED_VALUE"""),194.0)</f>
        <v>194</v>
      </c>
      <c r="N148" s="11">
        <f t="shared" si="1"/>
        <v>3457</v>
      </c>
    </row>
    <row r="149">
      <c r="I149" s="13" t="str">
        <f>IFERROR(__xludf.DUMMYFUNCTION("""COMPUTED_VALUE"""),"740460599475760_1936446436543831")</f>
        <v>740460599475760_1936446436543831</v>
      </c>
      <c r="J149" s="11">
        <f>IFERROR(__xludf.DUMMYFUNCTION("""COMPUTED_VALUE"""),5862.0)</f>
        <v>5862</v>
      </c>
      <c r="K149" s="11">
        <f>IFERROR(__xludf.DUMMYFUNCTION("""COMPUTED_VALUE"""),315.0)</f>
        <v>315</v>
      </c>
      <c r="L149" s="11">
        <f>IFERROR(__xludf.DUMMYFUNCTION("""COMPUTED_VALUE"""),36.0)</f>
        <v>36</v>
      </c>
      <c r="M149" s="11">
        <f>IFERROR(__xludf.DUMMYFUNCTION("""COMPUTED_VALUE"""),194.0)</f>
        <v>194</v>
      </c>
      <c r="N149" s="11">
        <f t="shared" si="1"/>
        <v>6213</v>
      </c>
    </row>
    <row r="150">
      <c r="I150" s="13" t="str">
        <f>IFERROR(__xludf.DUMMYFUNCTION("""COMPUTED_VALUE"""),"740460599475760_1963833210471820")</f>
        <v>740460599475760_1963833210471820</v>
      </c>
      <c r="J150" s="11">
        <f>IFERROR(__xludf.DUMMYFUNCTION("""COMPUTED_VALUE"""),634.0)</f>
        <v>634</v>
      </c>
      <c r="K150" s="11">
        <f>IFERROR(__xludf.DUMMYFUNCTION("""COMPUTED_VALUE"""),67.0)</f>
        <v>67</v>
      </c>
      <c r="L150" s="11">
        <f>IFERROR(__xludf.DUMMYFUNCTION("""COMPUTED_VALUE"""),18.0)</f>
        <v>18</v>
      </c>
      <c r="M150" s="11">
        <f>IFERROR(__xludf.DUMMYFUNCTION("""COMPUTED_VALUE"""),194.0)</f>
        <v>194</v>
      </c>
      <c r="N150" s="11">
        <f t="shared" si="1"/>
        <v>719</v>
      </c>
    </row>
    <row r="151">
      <c r="I151" s="13" t="str">
        <f>IFERROR(__xludf.DUMMYFUNCTION("""COMPUTED_VALUE"""),"740460599475760_1933425790179229")</f>
        <v>740460599475760_1933425790179229</v>
      </c>
      <c r="J151" s="11">
        <f>IFERROR(__xludf.DUMMYFUNCTION("""COMPUTED_VALUE"""),292.0)</f>
        <v>292</v>
      </c>
      <c r="K151" s="11">
        <f>IFERROR(__xludf.DUMMYFUNCTION("""COMPUTED_VALUE"""),16.0)</f>
        <v>16</v>
      </c>
      <c r="L151" s="11">
        <f>IFERROR(__xludf.DUMMYFUNCTION("""COMPUTED_VALUE"""),6.0)</f>
        <v>6</v>
      </c>
      <c r="M151" s="11">
        <f>IFERROR(__xludf.DUMMYFUNCTION("""COMPUTED_VALUE"""),196.0)</f>
        <v>196</v>
      </c>
      <c r="N151" s="11">
        <f t="shared" si="1"/>
        <v>314</v>
      </c>
    </row>
    <row r="152">
      <c r="I152" s="13" t="str">
        <f>IFERROR(__xludf.DUMMYFUNCTION("""COMPUTED_VALUE"""),"172882636630076_1004804416771223")</f>
        <v>172882636630076_1004804416771223</v>
      </c>
      <c r="J152" s="11">
        <f>IFERROR(__xludf.DUMMYFUNCTION("""COMPUTED_VALUE"""),393.0)</f>
        <v>393</v>
      </c>
      <c r="K152" s="11">
        <f>IFERROR(__xludf.DUMMYFUNCTION("""COMPUTED_VALUE"""),1.0)</f>
        <v>1</v>
      </c>
      <c r="L152" s="11">
        <f>IFERROR(__xludf.DUMMYFUNCTION("""COMPUTED_VALUE"""),10.0)</f>
        <v>10</v>
      </c>
      <c r="M152" s="11">
        <f>IFERROR(__xludf.DUMMYFUNCTION("""COMPUTED_VALUE"""),196.0)</f>
        <v>196</v>
      </c>
      <c r="N152" s="11">
        <f t="shared" si="1"/>
        <v>404</v>
      </c>
    </row>
    <row r="153">
      <c r="I153" s="13" t="str">
        <f>IFERROR(__xludf.DUMMYFUNCTION("""COMPUTED_VALUE"""),"740460599475760_1911244335730708")</f>
        <v>740460599475760_1911244335730708</v>
      </c>
      <c r="J153" s="11">
        <f>IFERROR(__xludf.DUMMYFUNCTION("""COMPUTED_VALUE"""),893.0)</f>
        <v>893</v>
      </c>
      <c r="K153" s="11">
        <f>IFERROR(__xludf.DUMMYFUNCTION("""COMPUTED_VALUE"""),90.0)</f>
        <v>90</v>
      </c>
      <c r="L153" s="11">
        <f>IFERROR(__xludf.DUMMYFUNCTION("""COMPUTED_VALUE"""),30.0)</f>
        <v>30</v>
      </c>
      <c r="M153" s="11">
        <f>IFERROR(__xludf.DUMMYFUNCTION("""COMPUTED_VALUE"""),199.0)</f>
        <v>199</v>
      </c>
      <c r="N153" s="11">
        <f t="shared" si="1"/>
        <v>1013</v>
      </c>
    </row>
    <row r="154">
      <c r="D154" s="13"/>
      <c r="E154" s="13"/>
      <c r="I154" s="13" t="str">
        <f>IFERROR(__xludf.DUMMYFUNCTION("""COMPUTED_VALUE"""),"740460599475760_1943967959125012")</f>
        <v>740460599475760_1943967959125012</v>
      </c>
      <c r="J154" s="11">
        <f>IFERROR(__xludf.DUMMYFUNCTION("""COMPUTED_VALUE"""),991.0)</f>
        <v>991</v>
      </c>
      <c r="K154" s="11">
        <f>IFERROR(__xludf.DUMMYFUNCTION("""COMPUTED_VALUE"""),78.0)</f>
        <v>78</v>
      </c>
      <c r="L154" s="11">
        <f>IFERROR(__xludf.DUMMYFUNCTION("""COMPUTED_VALUE"""),16.0)</f>
        <v>16</v>
      </c>
      <c r="M154" s="11">
        <f>IFERROR(__xludf.DUMMYFUNCTION("""COMPUTED_VALUE"""),200.0)</f>
        <v>200</v>
      </c>
      <c r="N154" s="11">
        <f t="shared" si="1"/>
        <v>1085</v>
      </c>
    </row>
    <row r="155">
      <c r="I155" s="13" t="str">
        <f>IFERROR(__xludf.DUMMYFUNCTION("""COMPUTED_VALUE"""),"740460599475760_1017690712111095")</f>
        <v>740460599475760_1017690712111095</v>
      </c>
      <c r="J155" s="11">
        <f>IFERROR(__xludf.DUMMYFUNCTION("""COMPUTED_VALUE"""),437.0)</f>
        <v>437</v>
      </c>
      <c r="K155" s="11">
        <f>IFERROR(__xludf.DUMMYFUNCTION("""COMPUTED_VALUE"""),305.0)</f>
        <v>305</v>
      </c>
      <c r="L155" s="11">
        <f>IFERROR(__xludf.DUMMYFUNCTION("""COMPUTED_VALUE"""),69.0)</f>
        <v>69</v>
      </c>
      <c r="M155" s="11">
        <f>IFERROR(__xludf.DUMMYFUNCTION("""COMPUTED_VALUE"""),200.0)</f>
        <v>200</v>
      </c>
      <c r="N155" s="11">
        <f t="shared" si="1"/>
        <v>811</v>
      </c>
    </row>
    <row r="156">
      <c r="I156" s="13" t="str">
        <f>IFERROR(__xludf.DUMMYFUNCTION("""COMPUTED_VALUE"""),"740460599475760_1963557903832684")</f>
        <v>740460599475760_1963557903832684</v>
      </c>
      <c r="J156" s="11">
        <f>IFERROR(__xludf.DUMMYFUNCTION("""COMPUTED_VALUE"""),682.0)</f>
        <v>682</v>
      </c>
      <c r="K156" s="11">
        <f>IFERROR(__xludf.DUMMYFUNCTION("""COMPUTED_VALUE"""),34.0)</f>
        <v>34</v>
      </c>
      <c r="L156" s="11">
        <f>IFERROR(__xludf.DUMMYFUNCTION("""COMPUTED_VALUE"""),10.0)</f>
        <v>10</v>
      </c>
      <c r="M156" s="11">
        <f>IFERROR(__xludf.DUMMYFUNCTION("""COMPUTED_VALUE"""),201.0)</f>
        <v>201</v>
      </c>
      <c r="N156" s="11">
        <f t="shared" si="1"/>
        <v>726</v>
      </c>
    </row>
    <row r="157">
      <c r="I157" s="13" t="str">
        <f>IFERROR(__xludf.DUMMYFUNCTION("""COMPUTED_VALUE"""),"740460599475760_1943970059124802")</f>
        <v>740460599475760_1943970059124802</v>
      </c>
      <c r="J157" s="11">
        <f>IFERROR(__xludf.DUMMYFUNCTION("""COMPUTED_VALUE"""),1572.0)</f>
        <v>1572</v>
      </c>
      <c r="K157" s="11">
        <f>IFERROR(__xludf.DUMMYFUNCTION("""COMPUTED_VALUE"""),253.0)</f>
        <v>253</v>
      </c>
      <c r="L157" s="11">
        <f>IFERROR(__xludf.DUMMYFUNCTION("""COMPUTED_VALUE"""),21.0)</f>
        <v>21</v>
      </c>
      <c r="M157" s="11">
        <f>IFERROR(__xludf.DUMMYFUNCTION("""COMPUTED_VALUE"""),202.0)</f>
        <v>202</v>
      </c>
      <c r="N157" s="11">
        <f t="shared" si="1"/>
        <v>1846</v>
      </c>
    </row>
    <row r="158">
      <c r="I158" s="13" t="str">
        <f>IFERROR(__xludf.DUMMYFUNCTION("""COMPUTED_VALUE"""),"172882636630076_987160195202312")</f>
        <v>172882636630076_987160195202312</v>
      </c>
      <c r="J158" s="11">
        <f>IFERROR(__xludf.DUMMYFUNCTION("""COMPUTED_VALUE"""),643.0)</f>
        <v>643</v>
      </c>
      <c r="K158" s="11">
        <f>IFERROR(__xludf.DUMMYFUNCTION("""COMPUTED_VALUE"""),2.0)</f>
        <v>2</v>
      </c>
      <c r="L158" s="11">
        <f>IFERROR(__xludf.DUMMYFUNCTION("""COMPUTED_VALUE"""),29.0)</f>
        <v>29</v>
      </c>
      <c r="M158" s="11">
        <f>IFERROR(__xludf.DUMMYFUNCTION("""COMPUTED_VALUE"""),202.0)</f>
        <v>202</v>
      </c>
      <c r="N158" s="11">
        <f t="shared" si="1"/>
        <v>674</v>
      </c>
    </row>
    <row r="159">
      <c r="I159" s="13" t="str">
        <f>IFERROR(__xludf.DUMMYFUNCTION("""COMPUTED_VALUE"""),"740460599475760_1908168586038283")</f>
        <v>740460599475760_1908168586038283</v>
      </c>
      <c r="J159" s="11">
        <f>IFERROR(__xludf.DUMMYFUNCTION("""COMPUTED_VALUE"""),1703.0)</f>
        <v>1703</v>
      </c>
      <c r="K159" s="11">
        <f>IFERROR(__xludf.DUMMYFUNCTION("""COMPUTED_VALUE"""),152.0)</f>
        <v>152</v>
      </c>
      <c r="L159" s="11">
        <f>IFERROR(__xludf.DUMMYFUNCTION("""COMPUTED_VALUE"""),11.0)</f>
        <v>11</v>
      </c>
      <c r="M159" s="11">
        <f>IFERROR(__xludf.DUMMYFUNCTION("""COMPUTED_VALUE"""),203.0)</f>
        <v>203</v>
      </c>
      <c r="N159" s="11">
        <f t="shared" si="1"/>
        <v>1866</v>
      </c>
    </row>
    <row r="160">
      <c r="I160" s="13" t="str">
        <f>IFERROR(__xludf.DUMMYFUNCTION("""COMPUTED_VALUE"""),"740460599475760_1905181179670357")</f>
        <v>740460599475760_1905181179670357</v>
      </c>
      <c r="J160" s="11">
        <f>IFERROR(__xludf.DUMMYFUNCTION("""COMPUTED_VALUE"""),1390.0)</f>
        <v>1390</v>
      </c>
      <c r="K160" s="11">
        <f>IFERROR(__xludf.DUMMYFUNCTION("""COMPUTED_VALUE"""),137.0)</f>
        <v>137</v>
      </c>
      <c r="L160" s="11">
        <f>IFERROR(__xludf.DUMMYFUNCTION("""COMPUTED_VALUE"""),56.0)</f>
        <v>56</v>
      </c>
      <c r="M160" s="11">
        <f>IFERROR(__xludf.DUMMYFUNCTION("""COMPUTED_VALUE"""),204.0)</f>
        <v>204</v>
      </c>
      <c r="N160" s="11">
        <f t="shared" si="1"/>
        <v>1583</v>
      </c>
    </row>
    <row r="161">
      <c r="I161" s="13" t="str">
        <f>IFERROR(__xludf.DUMMYFUNCTION("""COMPUTED_VALUE"""),"740460599475760_1969269273261547")</f>
        <v>740460599475760_1969269273261547</v>
      </c>
      <c r="J161" s="11">
        <f>IFERROR(__xludf.DUMMYFUNCTION("""COMPUTED_VALUE"""),445.0)</f>
        <v>445</v>
      </c>
      <c r="K161" s="11">
        <f>IFERROR(__xludf.DUMMYFUNCTION("""COMPUTED_VALUE"""),13.0)</f>
        <v>13</v>
      </c>
      <c r="L161" s="11">
        <f>IFERROR(__xludf.DUMMYFUNCTION("""COMPUTED_VALUE"""),7.0)</f>
        <v>7</v>
      </c>
      <c r="M161" s="11">
        <f>IFERROR(__xludf.DUMMYFUNCTION("""COMPUTED_VALUE"""),204.0)</f>
        <v>204</v>
      </c>
      <c r="N161" s="11">
        <f t="shared" si="1"/>
        <v>465</v>
      </c>
    </row>
    <row r="162">
      <c r="I162" s="13" t="str">
        <f>IFERROR(__xludf.DUMMYFUNCTION("""COMPUTED_VALUE"""),"740460599475760_1932850766903398")</f>
        <v>740460599475760_1932850766903398</v>
      </c>
      <c r="J162" s="11">
        <f>IFERROR(__xludf.DUMMYFUNCTION("""COMPUTED_VALUE"""),6781.0)</f>
        <v>6781</v>
      </c>
      <c r="K162" s="11">
        <f>IFERROR(__xludf.DUMMYFUNCTION("""COMPUTED_VALUE"""),167.0)</f>
        <v>167</v>
      </c>
      <c r="L162" s="11">
        <f>IFERROR(__xludf.DUMMYFUNCTION("""COMPUTED_VALUE"""),93.0)</f>
        <v>93</v>
      </c>
      <c r="M162" s="11">
        <f>IFERROR(__xludf.DUMMYFUNCTION("""COMPUTED_VALUE"""),206.0)</f>
        <v>206</v>
      </c>
      <c r="N162" s="11">
        <f t="shared" si="1"/>
        <v>7041</v>
      </c>
    </row>
    <row r="163">
      <c r="I163" s="13" t="str">
        <f>IFERROR(__xludf.DUMMYFUNCTION("""COMPUTED_VALUE"""),"740460599475760_1931244117064063")</f>
        <v>740460599475760_1931244117064063</v>
      </c>
      <c r="J163" s="11">
        <f>IFERROR(__xludf.DUMMYFUNCTION("""COMPUTED_VALUE"""),308.0)</f>
        <v>308</v>
      </c>
      <c r="K163" s="11">
        <f>IFERROR(__xludf.DUMMYFUNCTION("""COMPUTED_VALUE"""),34.0)</f>
        <v>34</v>
      </c>
      <c r="L163" s="11">
        <f>IFERROR(__xludf.DUMMYFUNCTION("""COMPUTED_VALUE"""),13.0)</f>
        <v>13</v>
      </c>
      <c r="M163" s="11">
        <f>IFERROR(__xludf.DUMMYFUNCTION("""COMPUTED_VALUE"""),207.0)</f>
        <v>207</v>
      </c>
      <c r="N163" s="11">
        <f t="shared" si="1"/>
        <v>355</v>
      </c>
    </row>
    <row r="164">
      <c r="I164" s="13" t="str">
        <f>IFERROR(__xludf.DUMMYFUNCTION("""COMPUTED_VALUE"""),"740460599475760_1951403998381408")</f>
        <v>740460599475760_1951403998381408</v>
      </c>
      <c r="J164" s="11">
        <f>IFERROR(__xludf.DUMMYFUNCTION("""COMPUTED_VALUE"""),6697.0)</f>
        <v>6697</v>
      </c>
      <c r="K164" s="11">
        <f>IFERROR(__xludf.DUMMYFUNCTION("""COMPUTED_VALUE"""),178.0)</f>
        <v>178</v>
      </c>
      <c r="L164" s="11">
        <f>IFERROR(__xludf.DUMMYFUNCTION("""COMPUTED_VALUE"""),35.0)</f>
        <v>35</v>
      </c>
      <c r="M164" s="11">
        <f>IFERROR(__xludf.DUMMYFUNCTION("""COMPUTED_VALUE"""),207.0)</f>
        <v>207</v>
      </c>
      <c r="N164" s="11">
        <f t="shared" si="1"/>
        <v>6910</v>
      </c>
    </row>
    <row r="165">
      <c r="I165" s="13" t="str">
        <f>IFERROR(__xludf.DUMMYFUNCTION("""COMPUTED_VALUE"""),"740460599475760_1969123923276082")</f>
        <v>740460599475760_1969123923276082</v>
      </c>
      <c r="J165" s="11">
        <f>IFERROR(__xludf.DUMMYFUNCTION("""COMPUTED_VALUE"""),665.0)</f>
        <v>665</v>
      </c>
      <c r="K165" s="11">
        <f>IFERROR(__xludf.DUMMYFUNCTION("""COMPUTED_VALUE"""),39.0)</f>
        <v>39</v>
      </c>
      <c r="L165" s="11">
        <f>IFERROR(__xludf.DUMMYFUNCTION("""COMPUTED_VALUE"""),7.0)</f>
        <v>7</v>
      </c>
      <c r="M165" s="11">
        <f>IFERROR(__xludf.DUMMYFUNCTION("""COMPUTED_VALUE"""),207.0)</f>
        <v>207</v>
      </c>
      <c r="N165" s="11">
        <f t="shared" si="1"/>
        <v>711</v>
      </c>
    </row>
    <row r="166">
      <c r="I166" s="13" t="str">
        <f>IFERROR(__xludf.DUMMYFUNCTION("""COMPUTED_VALUE"""),"740460599475760_1928433627345112")</f>
        <v>740460599475760_1928433627345112</v>
      </c>
      <c r="J166" s="11">
        <f>IFERROR(__xludf.DUMMYFUNCTION("""COMPUTED_VALUE"""),4768.0)</f>
        <v>4768</v>
      </c>
      <c r="K166" s="11">
        <f>IFERROR(__xludf.DUMMYFUNCTION("""COMPUTED_VALUE"""),343.0)</f>
        <v>343</v>
      </c>
      <c r="L166" s="11">
        <f>IFERROR(__xludf.DUMMYFUNCTION("""COMPUTED_VALUE"""),256.0)</f>
        <v>256</v>
      </c>
      <c r="M166" s="11">
        <f>IFERROR(__xludf.DUMMYFUNCTION("""COMPUTED_VALUE"""),208.0)</f>
        <v>208</v>
      </c>
      <c r="N166" s="11">
        <f t="shared" si="1"/>
        <v>5367</v>
      </c>
    </row>
    <row r="167">
      <c r="I167" s="13" t="str">
        <f>IFERROR(__xludf.DUMMYFUNCTION("""COMPUTED_VALUE"""),"172882636630076_1013823322535999")</f>
        <v>172882636630076_1013823322535999</v>
      </c>
      <c r="J167" s="11">
        <f>IFERROR(__xludf.DUMMYFUNCTION("""COMPUTED_VALUE"""),573.0)</f>
        <v>573</v>
      </c>
      <c r="K167" s="11">
        <f>IFERROR(__xludf.DUMMYFUNCTION("""COMPUTED_VALUE"""),14.0)</f>
        <v>14</v>
      </c>
      <c r="L167" s="11">
        <f>IFERROR(__xludf.DUMMYFUNCTION("""COMPUTED_VALUE"""),41.0)</f>
        <v>41</v>
      </c>
      <c r="M167" s="11">
        <f>IFERROR(__xludf.DUMMYFUNCTION("""COMPUTED_VALUE"""),208.0)</f>
        <v>208</v>
      </c>
      <c r="N167" s="11">
        <f t="shared" si="1"/>
        <v>628</v>
      </c>
    </row>
    <row r="168">
      <c r="I168" s="13" t="str">
        <f>IFERROR(__xludf.DUMMYFUNCTION("""COMPUTED_VALUE"""),"740460599475760_1935728093282332")</f>
        <v>740460599475760_1935728093282332</v>
      </c>
      <c r="J168" s="11">
        <f>IFERROR(__xludf.DUMMYFUNCTION("""COMPUTED_VALUE"""),7823.0)</f>
        <v>7823</v>
      </c>
      <c r="K168" s="11">
        <f>IFERROR(__xludf.DUMMYFUNCTION("""COMPUTED_VALUE"""),295.0)</f>
        <v>295</v>
      </c>
      <c r="L168" s="11">
        <f>IFERROR(__xludf.DUMMYFUNCTION("""COMPUTED_VALUE"""),100.0)</f>
        <v>100</v>
      </c>
      <c r="M168" s="11">
        <f>IFERROR(__xludf.DUMMYFUNCTION("""COMPUTED_VALUE"""),209.0)</f>
        <v>209</v>
      </c>
      <c r="N168" s="11">
        <f t="shared" si="1"/>
        <v>8218</v>
      </c>
    </row>
    <row r="169">
      <c r="I169" s="13" t="str">
        <f>IFERROR(__xludf.DUMMYFUNCTION("""COMPUTED_VALUE"""),"740460599475760_1917113598477115")</f>
        <v>740460599475760_1917113598477115</v>
      </c>
      <c r="J169" s="11">
        <f>IFERROR(__xludf.DUMMYFUNCTION("""COMPUTED_VALUE"""),1446.0)</f>
        <v>1446</v>
      </c>
      <c r="K169" s="11">
        <f>IFERROR(__xludf.DUMMYFUNCTION("""COMPUTED_VALUE"""),209.0)</f>
        <v>209</v>
      </c>
      <c r="L169" s="11">
        <f>IFERROR(__xludf.DUMMYFUNCTION("""COMPUTED_VALUE"""),86.0)</f>
        <v>86</v>
      </c>
      <c r="M169" s="11">
        <f>IFERROR(__xludf.DUMMYFUNCTION("""COMPUTED_VALUE"""),210.0)</f>
        <v>210</v>
      </c>
      <c r="N169" s="11">
        <f t="shared" si="1"/>
        <v>1741</v>
      </c>
    </row>
    <row r="170">
      <c r="I170" s="13" t="str">
        <f>IFERROR(__xludf.DUMMYFUNCTION("""COMPUTED_VALUE"""),"740460599475760_1921840288004446")</f>
        <v>740460599475760_1921840288004446</v>
      </c>
      <c r="J170" s="11">
        <f>IFERROR(__xludf.DUMMYFUNCTION("""COMPUTED_VALUE"""),538.0)</f>
        <v>538</v>
      </c>
      <c r="K170" s="11">
        <f>IFERROR(__xludf.DUMMYFUNCTION("""COMPUTED_VALUE"""),55.0)</f>
        <v>55</v>
      </c>
      <c r="L170" s="11">
        <f>IFERROR(__xludf.DUMMYFUNCTION("""COMPUTED_VALUE"""),5.0)</f>
        <v>5</v>
      </c>
      <c r="M170" s="11">
        <f>IFERROR(__xludf.DUMMYFUNCTION("""COMPUTED_VALUE"""),211.0)</f>
        <v>211</v>
      </c>
      <c r="N170" s="11">
        <f t="shared" si="1"/>
        <v>598</v>
      </c>
    </row>
    <row r="171">
      <c r="I171" s="13" t="str">
        <f>IFERROR(__xludf.DUMMYFUNCTION("""COMPUTED_VALUE"""),"740460599475760_1947015365486938")</f>
        <v>740460599475760_1947015365486938</v>
      </c>
      <c r="J171" s="11">
        <f>IFERROR(__xludf.DUMMYFUNCTION("""COMPUTED_VALUE"""),6072.0)</f>
        <v>6072</v>
      </c>
      <c r="K171" s="11">
        <f>IFERROR(__xludf.DUMMYFUNCTION("""COMPUTED_VALUE"""),57.0)</f>
        <v>57</v>
      </c>
      <c r="L171" s="11">
        <f>IFERROR(__xludf.DUMMYFUNCTION("""COMPUTED_VALUE"""),27.0)</f>
        <v>27</v>
      </c>
      <c r="M171" s="11">
        <f>IFERROR(__xludf.DUMMYFUNCTION("""COMPUTED_VALUE"""),211.0)</f>
        <v>211</v>
      </c>
      <c r="N171" s="11">
        <f t="shared" si="1"/>
        <v>6156</v>
      </c>
    </row>
    <row r="172">
      <c r="I172" s="13" t="str">
        <f>IFERROR(__xludf.DUMMYFUNCTION("""COMPUTED_VALUE"""),"740460599475760_1964809903707484")</f>
        <v>740460599475760_1964809903707484</v>
      </c>
      <c r="J172" s="11">
        <f>IFERROR(__xludf.DUMMYFUNCTION("""COMPUTED_VALUE"""),424.0)</f>
        <v>424</v>
      </c>
      <c r="K172" s="11">
        <f>IFERROR(__xludf.DUMMYFUNCTION("""COMPUTED_VALUE"""),47.0)</f>
        <v>47</v>
      </c>
      <c r="L172" s="11">
        <f>IFERROR(__xludf.DUMMYFUNCTION("""COMPUTED_VALUE"""),14.0)</f>
        <v>14</v>
      </c>
      <c r="M172" s="11">
        <f>IFERROR(__xludf.DUMMYFUNCTION("""COMPUTED_VALUE"""),211.0)</f>
        <v>211</v>
      </c>
      <c r="N172" s="11">
        <f t="shared" si="1"/>
        <v>485</v>
      </c>
    </row>
    <row r="173">
      <c r="I173" s="13" t="str">
        <f>IFERROR(__xludf.DUMMYFUNCTION("""COMPUTED_VALUE"""),"740460599475760_1909625719225903")</f>
        <v>740460599475760_1909625719225903</v>
      </c>
      <c r="J173" s="11">
        <f>IFERROR(__xludf.DUMMYFUNCTION("""COMPUTED_VALUE"""),1275.0)</f>
        <v>1275</v>
      </c>
      <c r="K173" s="11">
        <f>IFERROR(__xludf.DUMMYFUNCTION("""COMPUTED_VALUE"""),147.0)</f>
        <v>147</v>
      </c>
      <c r="L173" s="11">
        <f>IFERROR(__xludf.DUMMYFUNCTION("""COMPUTED_VALUE"""),53.0)</f>
        <v>53</v>
      </c>
      <c r="M173" s="11">
        <f>IFERROR(__xludf.DUMMYFUNCTION("""COMPUTED_VALUE"""),212.0)</f>
        <v>212</v>
      </c>
      <c r="N173" s="11">
        <f t="shared" si="1"/>
        <v>1475</v>
      </c>
    </row>
    <row r="174">
      <c r="I174" s="13" t="str">
        <f>IFERROR(__xludf.DUMMYFUNCTION("""COMPUTED_VALUE"""),"740460599475760_1905076383014170")</f>
        <v>740460599475760_1905076383014170</v>
      </c>
      <c r="J174" s="11">
        <f>IFERROR(__xludf.DUMMYFUNCTION("""COMPUTED_VALUE"""),73.0)</f>
        <v>73</v>
      </c>
      <c r="K174" s="11">
        <f>IFERROR(__xludf.DUMMYFUNCTION("""COMPUTED_VALUE"""),2.0)</f>
        <v>2</v>
      </c>
      <c r="L174" s="11"/>
      <c r="M174" s="11">
        <f>IFERROR(__xludf.DUMMYFUNCTION("""COMPUTED_VALUE"""),213.0)</f>
        <v>213</v>
      </c>
      <c r="N174" s="11">
        <f t="shared" si="1"/>
        <v>75</v>
      </c>
    </row>
    <row r="175">
      <c r="I175" s="13" t="str">
        <f>IFERROR(__xludf.DUMMYFUNCTION("""COMPUTED_VALUE"""),"740460599475760_1905076663014142")</f>
        <v>740460599475760_1905076663014142</v>
      </c>
      <c r="J175" s="11">
        <f>IFERROR(__xludf.DUMMYFUNCTION("""COMPUTED_VALUE"""),167.0)</f>
        <v>167</v>
      </c>
      <c r="K175" s="11">
        <f>IFERROR(__xludf.DUMMYFUNCTION("""COMPUTED_VALUE"""),9.0)</f>
        <v>9</v>
      </c>
      <c r="L175" s="11">
        <f>IFERROR(__xludf.DUMMYFUNCTION("""COMPUTED_VALUE"""),6.0)</f>
        <v>6</v>
      </c>
      <c r="M175" s="11">
        <f>IFERROR(__xludf.DUMMYFUNCTION("""COMPUTED_VALUE"""),213.0)</f>
        <v>213</v>
      </c>
      <c r="N175" s="11">
        <f t="shared" si="1"/>
        <v>182</v>
      </c>
    </row>
    <row r="176">
      <c r="I176" s="13" t="str">
        <f>IFERROR(__xludf.DUMMYFUNCTION("""COMPUTED_VALUE"""),"740460599475760_1932024120319396")</f>
        <v>740460599475760_1932024120319396</v>
      </c>
      <c r="J176" s="11">
        <f>IFERROR(__xludf.DUMMYFUNCTION("""COMPUTED_VALUE"""),1972.0)</f>
        <v>1972</v>
      </c>
      <c r="K176" s="11">
        <f>IFERROR(__xludf.DUMMYFUNCTION("""COMPUTED_VALUE"""),62.0)</f>
        <v>62</v>
      </c>
      <c r="L176" s="11">
        <f>IFERROR(__xludf.DUMMYFUNCTION("""COMPUTED_VALUE"""),43.0)</f>
        <v>43</v>
      </c>
      <c r="M176" s="11">
        <f>IFERROR(__xludf.DUMMYFUNCTION("""COMPUTED_VALUE"""),213.0)</f>
        <v>213</v>
      </c>
      <c r="N176" s="11">
        <f t="shared" si="1"/>
        <v>2077</v>
      </c>
    </row>
    <row r="177">
      <c r="I177" s="13" t="str">
        <f>IFERROR(__xludf.DUMMYFUNCTION("""COMPUTED_VALUE"""),"740460599475760_1936327786555696")</f>
        <v>740460599475760_1936327786555696</v>
      </c>
      <c r="J177" s="11">
        <f>IFERROR(__xludf.DUMMYFUNCTION("""COMPUTED_VALUE"""),4501.0)</f>
        <v>4501</v>
      </c>
      <c r="K177" s="11">
        <f>IFERROR(__xludf.DUMMYFUNCTION("""COMPUTED_VALUE"""),128.0)</f>
        <v>128</v>
      </c>
      <c r="L177" s="11">
        <f>IFERROR(__xludf.DUMMYFUNCTION("""COMPUTED_VALUE"""),16.0)</f>
        <v>16</v>
      </c>
      <c r="M177" s="11">
        <f>IFERROR(__xludf.DUMMYFUNCTION("""COMPUTED_VALUE"""),213.0)</f>
        <v>213</v>
      </c>
      <c r="N177" s="11">
        <f t="shared" si="1"/>
        <v>4645</v>
      </c>
    </row>
    <row r="178">
      <c r="I178" s="13" t="str">
        <f>IFERROR(__xludf.DUMMYFUNCTION("""COMPUTED_VALUE"""),"740460599475760_1946262388895569")</f>
        <v>740460599475760_1946262388895569</v>
      </c>
      <c r="J178" s="11">
        <f>IFERROR(__xludf.DUMMYFUNCTION("""COMPUTED_VALUE"""),9774.0)</f>
        <v>9774</v>
      </c>
      <c r="K178" s="11">
        <f>IFERROR(__xludf.DUMMYFUNCTION("""COMPUTED_VALUE"""),402.0)</f>
        <v>402</v>
      </c>
      <c r="L178" s="11">
        <f>IFERROR(__xludf.DUMMYFUNCTION("""COMPUTED_VALUE"""),125.0)</f>
        <v>125</v>
      </c>
      <c r="M178" s="11">
        <f>IFERROR(__xludf.DUMMYFUNCTION("""COMPUTED_VALUE"""),213.0)</f>
        <v>213</v>
      </c>
      <c r="N178" s="11">
        <f t="shared" si="1"/>
        <v>10301</v>
      </c>
    </row>
    <row r="179">
      <c r="I179" s="13" t="str">
        <f>IFERROR(__xludf.DUMMYFUNCTION("""COMPUTED_VALUE"""),"740460599475760_1946790715509403")</f>
        <v>740460599475760_1946790715509403</v>
      </c>
      <c r="J179" s="11">
        <f>IFERROR(__xludf.DUMMYFUNCTION("""COMPUTED_VALUE"""),782.0)</f>
        <v>782</v>
      </c>
      <c r="K179" s="11">
        <f>IFERROR(__xludf.DUMMYFUNCTION("""COMPUTED_VALUE"""),73.0)</f>
        <v>73</v>
      </c>
      <c r="L179" s="11">
        <f>IFERROR(__xludf.DUMMYFUNCTION("""COMPUTED_VALUE"""),15.0)</f>
        <v>15</v>
      </c>
      <c r="M179" s="11">
        <f>IFERROR(__xludf.DUMMYFUNCTION("""COMPUTED_VALUE"""),213.0)</f>
        <v>213</v>
      </c>
      <c r="N179" s="11">
        <f t="shared" si="1"/>
        <v>870</v>
      </c>
    </row>
    <row r="180">
      <c r="I180" s="13" t="str">
        <f>IFERROR(__xludf.DUMMYFUNCTION("""COMPUTED_VALUE"""),"740460599475760_1968548526666955")</f>
        <v>740460599475760_1968548526666955</v>
      </c>
      <c r="J180" s="11">
        <f>IFERROR(__xludf.DUMMYFUNCTION("""COMPUTED_VALUE"""),4845.0)</f>
        <v>4845</v>
      </c>
      <c r="K180" s="11">
        <f>IFERROR(__xludf.DUMMYFUNCTION("""COMPUTED_VALUE"""),735.0)</f>
        <v>735</v>
      </c>
      <c r="L180" s="11">
        <f>IFERROR(__xludf.DUMMYFUNCTION("""COMPUTED_VALUE"""),658.0)</f>
        <v>658</v>
      </c>
      <c r="M180" s="11">
        <f>IFERROR(__xludf.DUMMYFUNCTION("""COMPUTED_VALUE"""),213.0)</f>
        <v>213</v>
      </c>
      <c r="N180" s="11">
        <f t="shared" si="1"/>
        <v>6238</v>
      </c>
    </row>
    <row r="181">
      <c r="I181" s="13" t="str">
        <f>IFERROR(__xludf.DUMMYFUNCTION("""COMPUTED_VALUE"""),"172882636630076_1009575606294104")</f>
        <v>172882636630076_1009575606294104</v>
      </c>
      <c r="J181" s="11">
        <f>IFERROR(__xludf.DUMMYFUNCTION("""COMPUTED_VALUE"""),262.0)</f>
        <v>262</v>
      </c>
      <c r="K181" s="11">
        <f>IFERROR(__xludf.DUMMYFUNCTION("""COMPUTED_VALUE"""),13.0)</f>
        <v>13</v>
      </c>
      <c r="L181" s="11">
        <f>IFERROR(__xludf.DUMMYFUNCTION("""COMPUTED_VALUE"""),20.0)</f>
        <v>20</v>
      </c>
      <c r="M181" s="11">
        <f>IFERROR(__xludf.DUMMYFUNCTION("""COMPUTED_VALUE"""),214.0)</f>
        <v>214</v>
      </c>
      <c r="N181" s="11">
        <f t="shared" si="1"/>
        <v>295</v>
      </c>
    </row>
    <row r="182">
      <c r="I182" s="13" t="str">
        <f>IFERROR(__xludf.DUMMYFUNCTION("""COMPUTED_VALUE"""),"740460599475760_1948389112016230")</f>
        <v>740460599475760_1948389112016230</v>
      </c>
      <c r="J182" s="11">
        <f>IFERROR(__xludf.DUMMYFUNCTION("""COMPUTED_VALUE"""),693.0)</f>
        <v>693</v>
      </c>
      <c r="K182" s="11">
        <f>IFERROR(__xludf.DUMMYFUNCTION("""COMPUTED_VALUE"""),55.0)</f>
        <v>55</v>
      </c>
      <c r="L182" s="11">
        <f>IFERROR(__xludf.DUMMYFUNCTION("""COMPUTED_VALUE"""),11.0)</f>
        <v>11</v>
      </c>
      <c r="M182" s="11">
        <f>IFERROR(__xludf.DUMMYFUNCTION("""COMPUTED_VALUE"""),215.0)</f>
        <v>215</v>
      </c>
      <c r="N182" s="11">
        <f t="shared" si="1"/>
        <v>759</v>
      </c>
    </row>
    <row r="183">
      <c r="I183" s="13" t="str">
        <f>IFERROR(__xludf.DUMMYFUNCTION("""COMPUTED_VALUE"""),"172882636630076_1021798985071766")</f>
        <v>172882636630076_1021798985071766</v>
      </c>
      <c r="J183" s="11">
        <f>IFERROR(__xludf.DUMMYFUNCTION("""COMPUTED_VALUE"""),41.0)</f>
        <v>41</v>
      </c>
      <c r="K183" s="11">
        <f>IFERROR(__xludf.DUMMYFUNCTION("""COMPUTED_VALUE"""),0.0)</f>
        <v>0</v>
      </c>
      <c r="L183" s="11"/>
      <c r="M183" s="11">
        <f>IFERROR(__xludf.DUMMYFUNCTION("""COMPUTED_VALUE"""),215.0)</f>
        <v>215</v>
      </c>
      <c r="N183" s="11">
        <f t="shared" si="1"/>
        <v>41</v>
      </c>
    </row>
    <row r="184">
      <c r="I184" s="13" t="str">
        <f>IFERROR(__xludf.DUMMYFUNCTION("""COMPUTED_VALUE"""),"740460599475760_1911247305730411")</f>
        <v>740460599475760_1911247305730411</v>
      </c>
      <c r="J184" s="11">
        <f>IFERROR(__xludf.DUMMYFUNCTION("""COMPUTED_VALUE"""),849.0)</f>
        <v>849</v>
      </c>
      <c r="K184" s="11">
        <f>IFERROR(__xludf.DUMMYFUNCTION("""COMPUTED_VALUE"""),60.0)</f>
        <v>60</v>
      </c>
      <c r="L184" s="11">
        <f>IFERROR(__xludf.DUMMYFUNCTION("""COMPUTED_VALUE"""),30.0)</f>
        <v>30</v>
      </c>
      <c r="M184" s="11">
        <f>IFERROR(__xludf.DUMMYFUNCTION("""COMPUTED_VALUE"""),218.0)</f>
        <v>218</v>
      </c>
      <c r="N184" s="11">
        <f t="shared" si="1"/>
        <v>939</v>
      </c>
    </row>
    <row r="185">
      <c r="I185" s="13" t="str">
        <f>IFERROR(__xludf.DUMMYFUNCTION("""COMPUTED_VALUE"""),"740460599475760_1921843774670764")</f>
        <v>740460599475760_1921843774670764</v>
      </c>
      <c r="J185" s="11">
        <f>IFERROR(__xludf.DUMMYFUNCTION("""COMPUTED_VALUE"""),577.0)</f>
        <v>577</v>
      </c>
      <c r="K185" s="11">
        <f>IFERROR(__xludf.DUMMYFUNCTION("""COMPUTED_VALUE"""),61.0)</f>
        <v>61</v>
      </c>
      <c r="L185" s="11">
        <f>IFERROR(__xludf.DUMMYFUNCTION("""COMPUTED_VALUE"""),2.0)</f>
        <v>2</v>
      </c>
      <c r="M185" s="11">
        <f>IFERROR(__xludf.DUMMYFUNCTION("""COMPUTED_VALUE"""),218.0)</f>
        <v>218</v>
      </c>
      <c r="N185" s="11">
        <f t="shared" si="1"/>
        <v>640</v>
      </c>
    </row>
    <row r="186">
      <c r="I186" s="13" t="str">
        <f>IFERROR(__xludf.DUMMYFUNCTION("""COMPUTED_VALUE"""),"740460599475760_1936200256568449")</f>
        <v>740460599475760_1936200256568449</v>
      </c>
      <c r="J186" s="11">
        <f>IFERROR(__xludf.DUMMYFUNCTION("""COMPUTED_VALUE"""),11918.0)</f>
        <v>11918</v>
      </c>
      <c r="K186" s="11">
        <f>IFERROR(__xludf.DUMMYFUNCTION("""COMPUTED_VALUE"""),2440.0)</f>
        <v>2440</v>
      </c>
      <c r="L186" s="11">
        <f>IFERROR(__xludf.DUMMYFUNCTION("""COMPUTED_VALUE"""),2028.0)</f>
        <v>2028</v>
      </c>
      <c r="M186" s="11">
        <f>IFERROR(__xludf.DUMMYFUNCTION("""COMPUTED_VALUE"""),218.0)</f>
        <v>218</v>
      </c>
      <c r="N186" s="11">
        <f t="shared" si="1"/>
        <v>16386</v>
      </c>
    </row>
    <row r="187">
      <c r="I187" s="13" t="str">
        <f>IFERROR(__xludf.DUMMYFUNCTION("""COMPUTED_VALUE"""),"740460599475760_1947622975426177")</f>
        <v>740460599475760_1947622975426177</v>
      </c>
      <c r="J187" s="11">
        <f>IFERROR(__xludf.DUMMYFUNCTION("""COMPUTED_VALUE"""),1103.0)</f>
        <v>1103</v>
      </c>
      <c r="K187" s="11">
        <f>IFERROR(__xludf.DUMMYFUNCTION("""COMPUTED_VALUE"""),63.0)</f>
        <v>63</v>
      </c>
      <c r="L187" s="11">
        <f>IFERROR(__xludf.DUMMYFUNCTION("""COMPUTED_VALUE"""),21.0)</f>
        <v>21</v>
      </c>
      <c r="M187" s="11">
        <f>IFERROR(__xludf.DUMMYFUNCTION("""COMPUTED_VALUE"""),218.0)</f>
        <v>218</v>
      </c>
      <c r="N187" s="11">
        <f t="shared" si="1"/>
        <v>1187</v>
      </c>
    </row>
    <row r="188">
      <c r="I188" s="13" t="str">
        <f>IFERROR(__xludf.DUMMYFUNCTION("""COMPUTED_VALUE"""),"740460599475760_1909602242561584")</f>
        <v>740460599475760_1909602242561584</v>
      </c>
      <c r="J188" s="11">
        <f>IFERROR(__xludf.DUMMYFUNCTION("""COMPUTED_VALUE"""),10975.0)</f>
        <v>10975</v>
      </c>
      <c r="K188" s="11">
        <f>IFERROR(__xludf.DUMMYFUNCTION("""COMPUTED_VALUE"""),706.0)</f>
        <v>706</v>
      </c>
      <c r="L188" s="11">
        <f>IFERROR(__xludf.DUMMYFUNCTION("""COMPUTED_VALUE"""),102.0)</f>
        <v>102</v>
      </c>
      <c r="M188" s="11">
        <f>IFERROR(__xludf.DUMMYFUNCTION("""COMPUTED_VALUE"""),219.0)</f>
        <v>219</v>
      </c>
      <c r="N188" s="11">
        <f t="shared" si="1"/>
        <v>11783</v>
      </c>
    </row>
    <row r="189">
      <c r="I189" s="13" t="str">
        <f>IFERROR(__xludf.DUMMYFUNCTION("""COMPUTED_VALUE"""),"740460599475760_1921818054673336")</f>
        <v>740460599475760_1921818054673336</v>
      </c>
      <c r="J189" s="11">
        <f>IFERROR(__xludf.DUMMYFUNCTION("""COMPUTED_VALUE"""),2223.0)</f>
        <v>2223</v>
      </c>
      <c r="K189" s="11">
        <f>IFERROR(__xludf.DUMMYFUNCTION("""COMPUTED_VALUE"""),97.0)</f>
        <v>97</v>
      </c>
      <c r="L189" s="11">
        <f>IFERROR(__xludf.DUMMYFUNCTION("""COMPUTED_VALUE"""),77.0)</f>
        <v>77</v>
      </c>
      <c r="M189" s="11">
        <f>IFERROR(__xludf.DUMMYFUNCTION("""COMPUTED_VALUE"""),219.0)</f>
        <v>219</v>
      </c>
      <c r="N189" s="11">
        <f t="shared" si="1"/>
        <v>2397</v>
      </c>
    </row>
    <row r="190">
      <c r="I190" s="13" t="str">
        <f>IFERROR(__xludf.DUMMYFUNCTION("""COMPUTED_VALUE"""),"740460599475760_1928356114019530")</f>
        <v>740460599475760_1928356114019530</v>
      </c>
      <c r="J190" s="11">
        <f>IFERROR(__xludf.DUMMYFUNCTION("""COMPUTED_VALUE"""),8430.0)</f>
        <v>8430</v>
      </c>
      <c r="K190" s="11">
        <f>IFERROR(__xludf.DUMMYFUNCTION("""COMPUTED_VALUE"""),191.0)</f>
        <v>191</v>
      </c>
      <c r="L190" s="11">
        <f>IFERROR(__xludf.DUMMYFUNCTION("""COMPUTED_VALUE"""),326.0)</f>
        <v>326</v>
      </c>
      <c r="M190" s="11">
        <f>IFERROR(__xludf.DUMMYFUNCTION("""COMPUTED_VALUE"""),220.0)</f>
        <v>220</v>
      </c>
      <c r="N190" s="11">
        <f t="shared" si="1"/>
        <v>8947</v>
      </c>
    </row>
    <row r="191">
      <c r="I191" s="13" t="str">
        <f>IFERROR(__xludf.DUMMYFUNCTION("""COMPUTED_VALUE"""),"740460599475760_1269931843454044")</f>
        <v>740460599475760_1269931843454044</v>
      </c>
      <c r="J191" s="11">
        <f>IFERROR(__xludf.DUMMYFUNCTION("""COMPUTED_VALUE"""),306.0)</f>
        <v>306</v>
      </c>
      <c r="K191" s="11">
        <f>IFERROR(__xludf.DUMMYFUNCTION("""COMPUTED_VALUE"""),73.0)</f>
        <v>73</v>
      </c>
      <c r="L191" s="11">
        <f>IFERROR(__xludf.DUMMYFUNCTION("""COMPUTED_VALUE"""),11.0)</f>
        <v>11</v>
      </c>
      <c r="M191" s="11">
        <f>IFERROR(__xludf.DUMMYFUNCTION("""COMPUTED_VALUE"""),220.0)</f>
        <v>220</v>
      </c>
      <c r="N191" s="11">
        <f t="shared" si="1"/>
        <v>390</v>
      </c>
    </row>
    <row r="192">
      <c r="I192" s="13" t="str">
        <f>IFERROR(__xludf.DUMMYFUNCTION("""COMPUTED_VALUE"""),"740460599475760_1947017738820034")</f>
        <v>740460599475760_1947017738820034</v>
      </c>
      <c r="J192" s="11">
        <f>IFERROR(__xludf.DUMMYFUNCTION("""COMPUTED_VALUE"""),18450.0)</f>
        <v>18450</v>
      </c>
      <c r="K192" s="11">
        <f>IFERROR(__xludf.DUMMYFUNCTION("""COMPUTED_VALUE"""),2686.0)</f>
        <v>2686</v>
      </c>
      <c r="L192" s="11">
        <f>IFERROR(__xludf.DUMMYFUNCTION("""COMPUTED_VALUE"""),2666.0)</f>
        <v>2666</v>
      </c>
      <c r="M192" s="11">
        <f>IFERROR(__xludf.DUMMYFUNCTION("""COMPUTED_VALUE"""),220.0)</f>
        <v>220</v>
      </c>
      <c r="N192" s="11">
        <f t="shared" si="1"/>
        <v>23802</v>
      </c>
    </row>
    <row r="193">
      <c r="I193" s="13" t="str">
        <f>IFERROR(__xludf.DUMMYFUNCTION("""COMPUTED_VALUE"""),"740460599475760_1925619187626556")</f>
        <v>740460599475760_1925619187626556</v>
      </c>
      <c r="J193" s="11">
        <f>IFERROR(__xludf.DUMMYFUNCTION("""COMPUTED_VALUE"""),1389.0)</f>
        <v>1389</v>
      </c>
      <c r="K193" s="11">
        <f>IFERROR(__xludf.DUMMYFUNCTION("""COMPUTED_VALUE"""),107.0)</f>
        <v>107</v>
      </c>
      <c r="L193" s="11">
        <f>IFERROR(__xludf.DUMMYFUNCTION("""COMPUTED_VALUE"""),49.0)</f>
        <v>49</v>
      </c>
      <c r="M193" s="11">
        <f>IFERROR(__xludf.DUMMYFUNCTION("""COMPUTED_VALUE"""),221.0)</f>
        <v>221</v>
      </c>
      <c r="N193" s="11">
        <f t="shared" si="1"/>
        <v>1545</v>
      </c>
    </row>
    <row r="194">
      <c r="I194" s="13" t="str">
        <f>IFERROR(__xludf.DUMMYFUNCTION("""COMPUTED_VALUE"""),"740460599475760_1928427537345721")</f>
        <v>740460599475760_1928427537345721</v>
      </c>
      <c r="J194" s="11">
        <f>IFERROR(__xludf.DUMMYFUNCTION("""COMPUTED_VALUE"""),2257.0)</f>
        <v>2257</v>
      </c>
      <c r="K194" s="11">
        <f>IFERROR(__xludf.DUMMYFUNCTION("""COMPUTED_VALUE"""),115.0)</f>
        <v>115</v>
      </c>
      <c r="L194" s="11">
        <f>IFERROR(__xludf.DUMMYFUNCTION("""COMPUTED_VALUE"""),99.0)</f>
        <v>99</v>
      </c>
      <c r="M194" s="11">
        <f>IFERROR(__xludf.DUMMYFUNCTION("""COMPUTED_VALUE"""),221.0)</f>
        <v>221</v>
      </c>
      <c r="N194" s="11">
        <f t="shared" si="1"/>
        <v>2471</v>
      </c>
    </row>
    <row r="195">
      <c r="I195" s="13" t="str">
        <f>IFERROR(__xludf.DUMMYFUNCTION("""COMPUTED_VALUE"""),"740460599475760_1949234531931688")</f>
        <v>740460599475760_1949234531931688</v>
      </c>
      <c r="J195" s="11">
        <f>IFERROR(__xludf.DUMMYFUNCTION("""COMPUTED_VALUE"""),10346.0)</f>
        <v>10346</v>
      </c>
      <c r="K195" s="11">
        <f>IFERROR(__xludf.DUMMYFUNCTION("""COMPUTED_VALUE"""),350.0)</f>
        <v>350</v>
      </c>
      <c r="L195" s="11">
        <f>IFERROR(__xludf.DUMMYFUNCTION("""COMPUTED_VALUE"""),45.0)</f>
        <v>45</v>
      </c>
      <c r="M195" s="11">
        <f>IFERROR(__xludf.DUMMYFUNCTION("""COMPUTED_VALUE"""),221.0)</f>
        <v>221</v>
      </c>
      <c r="N195" s="11">
        <f t="shared" si="1"/>
        <v>10741</v>
      </c>
    </row>
    <row r="196">
      <c r="I196" s="13" t="str">
        <f>IFERROR(__xludf.DUMMYFUNCTION("""COMPUTED_VALUE"""),"740460599475760_1910471942474614")</f>
        <v>740460599475760_1910471942474614</v>
      </c>
      <c r="J196" s="11">
        <f>IFERROR(__xludf.DUMMYFUNCTION("""COMPUTED_VALUE"""),7315.0)</f>
        <v>7315</v>
      </c>
      <c r="K196" s="11">
        <f>IFERROR(__xludf.DUMMYFUNCTION("""COMPUTED_VALUE"""),997.0)</f>
        <v>997</v>
      </c>
      <c r="L196" s="11">
        <f>IFERROR(__xludf.DUMMYFUNCTION("""COMPUTED_VALUE"""),545.0)</f>
        <v>545</v>
      </c>
      <c r="M196" s="11">
        <f>IFERROR(__xludf.DUMMYFUNCTION("""COMPUTED_VALUE"""),222.0)</f>
        <v>222</v>
      </c>
      <c r="N196" s="11">
        <f t="shared" si="1"/>
        <v>8857</v>
      </c>
    </row>
    <row r="197">
      <c r="I197" s="13" t="str">
        <f>IFERROR(__xludf.DUMMYFUNCTION("""COMPUTED_VALUE"""),"740460599475760_1911244862397322")</f>
        <v>740460599475760_1911244862397322</v>
      </c>
      <c r="J197" s="11">
        <f>IFERROR(__xludf.DUMMYFUNCTION("""COMPUTED_VALUE"""),16657.0)</f>
        <v>16657</v>
      </c>
      <c r="K197" s="11">
        <f>IFERROR(__xludf.DUMMYFUNCTION("""COMPUTED_VALUE"""),358.0)</f>
        <v>358</v>
      </c>
      <c r="L197" s="11">
        <f>IFERROR(__xludf.DUMMYFUNCTION("""COMPUTED_VALUE"""),162.0)</f>
        <v>162</v>
      </c>
      <c r="M197" s="11">
        <f>IFERROR(__xludf.DUMMYFUNCTION("""COMPUTED_VALUE"""),223.0)</f>
        <v>223</v>
      </c>
      <c r="N197" s="11">
        <f t="shared" si="1"/>
        <v>17177</v>
      </c>
    </row>
    <row r="198">
      <c r="I198" s="13" t="str">
        <f>IFERROR(__xludf.DUMMYFUNCTION("""COMPUTED_VALUE"""),"740460599475760_1917063811815427")</f>
        <v>740460599475760_1917063811815427</v>
      </c>
      <c r="J198" s="11">
        <f>IFERROR(__xludf.DUMMYFUNCTION("""COMPUTED_VALUE"""),10871.0)</f>
        <v>10871</v>
      </c>
      <c r="K198" s="11">
        <f>IFERROR(__xludf.DUMMYFUNCTION("""COMPUTED_VALUE"""),523.0)</f>
        <v>523</v>
      </c>
      <c r="L198" s="11">
        <f>IFERROR(__xludf.DUMMYFUNCTION("""COMPUTED_VALUE"""),146.0)</f>
        <v>146</v>
      </c>
      <c r="M198" s="11">
        <f>IFERROR(__xludf.DUMMYFUNCTION("""COMPUTED_VALUE"""),223.0)</f>
        <v>223</v>
      </c>
      <c r="N198" s="11">
        <f t="shared" si="1"/>
        <v>11540</v>
      </c>
    </row>
    <row r="199">
      <c r="I199" s="13" t="str">
        <f>IFERROR(__xludf.DUMMYFUNCTION("""COMPUTED_VALUE"""),"740460599475760_1920915854763556")</f>
        <v>740460599475760_1920915854763556</v>
      </c>
      <c r="J199" s="11">
        <f>IFERROR(__xludf.DUMMYFUNCTION("""COMPUTED_VALUE"""),1126.0)</f>
        <v>1126</v>
      </c>
      <c r="K199" s="11">
        <f>IFERROR(__xludf.DUMMYFUNCTION("""COMPUTED_VALUE"""),108.0)</f>
        <v>108</v>
      </c>
      <c r="L199" s="11">
        <f>IFERROR(__xludf.DUMMYFUNCTION("""COMPUTED_VALUE"""),29.0)</f>
        <v>29</v>
      </c>
      <c r="M199" s="11">
        <f>IFERROR(__xludf.DUMMYFUNCTION("""COMPUTED_VALUE"""),223.0)</f>
        <v>223</v>
      </c>
      <c r="N199" s="11">
        <f t="shared" si="1"/>
        <v>1263</v>
      </c>
    </row>
    <row r="200">
      <c r="I200" s="13" t="str">
        <f>IFERROR(__xludf.DUMMYFUNCTION("""COMPUTED_VALUE"""),"740460599475760_1921831148005360")</f>
        <v>740460599475760_1921831148005360</v>
      </c>
      <c r="J200" s="11">
        <f>IFERROR(__xludf.DUMMYFUNCTION("""COMPUTED_VALUE"""),2360.0)</f>
        <v>2360</v>
      </c>
      <c r="K200" s="11">
        <f>IFERROR(__xludf.DUMMYFUNCTION("""COMPUTED_VALUE"""),172.0)</f>
        <v>172</v>
      </c>
      <c r="L200" s="11">
        <f>IFERROR(__xludf.DUMMYFUNCTION("""COMPUTED_VALUE"""),84.0)</f>
        <v>84</v>
      </c>
      <c r="M200" s="11">
        <f>IFERROR(__xludf.DUMMYFUNCTION("""COMPUTED_VALUE"""),223.0)</f>
        <v>223</v>
      </c>
      <c r="N200" s="11">
        <f t="shared" si="1"/>
        <v>2616</v>
      </c>
    </row>
    <row r="201">
      <c r="I201" s="13" t="str">
        <f>IFERROR(__xludf.DUMMYFUNCTION("""COMPUTED_VALUE"""),"740460599475760_1926627490859059")</f>
        <v>740460599475760_1926627490859059</v>
      </c>
      <c r="J201" s="11">
        <f>IFERROR(__xludf.DUMMYFUNCTION("""COMPUTED_VALUE"""),3862.0)</f>
        <v>3862</v>
      </c>
      <c r="K201" s="11">
        <f>IFERROR(__xludf.DUMMYFUNCTION("""COMPUTED_VALUE"""),246.0)</f>
        <v>246</v>
      </c>
      <c r="L201" s="11">
        <f>IFERROR(__xludf.DUMMYFUNCTION("""COMPUTED_VALUE"""),214.0)</f>
        <v>214</v>
      </c>
      <c r="M201" s="11">
        <f>IFERROR(__xludf.DUMMYFUNCTION("""COMPUTED_VALUE"""),223.0)</f>
        <v>223</v>
      </c>
      <c r="N201" s="11">
        <f t="shared" si="1"/>
        <v>4322</v>
      </c>
    </row>
    <row r="202">
      <c r="I202" s="13" t="str">
        <f>IFERROR(__xludf.DUMMYFUNCTION("""COMPUTED_VALUE"""),"740460599475760_1933473546841120")</f>
        <v>740460599475760_1933473546841120</v>
      </c>
      <c r="J202" s="11">
        <f>IFERROR(__xludf.DUMMYFUNCTION("""COMPUTED_VALUE"""),8958.0)</f>
        <v>8958</v>
      </c>
      <c r="K202" s="11">
        <f>IFERROR(__xludf.DUMMYFUNCTION("""COMPUTED_VALUE"""),136.0)</f>
        <v>136</v>
      </c>
      <c r="L202" s="11">
        <f>IFERROR(__xludf.DUMMYFUNCTION("""COMPUTED_VALUE"""),48.0)</f>
        <v>48</v>
      </c>
      <c r="M202" s="11">
        <f>IFERROR(__xludf.DUMMYFUNCTION("""COMPUTED_VALUE"""),223.0)</f>
        <v>223</v>
      </c>
      <c r="N202" s="11">
        <f t="shared" si="1"/>
        <v>9142</v>
      </c>
    </row>
    <row r="203">
      <c r="I203" s="13" t="str">
        <f>IFERROR(__xludf.DUMMYFUNCTION("""COMPUTED_VALUE"""),"740460599475760_1911625359025939")</f>
        <v>740460599475760_1911625359025939</v>
      </c>
      <c r="J203" s="11">
        <f>IFERROR(__xludf.DUMMYFUNCTION("""COMPUTED_VALUE"""),155.0)</f>
        <v>155</v>
      </c>
      <c r="K203" s="11">
        <f>IFERROR(__xludf.DUMMYFUNCTION("""COMPUTED_VALUE"""),9.0)</f>
        <v>9</v>
      </c>
      <c r="L203" s="11">
        <f>IFERROR(__xludf.DUMMYFUNCTION("""COMPUTED_VALUE"""),1.0)</f>
        <v>1</v>
      </c>
      <c r="M203" s="11">
        <f>IFERROR(__xludf.DUMMYFUNCTION("""COMPUTED_VALUE"""),224.0)</f>
        <v>224</v>
      </c>
      <c r="N203" s="11">
        <f t="shared" si="1"/>
        <v>165</v>
      </c>
    </row>
    <row r="204">
      <c r="I204" s="13" t="str">
        <f>IFERROR(__xludf.DUMMYFUNCTION("""COMPUTED_VALUE"""),"740460599475760_1936326133222528")</f>
        <v>740460599475760_1936326133222528</v>
      </c>
      <c r="J204" s="11">
        <f>IFERROR(__xludf.DUMMYFUNCTION("""COMPUTED_VALUE"""),930.0)</f>
        <v>930</v>
      </c>
      <c r="K204" s="11">
        <f>IFERROR(__xludf.DUMMYFUNCTION("""COMPUTED_VALUE"""),68.0)</f>
        <v>68</v>
      </c>
      <c r="L204" s="11">
        <f>IFERROR(__xludf.DUMMYFUNCTION("""COMPUTED_VALUE"""),78.0)</f>
        <v>78</v>
      </c>
      <c r="M204" s="11">
        <f>IFERROR(__xludf.DUMMYFUNCTION("""COMPUTED_VALUE"""),224.0)</f>
        <v>224</v>
      </c>
      <c r="N204" s="11">
        <f t="shared" si="1"/>
        <v>1076</v>
      </c>
    </row>
    <row r="205">
      <c r="I205" s="13" t="str">
        <f>IFERROR(__xludf.DUMMYFUNCTION("""COMPUTED_VALUE"""),"740460599475760_1921843044670837")</f>
        <v>740460599475760_1921843044670837</v>
      </c>
      <c r="J205" s="11">
        <f>IFERROR(__xludf.DUMMYFUNCTION("""COMPUTED_VALUE"""),11054.0)</f>
        <v>11054</v>
      </c>
      <c r="K205" s="11">
        <f>IFERROR(__xludf.DUMMYFUNCTION("""COMPUTED_VALUE"""),554.0)</f>
        <v>554</v>
      </c>
      <c r="L205" s="11">
        <f>IFERROR(__xludf.DUMMYFUNCTION("""COMPUTED_VALUE"""),153.0)</f>
        <v>153</v>
      </c>
      <c r="M205" s="11">
        <f>IFERROR(__xludf.DUMMYFUNCTION("""COMPUTED_VALUE"""),225.0)</f>
        <v>225</v>
      </c>
      <c r="N205" s="11">
        <f t="shared" si="1"/>
        <v>11761</v>
      </c>
    </row>
    <row r="206">
      <c r="I206" s="13" t="str">
        <f>IFERROR(__xludf.DUMMYFUNCTION("""COMPUTED_VALUE"""),"740460599475760_1932852616903213")</f>
        <v>740460599475760_1932852616903213</v>
      </c>
      <c r="J206" s="11">
        <f>IFERROR(__xludf.DUMMYFUNCTION("""COMPUTED_VALUE"""),11291.0)</f>
        <v>11291</v>
      </c>
      <c r="K206" s="11">
        <f>IFERROR(__xludf.DUMMYFUNCTION("""COMPUTED_VALUE"""),330.0)</f>
        <v>330</v>
      </c>
      <c r="L206" s="11">
        <f>IFERROR(__xludf.DUMMYFUNCTION("""COMPUTED_VALUE"""),81.0)</f>
        <v>81</v>
      </c>
      <c r="M206" s="11">
        <f>IFERROR(__xludf.DUMMYFUNCTION("""COMPUTED_VALUE"""),225.0)</f>
        <v>225</v>
      </c>
      <c r="N206" s="11">
        <f t="shared" si="1"/>
        <v>11702</v>
      </c>
    </row>
    <row r="207">
      <c r="I207" s="13" t="str">
        <f>IFERROR(__xludf.DUMMYFUNCTION("""COMPUTED_VALUE"""),"740460599475760_1947019415486533")</f>
        <v>740460599475760_1947019415486533</v>
      </c>
      <c r="J207" s="11">
        <f>IFERROR(__xludf.DUMMYFUNCTION("""COMPUTED_VALUE"""),6632.0)</f>
        <v>6632</v>
      </c>
      <c r="K207" s="11">
        <f>IFERROR(__xludf.DUMMYFUNCTION("""COMPUTED_VALUE"""),2014.0)</f>
        <v>2014</v>
      </c>
      <c r="L207" s="11">
        <f>IFERROR(__xludf.DUMMYFUNCTION("""COMPUTED_VALUE"""),1129.0)</f>
        <v>1129</v>
      </c>
      <c r="M207" s="11">
        <f>IFERROR(__xludf.DUMMYFUNCTION("""COMPUTED_VALUE"""),228.0)</f>
        <v>228</v>
      </c>
      <c r="N207" s="11">
        <f t="shared" si="1"/>
        <v>9775</v>
      </c>
    </row>
    <row r="208">
      <c r="I208" s="13" t="str">
        <f>IFERROR(__xludf.DUMMYFUNCTION("""COMPUTED_VALUE"""),"740460599475760_1949233491931792")</f>
        <v>740460599475760_1949233491931792</v>
      </c>
      <c r="J208" s="11">
        <f>IFERROR(__xludf.DUMMYFUNCTION("""COMPUTED_VALUE"""),3910.0)</f>
        <v>3910</v>
      </c>
      <c r="K208" s="11">
        <f>IFERROR(__xludf.DUMMYFUNCTION("""COMPUTED_VALUE"""),623.0)</f>
        <v>623</v>
      </c>
      <c r="L208" s="11">
        <f>IFERROR(__xludf.DUMMYFUNCTION("""COMPUTED_VALUE"""),461.0)</f>
        <v>461</v>
      </c>
      <c r="M208" s="11">
        <f>IFERROR(__xludf.DUMMYFUNCTION("""COMPUTED_VALUE"""),228.0)</f>
        <v>228</v>
      </c>
      <c r="N208" s="11">
        <f t="shared" si="1"/>
        <v>4994</v>
      </c>
    </row>
    <row r="209">
      <c r="I209" s="13" t="str">
        <f>IFERROR(__xludf.DUMMYFUNCTION("""COMPUTED_VALUE"""),"740460599475760_1943902472464894")</f>
        <v>740460599475760_1943902472464894</v>
      </c>
      <c r="J209" s="11">
        <f>IFERROR(__xludf.DUMMYFUNCTION("""COMPUTED_VALUE"""),264.0)</f>
        <v>264</v>
      </c>
      <c r="K209" s="11">
        <f>IFERROR(__xludf.DUMMYFUNCTION("""COMPUTED_VALUE"""),9.0)</f>
        <v>9</v>
      </c>
      <c r="L209" s="11">
        <f>IFERROR(__xludf.DUMMYFUNCTION("""COMPUTED_VALUE"""),27.0)</f>
        <v>27</v>
      </c>
      <c r="M209" s="11">
        <f>IFERROR(__xludf.DUMMYFUNCTION("""COMPUTED_VALUE"""),229.0)</f>
        <v>229</v>
      </c>
      <c r="N209" s="11">
        <f t="shared" si="1"/>
        <v>300</v>
      </c>
    </row>
    <row r="210">
      <c r="I210" s="13" t="str">
        <f>IFERROR(__xludf.DUMMYFUNCTION("""COMPUTED_VALUE"""),"740460599475760_1963787453809729")</f>
        <v>740460599475760_1963787453809729</v>
      </c>
      <c r="J210" s="11">
        <f>IFERROR(__xludf.DUMMYFUNCTION("""COMPUTED_VALUE"""),10329.0)</f>
        <v>10329</v>
      </c>
      <c r="K210" s="11">
        <f>IFERROR(__xludf.DUMMYFUNCTION("""COMPUTED_VALUE"""),786.0)</f>
        <v>786</v>
      </c>
      <c r="L210" s="11">
        <f>IFERROR(__xludf.DUMMYFUNCTION("""COMPUTED_VALUE"""),215.0)</f>
        <v>215</v>
      </c>
      <c r="M210" s="11">
        <f>IFERROR(__xludf.DUMMYFUNCTION("""COMPUTED_VALUE"""),230.0)</f>
        <v>230</v>
      </c>
      <c r="N210" s="11">
        <f t="shared" si="1"/>
        <v>11330</v>
      </c>
    </row>
    <row r="211">
      <c r="I211" s="13" t="str">
        <f>IFERROR(__xludf.DUMMYFUNCTION("""COMPUTED_VALUE"""),"740460599475760_1921183174736824")</f>
        <v>740460599475760_1921183174736824</v>
      </c>
      <c r="J211" s="11">
        <f>IFERROR(__xludf.DUMMYFUNCTION("""COMPUTED_VALUE"""),1703.0)</f>
        <v>1703</v>
      </c>
      <c r="K211" s="11">
        <f>IFERROR(__xludf.DUMMYFUNCTION("""COMPUTED_VALUE"""),196.0)</f>
        <v>196</v>
      </c>
      <c r="L211" s="11">
        <f>IFERROR(__xludf.DUMMYFUNCTION("""COMPUTED_VALUE"""),16.0)</f>
        <v>16</v>
      </c>
      <c r="M211" s="11">
        <f>IFERROR(__xludf.DUMMYFUNCTION("""COMPUTED_VALUE"""),232.0)</f>
        <v>232</v>
      </c>
      <c r="N211" s="11">
        <f t="shared" si="1"/>
        <v>1915</v>
      </c>
    </row>
    <row r="212">
      <c r="I212" s="13" t="str">
        <f>IFERROR(__xludf.DUMMYFUNCTION("""COMPUTED_VALUE"""),"740460599475760_1935564853298656")</f>
        <v>740460599475760_1935564853298656</v>
      </c>
      <c r="J212" s="11">
        <f>IFERROR(__xludf.DUMMYFUNCTION("""COMPUTED_VALUE"""),6547.0)</f>
        <v>6547</v>
      </c>
      <c r="K212" s="11">
        <f>IFERROR(__xludf.DUMMYFUNCTION("""COMPUTED_VALUE"""),120.0)</f>
        <v>120</v>
      </c>
      <c r="L212" s="11">
        <f>IFERROR(__xludf.DUMMYFUNCTION("""COMPUTED_VALUE"""),307.0)</f>
        <v>307</v>
      </c>
      <c r="M212" s="11">
        <f>IFERROR(__xludf.DUMMYFUNCTION("""COMPUTED_VALUE"""),232.0)</f>
        <v>232</v>
      </c>
      <c r="N212" s="11">
        <f t="shared" si="1"/>
        <v>6974</v>
      </c>
    </row>
    <row r="213">
      <c r="I213" s="13" t="str">
        <f>IFERROR(__xludf.DUMMYFUNCTION("""COMPUTED_VALUE"""),"740460599475760_1967776100077531")</f>
        <v>740460599475760_1967776100077531</v>
      </c>
      <c r="J213" s="11">
        <f>IFERROR(__xludf.DUMMYFUNCTION("""COMPUTED_VALUE"""),8562.0)</f>
        <v>8562</v>
      </c>
      <c r="K213" s="11">
        <f>IFERROR(__xludf.DUMMYFUNCTION("""COMPUTED_VALUE"""),237.0)</f>
        <v>237</v>
      </c>
      <c r="L213" s="11">
        <f>IFERROR(__xludf.DUMMYFUNCTION("""COMPUTED_VALUE"""),88.0)</f>
        <v>88</v>
      </c>
      <c r="M213" s="11">
        <f>IFERROR(__xludf.DUMMYFUNCTION("""COMPUTED_VALUE"""),232.0)</f>
        <v>232</v>
      </c>
      <c r="N213" s="11">
        <f t="shared" si="1"/>
        <v>8887</v>
      </c>
    </row>
    <row r="214">
      <c r="I214" s="13" t="str">
        <f>IFERROR(__xludf.DUMMYFUNCTION("""COMPUTED_VALUE"""),"740460599475760_1921837141338094")</f>
        <v>740460599475760_1921837141338094</v>
      </c>
      <c r="J214" s="11">
        <f>IFERROR(__xludf.DUMMYFUNCTION("""COMPUTED_VALUE"""),10113.0)</f>
        <v>10113</v>
      </c>
      <c r="K214" s="11">
        <f>IFERROR(__xludf.DUMMYFUNCTION("""COMPUTED_VALUE"""),296.0)</f>
        <v>296</v>
      </c>
      <c r="L214" s="11">
        <f>IFERROR(__xludf.DUMMYFUNCTION("""COMPUTED_VALUE"""),84.0)</f>
        <v>84</v>
      </c>
      <c r="M214" s="11">
        <f>IFERROR(__xludf.DUMMYFUNCTION("""COMPUTED_VALUE"""),233.0)</f>
        <v>233</v>
      </c>
      <c r="N214" s="11">
        <f t="shared" si="1"/>
        <v>10493</v>
      </c>
    </row>
    <row r="215">
      <c r="I215" s="13" t="str">
        <f>IFERROR(__xludf.DUMMYFUNCTION("""COMPUTED_VALUE"""),"740460599475760_1949044658617342")</f>
        <v>740460599475760_1949044658617342</v>
      </c>
      <c r="J215" s="11">
        <f>IFERROR(__xludf.DUMMYFUNCTION("""COMPUTED_VALUE"""),12318.0)</f>
        <v>12318</v>
      </c>
      <c r="K215" s="11">
        <f>IFERROR(__xludf.DUMMYFUNCTION("""COMPUTED_VALUE"""),661.0)</f>
        <v>661</v>
      </c>
      <c r="L215" s="11">
        <f>IFERROR(__xludf.DUMMYFUNCTION("""COMPUTED_VALUE"""),137.0)</f>
        <v>137</v>
      </c>
      <c r="M215" s="11">
        <f>IFERROR(__xludf.DUMMYFUNCTION("""COMPUTED_VALUE"""),233.0)</f>
        <v>233</v>
      </c>
      <c r="N215" s="11">
        <f t="shared" si="1"/>
        <v>13116</v>
      </c>
    </row>
    <row r="216">
      <c r="I216" s="13" t="str">
        <f>IFERROR(__xludf.DUMMYFUNCTION("""COMPUTED_VALUE"""),"740460599475760_1914643625390779")</f>
        <v>740460599475760_1914643625390779</v>
      </c>
      <c r="J216" s="11">
        <f>IFERROR(__xludf.DUMMYFUNCTION("""COMPUTED_VALUE"""),4535.0)</f>
        <v>4535</v>
      </c>
      <c r="K216" s="11">
        <f>IFERROR(__xludf.DUMMYFUNCTION("""COMPUTED_VALUE"""),995.0)</f>
        <v>995</v>
      </c>
      <c r="L216" s="11">
        <f>IFERROR(__xludf.DUMMYFUNCTION("""COMPUTED_VALUE"""),635.0)</f>
        <v>635</v>
      </c>
      <c r="M216" s="11">
        <f>IFERROR(__xludf.DUMMYFUNCTION("""COMPUTED_VALUE"""),234.0)</f>
        <v>234</v>
      </c>
      <c r="N216" s="11">
        <f t="shared" si="1"/>
        <v>6165</v>
      </c>
    </row>
    <row r="217">
      <c r="I217" s="13" t="str">
        <f>IFERROR(__xludf.DUMMYFUNCTION("""COMPUTED_VALUE"""),"740460599475760_1937055576482917")</f>
        <v>740460599475760_1937055576482917</v>
      </c>
      <c r="J217" s="11">
        <f>IFERROR(__xludf.DUMMYFUNCTION("""COMPUTED_VALUE"""),3703.0)</f>
        <v>3703</v>
      </c>
      <c r="K217" s="11">
        <f>IFERROR(__xludf.DUMMYFUNCTION("""COMPUTED_VALUE"""),73.0)</f>
        <v>73</v>
      </c>
      <c r="L217" s="11">
        <f>IFERROR(__xludf.DUMMYFUNCTION("""COMPUTED_VALUE"""),183.0)</f>
        <v>183</v>
      </c>
      <c r="M217" s="11">
        <f>IFERROR(__xludf.DUMMYFUNCTION("""COMPUTED_VALUE"""),234.0)</f>
        <v>234</v>
      </c>
      <c r="N217" s="11">
        <f t="shared" si="1"/>
        <v>3959</v>
      </c>
    </row>
    <row r="218">
      <c r="I218" s="13" t="str">
        <f>IFERROR(__xludf.DUMMYFUNCTION("""COMPUTED_VALUE"""),"740460599475760_4347917948653797")</f>
        <v>740460599475760_4347917948653797</v>
      </c>
      <c r="J218" s="11">
        <f>IFERROR(__xludf.DUMMYFUNCTION("""COMPUTED_VALUE"""),543.0)</f>
        <v>543</v>
      </c>
      <c r="K218" s="11">
        <f>IFERROR(__xludf.DUMMYFUNCTION("""COMPUTED_VALUE"""),339.0)</f>
        <v>339</v>
      </c>
      <c r="L218" s="11">
        <f>IFERROR(__xludf.DUMMYFUNCTION("""COMPUTED_VALUE"""),132.0)</f>
        <v>132</v>
      </c>
      <c r="M218" s="11">
        <f>IFERROR(__xludf.DUMMYFUNCTION("""COMPUTED_VALUE"""),234.0)</f>
        <v>234</v>
      </c>
      <c r="N218" s="11">
        <f t="shared" si="1"/>
        <v>1014</v>
      </c>
    </row>
    <row r="219">
      <c r="I219" s="13" t="str">
        <f>IFERROR(__xludf.DUMMYFUNCTION("""COMPUTED_VALUE"""),"740460599475760_1947673822087759")</f>
        <v>740460599475760_1947673822087759</v>
      </c>
      <c r="J219" s="11">
        <f>IFERROR(__xludf.DUMMYFUNCTION("""COMPUTED_VALUE"""),8076.0)</f>
        <v>8076</v>
      </c>
      <c r="K219" s="11">
        <f>IFERROR(__xludf.DUMMYFUNCTION("""COMPUTED_VALUE"""),264.0)</f>
        <v>264</v>
      </c>
      <c r="L219" s="11">
        <f>IFERROR(__xludf.DUMMYFUNCTION("""COMPUTED_VALUE"""),67.0)</f>
        <v>67</v>
      </c>
      <c r="M219" s="11">
        <f>IFERROR(__xludf.DUMMYFUNCTION("""COMPUTED_VALUE"""),235.0)</f>
        <v>235</v>
      </c>
      <c r="N219" s="11">
        <f t="shared" si="1"/>
        <v>8407</v>
      </c>
    </row>
    <row r="220">
      <c r="I220" s="13" t="str">
        <f>IFERROR(__xludf.DUMMYFUNCTION("""COMPUTED_VALUE"""),"740460599475760_1944013139120494")</f>
        <v>740460599475760_1944013139120494</v>
      </c>
      <c r="J220" s="11">
        <f>IFERROR(__xludf.DUMMYFUNCTION("""COMPUTED_VALUE"""),551.0)</f>
        <v>551</v>
      </c>
      <c r="K220" s="11">
        <f>IFERROR(__xludf.DUMMYFUNCTION("""COMPUTED_VALUE"""),21.0)</f>
        <v>21</v>
      </c>
      <c r="L220" s="11">
        <f>IFERROR(__xludf.DUMMYFUNCTION("""COMPUTED_VALUE"""),15.0)</f>
        <v>15</v>
      </c>
      <c r="M220" s="11">
        <f>IFERROR(__xludf.DUMMYFUNCTION("""COMPUTED_VALUE"""),236.0)</f>
        <v>236</v>
      </c>
      <c r="N220" s="11">
        <f t="shared" si="1"/>
        <v>587</v>
      </c>
    </row>
    <row r="221">
      <c r="I221" s="13" t="str">
        <f>IFERROR(__xludf.DUMMYFUNCTION("""COMPUTED_VALUE"""),"740460599475760_1908796339308841")</f>
        <v>740460599475760_1908796339308841</v>
      </c>
      <c r="J221" s="11">
        <f>IFERROR(__xludf.DUMMYFUNCTION("""COMPUTED_VALUE"""),8433.0)</f>
        <v>8433</v>
      </c>
      <c r="K221" s="11">
        <f>IFERROR(__xludf.DUMMYFUNCTION("""COMPUTED_VALUE"""),141.0)</f>
        <v>141</v>
      </c>
      <c r="L221" s="11">
        <f>IFERROR(__xludf.DUMMYFUNCTION("""COMPUTED_VALUE"""),56.0)</f>
        <v>56</v>
      </c>
      <c r="M221" s="11">
        <f>IFERROR(__xludf.DUMMYFUNCTION("""COMPUTED_VALUE"""),237.0)</f>
        <v>237</v>
      </c>
      <c r="N221" s="11">
        <f t="shared" si="1"/>
        <v>8630</v>
      </c>
    </row>
    <row r="222">
      <c r="I222" s="13" t="str">
        <f>IFERROR(__xludf.DUMMYFUNCTION("""COMPUTED_VALUE"""),"740460599475760_1948391182016023")</f>
        <v>740460599475760_1948391182016023</v>
      </c>
      <c r="J222" s="11">
        <f>IFERROR(__xludf.DUMMYFUNCTION("""COMPUTED_VALUE"""),5755.0)</f>
        <v>5755</v>
      </c>
      <c r="K222" s="11">
        <f>IFERROR(__xludf.DUMMYFUNCTION("""COMPUTED_VALUE"""),52.0)</f>
        <v>52</v>
      </c>
      <c r="L222" s="11">
        <f>IFERROR(__xludf.DUMMYFUNCTION("""COMPUTED_VALUE"""),32.0)</f>
        <v>32</v>
      </c>
      <c r="M222" s="11">
        <f>IFERROR(__xludf.DUMMYFUNCTION("""COMPUTED_VALUE"""),237.0)</f>
        <v>237</v>
      </c>
      <c r="N222" s="11">
        <f t="shared" si="1"/>
        <v>5839</v>
      </c>
    </row>
    <row r="223">
      <c r="I223" s="13" t="str">
        <f>IFERROR(__xludf.DUMMYFUNCTION("""COMPUTED_VALUE"""),"740460599475760_1968551743333300")</f>
        <v>740460599475760_1968551743333300</v>
      </c>
      <c r="J223" s="11">
        <f>IFERROR(__xludf.DUMMYFUNCTION("""COMPUTED_VALUE"""),11260.0)</f>
        <v>11260</v>
      </c>
      <c r="K223" s="11">
        <f>IFERROR(__xludf.DUMMYFUNCTION("""COMPUTED_VALUE"""),404.0)</f>
        <v>404</v>
      </c>
      <c r="L223" s="11">
        <f>IFERROR(__xludf.DUMMYFUNCTION("""COMPUTED_VALUE"""),109.0)</f>
        <v>109</v>
      </c>
      <c r="M223" s="11">
        <f>IFERROR(__xludf.DUMMYFUNCTION("""COMPUTED_VALUE"""),237.0)</f>
        <v>237</v>
      </c>
      <c r="N223" s="11">
        <f t="shared" si="1"/>
        <v>11773</v>
      </c>
    </row>
    <row r="224">
      <c r="I224" s="13" t="str">
        <f>IFERROR(__xludf.DUMMYFUNCTION("""COMPUTED_VALUE"""),"740460599475760_1937028466485628")</f>
        <v>740460599475760_1937028466485628</v>
      </c>
      <c r="J224" s="11">
        <f>IFERROR(__xludf.DUMMYFUNCTION("""COMPUTED_VALUE"""),8646.0)</f>
        <v>8646</v>
      </c>
      <c r="K224" s="11">
        <f>IFERROR(__xludf.DUMMYFUNCTION("""COMPUTED_VALUE"""),129.0)</f>
        <v>129</v>
      </c>
      <c r="L224" s="11">
        <f>IFERROR(__xludf.DUMMYFUNCTION("""COMPUTED_VALUE"""),23.0)</f>
        <v>23</v>
      </c>
      <c r="M224" s="11">
        <f>IFERROR(__xludf.DUMMYFUNCTION("""COMPUTED_VALUE"""),238.0)</f>
        <v>238</v>
      </c>
      <c r="N224" s="11">
        <f t="shared" si="1"/>
        <v>8798</v>
      </c>
    </row>
    <row r="225">
      <c r="I225" s="13" t="str">
        <f>IFERROR(__xludf.DUMMYFUNCTION("""COMPUTED_VALUE"""),"740460599475760_1921844304670711")</f>
        <v>740460599475760_1921844304670711</v>
      </c>
      <c r="J225" s="11">
        <f>IFERROR(__xludf.DUMMYFUNCTION("""COMPUTED_VALUE"""),1753.0)</f>
        <v>1753</v>
      </c>
      <c r="K225" s="11">
        <f>IFERROR(__xludf.DUMMYFUNCTION("""COMPUTED_VALUE"""),236.0)</f>
        <v>236</v>
      </c>
      <c r="L225" s="11">
        <f>IFERROR(__xludf.DUMMYFUNCTION("""COMPUTED_VALUE"""),40.0)</f>
        <v>40</v>
      </c>
      <c r="M225" s="11">
        <f>IFERROR(__xludf.DUMMYFUNCTION("""COMPUTED_VALUE"""),239.0)</f>
        <v>239</v>
      </c>
      <c r="N225" s="11">
        <f t="shared" si="1"/>
        <v>2029</v>
      </c>
    </row>
    <row r="226">
      <c r="I226" s="13" t="str">
        <f>IFERROR(__xludf.DUMMYFUNCTION("""COMPUTED_VALUE"""),"740460599475760_1932005006987974")</f>
        <v>740460599475760_1932005006987974</v>
      </c>
      <c r="J226" s="11">
        <f>IFERROR(__xludf.DUMMYFUNCTION("""COMPUTED_VALUE"""),10343.0)</f>
        <v>10343</v>
      </c>
      <c r="K226" s="11">
        <f>IFERROR(__xludf.DUMMYFUNCTION("""COMPUTED_VALUE"""),227.0)</f>
        <v>227</v>
      </c>
      <c r="L226" s="11">
        <f>IFERROR(__xludf.DUMMYFUNCTION("""COMPUTED_VALUE"""),131.0)</f>
        <v>131</v>
      </c>
      <c r="M226" s="11">
        <f>IFERROR(__xludf.DUMMYFUNCTION("""COMPUTED_VALUE"""),239.0)</f>
        <v>239</v>
      </c>
      <c r="N226" s="11">
        <f t="shared" si="1"/>
        <v>10701</v>
      </c>
    </row>
    <row r="227">
      <c r="I227" s="13" t="str">
        <f>IFERROR(__xludf.DUMMYFUNCTION("""COMPUTED_VALUE"""),"740460599475760_901966987347375")</f>
        <v>740460599475760_901966987347375</v>
      </c>
      <c r="J227" s="11">
        <f>IFERROR(__xludf.DUMMYFUNCTION("""COMPUTED_VALUE"""),807.0)</f>
        <v>807</v>
      </c>
      <c r="K227" s="11">
        <f>IFERROR(__xludf.DUMMYFUNCTION("""COMPUTED_VALUE"""),646.0)</f>
        <v>646</v>
      </c>
      <c r="L227" s="11">
        <f>IFERROR(__xludf.DUMMYFUNCTION("""COMPUTED_VALUE"""),111.0)</f>
        <v>111</v>
      </c>
      <c r="M227" s="11">
        <f>IFERROR(__xludf.DUMMYFUNCTION("""COMPUTED_VALUE"""),239.0)</f>
        <v>239</v>
      </c>
      <c r="N227" s="11">
        <f t="shared" si="1"/>
        <v>1564</v>
      </c>
    </row>
    <row r="228">
      <c r="I228" s="13" t="str">
        <f>IFERROR(__xludf.DUMMYFUNCTION("""COMPUTED_VALUE"""),"740460599475760_1963789357142872")</f>
        <v>740460599475760_1963789357142872</v>
      </c>
      <c r="J228" s="11">
        <f>IFERROR(__xludf.DUMMYFUNCTION("""COMPUTED_VALUE"""),8943.0)</f>
        <v>8943</v>
      </c>
      <c r="K228" s="11">
        <f>IFERROR(__xludf.DUMMYFUNCTION("""COMPUTED_VALUE"""),176.0)</f>
        <v>176</v>
      </c>
      <c r="L228" s="11">
        <f>IFERROR(__xludf.DUMMYFUNCTION("""COMPUTED_VALUE"""),71.0)</f>
        <v>71</v>
      </c>
      <c r="M228" s="11">
        <f>IFERROR(__xludf.DUMMYFUNCTION("""COMPUTED_VALUE"""),239.0)</f>
        <v>239</v>
      </c>
      <c r="N228" s="11">
        <f t="shared" si="1"/>
        <v>9190</v>
      </c>
    </row>
    <row r="229">
      <c r="I229" s="13" t="str">
        <f>IFERROR(__xludf.DUMMYFUNCTION("""COMPUTED_VALUE"""),"740460599475760_1968512446670563")</f>
        <v>740460599475760_1968512446670563</v>
      </c>
      <c r="J229" s="11">
        <f>IFERROR(__xludf.DUMMYFUNCTION("""COMPUTED_VALUE"""),320.0)</f>
        <v>320</v>
      </c>
      <c r="K229" s="11">
        <f>IFERROR(__xludf.DUMMYFUNCTION("""COMPUTED_VALUE"""),18.0)</f>
        <v>18</v>
      </c>
      <c r="L229" s="11">
        <f>IFERROR(__xludf.DUMMYFUNCTION("""COMPUTED_VALUE"""),4.0)</f>
        <v>4</v>
      </c>
      <c r="M229" s="11">
        <f>IFERROR(__xludf.DUMMYFUNCTION("""COMPUTED_VALUE"""),239.0)</f>
        <v>239</v>
      </c>
      <c r="N229" s="11">
        <f t="shared" si="1"/>
        <v>342</v>
      </c>
    </row>
    <row r="230">
      <c r="I230" s="13" t="str">
        <f>IFERROR(__xludf.DUMMYFUNCTION("""COMPUTED_VALUE"""),"172882636630076_1007589999825998")</f>
        <v>172882636630076_1007589999825998</v>
      </c>
      <c r="J230" s="11">
        <f>IFERROR(__xludf.DUMMYFUNCTION("""COMPUTED_VALUE"""),145.0)</f>
        <v>145</v>
      </c>
      <c r="K230" s="11">
        <f>IFERROR(__xludf.DUMMYFUNCTION("""COMPUTED_VALUE"""),1.0)</f>
        <v>1</v>
      </c>
      <c r="L230" s="11">
        <f>IFERROR(__xludf.DUMMYFUNCTION("""COMPUTED_VALUE"""),25.0)</f>
        <v>25</v>
      </c>
      <c r="M230" s="11">
        <f>IFERROR(__xludf.DUMMYFUNCTION("""COMPUTED_VALUE"""),239.0)</f>
        <v>239</v>
      </c>
      <c r="N230" s="11">
        <f t="shared" si="1"/>
        <v>171</v>
      </c>
    </row>
    <row r="231">
      <c r="I231" s="13" t="str">
        <f>IFERROR(__xludf.DUMMYFUNCTION("""COMPUTED_VALUE"""),"740460599475760_1926629087525566")</f>
        <v>740460599475760_1926629087525566</v>
      </c>
      <c r="J231" s="11">
        <f>IFERROR(__xludf.DUMMYFUNCTION("""COMPUTED_VALUE"""),4642.0)</f>
        <v>4642</v>
      </c>
      <c r="K231" s="11">
        <f>IFERROR(__xludf.DUMMYFUNCTION("""COMPUTED_VALUE"""),100.0)</f>
        <v>100</v>
      </c>
      <c r="L231" s="11">
        <f>IFERROR(__xludf.DUMMYFUNCTION("""COMPUTED_VALUE"""),30.0)</f>
        <v>30</v>
      </c>
      <c r="M231" s="11">
        <f>IFERROR(__xludf.DUMMYFUNCTION("""COMPUTED_VALUE"""),240.0)</f>
        <v>240</v>
      </c>
      <c r="N231" s="11">
        <f t="shared" si="1"/>
        <v>4772</v>
      </c>
    </row>
    <row r="232">
      <c r="I232" s="13" t="str">
        <f>IFERROR(__xludf.DUMMYFUNCTION("""COMPUTED_VALUE"""),"740460599475760_1946261052229036")</f>
        <v>740460599475760_1946261052229036</v>
      </c>
      <c r="J232" s="11">
        <f>IFERROR(__xludf.DUMMYFUNCTION("""COMPUTED_VALUE"""),11920.0)</f>
        <v>11920</v>
      </c>
      <c r="K232" s="11">
        <f>IFERROR(__xludf.DUMMYFUNCTION("""COMPUTED_VALUE"""),574.0)</f>
        <v>574</v>
      </c>
      <c r="L232" s="11">
        <f>IFERROR(__xludf.DUMMYFUNCTION("""COMPUTED_VALUE"""),217.0)</f>
        <v>217</v>
      </c>
      <c r="M232" s="11">
        <f>IFERROR(__xludf.DUMMYFUNCTION("""COMPUTED_VALUE"""),240.0)</f>
        <v>240</v>
      </c>
      <c r="N232" s="11">
        <f t="shared" si="1"/>
        <v>12711</v>
      </c>
    </row>
    <row r="233">
      <c r="I233" s="13" t="str">
        <f>IFERROR(__xludf.DUMMYFUNCTION("""COMPUTED_VALUE"""),"740460599475760_1917073385147803")</f>
        <v>740460599475760_1917073385147803</v>
      </c>
      <c r="J233" s="11">
        <f>IFERROR(__xludf.DUMMYFUNCTION("""COMPUTED_VALUE"""),7504.0)</f>
        <v>7504</v>
      </c>
      <c r="K233" s="11">
        <f>IFERROR(__xludf.DUMMYFUNCTION("""COMPUTED_VALUE"""),228.0)</f>
        <v>228</v>
      </c>
      <c r="L233" s="11">
        <f>IFERROR(__xludf.DUMMYFUNCTION("""COMPUTED_VALUE"""),39.0)</f>
        <v>39</v>
      </c>
      <c r="M233" s="11">
        <f>IFERROR(__xludf.DUMMYFUNCTION("""COMPUTED_VALUE"""),241.0)</f>
        <v>241</v>
      </c>
      <c r="N233" s="11">
        <f t="shared" si="1"/>
        <v>7771</v>
      </c>
    </row>
    <row r="234">
      <c r="I234" s="13" t="str">
        <f>IFERROR(__xludf.DUMMYFUNCTION("""COMPUTED_VALUE"""),"740460599475760_1943172792537862")</f>
        <v>740460599475760_1943172792537862</v>
      </c>
      <c r="J234" s="11">
        <f>IFERROR(__xludf.DUMMYFUNCTION("""COMPUTED_VALUE"""),9856.0)</f>
        <v>9856</v>
      </c>
      <c r="K234" s="11">
        <f>IFERROR(__xludf.DUMMYFUNCTION("""COMPUTED_VALUE"""),48.0)</f>
        <v>48</v>
      </c>
      <c r="L234" s="11">
        <f>IFERROR(__xludf.DUMMYFUNCTION("""COMPUTED_VALUE"""),27.0)</f>
        <v>27</v>
      </c>
      <c r="M234" s="11">
        <f>IFERROR(__xludf.DUMMYFUNCTION("""COMPUTED_VALUE"""),242.0)</f>
        <v>242</v>
      </c>
      <c r="N234" s="11">
        <f t="shared" si="1"/>
        <v>9931</v>
      </c>
    </row>
    <row r="235">
      <c r="I235" s="13" t="str">
        <f>IFERROR(__xludf.DUMMYFUNCTION("""COMPUTED_VALUE"""),"740460599475760_1940855049436303")</f>
        <v>740460599475760_1940855049436303</v>
      </c>
      <c r="J235" s="11">
        <f>IFERROR(__xludf.DUMMYFUNCTION("""COMPUTED_VALUE"""),5904.0)</f>
        <v>5904</v>
      </c>
      <c r="K235" s="11">
        <f>IFERROR(__xludf.DUMMYFUNCTION("""COMPUTED_VALUE"""),72.0)</f>
        <v>72</v>
      </c>
      <c r="L235" s="11">
        <f>IFERROR(__xludf.DUMMYFUNCTION("""COMPUTED_VALUE"""),21.0)</f>
        <v>21</v>
      </c>
      <c r="M235" s="11">
        <f>IFERROR(__xludf.DUMMYFUNCTION("""COMPUTED_VALUE"""),244.0)</f>
        <v>244</v>
      </c>
      <c r="N235" s="11">
        <f t="shared" si="1"/>
        <v>5997</v>
      </c>
    </row>
    <row r="236">
      <c r="I236" s="13" t="str">
        <f>IFERROR(__xludf.DUMMYFUNCTION("""COMPUTED_VALUE"""),"740460599475760_1967777143410760")</f>
        <v>740460599475760_1967777143410760</v>
      </c>
      <c r="J236" s="11">
        <f>IFERROR(__xludf.DUMMYFUNCTION("""COMPUTED_VALUE"""),7158.0)</f>
        <v>7158</v>
      </c>
      <c r="K236" s="11">
        <f>IFERROR(__xludf.DUMMYFUNCTION("""COMPUTED_VALUE"""),71.0)</f>
        <v>71</v>
      </c>
      <c r="L236" s="11">
        <f>IFERROR(__xludf.DUMMYFUNCTION("""COMPUTED_VALUE"""),59.0)</f>
        <v>59</v>
      </c>
      <c r="M236" s="11">
        <f>IFERROR(__xludf.DUMMYFUNCTION("""COMPUTED_VALUE"""),244.0)</f>
        <v>244</v>
      </c>
      <c r="N236" s="11">
        <f t="shared" si="1"/>
        <v>7288</v>
      </c>
    </row>
    <row r="237">
      <c r="I237" s="13" t="str">
        <f>IFERROR(__xludf.DUMMYFUNCTION("""COMPUTED_VALUE"""),"740460599475760_1925741547614320")</f>
        <v>740460599475760_1925741547614320</v>
      </c>
      <c r="J237" s="11">
        <f>IFERROR(__xludf.DUMMYFUNCTION("""COMPUTED_VALUE"""),11103.0)</f>
        <v>11103</v>
      </c>
      <c r="K237" s="11">
        <f>IFERROR(__xludf.DUMMYFUNCTION("""COMPUTED_VALUE"""),339.0)</f>
        <v>339</v>
      </c>
      <c r="L237" s="11">
        <f>IFERROR(__xludf.DUMMYFUNCTION("""COMPUTED_VALUE"""),86.0)</f>
        <v>86</v>
      </c>
      <c r="M237" s="11">
        <f>IFERROR(__xludf.DUMMYFUNCTION("""COMPUTED_VALUE"""),245.0)</f>
        <v>245</v>
      </c>
      <c r="N237" s="11">
        <f t="shared" si="1"/>
        <v>11528</v>
      </c>
    </row>
    <row r="238">
      <c r="I238" s="13" t="str">
        <f>IFERROR(__xludf.DUMMYFUNCTION("""COMPUTED_VALUE"""),"740460599475760_1946861385502336")</f>
        <v>740460599475760_1946861385502336</v>
      </c>
      <c r="J238" s="11">
        <f>IFERROR(__xludf.DUMMYFUNCTION("""COMPUTED_VALUE"""),279.0)</f>
        <v>279</v>
      </c>
      <c r="K238" s="11">
        <f>IFERROR(__xludf.DUMMYFUNCTION("""COMPUTED_VALUE"""),14.0)</f>
        <v>14</v>
      </c>
      <c r="L238" s="11">
        <f>IFERROR(__xludf.DUMMYFUNCTION("""COMPUTED_VALUE"""),3.0)</f>
        <v>3</v>
      </c>
      <c r="M238" s="11">
        <f>IFERROR(__xludf.DUMMYFUNCTION("""COMPUTED_VALUE"""),245.0)</f>
        <v>245</v>
      </c>
      <c r="N238" s="11">
        <f t="shared" si="1"/>
        <v>296</v>
      </c>
    </row>
    <row r="239">
      <c r="I239" s="13" t="str">
        <f>IFERROR(__xludf.DUMMYFUNCTION("""COMPUTED_VALUE"""),"740460599475760_1927511477437327")</f>
        <v>740460599475760_1927511477437327</v>
      </c>
      <c r="J239" s="11">
        <f>IFERROR(__xludf.DUMMYFUNCTION("""COMPUTED_VALUE"""),4685.0)</f>
        <v>4685</v>
      </c>
      <c r="K239" s="11">
        <f>IFERROR(__xludf.DUMMYFUNCTION("""COMPUTED_VALUE"""),547.0)</f>
        <v>547</v>
      </c>
      <c r="L239" s="11">
        <f>IFERROR(__xludf.DUMMYFUNCTION("""COMPUTED_VALUE"""),2895.0)</f>
        <v>2895</v>
      </c>
      <c r="M239" s="11">
        <f>IFERROR(__xludf.DUMMYFUNCTION("""COMPUTED_VALUE"""),246.0)</f>
        <v>246</v>
      </c>
      <c r="N239" s="11">
        <f t="shared" si="1"/>
        <v>8127</v>
      </c>
    </row>
    <row r="240">
      <c r="I240" s="13" t="str">
        <f>IFERROR(__xludf.DUMMYFUNCTION("""COMPUTED_VALUE"""),"740460599475760_1937027923152349")</f>
        <v>740460599475760_1937027923152349</v>
      </c>
      <c r="J240" s="11">
        <f>IFERROR(__xludf.DUMMYFUNCTION("""COMPUTED_VALUE"""),11293.0)</f>
        <v>11293</v>
      </c>
      <c r="K240" s="11">
        <f>IFERROR(__xludf.DUMMYFUNCTION("""COMPUTED_VALUE"""),305.0)</f>
        <v>305</v>
      </c>
      <c r="L240" s="11">
        <f>IFERROR(__xludf.DUMMYFUNCTION("""COMPUTED_VALUE"""),96.0)</f>
        <v>96</v>
      </c>
      <c r="M240" s="11">
        <f>IFERROR(__xludf.DUMMYFUNCTION("""COMPUTED_VALUE"""),246.0)</f>
        <v>246</v>
      </c>
      <c r="N240" s="11">
        <f t="shared" si="1"/>
        <v>11694</v>
      </c>
    </row>
    <row r="241">
      <c r="I241" s="13" t="str">
        <f>IFERROR(__xludf.DUMMYFUNCTION("""COMPUTED_VALUE"""),"740460599475760_1937030689818739")</f>
        <v>740460599475760_1937030689818739</v>
      </c>
      <c r="J241" s="11">
        <f>IFERROR(__xludf.DUMMYFUNCTION("""COMPUTED_VALUE"""),1697.0)</f>
        <v>1697</v>
      </c>
      <c r="K241" s="11">
        <f>IFERROR(__xludf.DUMMYFUNCTION("""COMPUTED_VALUE"""),54.0)</f>
        <v>54</v>
      </c>
      <c r="L241" s="11">
        <f>IFERROR(__xludf.DUMMYFUNCTION("""COMPUTED_VALUE"""),32.0)</f>
        <v>32</v>
      </c>
      <c r="M241" s="11">
        <f>IFERROR(__xludf.DUMMYFUNCTION("""COMPUTED_VALUE"""),247.0)</f>
        <v>247</v>
      </c>
      <c r="N241" s="11">
        <f t="shared" si="1"/>
        <v>1783</v>
      </c>
    </row>
    <row r="242">
      <c r="I242" s="13" t="str">
        <f>IFERROR(__xludf.DUMMYFUNCTION("""COMPUTED_VALUE"""),"740460599475760_1941486246039850")</f>
        <v>740460599475760_1941486246039850</v>
      </c>
      <c r="J242" s="11">
        <f>IFERROR(__xludf.DUMMYFUNCTION("""COMPUTED_VALUE"""),6316.0)</f>
        <v>6316</v>
      </c>
      <c r="K242" s="11">
        <f>IFERROR(__xludf.DUMMYFUNCTION("""COMPUTED_VALUE"""),32.0)</f>
        <v>32</v>
      </c>
      <c r="L242" s="11">
        <f>IFERROR(__xludf.DUMMYFUNCTION("""COMPUTED_VALUE"""),15.0)</f>
        <v>15</v>
      </c>
      <c r="M242" s="11">
        <f>IFERROR(__xludf.DUMMYFUNCTION("""COMPUTED_VALUE"""),247.0)</f>
        <v>247</v>
      </c>
      <c r="N242" s="11">
        <f t="shared" si="1"/>
        <v>6363</v>
      </c>
    </row>
    <row r="243">
      <c r="I243" s="13" t="str">
        <f>IFERROR(__xludf.DUMMYFUNCTION("""COMPUTED_VALUE"""),"740460599475760_1963788033809671")</f>
        <v>740460599475760_1963788033809671</v>
      </c>
      <c r="J243" s="11">
        <f>IFERROR(__xludf.DUMMYFUNCTION("""COMPUTED_VALUE"""),9179.0)</f>
        <v>9179</v>
      </c>
      <c r="K243" s="11">
        <f>IFERROR(__xludf.DUMMYFUNCTION("""COMPUTED_VALUE"""),322.0)</f>
        <v>322</v>
      </c>
      <c r="L243" s="11">
        <f>IFERROR(__xludf.DUMMYFUNCTION("""COMPUTED_VALUE"""),231.0)</f>
        <v>231</v>
      </c>
      <c r="M243" s="11">
        <f>IFERROR(__xludf.DUMMYFUNCTION("""COMPUTED_VALUE"""),247.0)</f>
        <v>247</v>
      </c>
      <c r="N243" s="11">
        <f t="shared" si="1"/>
        <v>9732</v>
      </c>
    </row>
    <row r="244">
      <c r="I244" s="13" t="str">
        <f>IFERROR(__xludf.DUMMYFUNCTION("""COMPUTED_VALUE"""),"740460599475760_1946247932230348")</f>
        <v>740460599475760_1946247932230348</v>
      </c>
      <c r="J244" s="11">
        <f>IFERROR(__xludf.DUMMYFUNCTION("""COMPUTED_VALUE"""),918.0)</f>
        <v>918</v>
      </c>
      <c r="K244" s="11">
        <f>IFERROR(__xludf.DUMMYFUNCTION("""COMPUTED_VALUE"""),27.0)</f>
        <v>27</v>
      </c>
      <c r="L244" s="11">
        <f>IFERROR(__xludf.DUMMYFUNCTION("""COMPUTED_VALUE"""),16.0)</f>
        <v>16</v>
      </c>
      <c r="M244" s="11">
        <f>IFERROR(__xludf.DUMMYFUNCTION("""COMPUTED_VALUE"""),248.0)</f>
        <v>248</v>
      </c>
      <c r="N244" s="11">
        <f t="shared" si="1"/>
        <v>961</v>
      </c>
    </row>
    <row r="245">
      <c r="I245" s="13" t="str">
        <f>IFERROR(__xludf.DUMMYFUNCTION("""COMPUTED_VALUE"""),"740460599475760_1917067105148431")</f>
        <v>740460599475760_1917067105148431</v>
      </c>
      <c r="J245" s="11">
        <f>IFERROR(__xludf.DUMMYFUNCTION("""COMPUTED_VALUE"""),9539.0)</f>
        <v>9539</v>
      </c>
      <c r="K245" s="11">
        <f>IFERROR(__xludf.DUMMYFUNCTION("""COMPUTED_VALUE"""),280.0)</f>
        <v>280</v>
      </c>
      <c r="L245" s="11">
        <f>IFERROR(__xludf.DUMMYFUNCTION("""COMPUTED_VALUE"""),91.0)</f>
        <v>91</v>
      </c>
      <c r="M245" s="11">
        <f>IFERROR(__xludf.DUMMYFUNCTION("""COMPUTED_VALUE"""),249.0)</f>
        <v>249</v>
      </c>
      <c r="N245" s="11">
        <f t="shared" si="1"/>
        <v>9910</v>
      </c>
    </row>
    <row r="246">
      <c r="I246" s="13" t="str">
        <f>IFERROR(__xludf.DUMMYFUNCTION("""COMPUTED_VALUE"""),"740460599475760_1937032936485181")</f>
        <v>740460599475760_1937032936485181</v>
      </c>
      <c r="J246" s="11">
        <f>IFERROR(__xludf.DUMMYFUNCTION("""COMPUTED_VALUE"""),658.0)</f>
        <v>658</v>
      </c>
      <c r="K246" s="11">
        <f>IFERROR(__xludf.DUMMYFUNCTION("""COMPUTED_VALUE"""),139.0)</f>
        <v>139</v>
      </c>
      <c r="L246" s="11">
        <f>IFERROR(__xludf.DUMMYFUNCTION("""COMPUTED_VALUE"""),20.0)</f>
        <v>20</v>
      </c>
      <c r="M246" s="11">
        <f>IFERROR(__xludf.DUMMYFUNCTION("""COMPUTED_VALUE"""),249.0)</f>
        <v>249</v>
      </c>
      <c r="N246" s="11">
        <f t="shared" si="1"/>
        <v>817</v>
      </c>
    </row>
    <row r="247">
      <c r="I247" s="13" t="str">
        <f>IFERROR(__xludf.DUMMYFUNCTION("""COMPUTED_VALUE"""),"740460599475760_1943173239204484")</f>
        <v>740460599475760_1943173239204484</v>
      </c>
      <c r="J247" s="11">
        <f>IFERROR(__xludf.DUMMYFUNCTION("""COMPUTED_VALUE"""),10213.0)</f>
        <v>10213</v>
      </c>
      <c r="K247" s="11">
        <f>IFERROR(__xludf.DUMMYFUNCTION("""COMPUTED_VALUE"""),115.0)</f>
        <v>115</v>
      </c>
      <c r="L247" s="11">
        <f>IFERROR(__xludf.DUMMYFUNCTION("""COMPUTED_VALUE"""),24.0)</f>
        <v>24</v>
      </c>
      <c r="M247" s="11">
        <f>IFERROR(__xludf.DUMMYFUNCTION("""COMPUTED_VALUE"""),249.0)</f>
        <v>249</v>
      </c>
      <c r="N247" s="11">
        <f t="shared" si="1"/>
        <v>10352</v>
      </c>
    </row>
    <row r="248">
      <c r="I248" s="13" t="str">
        <f>IFERROR(__xludf.DUMMYFUNCTION("""COMPUTED_VALUE"""),"740460599475760_1947016335486841")</f>
        <v>740460599475760_1947016335486841</v>
      </c>
      <c r="J248" s="11">
        <f>IFERROR(__xludf.DUMMYFUNCTION("""COMPUTED_VALUE"""),9555.0)</f>
        <v>9555</v>
      </c>
      <c r="K248" s="11">
        <f>IFERROR(__xludf.DUMMYFUNCTION("""COMPUTED_VALUE"""),262.0)</f>
        <v>262</v>
      </c>
      <c r="L248" s="11">
        <f>IFERROR(__xludf.DUMMYFUNCTION("""COMPUTED_VALUE"""),83.0)</f>
        <v>83</v>
      </c>
      <c r="M248" s="11">
        <f>IFERROR(__xludf.DUMMYFUNCTION("""COMPUTED_VALUE"""),250.0)</f>
        <v>250</v>
      </c>
      <c r="N248" s="11">
        <f t="shared" si="1"/>
        <v>9900</v>
      </c>
    </row>
    <row r="249">
      <c r="I249" s="13" t="str">
        <f>IFERROR(__xludf.DUMMYFUNCTION("""COMPUTED_VALUE"""),"740460599475760_1949239088597899")</f>
        <v>740460599475760_1949239088597899</v>
      </c>
      <c r="J249" s="11">
        <f>IFERROR(__xludf.DUMMYFUNCTION("""COMPUTED_VALUE"""),12771.0)</f>
        <v>12771</v>
      </c>
      <c r="K249" s="11">
        <f>IFERROR(__xludf.DUMMYFUNCTION("""COMPUTED_VALUE"""),204.0)</f>
        <v>204</v>
      </c>
      <c r="L249" s="11">
        <f>IFERROR(__xludf.DUMMYFUNCTION("""COMPUTED_VALUE"""),154.0)</f>
        <v>154</v>
      </c>
      <c r="M249" s="11">
        <f>IFERROR(__xludf.DUMMYFUNCTION("""COMPUTED_VALUE"""),250.0)</f>
        <v>250</v>
      </c>
      <c r="N249" s="11">
        <f t="shared" si="1"/>
        <v>13129</v>
      </c>
    </row>
    <row r="250">
      <c r="I250" s="13" t="str">
        <f>IFERROR(__xludf.DUMMYFUNCTION("""COMPUTED_VALUE"""),"740460599475760_1917065585148583")</f>
        <v>740460599475760_1917065585148583</v>
      </c>
      <c r="J250" s="11">
        <f>IFERROR(__xludf.DUMMYFUNCTION("""COMPUTED_VALUE"""),1344.0)</f>
        <v>1344</v>
      </c>
      <c r="K250" s="11">
        <f>IFERROR(__xludf.DUMMYFUNCTION("""COMPUTED_VALUE"""),182.0)</f>
        <v>182</v>
      </c>
      <c r="L250" s="11">
        <f>IFERROR(__xludf.DUMMYFUNCTION("""COMPUTED_VALUE"""),16.0)</f>
        <v>16</v>
      </c>
      <c r="M250" s="11">
        <f>IFERROR(__xludf.DUMMYFUNCTION("""COMPUTED_VALUE"""),252.0)</f>
        <v>252</v>
      </c>
      <c r="N250" s="11">
        <f t="shared" si="1"/>
        <v>1542</v>
      </c>
    </row>
    <row r="251">
      <c r="I251" s="13" t="str">
        <f>IFERROR(__xludf.DUMMYFUNCTION("""COMPUTED_VALUE"""),"740460599475760_1928423800679428")</f>
        <v>740460599475760_1928423800679428</v>
      </c>
      <c r="J251" s="11">
        <f>IFERROR(__xludf.DUMMYFUNCTION("""COMPUTED_VALUE"""),1232.0)</f>
        <v>1232</v>
      </c>
      <c r="K251" s="11">
        <f>IFERROR(__xludf.DUMMYFUNCTION("""COMPUTED_VALUE"""),161.0)</f>
        <v>161</v>
      </c>
      <c r="L251" s="11">
        <f>IFERROR(__xludf.DUMMYFUNCTION("""COMPUTED_VALUE"""),41.0)</f>
        <v>41</v>
      </c>
      <c r="M251" s="11">
        <f>IFERROR(__xludf.DUMMYFUNCTION("""COMPUTED_VALUE"""),252.0)</f>
        <v>252</v>
      </c>
      <c r="N251" s="11">
        <f t="shared" si="1"/>
        <v>1434</v>
      </c>
    </row>
    <row r="252">
      <c r="I252" s="13" t="str">
        <f>IFERROR(__xludf.DUMMYFUNCTION("""COMPUTED_VALUE"""),"740460599475760_1940854602769681")</f>
        <v>740460599475760_1940854602769681</v>
      </c>
      <c r="J252" s="11">
        <f>IFERROR(__xludf.DUMMYFUNCTION("""COMPUTED_VALUE"""),8104.0)</f>
        <v>8104</v>
      </c>
      <c r="K252" s="11">
        <f>IFERROR(__xludf.DUMMYFUNCTION("""COMPUTED_VALUE"""),272.0)</f>
        <v>272</v>
      </c>
      <c r="L252" s="11">
        <f>IFERROR(__xludf.DUMMYFUNCTION("""COMPUTED_VALUE"""),86.0)</f>
        <v>86</v>
      </c>
      <c r="M252" s="11">
        <f>IFERROR(__xludf.DUMMYFUNCTION("""COMPUTED_VALUE"""),252.0)</f>
        <v>252</v>
      </c>
      <c r="N252" s="11">
        <f t="shared" si="1"/>
        <v>8462</v>
      </c>
    </row>
    <row r="253">
      <c r="I253" s="13" t="str">
        <f>IFERROR(__xludf.DUMMYFUNCTION("""COMPUTED_VALUE"""),"740460599475760_1963789900476151")</f>
        <v>740460599475760_1963789900476151</v>
      </c>
      <c r="J253" s="11">
        <f>IFERROR(__xludf.DUMMYFUNCTION("""COMPUTED_VALUE"""),9464.0)</f>
        <v>9464</v>
      </c>
      <c r="K253" s="11">
        <f>IFERROR(__xludf.DUMMYFUNCTION("""COMPUTED_VALUE"""),240.0)</f>
        <v>240</v>
      </c>
      <c r="L253" s="11">
        <f>IFERROR(__xludf.DUMMYFUNCTION("""COMPUTED_VALUE"""),25.0)</f>
        <v>25</v>
      </c>
      <c r="M253" s="11">
        <f>IFERROR(__xludf.DUMMYFUNCTION("""COMPUTED_VALUE"""),252.0)</f>
        <v>252</v>
      </c>
      <c r="N253" s="11">
        <f t="shared" si="1"/>
        <v>9729</v>
      </c>
    </row>
    <row r="254">
      <c r="I254" s="13" t="str">
        <f>IFERROR(__xludf.DUMMYFUNCTION("""COMPUTED_VALUE"""),"740460599475760_1916236491898159")</f>
        <v>740460599475760_1916236491898159</v>
      </c>
      <c r="J254" s="11">
        <f>IFERROR(__xludf.DUMMYFUNCTION("""COMPUTED_VALUE"""),1809.0)</f>
        <v>1809</v>
      </c>
      <c r="K254" s="11">
        <f>IFERROR(__xludf.DUMMYFUNCTION("""COMPUTED_VALUE"""),273.0)</f>
        <v>273</v>
      </c>
      <c r="L254" s="11">
        <f>IFERROR(__xludf.DUMMYFUNCTION("""COMPUTED_VALUE"""),83.0)</f>
        <v>83</v>
      </c>
      <c r="M254" s="11">
        <f>IFERROR(__xludf.DUMMYFUNCTION("""COMPUTED_VALUE"""),253.0)</f>
        <v>253</v>
      </c>
      <c r="N254" s="11">
        <f t="shared" si="1"/>
        <v>2165</v>
      </c>
    </row>
    <row r="255">
      <c r="I255" s="13" t="str">
        <f>IFERROR(__xludf.DUMMYFUNCTION("""COMPUTED_VALUE"""),"740460599475760_1937027513152390")</f>
        <v>740460599475760_1937027513152390</v>
      </c>
      <c r="J255" s="11">
        <f>IFERROR(__xludf.DUMMYFUNCTION("""COMPUTED_VALUE"""),489.0)</f>
        <v>489</v>
      </c>
      <c r="K255" s="11">
        <f>IFERROR(__xludf.DUMMYFUNCTION("""COMPUTED_VALUE"""),50.0)</f>
        <v>50</v>
      </c>
      <c r="L255" s="11">
        <f>IFERROR(__xludf.DUMMYFUNCTION("""COMPUTED_VALUE"""),3.0)</f>
        <v>3</v>
      </c>
      <c r="M255" s="11">
        <f>IFERROR(__xludf.DUMMYFUNCTION("""COMPUTED_VALUE"""),253.0)</f>
        <v>253</v>
      </c>
      <c r="N255" s="11">
        <f t="shared" si="1"/>
        <v>542</v>
      </c>
    </row>
    <row r="256">
      <c r="I256" s="13" t="str">
        <f>IFERROR(__xludf.DUMMYFUNCTION("""COMPUTED_VALUE"""),"740460599475760_1937029113152230")</f>
        <v>740460599475760_1937029113152230</v>
      </c>
      <c r="J256" s="11">
        <f>IFERROR(__xludf.DUMMYFUNCTION("""COMPUTED_VALUE"""),9098.0)</f>
        <v>9098</v>
      </c>
      <c r="K256" s="11">
        <f>IFERROR(__xludf.DUMMYFUNCTION("""COMPUTED_VALUE"""),105.0)</f>
        <v>105</v>
      </c>
      <c r="L256" s="11">
        <f>IFERROR(__xludf.DUMMYFUNCTION("""COMPUTED_VALUE"""),33.0)</f>
        <v>33</v>
      </c>
      <c r="M256" s="11">
        <f>IFERROR(__xludf.DUMMYFUNCTION("""COMPUTED_VALUE"""),255.0)</f>
        <v>255</v>
      </c>
      <c r="N256" s="11">
        <f t="shared" si="1"/>
        <v>9236</v>
      </c>
    </row>
    <row r="257">
      <c r="I257" s="13" t="str">
        <f>IFERROR(__xludf.DUMMYFUNCTION("""COMPUTED_VALUE"""),"740460599475760_1928424837345991")</f>
        <v>740460599475760_1928424837345991</v>
      </c>
      <c r="J257" s="11">
        <f>IFERROR(__xludf.DUMMYFUNCTION("""COMPUTED_VALUE"""),2360.0)</f>
        <v>2360</v>
      </c>
      <c r="K257" s="11">
        <f>IFERROR(__xludf.DUMMYFUNCTION("""COMPUTED_VALUE"""),390.0)</f>
        <v>390</v>
      </c>
      <c r="L257" s="11">
        <f>IFERROR(__xludf.DUMMYFUNCTION("""COMPUTED_VALUE"""),150.0)</f>
        <v>150</v>
      </c>
      <c r="M257" s="11">
        <f>IFERROR(__xludf.DUMMYFUNCTION("""COMPUTED_VALUE"""),256.0)</f>
        <v>256</v>
      </c>
      <c r="N257" s="11">
        <f t="shared" si="1"/>
        <v>2900</v>
      </c>
    </row>
    <row r="258">
      <c r="I258" s="13" t="str">
        <f>IFERROR(__xludf.DUMMYFUNCTION("""COMPUTED_VALUE"""),"740460599475760_1930818393773302")</f>
        <v>740460599475760_1930818393773302</v>
      </c>
      <c r="J258" s="11">
        <f>IFERROR(__xludf.DUMMYFUNCTION("""COMPUTED_VALUE"""),7763.0)</f>
        <v>7763</v>
      </c>
      <c r="K258" s="11">
        <f>IFERROR(__xludf.DUMMYFUNCTION("""COMPUTED_VALUE"""),140.0)</f>
        <v>140</v>
      </c>
      <c r="L258" s="11">
        <f>IFERROR(__xludf.DUMMYFUNCTION("""COMPUTED_VALUE"""),41.0)</f>
        <v>41</v>
      </c>
      <c r="M258" s="11">
        <f>IFERROR(__xludf.DUMMYFUNCTION("""COMPUTED_VALUE"""),256.0)</f>
        <v>256</v>
      </c>
      <c r="N258" s="11">
        <f t="shared" si="1"/>
        <v>7944</v>
      </c>
    </row>
    <row r="259">
      <c r="I259" s="13" t="str">
        <f>IFERROR(__xludf.DUMMYFUNCTION("""COMPUTED_VALUE"""),"740460599475760_1966941793494295")</f>
        <v>740460599475760_1966941793494295</v>
      </c>
      <c r="J259" s="11">
        <f>IFERROR(__xludf.DUMMYFUNCTION("""COMPUTED_VALUE"""),8334.0)</f>
        <v>8334</v>
      </c>
      <c r="K259" s="11">
        <f>IFERROR(__xludf.DUMMYFUNCTION("""COMPUTED_VALUE"""),158.0)</f>
        <v>158</v>
      </c>
      <c r="L259" s="11">
        <f>IFERROR(__xludf.DUMMYFUNCTION("""COMPUTED_VALUE"""),44.0)</f>
        <v>44</v>
      </c>
      <c r="M259" s="11">
        <f>IFERROR(__xludf.DUMMYFUNCTION("""COMPUTED_VALUE"""),257.0)</f>
        <v>257</v>
      </c>
      <c r="N259" s="11">
        <f t="shared" si="1"/>
        <v>8536</v>
      </c>
    </row>
    <row r="260">
      <c r="I260" s="13" t="str">
        <f>IFERROR(__xludf.DUMMYFUNCTION("""COMPUTED_VALUE"""),"740460599475760_1968551040000037")</f>
        <v>740460599475760_1968551040000037</v>
      </c>
      <c r="J260" s="11">
        <f>IFERROR(__xludf.DUMMYFUNCTION("""COMPUTED_VALUE"""),12962.0)</f>
        <v>12962</v>
      </c>
      <c r="K260" s="11">
        <f>IFERROR(__xludf.DUMMYFUNCTION("""COMPUTED_VALUE"""),451.0)</f>
        <v>451</v>
      </c>
      <c r="L260" s="11">
        <f>IFERROR(__xludf.DUMMYFUNCTION("""COMPUTED_VALUE"""),248.0)</f>
        <v>248</v>
      </c>
      <c r="M260" s="11">
        <f>IFERROR(__xludf.DUMMYFUNCTION("""COMPUTED_VALUE"""),257.0)</f>
        <v>257</v>
      </c>
      <c r="N260" s="11">
        <f t="shared" si="1"/>
        <v>13661</v>
      </c>
    </row>
    <row r="261">
      <c r="I261" s="13" t="str">
        <f>IFERROR(__xludf.DUMMYFUNCTION("""COMPUTED_VALUE"""),"172882636630076_1008790769705921")</f>
        <v>172882636630076_1008790769705921</v>
      </c>
      <c r="J261" s="11">
        <f>IFERROR(__xludf.DUMMYFUNCTION("""COMPUTED_VALUE"""),1025.0)</f>
        <v>1025</v>
      </c>
      <c r="K261" s="11">
        <f>IFERROR(__xludf.DUMMYFUNCTION("""COMPUTED_VALUE"""),31.0)</f>
        <v>31</v>
      </c>
      <c r="L261" s="11">
        <f>IFERROR(__xludf.DUMMYFUNCTION("""COMPUTED_VALUE"""),108.0)</f>
        <v>108</v>
      </c>
      <c r="M261" s="11">
        <f>IFERROR(__xludf.DUMMYFUNCTION("""COMPUTED_VALUE"""),257.0)</f>
        <v>257</v>
      </c>
      <c r="N261" s="11">
        <f t="shared" si="1"/>
        <v>1164</v>
      </c>
    </row>
    <row r="262">
      <c r="I262" s="13" t="str">
        <f>IFERROR(__xludf.DUMMYFUNCTION("""COMPUTED_VALUE"""),"740460599475760_1928425317345943")</f>
        <v>740460599475760_1928425317345943</v>
      </c>
      <c r="J262" s="11">
        <f>IFERROR(__xludf.DUMMYFUNCTION("""COMPUTED_VALUE"""),1045.0)</f>
        <v>1045</v>
      </c>
      <c r="K262" s="11">
        <f>IFERROR(__xludf.DUMMYFUNCTION("""COMPUTED_VALUE"""),128.0)</f>
        <v>128</v>
      </c>
      <c r="L262" s="11">
        <f>IFERROR(__xludf.DUMMYFUNCTION("""COMPUTED_VALUE"""),12.0)</f>
        <v>12</v>
      </c>
      <c r="M262" s="11">
        <f>IFERROR(__xludf.DUMMYFUNCTION("""COMPUTED_VALUE"""),259.0)</f>
        <v>259</v>
      </c>
      <c r="N262" s="11">
        <f t="shared" si="1"/>
        <v>1185</v>
      </c>
    </row>
    <row r="263">
      <c r="I263" s="13" t="str">
        <f>IFERROR(__xludf.DUMMYFUNCTION("""COMPUTED_VALUE"""),"740460599475760_1926628300858978")</f>
        <v>740460599475760_1926628300858978</v>
      </c>
      <c r="J263" s="11">
        <f>IFERROR(__xludf.DUMMYFUNCTION("""COMPUTED_VALUE"""),9479.0)</f>
        <v>9479</v>
      </c>
      <c r="K263" s="11">
        <f>IFERROR(__xludf.DUMMYFUNCTION("""COMPUTED_VALUE"""),771.0)</f>
        <v>771</v>
      </c>
      <c r="L263" s="11">
        <f>IFERROR(__xludf.DUMMYFUNCTION("""COMPUTED_VALUE"""),169.0)</f>
        <v>169</v>
      </c>
      <c r="M263" s="11">
        <f>IFERROR(__xludf.DUMMYFUNCTION("""COMPUTED_VALUE"""),260.0)</f>
        <v>260</v>
      </c>
      <c r="N263" s="11">
        <f t="shared" si="1"/>
        <v>10419</v>
      </c>
    </row>
    <row r="264">
      <c r="I264" s="13" t="str">
        <f>IFERROR(__xludf.DUMMYFUNCTION("""COMPUTED_VALUE"""),"740460599475760_1932009396987535")</f>
        <v>740460599475760_1932009396987535</v>
      </c>
      <c r="J264" s="11">
        <f>IFERROR(__xludf.DUMMYFUNCTION("""COMPUTED_VALUE"""),10367.0)</f>
        <v>10367</v>
      </c>
      <c r="K264" s="11">
        <f>IFERROR(__xludf.DUMMYFUNCTION("""COMPUTED_VALUE"""),539.0)</f>
        <v>539</v>
      </c>
      <c r="L264" s="11">
        <f>IFERROR(__xludf.DUMMYFUNCTION("""COMPUTED_VALUE"""),193.0)</f>
        <v>193</v>
      </c>
      <c r="M264" s="11">
        <f>IFERROR(__xludf.DUMMYFUNCTION("""COMPUTED_VALUE"""),260.0)</f>
        <v>260</v>
      </c>
      <c r="N264" s="11">
        <f t="shared" si="1"/>
        <v>11099</v>
      </c>
    </row>
    <row r="265">
      <c r="I265" s="13" t="str">
        <f>IFERROR(__xludf.DUMMYFUNCTION("""COMPUTED_VALUE"""),"740460599475760_1910576212464187")</f>
        <v>740460599475760_1910576212464187</v>
      </c>
      <c r="J265" s="11">
        <f>IFERROR(__xludf.DUMMYFUNCTION("""COMPUTED_VALUE"""),204.0)</f>
        <v>204</v>
      </c>
      <c r="K265" s="11">
        <f>IFERROR(__xludf.DUMMYFUNCTION("""COMPUTED_VALUE"""),6.0)</f>
        <v>6</v>
      </c>
      <c r="L265" s="11">
        <f>IFERROR(__xludf.DUMMYFUNCTION("""COMPUTED_VALUE"""),11.0)</f>
        <v>11</v>
      </c>
      <c r="M265" s="11">
        <f>IFERROR(__xludf.DUMMYFUNCTION("""COMPUTED_VALUE"""),261.0)</f>
        <v>261</v>
      </c>
      <c r="N265" s="11">
        <f t="shared" si="1"/>
        <v>221</v>
      </c>
    </row>
    <row r="266">
      <c r="I266" s="13" t="str">
        <f>IFERROR(__xludf.DUMMYFUNCTION("""COMPUTED_VALUE"""),"740460599475760_1921827931339015")</f>
        <v>740460599475760_1921827931339015</v>
      </c>
      <c r="J266" s="11">
        <f>IFERROR(__xludf.DUMMYFUNCTION("""COMPUTED_VALUE"""),396.0)</f>
        <v>396</v>
      </c>
      <c r="K266" s="11">
        <f>IFERROR(__xludf.DUMMYFUNCTION("""COMPUTED_VALUE"""),43.0)</f>
        <v>43</v>
      </c>
      <c r="L266" s="11">
        <f>IFERROR(__xludf.DUMMYFUNCTION("""COMPUTED_VALUE"""),5.0)</f>
        <v>5</v>
      </c>
      <c r="M266" s="11">
        <f>IFERROR(__xludf.DUMMYFUNCTION("""COMPUTED_VALUE"""),261.0)</f>
        <v>261</v>
      </c>
      <c r="N266" s="11">
        <f t="shared" si="1"/>
        <v>444</v>
      </c>
    </row>
    <row r="267">
      <c r="I267" s="13" t="str">
        <f>IFERROR(__xludf.DUMMYFUNCTION("""COMPUTED_VALUE"""),"740460599475760_1911250759063399")</f>
        <v>740460599475760_1911250759063399</v>
      </c>
      <c r="J267" s="11">
        <f>IFERROR(__xludf.DUMMYFUNCTION("""COMPUTED_VALUE"""),2125.0)</f>
        <v>2125</v>
      </c>
      <c r="K267" s="11">
        <f>IFERROR(__xludf.DUMMYFUNCTION("""COMPUTED_VALUE"""),109.0)</f>
        <v>109</v>
      </c>
      <c r="L267" s="11">
        <f>IFERROR(__xludf.DUMMYFUNCTION("""COMPUTED_VALUE"""),28.0)</f>
        <v>28</v>
      </c>
      <c r="M267" s="11">
        <f>IFERROR(__xludf.DUMMYFUNCTION("""COMPUTED_VALUE"""),262.0)</f>
        <v>262</v>
      </c>
      <c r="N267" s="11">
        <f t="shared" si="1"/>
        <v>2262</v>
      </c>
    </row>
    <row r="268">
      <c r="I268" s="13" t="str">
        <f>IFERROR(__xludf.DUMMYFUNCTION("""COMPUTED_VALUE"""),"740460599475760_1927470357441439")</f>
        <v>740460599475760_1927470357441439</v>
      </c>
      <c r="J268" s="11">
        <f>IFERROR(__xludf.DUMMYFUNCTION("""COMPUTED_VALUE"""),1522.0)</f>
        <v>1522</v>
      </c>
      <c r="K268" s="11">
        <f>IFERROR(__xludf.DUMMYFUNCTION("""COMPUTED_VALUE"""),286.0)</f>
        <v>286</v>
      </c>
      <c r="L268" s="11">
        <f>IFERROR(__xludf.DUMMYFUNCTION("""COMPUTED_VALUE"""),76.0)</f>
        <v>76</v>
      </c>
      <c r="M268" s="11">
        <f>IFERROR(__xludf.DUMMYFUNCTION("""COMPUTED_VALUE"""),262.0)</f>
        <v>262</v>
      </c>
      <c r="N268" s="11">
        <f t="shared" si="1"/>
        <v>1884</v>
      </c>
    </row>
    <row r="269">
      <c r="I269" s="13" t="str">
        <f>IFERROR(__xludf.DUMMYFUNCTION("""COMPUTED_VALUE"""),"740460599475760_1928431267345348")</f>
        <v>740460599475760_1928431267345348</v>
      </c>
      <c r="J269" s="11">
        <f>IFERROR(__xludf.DUMMYFUNCTION("""COMPUTED_VALUE"""),1256.0)</f>
        <v>1256</v>
      </c>
      <c r="K269" s="11">
        <f>IFERROR(__xludf.DUMMYFUNCTION("""COMPUTED_VALUE"""),249.0)</f>
        <v>249</v>
      </c>
      <c r="L269" s="11">
        <f>IFERROR(__xludf.DUMMYFUNCTION("""COMPUTED_VALUE"""),52.0)</f>
        <v>52</v>
      </c>
      <c r="M269" s="11">
        <f>IFERROR(__xludf.DUMMYFUNCTION("""COMPUTED_VALUE"""),262.0)</f>
        <v>262</v>
      </c>
      <c r="N269" s="11">
        <f t="shared" si="1"/>
        <v>1557</v>
      </c>
    </row>
    <row r="270">
      <c r="I270" s="13" t="str">
        <f>IFERROR(__xludf.DUMMYFUNCTION("""COMPUTED_VALUE"""),"740460599475760_1932017340320074")</f>
        <v>740460599475760_1932017340320074</v>
      </c>
      <c r="J270" s="11">
        <f>IFERROR(__xludf.DUMMYFUNCTION("""COMPUTED_VALUE"""),7398.0)</f>
        <v>7398</v>
      </c>
      <c r="K270" s="11">
        <f>IFERROR(__xludf.DUMMYFUNCTION("""COMPUTED_VALUE"""),130.0)</f>
        <v>130</v>
      </c>
      <c r="L270" s="11">
        <f>IFERROR(__xludf.DUMMYFUNCTION("""COMPUTED_VALUE"""),27.0)</f>
        <v>27</v>
      </c>
      <c r="M270" s="11">
        <f>IFERROR(__xludf.DUMMYFUNCTION("""COMPUTED_VALUE"""),262.0)</f>
        <v>262</v>
      </c>
      <c r="N270" s="11">
        <f t="shared" si="1"/>
        <v>7555</v>
      </c>
    </row>
    <row r="271">
      <c r="I271" s="13" t="str">
        <f>IFERROR(__xludf.DUMMYFUNCTION("""COMPUTED_VALUE"""),"740460599475760_1913642725490869")</f>
        <v>740460599475760_1913642725490869</v>
      </c>
      <c r="J271" s="11">
        <f>IFERROR(__xludf.DUMMYFUNCTION("""COMPUTED_VALUE"""),384.0)</f>
        <v>384</v>
      </c>
      <c r="K271" s="11">
        <f>IFERROR(__xludf.DUMMYFUNCTION("""COMPUTED_VALUE"""),96.0)</f>
        <v>96</v>
      </c>
      <c r="L271" s="11">
        <f>IFERROR(__xludf.DUMMYFUNCTION("""COMPUTED_VALUE"""),5.0)</f>
        <v>5</v>
      </c>
      <c r="M271" s="11">
        <f>IFERROR(__xludf.DUMMYFUNCTION("""COMPUTED_VALUE"""),263.0)</f>
        <v>263</v>
      </c>
      <c r="N271" s="11">
        <f t="shared" si="1"/>
        <v>485</v>
      </c>
    </row>
    <row r="272">
      <c r="I272" s="13" t="str">
        <f>IFERROR(__xludf.DUMMYFUNCTION("""COMPUTED_VALUE"""),"740460599475760_1963790573809417")</f>
        <v>740460599475760_1963790573809417</v>
      </c>
      <c r="J272" s="11">
        <f>IFERROR(__xludf.DUMMYFUNCTION("""COMPUTED_VALUE"""),10721.0)</f>
        <v>10721</v>
      </c>
      <c r="K272" s="11">
        <f>IFERROR(__xludf.DUMMYFUNCTION("""COMPUTED_VALUE"""),185.0)</f>
        <v>185</v>
      </c>
      <c r="L272" s="11">
        <f>IFERROR(__xludf.DUMMYFUNCTION("""COMPUTED_VALUE"""),51.0)</f>
        <v>51</v>
      </c>
      <c r="M272" s="11">
        <f>IFERROR(__xludf.DUMMYFUNCTION("""COMPUTED_VALUE"""),263.0)</f>
        <v>263</v>
      </c>
      <c r="N272" s="11">
        <f t="shared" si="1"/>
        <v>10957</v>
      </c>
    </row>
    <row r="273">
      <c r="I273" s="13" t="str">
        <f>IFERROR(__xludf.DUMMYFUNCTION("""COMPUTED_VALUE"""),"740460599475760_1921839284671213")</f>
        <v>740460599475760_1921839284671213</v>
      </c>
      <c r="J273" s="11">
        <f>IFERROR(__xludf.DUMMYFUNCTION("""COMPUTED_VALUE"""),1782.0)</f>
        <v>1782</v>
      </c>
      <c r="K273" s="11">
        <f>IFERROR(__xludf.DUMMYFUNCTION("""COMPUTED_VALUE"""),239.0)</f>
        <v>239</v>
      </c>
      <c r="L273" s="11">
        <f>IFERROR(__xludf.DUMMYFUNCTION("""COMPUTED_VALUE"""),27.0)</f>
        <v>27</v>
      </c>
      <c r="M273" s="11">
        <f>IFERROR(__xludf.DUMMYFUNCTION("""COMPUTED_VALUE"""),264.0)</f>
        <v>264</v>
      </c>
      <c r="N273" s="11">
        <f t="shared" si="1"/>
        <v>2048</v>
      </c>
    </row>
    <row r="274">
      <c r="I274" s="13" t="str">
        <f>IFERROR(__xludf.DUMMYFUNCTION("""COMPUTED_VALUE"""),"740460599475760_1932849380236870")</f>
        <v>740460599475760_1932849380236870</v>
      </c>
      <c r="J274" s="11">
        <f>IFERROR(__xludf.DUMMYFUNCTION("""COMPUTED_VALUE"""),8023.0)</f>
        <v>8023</v>
      </c>
      <c r="K274" s="11">
        <f>IFERROR(__xludf.DUMMYFUNCTION("""COMPUTED_VALUE"""),135.0)</f>
        <v>135</v>
      </c>
      <c r="L274" s="11">
        <f>IFERROR(__xludf.DUMMYFUNCTION("""COMPUTED_VALUE"""),42.0)</f>
        <v>42</v>
      </c>
      <c r="M274" s="11">
        <f>IFERROR(__xludf.DUMMYFUNCTION("""COMPUTED_VALUE"""),264.0)</f>
        <v>264</v>
      </c>
      <c r="N274" s="11">
        <f t="shared" si="1"/>
        <v>8200</v>
      </c>
    </row>
    <row r="275">
      <c r="I275" s="13" t="str">
        <f>IFERROR(__xludf.DUMMYFUNCTION("""COMPUTED_VALUE"""),"740460599475760_1933474060174402")</f>
        <v>740460599475760_1933474060174402</v>
      </c>
      <c r="J275" s="11">
        <f>IFERROR(__xludf.DUMMYFUNCTION("""COMPUTED_VALUE"""),7167.0)</f>
        <v>7167</v>
      </c>
      <c r="K275" s="11">
        <f>IFERROR(__xludf.DUMMYFUNCTION("""COMPUTED_VALUE"""),106.0)</f>
        <v>106</v>
      </c>
      <c r="L275" s="11">
        <f>IFERROR(__xludf.DUMMYFUNCTION("""COMPUTED_VALUE"""),32.0)</f>
        <v>32</v>
      </c>
      <c r="M275" s="11">
        <f>IFERROR(__xludf.DUMMYFUNCTION("""COMPUTED_VALUE"""),264.0)</f>
        <v>264</v>
      </c>
      <c r="N275" s="11">
        <f t="shared" si="1"/>
        <v>7305</v>
      </c>
    </row>
    <row r="276">
      <c r="I276" s="13" t="str">
        <f>IFERROR(__xludf.DUMMYFUNCTION("""COMPUTED_VALUE"""),"172882636630076_995475351037463")</f>
        <v>172882636630076_995475351037463</v>
      </c>
      <c r="J276" s="11">
        <f>IFERROR(__xludf.DUMMYFUNCTION("""COMPUTED_VALUE"""),307.0)</f>
        <v>307</v>
      </c>
      <c r="K276" s="11">
        <f>IFERROR(__xludf.DUMMYFUNCTION("""COMPUTED_VALUE"""),7.0)</f>
        <v>7</v>
      </c>
      <c r="L276" s="11">
        <f>IFERROR(__xludf.DUMMYFUNCTION("""COMPUTED_VALUE"""),20.0)</f>
        <v>20</v>
      </c>
      <c r="M276" s="11">
        <f>IFERROR(__xludf.DUMMYFUNCTION("""COMPUTED_VALUE"""),264.0)</f>
        <v>264</v>
      </c>
      <c r="N276" s="11">
        <f t="shared" si="1"/>
        <v>334</v>
      </c>
    </row>
    <row r="277">
      <c r="F277" s="13"/>
      <c r="G277" s="13"/>
      <c r="H277" s="13"/>
      <c r="I277" s="13" t="str">
        <f>IFERROR(__xludf.DUMMYFUNCTION("""COMPUTED_VALUE"""),"740460599475760_1947713838750424")</f>
        <v>740460599475760_1947713838750424</v>
      </c>
      <c r="J277" s="11">
        <f>IFERROR(__xludf.DUMMYFUNCTION("""COMPUTED_VALUE"""),528.0)</f>
        <v>528</v>
      </c>
      <c r="K277" s="11">
        <f>IFERROR(__xludf.DUMMYFUNCTION("""COMPUTED_VALUE"""),30.0)</f>
        <v>30</v>
      </c>
      <c r="L277" s="11">
        <f>IFERROR(__xludf.DUMMYFUNCTION("""COMPUTED_VALUE"""),13.0)</f>
        <v>13</v>
      </c>
      <c r="M277" s="11">
        <f>IFERROR(__xludf.DUMMYFUNCTION("""COMPUTED_VALUE"""),266.0)</f>
        <v>266</v>
      </c>
      <c r="N277" s="11">
        <f t="shared" si="1"/>
        <v>571</v>
      </c>
    </row>
    <row r="278">
      <c r="I278" s="13" t="str">
        <f>IFERROR(__xludf.DUMMYFUNCTION("""COMPUTED_VALUE"""),"740460599475760_1968546566667151")</f>
        <v>740460599475760_1968546566667151</v>
      </c>
      <c r="J278" s="11">
        <f>IFERROR(__xludf.DUMMYFUNCTION("""COMPUTED_VALUE"""),3058.0)</f>
        <v>3058</v>
      </c>
      <c r="K278" s="11">
        <f>IFERROR(__xludf.DUMMYFUNCTION("""COMPUTED_VALUE"""),386.0)</f>
        <v>386</v>
      </c>
      <c r="L278" s="11">
        <f>IFERROR(__xludf.DUMMYFUNCTION("""COMPUTED_VALUE"""),92.0)</f>
        <v>92</v>
      </c>
      <c r="M278" s="11">
        <f>IFERROR(__xludf.DUMMYFUNCTION("""COMPUTED_VALUE"""),266.0)</f>
        <v>266</v>
      </c>
      <c r="N278" s="11">
        <f t="shared" si="1"/>
        <v>3536</v>
      </c>
    </row>
    <row r="279">
      <c r="I279" s="13" t="str">
        <f>IFERROR(__xludf.DUMMYFUNCTION("""COMPUTED_VALUE"""),"740460599475760_1921842081337600")</f>
        <v>740460599475760_1921842081337600</v>
      </c>
      <c r="J279" s="11">
        <f>IFERROR(__xludf.DUMMYFUNCTION("""COMPUTED_VALUE"""),310.0)</f>
        <v>310</v>
      </c>
      <c r="K279" s="11">
        <f>IFERROR(__xludf.DUMMYFUNCTION("""COMPUTED_VALUE"""),31.0)</f>
        <v>31</v>
      </c>
      <c r="L279" s="11">
        <f>IFERROR(__xludf.DUMMYFUNCTION("""COMPUTED_VALUE"""),6.0)</f>
        <v>6</v>
      </c>
      <c r="M279" s="11">
        <f>IFERROR(__xludf.DUMMYFUNCTION("""COMPUTED_VALUE"""),269.0)</f>
        <v>269</v>
      </c>
      <c r="N279" s="11">
        <f t="shared" si="1"/>
        <v>347</v>
      </c>
    </row>
    <row r="280">
      <c r="I280" s="13" t="str">
        <f>IFERROR(__xludf.DUMMYFUNCTION("""COMPUTED_VALUE"""),"172882636630076_989524938299171")</f>
        <v>172882636630076_989524938299171</v>
      </c>
      <c r="J280" s="11">
        <f>IFERROR(__xludf.DUMMYFUNCTION("""COMPUTED_VALUE"""),176.0)</f>
        <v>176</v>
      </c>
      <c r="K280" s="11">
        <f>IFERROR(__xludf.DUMMYFUNCTION("""COMPUTED_VALUE"""),1.0)</f>
        <v>1</v>
      </c>
      <c r="L280" s="11">
        <f>IFERROR(__xludf.DUMMYFUNCTION("""COMPUTED_VALUE"""),4.0)</f>
        <v>4</v>
      </c>
      <c r="M280" s="11">
        <f>IFERROR(__xludf.DUMMYFUNCTION("""COMPUTED_VALUE"""),270.0)</f>
        <v>270</v>
      </c>
      <c r="N280" s="11">
        <f t="shared" si="1"/>
        <v>181</v>
      </c>
    </row>
    <row r="281">
      <c r="I281" s="13" t="str">
        <f>IFERROR(__xludf.DUMMYFUNCTION("""COMPUTED_VALUE"""),"172882636630076_1005613603356971")</f>
        <v>172882636630076_1005613603356971</v>
      </c>
      <c r="J281" s="11">
        <f>IFERROR(__xludf.DUMMYFUNCTION("""COMPUTED_VALUE"""),97.0)</f>
        <v>97</v>
      </c>
      <c r="K281" s="11">
        <f>IFERROR(__xludf.DUMMYFUNCTION("""COMPUTED_VALUE"""),0.0)</f>
        <v>0</v>
      </c>
      <c r="L281" s="11">
        <f>IFERROR(__xludf.DUMMYFUNCTION("""COMPUTED_VALUE"""),1.0)</f>
        <v>1</v>
      </c>
      <c r="M281" s="11">
        <f>IFERROR(__xludf.DUMMYFUNCTION("""COMPUTED_VALUE"""),270.0)</f>
        <v>270</v>
      </c>
      <c r="N281" s="11">
        <f t="shared" si="1"/>
        <v>98</v>
      </c>
    </row>
    <row r="282">
      <c r="I282" s="13" t="str">
        <f>IFERROR(__xludf.DUMMYFUNCTION("""COMPUTED_VALUE"""),"740460599475760_1910465929141882")</f>
        <v>740460599475760_1910465929141882</v>
      </c>
      <c r="J282" s="11">
        <f>IFERROR(__xludf.DUMMYFUNCTION("""COMPUTED_VALUE"""),9814.0)</f>
        <v>9814</v>
      </c>
      <c r="K282" s="11">
        <f>IFERROR(__xludf.DUMMYFUNCTION("""COMPUTED_VALUE"""),298.0)</f>
        <v>298</v>
      </c>
      <c r="L282" s="11">
        <f>IFERROR(__xludf.DUMMYFUNCTION("""COMPUTED_VALUE"""),142.0)</f>
        <v>142</v>
      </c>
      <c r="M282" s="11">
        <f>IFERROR(__xludf.DUMMYFUNCTION("""COMPUTED_VALUE"""),271.0)</f>
        <v>271</v>
      </c>
      <c r="N282" s="11">
        <f t="shared" si="1"/>
        <v>10254</v>
      </c>
    </row>
    <row r="283">
      <c r="I283" s="13" t="str">
        <f>IFERROR(__xludf.DUMMYFUNCTION("""COMPUTED_VALUE"""),"740460599475760_1936337043221437")</f>
        <v>740460599475760_1936337043221437</v>
      </c>
      <c r="J283" s="11">
        <f>IFERROR(__xludf.DUMMYFUNCTION("""COMPUTED_VALUE"""),5778.0)</f>
        <v>5778</v>
      </c>
      <c r="K283" s="11">
        <f>IFERROR(__xludf.DUMMYFUNCTION("""COMPUTED_VALUE"""),193.0)</f>
        <v>193</v>
      </c>
      <c r="L283" s="11">
        <f>IFERROR(__xludf.DUMMYFUNCTION("""COMPUTED_VALUE"""),77.0)</f>
        <v>77</v>
      </c>
      <c r="M283" s="11">
        <f>IFERROR(__xludf.DUMMYFUNCTION("""COMPUTED_VALUE"""),271.0)</f>
        <v>271</v>
      </c>
      <c r="N283" s="11">
        <f t="shared" si="1"/>
        <v>6048</v>
      </c>
    </row>
    <row r="284">
      <c r="I284" s="13" t="str">
        <f>IFERROR(__xludf.DUMMYFUNCTION("""COMPUTED_VALUE"""),"740460599475760_1968547556667052")</f>
        <v>740460599475760_1968547556667052</v>
      </c>
      <c r="J284" s="11">
        <f>IFERROR(__xludf.DUMMYFUNCTION("""COMPUTED_VALUE"""),1012.0)</f>
        <v>1012</v>
      </c>
      <c r="K284" s="11">
        <f>IFERROR(__xludf.DUMMYFUNCTION("""COMPUTED_VALUE"""),97.0)</f>
        <v>97</v>
      </c>
      <c r="L284" s="11">
        <f>IFERROR(__xludf.DUMMYFUNCTION("""COMPUTED_VALUE"""),13.0)</f>
        <v>13</v>
      </c>
      <c r="M284" s="11">
        <f>IFERROR(__xludf.DUMMYFUNCTION("""COMPUTED_VALUE"""),272.0)</f>
        <v>272</v>
      </c>
      <c r="N284" s="11">
        <f t="shared" si="1"/>
        <v>1122</v>
      </c>
    </row>
    <row r="285">
      <c r="I285" s="13" t="str">
        <f>IFERROR(__xludf.DUMMYFUNCTION("""COMPUTED_VALUE"""),"740460599475760_1909427849245690")</f>
        <v>740460599475760_1909427849245690</v>
      </c>
      <c r="J285" s="11">
        <f>IFERROR(__xludf.DUMMYFUNCTION("""COMPUTED_VALUE"""),1344.0)</f>
        <v>1344</v>
      </c>
      <c r="K285" s="11">
        <f>IFERROR(__xludf.DUMMYFUNCTION("""COMPUTED_VALUE"""),63.0)</f>
        <v>63</v>
      </c>
      <c r="L285" s="11">
        <f>IFERROR(__xludf.DUMMYFUNCTION("""COMPUTED_VALUE"""),53.0)</f>
        <v>53</v>
      </c>
      <c r="M285" s="11">
        <f>IFERROR(__xludf.DUMMYFUNCTION("""COMPUTED_VALUE"""),273.0)</f>
        <v>273</v>
      </c>
      <c r="N285" s="11">
        <f t="shared" si="1"/>
        <v>1460</v>
      </c>
    </row>
    <row r="286">
      <c r="I286" s="13" t="str">
        <f>IFERROR(__xludf.DUMMYFUNCTION("""COMPUTED_VALUE"""),"740460599475760_1964072870447854")</f>
        <v>740460599475760_1964072870447854</v>
      </c>
      <c r="J286" s="11">
        <f>IFERROR(__xludf.DUMMYFUNCTION("""COMPUTED_VALUE"""),174.0)</f>
        <v>174</v>
      </c>
      <c r="K286" s="11">
        <f>IFERROR(__xludf.DUMMYFUNCTION("""COMPUTED_VALUE"""),19.0)</f>
        <v>19</v>
      </c>
      <c r="L286" s="11"/>
      <c r="M286" s="11">
        <f>IFERROR(__xludf.DUMMYFUNCTION("""COMPUTED_VALUE"""),274.0)</f>
        <v>274</v>
      </c>
      <c r="N286" s="11">
        <f t="shared" si="1"/>
        <v>193</v>
      </c>
    </row>
    <row r="287">
      <c r="I287" s="13" t="str">
        <f>IFERROR(__xludf.DUMMYFUNCTION("""COMPUTED_VALUE"""),"740460599475760_1914641738724301")</f>
        <v>740460599475760_1914641738724301</v>
      </c>
      <c r="J287" s="11">
        <f>IFERROR(__xludf.DUMMYFUNCTION("""COMPUTED_VALUE"""),966.0)</f>
        <v>966</v>
      </c>
      <c r="K287" s="11">
        <f>IFERROR(__xludf.DUMMYFUNCTION("""COMPUTED_VALUE"""),110.0)</f>
        <v>110</v>
      </c>
      <c r="L287" s="11">
        <f>IFERROR(__xludf.DUMMYFUNCTION("""COMPUTED_VALUE"""),17.0)</f>
        <v>17</v>
      </c>
      <c r="M287" s="11">
        <f>IFERROR(__xludf.DUMMYFUNCTION("""COMPUTED_VALUE"""),275.0)</f>
        <v>275</v>
      </c>
      <c r="N287" s="11">
        <f t="shared" si="1"/>
        <v>1093</v>
      </c>
    </row>
    <row r="288">
      <c r="I288" s="13" t="str">
        <f>IFERROR(__xludf.DUMMYFUNCTION("""COMPUTED_VALUE"""),"740460599475760_1943970605791414")</f>
        <v>740460599475760_1943970605791414</v>
      </c>
      <c r="J288" s="11">
        <f>IFERROR(__xludf.DUMMYFUNCTION("""COMPUTED_VALUE"""),13785.0)</f>
        <v>13785</v>
      </c>
      <c r="K288" s="11">
        <f>IFERROR(__xludf.DUMMYFUNCTION("""COMPUTED_VALUE"""),1871.0)</f>
        <v>1871</v>
      </c>
      <c r="L288" s="11">
        <f>IFERROR(__xludf.DUMMYFUNCTION("""COMPUTED_VALUE"""),281.0)</f>
        <v>281</v>
      </c>
      <c r="M288" s="11">
        <f>IFERROR(__xludf.DUMMYFUNCTION("""COMPUTED_VALUE"""),275.0)</f>
        <v>275</v>
      </c>
      <c r="N288" s="11">
        <f t="shared" si="1"/>
        <v>15937</v>
      </c>
    </row>
    <row r="289">
      <c r="I289" s="13" t="str">
        <f>IFERROR(__xludf.DUMMYFUNCTION("""COMPUTED_VALUE"""),"740460599475760_1910441942477614")</f>
        <v>740460599475760_1910441942477614</v>
      </c>
      <c r="J289" s="11">
        <f>IFERROR(__xludf.DUMMYFUNCTION("""COMPUTED_VALUE"""),3687.0)</f>
        <v>3687</v>
      </c>
      <c r="K289" s="11">
        <f>IFERROR(__xludf.DUMMYFUNCTION("""COMPUTED_VALUE"""),471.0)</f>
        <v>471</v>
      </c>
      <c r="L289" s="11">
        <f>IFERROR(__xludf.DUMMYFUNCTION("""COMPUTED_VALUE"""),159.0)</f>
        <v>159</v>
      </c>
      <c r="M289" s="11">
        <f>IFERROR(__xludf.DUMMYFUNCTION("""COMPUTED_VALUE"""),277.0)</f>
        <v>277</v>
      </c>
      <c r="N289" s="11">
        <f t="shared" si="1"/>
        <v>4317</v>
      </c>
    </row>
    <row r="290">
      <c r="I290" s="13" t="str">
        <f>IFERROR(__xludf.DUMMYFUNCTION("""COMPUTED_VALUE"""),"740460599475760_1926468667541608")</f>
        <v>740460599475760_1926468667541608</v>
      </c>
      <c r="J290" s="11">
        <f>IFERROR(__xludf.DUMMYFUNCTION("""COMPUTED_VALUE"""),605.0)</f>
        <v>605</v>
      </c>
      <c r="K290" s="11">
        <f>IFERROR(__xludf.DUMMYFUNCTION("""COMPUTED_VALUE"""),52.0)</f>
        <v>52</v>
      </c>
      <c r="L290" s="11">
        <f>IFERROR(__xludf.DUMMYFUNCTION("""COMPUTED_VALUE"""),24.0)</f>
        <v>24</v>
      </c>
      <c r="M290" s="11">
        <f>IFERROR(__xludf.DUMMYFUNCTION("""COMPUTED_VALUE"""),277.0)</f>
        <v>277</v>
      </c>
      <c r="N290" s="11">
        <f t="shared" si="1"/>
        <v>681</v>
      </c>
    </row>
    <row r="291">
      <c r="I291" s="13" t="str">
        <f>IFERROR(__xludf.DUMMYFUNCTION("""COMPUTED_VALUE"""),"740460599475760_1963277000527441")</f>
        <v>740460599475760_1963277000527441</v>
      </c>
      <c r="J291" s="11">
        <f>IFERROR(__xludf.DUMMYFUNCTION("""COMPUTED_VALUE"""),187.0)</f>
        <v>187</v>
      </c>
      <c r="K291" s="11">
        <f>IFERROR(__xludf.DUMMYFUNCTION("""COMPUTED_VALUE"""),8.0)</f>
        <v>8</v>
      </c>
      <c r="L291" s="11">
        <f>IFERROR(__xludf.DUMMYFUNCTION("""COMPUTED_VALUE"""),7.0)</f>
        <v>7</v>
      </c>
      <c r="M291" s="11">
        <f>IFERROR(__xludf.DUMMYFUNCTION("""COMPUTED_VALUE"""),279.0)</f>
        <v>279</v>
      </c>
      <c r="N291" s="11">
        <f t="shared" si="1"/>
        <v>202</v>
      </c>
    </row>
    <row r="292">
      <c r="I292" s="13" t="str">
        <f>IFERROR(__xludf.DUMMYFUNCTION("""COMPUTED_VALUE"""),"172882636630076_977708739480791")</f>
        <v>172882636630076_977708739480791</v>
      </c>
      <c r="J292" s="11">
        <f>IFERROR(__xludf.DUMMYFUNCTION("""COMPUTED_VALUE"""),242.0)</f>
        <v>242</v>
      </c>
      <c r="K292" s="11">
        <f>IFERROR(__xludf.DUMMYFUNCTION("""COMPUTED_VALUE"""),4.0)</f>
        <v>4</v>
      </c>
      <c r="L292" s="11">
        <f>IFERROR(__xludf.DUMMYFUNCTION("""COMPUTED_VALUE"""),3.0)</f>
        <v>3</v>
      </c>
      <c r="M292" s="11">
        <f>IFERROR(__xludf.DUMMYFUNCTION("""COMPUTED_VALUE"""),279.0)</f>
        <v>279</v>
      </c>
      <c r="N292" s="11">
        <f t="shared" si="1"/>
        <v>249</v>
      </c>
    </row>
    <row r="293">
      <c r="I293" s="13" t="str">
        <f>IFERROR(__xludf.DUMMYFUNCTION("""COMPUTED_VALUE"""),"740460599475760_1908703655984776")</f>
        <v>740460599475760_1908703655984776</v>
      </c>
      <c r="J293" s="11">
        <f>IFERROR(__xludf.DUMMYFUNCTION("""COMPUTED_VALUE"""),2226.0)</f>
        <v>2226</v>
      </c>
      <c r="K293" s="11">
        <f>IFERROR(__xludf.DUMMYFUNCTION("""COMPUTED_VALUE"""),319.0)</f>
        <v>319</v>
      </c>
      <c r="L293" s="11">
        <f>IFERROR(__xludf.DUMMYFUNCTION("""COMPUTED_VALUE"""),124.0)</f>
        <v>124</v>
      </c>
      <c r="M293" s="11">
        <f>IFERROR(__xludf.DUMMYFUNCTION("""COMPUTED_VALUE"""),281.0)</f>
        <v>281</v>
      </c>
      <c r="N293" s="11">
        <f t="shared" si="1"/>
        <v>2669</v>
      </c>
    </row>
    <row r="294">
      <c r="I294" s="13" t="str">
        <f>IFERROR(__xludf.DUMMYFUNCTION("""COMPUTED_VALUE"""),"740460599475760_1917063088482166")</f>
        <v>740460599475760_1917063088482166</v>
      </c>
      <c r="J294" s="11">
        <f>IFERROR(__xludf.DUMMYFUNCTION("""COMPUTED_VALUE"""),847.0)</f>
        <v>847</v>
      </c>
      <c r="K294" s="11">
        <f>IFERROR(__xludf.DUMMYFUNCTION("""COMPUTED_VALUE"""),68.0)</f>
        <v>68</v>
      </c>
      <c r="L294" s="11">
        <f>IFERROR(__xludf.DUMMYFUNCTION("""COMPUTED_VALUE"""),35.0)</f>
        <v>35</v>
      </c>
      <c r="M294" s="11">
        <f>IFERROR(__xludf.DUMMYFUNCTION("""COMPUTED_VALUE"""),283.0)</f>
        <v>283</v>
      </c>
      <c r="N294" s="11">
        <f t="shared" si="1"/>
        <v>950</v>
      </c>
    </row>
    <row r="295">
      <c r="I295" s="13" t="str">
        <f>IFERROR(__xludf.DUMMYFUNCTION("""COMPUTED_VALUE"""),"740460599475760_1926689657519509")</f>
        <v>740460599475760_1926689657519509</v>
      </c>
      <c r="J295" s="11">
        <f>IFERROR(__xludf.DUMMYFUNCTION("""COMPUTED_VALUE"""),451.0)</f>
        <v>451</v>
      </c>
      <c r="K295" s="11">
        <f>IFERROR(__xludf.DUMMYFUNCTION("""COMPUTED_VALUE"""),19.0)</f>
        <v>19</v>
      </c>
      <c r="L295" s="11">
        <f>IFERROR(__xludf.DUMMYFUNCTION("""COMPUTED_VALUE"""),22.0)</f>
        <v>22</v>
      </c>
      <c r="M295" s="11">
        <f>IFERROR(__xludf.DUMMYFUNCTION("""COMPUTED_VALUE"""),283.0)</f>
        <v>283</v>
      </c>
      <c r="N295" s="11">
        <f t="shared" si="1"/>
        <v>492</v>
      </c>
    </row>
    <row r="296">
      <c r="I296" s="13" t="str">
        <f>IFERROR(__xludf.DUMMYFUNCTION("""COMPUTED_VALUE"""),"740460599475760_1949238361931305")</f>
        <v>740460599475760_1949238361931305</v>
      </c>
      <c r="J296" s="11">
        <f>IFERROR(__xludf.DUMMYFUNCTION("""COMPUTED_VALUE"""),5157.0)</f>
        <v>5157</v>
      </c>
      <c r="K296" s="11">
        <f>IFERROR(__xludf.DUMMYFUNCTION("""COMPUTED_VALUE"""),149.0)</f>
        <v>149</v>
      </c>
      <c r="L296" s="11">
        <f>IFERROR(__xludf.DUMMYFUNCTION("""COMPUTED_VALUE"""),52.0)</f>
        <v>52</v>
      </c>
      <c r="M296" s="11">
        <f>IFERROR(__xludf.DUMMYFUNCTION("""COMPUTED_VALUE"""),283.0)</f>
        <v>283</v>
      </c>
      <c r="N296" s="11">
        <f t="shared" si="1"/>
        <v>5358</v>
      </c>
    </row>
    <row r="297">
      <c r="I297" s="13" t="str">
        <f>IFERROR(__xludf.DUMMYFUNCTION("""COMPUTED_VALUE"""),"740460599475760_1936318723223269")</f>
        <v>740460599475760_1936318723223269</v>
      </c>
      <c r="J297" s="11">
        <f>IFERROR(__xludf.DUMMYFUNCTION("""COMPUTED_VALUE"""),774.0)</f>
        <v>774</v>
      </c>
      <c r="K297" s="11">
        <f>IFERROR(__xludf.DUMMYFUNCTION("""COMPUTED_VALUE"""),84.0)</f>
        <v>84</v>
      </c>
      <c r="L297" s="11">
        <f>IFERROR(__xludf.DUMMYFUNCTION("""COMPUTED_VALUE"""),31.0)</f>
        <v>31</v>
      </c>
      <c r="M297" s="11">
        <f>IFERROR(__xludf.DUMMYFUNCTION("""COMPUTED_VALUE"""),284.0)</f>
        <v>284</v>
      </c>
      <c r="N297" s="11">
        <f t="shared" si="1"/>
        <v>889</v>
      </c>
    </row>
    <row r="298">
      <c r="I298" s="13" t="str">
        <f>IFERROR(__xludf.DUMMYFUNCTION("""COMPUTED_VALUE"""),"740460599475760_1914733125381829")</f>
        <v>740460599475760_1914733125381829</v>
      </c>
      <c r="J298" s="11">
        <f>IFERROR(__xludf.DUMMYFUNCTION("""COMPUTED_VALUE"""),1209.0)</f>
        <v>1209</v>
      </c>
      <c r="K298" s="11">
        <f>IFERROR(__xludf.DUMMYFUNCTION("""COMPUTED_VALUE"""),91.0)</f>
        <v>91</v>
      </c>
      <c r="L298" s="11">
        <f>IFERROR(__xludf.DUMMYFUNCTION("""COMPUTED_VALUE"""),28.0)</f>
        <v>28</v>
      </c>
      <c r="M298" s="11">
        <f>IFERROR(__xludf.DUMMYFUNCTION("""COMPUTED_VALUE"""),285.0)</f>
        <v>285</v>
      </c>
      <c r="N298" s="11">
        <f t="shared" si="1"/>
        <v>1328</v>
      </c>
    </row>
    <row r="299">
      <c r="I299" s="13" t="str">
        <f>IFERROR(__xludf.DUMMYFUNCTION("""COMPUTED_VALUE"""),"740460599475760_1921852924669849")</f>
        <v>740460599475760_1921852924669849</v>
      </c>
      <c r="J299" s="11">
        <f>IFERROR(__xludf.DUMMYFUNCTION("""COMPUTED_VALUE"""),3185.0)</f>
        <v>3185</v>
      </c>
      <c r="K299" s="11">
        <f>IFERROR(__xludf.DUMMYFUNCTION("""COMPUTED_VALUE"""),597.0)</f>
        <v>597</v>
      </c>
      <c r="L299" s="11">
        <f>IFERROR(__xludf.DUMMYFUNCTION("""COMPUTED_VALUE"""),91.0)</f>
        <v>91</v>
      </c>
      <c r="M299" s="11">
        <f>IFERROR(__xludf.DUMMYFUNCTION("""COMPUTED_VALUE"""),286.0)</f>
        <v>286</v>
      </c>
      <c r="N299" s="11">
        <f t="shared" si="1"/>
        <v>3873</v>
      </c>
    </row>
    <row r="300">
      <c r="I300" s="13" t="str">
        <f>IFERROR(__xludf.DUMMYFUNCTION("""COMPUTED_VALUE"""),"740460599475760_1966951500159991")</f>
        <v>740460599475760_1966951500159991</v>
      </c>
      <c r="J300" s="11">
        <f>IFERROR(__xludf.DUMMYFUNCTION("""COMPUTED_VALUE"""),6937.0)</f>
        <v>6937</v>
      </c>
      <c r="K300" s="11">
        <f>IFERROR(__xludf.DUMMYFUNCTION("""COMPUTED_VALUE"""),217.0)</f>
        <v>217</v>
      </c>
      <c r="L300" s="11">
        <f>IFERROR(__xludf.DUMMYFUNCTION("""COMPUTED_VALUE"""),51.0)</f>
        <v>51</v>
      </c>
      <c r="M300" s="11">
        <f>IFERROR(__xludf.DUMMYFUNCTION("""COMPUTED_VALUE"""),288.0)</f>
        <v>288</v>
      </c>
      <c r="N300" s="11">
        <f t="shared" si="1"/>
        <v>7205</v>
      </c>
    </row>
    <row r="301">
      <c r="I301" s="13" t="str">
        <f>IFERROR(__xludf.DUMMYFUNCTION("""COMPUTED_VALUE"""),"740460599475760_1938554809666327")</f>
        <v>740460599475760_1938554809666327</v>
      </c>
      <c r="J301" s="11">
        <f>IFERROR(__xludf.DUMMYFUNCTION("""COMPUTED_VALUE"""),13941.0)</f>
        <v>13941</v>
      </c>
      <c r="K301" s="11">
        <f>IFERROR(__xludf.DUMMYFUNCTION("""COMPUTED_VALUE"""),654.0)</f>
        <v>654</v>
      </c>
      <c r="L301" s="11">
        <f>IFERROR(__xludf.DUMMYFUNCTION("""COMPUTED_VALUE"""),94.0)</f>
        <v>94</v>
      </c>
      <c r="M301" s="11">
        <f>IFERROR(__xludf.DUMMYFUNCTION("""COMPUTED_VALUE"""),289.0)</f>
        <v>289</v>
      </c>
      <c r="N301" s="11">
        <f t="shared" si="1"/>
        <v>14689</v>
      </c>
    </row>
    <row r="302">
      <c r="I302" s="13" t="str">
        <f>IFERROR(__xludf.DUMMYFUNCTION("""COMPUTED_VALUE"""),"740460599475760_1910351379153337")</f>
        <v>740460599475760_1910351379153337</v>
      </c>
      <c r="J302" s="11">
        <f>IFERROR(__xludf.DUMMYFUNCTION("""COMPUTED_VALUE"""),16483.0)</f>
        <v>16483</v>
      </c>
      <c r="K302" s="11">
        <f>IFERROR(__xludf.DUMMYFUNCTION("""COMPUTED_VALUE"""),242.0)</f>
        <v>242</v>
      </c>
      <c r="L302" s="11">
        <f>IFERROR(__xludf.DUMMYFUNCTION("""COMPUTED_VALUE"""),589.0)</f>
        <v>589</v>
      </c>
      <c r="M302" s="11">
        <f>IFERROR(__xludf.DUMMYFUNCTION("""COMPUTED_VALUE"""),293.0)</f>
        <v>293</v>
      </c>
      <c r="N302" s="11">
        <f t="shared" si="1"/>
        <v>17314</v>
      </c>
    </row>
    <row r="303">
      <c r="I303" s="13" t="str">
        <f>IFERROR(__xludf.DUMMYFUNCTION("""COMPUTED_VALUE"""),"740460599475760_1917261255129016")</f>
        <v>740460599475760_1917261255129016</v>
      </c>
      <c r="J303" s="11">
        <f>IFERROR(__xludf.DUMMYFUNCTION("""COMPUTED_VALUE"""),840.0)</f>
        <v>840</v>
      </c>
      <c r="K303" s="11">
        <f>IFERROR(__xludf.DUMMYFUNCTION("""COMPUTED_VALUE"""),121.0)</f>
        <v>121</v>
      </c>
      <c r="L303" s="11">
        <f>IFERROR(__xludf.DUMMYFUNCTION("""COMPUTED_VALUE"""),25.0)</f>
        <v>25</v>
      </c>
      <c r="M303" s="11">
        <f>IFERROR(__xludf.DUMMYFUNCTION("""COMPUTED_VALUE"""),293.0)</f>
        <v>293</v>
      </c>
      <c r="N303" s="11">
        <f t="shared" si="1"/>
        <v>986</v>
      </c>
    </row>
    <row r="304">
      <c r="I304" s="13" t="str">
        <f>IFERROR(__xludf.DUMMYFUNCTION("""COMPUTED_VALUE"""),"740460599475760_1925742604280881")</f>
        <v>740460599475760_1925742604280881</v>
      </c>
      <c r="J304" s="11">
        <f>IFERROR(__xludf.DUMMYFUNCTION("""COMPUTED_VALUE"""),1096.0)</f>
        <v>1096</v>
      </c>
      <c r="K304" s="11">
        <f>IFERROR(__xludf.DUMMYFUNCTION("""COMPUTED_VALUE"""),71.0)</f>
        <v>71</v>
      </c>
      <c r="L304" s="11">
        <f>IFERROR(__xludf.DUMMYFUNCTION("""COMPUTED_VALUE"""),22.0)</f>
        <v>22</v>
      </c>
      <c r="M304" s="11">
        <f>IFERROR(__xludf.DUMMYFUNCTION("""COMPUTED_VALUE"""),300.0)</f>
        <v>300</v>
      </c>
      <c r="N304" s="11">
        <f t="shared" si="1"/>
        <v>1189</v>
      </c>
    </row>
    <row r="305">
      <c r="I305" s="13" t="str">
        <f>IFERROR(__xludf.DUMMYFUNCTION("""COMPUTED_VALUE"""),"740460599475760_1913812335473908")</f>
        <v>740460599475760_1913812335473908</v>
      </c>
      <c r="J305" s="11">
        <f>IFERROR(__xludf.DUMMYFUNCTION("""COMPUTED_VALUE"""),911.0)</f>
        <v>911</v>
      </c>
      <c r="K305" s="11">
        <f>IFERROR(__xludf.DUMMYFUNCTION("""COMPUTED_VALUE"""),146.0)</f>
        <v>146</v>
      </c>
      <c r="L305" s="11">
        <f>IFERROR(__xludf.DUMMYFUNCTION("""COMPUTED_VALUE"""),30.0)</f>
        <v>30</v>
      </c>
      <c r="M305" s="11">
        <f>IFERROR(__xludf.DUMMYFUNCTION("""COMPUTED_VALUE"""),301.0)</f>
        <v>301</v>
      </c>
      <c r="N305" s="11">
        <f t="shared" si="1"/>
        <v>1087</v>
      </c>
    </row>
    <row r="306">
      <c r="I306" s="13" t="str">
        <f>IFERROR(__xludf.DUMMYFUNCTION("""COMPUTED_VALUE"""),"740460599475760_1911524132369395")</f>
        <v>740460599475760_1911524132369395</v>
      </c>
      <c r="J306" s="11">
        <f>IFERROR(__xludf.DUMMYFUNCTION("""COMPUTED_VALUE"""),270.0)</f>
        <v>270</v>
      </c>
      <c r="K306" s="11">
        <f>IFERROR(__xludf.DUMMYFUNCTION("""COMPUTED_VALUE"""),16.0)</f>
        <v>16</v>
      </c>
      <c r="L306" s="11">
        <f>IFERROR(__xludf.DUMMYFUNCTION("""COMPUTED_VALUE"""),22.0)</f>
        <v>22</v>
      </c>
      <c r="M306" s="11">
        <f>IFERROR(__xludf.DUMMYFUNCTION("""COMPUTED_VALUE"""),302.0)</f>
        <v>302</v>
      </c>
      <c r="N306" s="11">
        <f t="shared" si="1"/>
        <v>308</v>
      </c>
    </row>
    <row r="307">
      <c r="I307" s="13" t="str">
        <f>IFERROR(__xludf.DUMMYFUNCTION("""COMPUTED_VALUE"""),"172882636630076_1010234416228223")</f>
        <v>172882636630076_1010234416228223</v>
      </c>
      <c r="J307" s="11">
        <f>IFERROR(__xludf.DUMMYFUNCTION("""COMPUTED_VALUE"""),129.0)</f>
        <v>129</v>
      </c>
      <c r="K307" s="11">
        <f>IFERROR(__xludf.DUMMYFUNCTION("""COMPUTED_VALUE"""),1.0)</f>
        <v>1</v>
      </c>
      <c r="L307" s="11">
        <f>IFERROR(__xludf.DUMMYFUNCTION("""COMPUTED_VALUE"""),6.0)</f>
        <v>6</v>
      </c>
      <c r="M307" s="11">
        <f>IFERROR(__xludf.DUMMYFUNCTION("""COMPUTED_VALUE"""),305.0)</f>
        <v>305</v>
      </c>
      <c r="N307" s="11">
        <f t="shared" si="1"/>
        <v>136</v>
      </c>
    </row>
    <row r="308">
      <c r="I308" s="13" t="str">
        <f>IFERROR(__xludf.DUMMYFUNCTION("""COMPUTED_VALUE"""),"740460599475760_1935555239966284")</f>
        <v>740460599475760_1935555239966284</v>
      </c>
      <c r="J308" s="11">
        <f>IFERROR(__xludf.DUMMYFUNCTION("""COMPUTED_VALUE"""),7216.0)</f>
        <v>7216</v>
      </c>
      <c r="K308" s="11">
        <f>IFERROR(__xludf.DUMMYFUNCTION("""COMPUTED_VALUE"""),236.0)</f>
        <v>236</v>
      </c>
      <c r="L308" s="11">
        <f>IFERROR(__xludf.DUMMYFUNCTION("""COMPUTED_VALUE"""),244.0)</f>
        <v>244</v>
      </c>
      <c r="M308" s="11">
        <f>IFERROR(__xludf.DUMMYFUNCTION("""COMPUTED_VALUE"""),306.0)</f>
        <v>306</v>
      </c>
      <c r="N308" s="11">
        <f t="shared" si="1"/>
        <v>7696</v>
      </c>
    </row>
    <row r="309">
      <c r="I309" s="13" t="str">
        <f>IFERROR(__xludf.DUMMYFUNCTION("""COMPUTED_VALUE"""),"740460599475760_1924094991112309")</f>
        <v>740460599475760_1924094991112309</v>
      </c>
      <c r="J309" s="11">
        <f>IFERROR(__xludf.DUMMYFUNCTION("""COMPUTED_VALUE"""),395.0)</f>
        <v>395</v>
      </c>
      <c r="K309" s="11">
        <f>IFERROR(__xludf.DUMMYFUNCTION("""COMPUTED_VALUE"""),46.0)</f>
        <v>46</v>
      </c>
      <c r="L309" s="11">
        <f>IFERROR(__xludf.DUMMYFUNCTION("""COMPUTED_VALUE"""),12.0)</f>
        <v>12</v>
      </c>
      <c r="M309" s="11">
        <f>IFERROR(__xludf.DUMMYFUNCTION("""COMPUTED_VALUE"""),307.0)</f>
        <v>307</v>
      </c>
      <c r="N309" s="11">
        <f t="shared" si="1"/>
        <v>453</v>
      </c>
    </row>
    <row r="310">
      <c r="I310" s="13" t="str">
        <f>IFERROR(__xludf.DUMMYFUNCTION("""COMPUTED_VALUE"""),"740460599475760_1925738904281251")</f>
        <v>740460599475760_1925738904281251</v>
      </c>
      <c r="J310" s="11">
        <f>IFERROR(__xludf.DUMMYFUNCTION("""COMPUTED_VALUE"""),2684.0)</f>
        <v>2684</v>
      </c>
      <c r="K310" s="11">
        <f>IFERROR(__xludf.DUMMYFUNCTION("""COMPUTED_VALUE"""),311.0)</f>
        <v>311</v>
      </c>
      <c r="L310" s="11">
        <f>IFERROR(__xludf.DUMMYFUNCTION("""COMPUTED_VALUE"""),939.0)</f>
        <v>939</v>
      </c>
      <c r="M310" s="11">
        <f>IFERROR(__xludf.DUMMYFUNCTION("""COMPUTED_VALUE"""),307.0)</f>
        <v>307</v>
      </c>
      <c r="N310" s="11">
        <f t="shared" si="1"/>
        <v>3934</v>
      </c>
    </row>
    <row r="311">
      <c r="I311" s="13" t="str">
        <f>IFERROR(__xludf.DUMMYFUNCTION("""COMPUTED_VALUE"""),"172882636630076_1020042835247381")</f>
        <v>172882636630076_1020042835247381</v>
      </c>
      <c r="J311" s="11">
        <f>IFERROR(__xludf.DUMMYFUNCTION("""COMPUTED_VALUE"""),1091.0)</f>
        <v>1091</v>
      </c>
      <c r="K311" s="11">
        <f>IFERROR(__xludf.DUMMYFUNCTION("""COMPUTED_VALUE"""),18.0)</f>
        <v>18</v>
      </c>
      <c r="L311" s="11">
        <f>IFERROR(__xludf.DUMMYFUNCTION("""COMPUTED_VALUE"""),189.0)</f>
        <v>189</v>
      </c>
      <c r="M311" s="11">
        <f>IFERROR(__xludf.DUMMYFUNCTION("""COMPUTED_VALUE"""),310.0)</f>
        <v>310</v>
      </c>
      <c r="N311" s="11">
        <f t="shared" si="1"/>
        <v>1298</v>
      </c>
    </row>
    <row r="312">
      <c r="I312" s="13" t="str">
        <f>IFERROR(__xludf.DUMMYFUNCTION("""COMPUTED_VALUE"""),"172882636630076_1016474115604253")</f>
        <v>172882636630076_1016474115604253</v>
      </c>
      <c r="J312" s="11">
        <f>IFERROR(__xludf.DUMMYFUNCTION("""COMPUTED_VALUE"""),2001.0)</f>
        <v>2001</v>
      </c>
      <c r="K312" s="11">
        <f>IFERROR(__xludf.DUMMYFUNCTION("""COMPUTED_VALUE"""),72.0)</f>
        <v>72</v>
      </c>
      <c r="L312" s="11">
        <f>IFERROR(__xludf.DUMMYFUNCTION("""COMPUTED_VALUE"""),455.0)</f>
        <v>455</v>
      </c>
      <c r="M312" s="11">
        <f>IFERROR(__xludf.DUMMYFUNCTION("""COMPUTED_VALUE"""),312.0)</f>
        <v>312</v>
      </c>
      <c r="N312" s="11">
        <f t="shared" si="1"/>
        <v>2528</v>
      </c>
    </row>
    <row r="313">
      <c r="I313" s="13" t="str">
        <f>IFERROR(__xludf.DUMMYFUNCTION("""COMPUTED_VALUE"""),"172882636630076_995567364361595")</f>
        <v>172882636630076_995567364361595</v>
      </c>
      <c r="J313" s="11">
        <f>IFERROR(__xludf.DUMMYFUNCTION("""COMPUTED_VALUE"""),450.0)</f>
        <v>450</v>
      </c>
      <c r="K313" s="11">
        <f>IFERROR(__xludf.DUMMYFUNCTION("""COMPUTED_VALUE"""),15.0)</f>
        <v>15</v>
      </c>
      <c r="L313" s="11">
        <f>IFERROR(__xludf.DUMMYFUNCTION("""COMPUTED_VALUE"""),60.0)</f>
        <v>60</v>
      </c>
      <c r="M313" s="11">
        <f>IFERROR(__xludf.DUMMYFUNCTION("""COMPUTED_VALUE"""),316.0)</f>
        <v>316</v>
      </c>
      <c r="N313" s="11">
        <f t="shared" si="1"/>
        <v>525</v>
      </c>
    </row>
    <row r="314">
      <c r="I314" s="13" t="str">
        <f>IFERROR(__xludf.DUMMYFUNCTION("""COMPUTED_VALUE"""),"172882636630076_1016987565552908")</f>
        <v>172882636630076_1016987565552908</v>
      </c>
      <c r="J314" s="11">
        <f>IFERROR(__xludf.DUMMYFUNCTION("""COMPUTED_VALUE"""),93.0)</f>
        <v>93</v>
      </c>
      <c r="K314" s="11">
        <f>IFERROR(__xludf.DUMMYFUNCTION("""COMPUTED_VALUE"""),7.0)</f>
        <v>7</v>
      </c>
      <c r="L314" s="11">
        <f>IFERROR(__xludf.DUMMYFUNCTION("""COMPUTED_VALUE"""),3.0)</f>
        <v>3</v>
      </c>
      <c r="M314" s="11">
        <f>IFERROR(__xludf.DUMMYFUNCTION("""COMPUTED_VALUE"""),316.0)</f>
        <v>316</v>
      </c>
      <c r="N314" s="11">
        <f t="shared" si="1"/>
        <v>103</v>
      </c>
    </row>
    <row r="315">
      <c r="I315" s="13" t="str">
        <f>IFERROR(__xludf.DUMMYFUNCTION("""COMPUTED_VALUE"""),"172882636630076_987509225167409")</f>
        <v>172882636630076_987509225167409</v>
      </c>
      <c r="J315" s="11">
        <f>IFERROR(__xludf.DUMMYFUNCTION("""COMPUTED_VALUE"""),4392.0)</f>
        <v>4392</v>
      </c>
      <c r="K315" s="11">
        <f>IFERROR(__xludf.DUMMYFUNCTION("""COMPUTED_VALUE"""),20.0)</f>
        <v>20</v>
      </c>
      <c r="L315" s="11">
        <f>IFERROR(__xludf.DUMMYFUNCTION("""COMPUTED_VALUE"""),184.0)</f>
        <v>184</v>
      </c>
      <c r="M315" s="11">
        <f>IFERROR(__xludf.DUMMYFUNCTION("""COMPUTED_VALUE"""),326.0)</f>
        <v>326</v>
      </c>
      <c r="N315" s="11">
        <f t="shared" si="1"/>
        <v>4596</v>
      </c>
    </row>
    <row r="316">
      <c r="I316" s="13" t="str">
        <f>IFERROR(__xludf.DUMMYFUNCTION("""COMPUTED_VALUE"""),"172882636630076_982020615716270")</f>
        <v>172882636630076_982020615716270</v>
      </c>
      <c r="J316" s="11">
        <f>IFERROR(__xludf.DUMMYFUNCTION("""COMPUTED_VALUE"""),126.0)</f>
        <v>126</v>
      </c>
      <c r="K316" s="11">
        <f>IFERROR(__xludf.DUMMYFUNCTION("""COMPUTED_VALUE"""),5.0)</f>
        <v>5</v>
      </c>
      <c r="L316" s="11">
        <f>IFERROR(__xludf.DUMMYFUNCTION("""COMPUTED_VALUE"""),5.0)</f>
        <v>5</v>
      </c>
      <c r="M316" s="11">
        <f>IFERROR(__xludf.DUMMYFUNCTION("""COMPUTED_VALUE"""),327.0)</f>
        <v>327</v>
      </c>
      <c r="N316" s="11">
        <f t="shared" si="1"/>
        <v>136</v>
      </c>
    </row>
    <row r="317">
      <c r="I317" s="13" t="str">
        <f>IFERROR(__xludf.DUMMYFUNCTION("""COMPUTED_VALUE"""),"740460599475760_1913161612205647")</f>
        <v>740460599475760_1913161612205647</v>
      </c>
      <c r="J317" s="11">
        <f>IFERROR(__xludf.DUMMYFUNCTION("""COMPUTED_VALUE"""),778.0)</f>
        <v>778</v>
      </c>
      <c r="K317" s="11">
        <f>IFERROR(__xludf.DUMMYFUNCTION("""COMPUTED_VALUE"""),40.0)</f>
        <v>40</v>
      </c>
      <c r="L317" s="11">
        <f>IFERROR(__xludf.DUMMYFUNCTION("""COMPUTED_VALUE"""),49.0)</f>
        <v>49</v>
      </c>
      <c r="M317" s="11">
        <f>IFERROR(__xludf.DUMMYFUNCTION("""COMPUTED_VALUE"""),328.0)</f>
        <v>328</v>
      </c>
      <c r="N317" s="11">
        <f t="shared" si="1"/>
        <v>867</v>
      </c>
    </row>
    <row r="318">
      <c r="I318" s="13" t="str">
        <f>IFERROR(__xludf.DUMMYFUNCTION("""COMPUTED_VALUE"""),"172882636630076_999276717323993")</f>
        <v>172882636630076_999276717323993</v>
      </c>
      <c r="J318" s="11">
        <f>IFERROR(__xludf.DUMMYFUNCTION("""COMPUTED_VALUE"""),164.0)</f>
        <v>164</v>
      </c>
      <c r="K318" s="11">
        <f>IFERROR(__xludf.DUMMYFUNCTION("""COMPUTED_VALUE"""),11.0)</f>
        <v>11</v>
      </c>
      <c r="L318" s="11">
        <f>IFERROR(__xludf.DUMMYFUNCTION("""COMPUTED_VALUE"""),8.0)</f>
        <v>8</v>
      </c>
      <c r="M318" s="11">
        <f>IFERROR(__xludf.DUMMYFUNCTION("""COMPUTED_VALUE"""),330.0)</f>
        <v>330</v>
      </c>
      <c r="N318" s="11">
        <f t="shared" si="1"/>
        <v>183</v>
      </c>
    </row>
    <row r="319">
      <c r="I319" s="13" t="str">
        <f>IFERROR(__xludf.DUMMYFUNCTION("""COMPUTED_VALUE"""),"740460599475760_1911245445730597")</f>
        <v>740460599475760_1911245445730597</v>
      </c>
      <c r="J319" s="11">
        <f>IFERROR(__xludf.DUMMYFUNCTION("""COMPUTED_VALUE"""),4594.0)</f>
        <v>4594</v>
      </c>
      <c r="K319" s="11">
        <f>IFERROR(__xludf.DUMMYFUNCTION("""COMPUTED_VALUE"""),234.0)</f>
        <v>234</v>
      </c>
      <c r="L319" s="11">
        <f>IFERROR(__xludf.DUMMYFUNCTION("""COMPUTED_VALUE"""),56.0)</f>
        <v>56</v>
      </c>
      <c r="M319" s="11">
        <f>IFERROR(__xludf.DUMMYFUNCTION("""COMPUTED_VALUE"""),332.0)</f>
        <v>332</v>
      </c>
      <c r="N319" s="11">
        <f t="shared" si="1"/>
        <v>4884</v>
      </c>
    </row>
    <row r="320">
      <c r="I320" s="13" t="str">
        <f>IFERROR(__xludf.DUMMYFUNCTION("""COMPUTED_VALUE"""),"740460599475760_1951271898394618")</f>
        <v>740460599475760_1951271898394618</v>
      </c>
      <c r="J320" s="11">
        <f>IFERROR(__xludf.DUMMYFUNCTION("""COMPUTED_VALUE"""),779.0)</f>
        <v>779</v>
      </c>
      <c r="K320" s="11">
        <f>IFERROR(__xludf.DUMMYFUNCTION("""COMPUTED_VALUE"""),27.0)</f>
        <v>27</v>
      </c>
      <c r="L320" s="11">
        <f>IFERROR(__xludf.DUMMYFUNCTION("""COMPUTED_VALUE"""),22.0)</f>
        <v>22</v>
      </c>
      <c r="M320" s="11">
        <f>IFERROR(__xludf.DUMMYFUNCTION("""COMPUTED_VALUE"""),339.0)</f>
        <v>339</v>
      </c>
      <c r="N320" s="11">
        <f t="shared" si="1"/>
        <v>828</v>
      </c>
    </row>
    <row r="321">
      <c r="I321" s="13" t="str">
        <f>IFERROR(__xludf.DUMMYFUNCTION("""COMPUTED_VALUE"""),"172882636630076_1018676585384006")</f>
        <v>172882636630076_1018676585384006</v>
      </c>
      <c r="J321" s="11">
        <f>IFERROR(__xludf.DUMMYFUNCTION("""COMPUTED_VALUE"""),115.0)</f>
        <v>115</v>
      </c>
      <c r="K321" s="11">
        <f>IFERROR(__xludf.DUMMYFUNCTION("""COMPUTED_VALUE"""),2.0)</f>
        <v>2</v>
      </c>
      <c r="L321" s="11">
        <f>IFERROR(__xludf.DUMMYFUNCTION("""COMPUTED_VALUE"""),3.0)</f>
        <v>3</v>
      </c>
      <c r="M321" s="11">
        <f>IFERROR(__xludf.DUMMYFUNCTION("""COMPUTED_VALUE"""),342.0)</f>
        <v>342</v>
      </c>
      <c r="N321" s="11">
        <f t="shared" si="1"/>
        <v>120</v>
      </c>
    </row>
    <row r="322">
      <c r="I322" s="13" t="str">
        <f>IFERROR(__xludf.DUMMYFUNCTION("""COMPUTED_VALUE"""),"740460599475760_1928120204043121")</f>
        <v>740460599475760_1928120204043121</v>
      </c>
      <c r="J322" s="11">
        <f>IFERROR(__xludf.DUMMYFUNCTION("""COMPUTED_VALUE"""),490.0)</f>
        <v>490</v>
      </c>
      <c r="K322" s="11">
        <f>IFERROR(__xludf.DUMMYFUNCTION("""COMPUTED_VALUE"""),24.0)</f>
        <v>24</v>
      </c>
      <c r="L322" s="11">
        <f>IFERROR(__xludf.DUMMYFUNCTION("""COMPUTED_VALUE"""),13.0)</f>
        <v>13</v>
      </c>
      <c r="M322" s="11">
        <f>IFERROR(__xludf.DUMMYFUNCTION("""COMPUTED_VALUE"""),343.0)</f>
        <v>343</v>
      </c>
      <c r="N322" s="11">
        <f t="shared" si="1"/>
        <v>527</v>
      </c>
    </row>
    <row r="323">
      <c r="I323" s="13" t="str">
        <f>IFERROR(__xludf.DUMMYFUNCTION("""COMPUTED_VALUE"""),"172882636630076_1017542245497440")</f>
        <v>172882636630076_1017542245497440</v>
      </c>
      <c r="J323" s="11">
        <f>IFERROR(__xludf.DUMMYFUNCTION("""COMPUTED_VALUE"""),142.0)</f>
        <v>142</v>
      </c>
      <c r="K323" s="11">
        <f>IFERROR(__xludf.DUMMYFUNCTION("""COMPUTED_VALUE"""),0.0)</f>
        <v>0</v>
      </c>
      <c r="L323" s="11">
        <f>IFERROR(__xludf.DUMMYFUNCTION("""COMPUTED_VALUE"""),10.0)</f>
        <v>10</v>
      </c>
      <c r="M323" s="11">
        <f>IFERROR(__xludf.DUMMYFUNCTION("""COMPUTED_VALUE"""),344.0)</f>
        <v>344</v>
      </c>
      <c r="N323" s="11">
        <f t="shared" si="1"/>
        <v>152</v>
      </c>
    </row>
    <row r="324">
      <c r="I324" s="13" t="str">
        <f>IFERROR(__xludf.DUMMYFUNCTION("""COMPUTED_VALUE"""),"740460599475760_1917064441815364")</f>
        <v>740460599475760_1917064441815364</v>
      </c>
      <c r="J324" s="11">
        <f>IFERROR(__xludf.DUMMYFUNCTION("""COMPUTED_VALUE"""),883.0)</f>
        <v>883</v>
      </c>
      <c r="K324" s="11">
        <f>IFERROR(__xludf.DUMMYFUNCTION("""COMPUTED_VALUE"""),104.0)</f>
        <v>104</v>
      </c>
      <c r="L324" s="11">
        <f>IFERROR(__xludf.DUMMYFUNCTION("""COMPUTED_VALUE"""),24.0)</f>
        <v>24</v>
      </c>
      <c r="M324" s="11">
        <f>IFERROR(__xludf.DUMMYFUNCTION("""COMPUTED_VALUE"""),346.0)</f>
        <v>346</v>
      </c>
      <c r="N324" s="11">
        <f t="shared" si="1"/>
        <v>1011</v>
      </c>
    </row>
    <row r="325">
      <c r="I325" s="13" t="str">
        <f>IFERROR(__xludf.DUMMYFUNCTION("""COMPUTED_VALUE"""),"172882636630076_979679202617078")</f>
        <v>172882636630076_979679202617078</v>
      </c>
      <c r="J325" s="11">
        <f>IFERROR(__xludf.DUMMYFUNCTION("""COMPUTED_VALUE"""),282.0)</f>
        <v>282</v>
      </c>
      <c r="K325" s="11">
        <f>IFERROR(__xludf.DUMMYFUNCTION("""COMPUTED_VALUE"""),9.0)</f>
        <v>9</v>
      </c>
      <c r="L325" s="11">
        <f>IFERROR(__xludf.DUMMYFUNCTION("""COMPUTED_VALUE"""),5.0)</f>
        <v>5</v>
      </c>
      <c r="M325" s="11">
        <f>IFERROR(__xludf.DUMMYFUNCTION("""COMPUTED_VALUE"""),348.0)</f>
        <v>348</v>
      </c>
      <c r="N325" s="11">
        <f t="shared" si="1"/>
        <v>296</v>
      </c>
    </row>
    <row r="326">
      <c r="I326" s="13" t="str">
        <f>IFERROR(__xludf.DUMMYFUNCTION("""COMPUTED_VALUE"""),"172882636630076_1013333265918338")</f>
        <v>172882636630076_1013333265918338</v>
      </c>
      <c r="J326" s="11">
        <f>IFERROR(__xludf.DUMMYFUNCTION("""COMPUTED_VALUE"""),170.0)</f>
        <v>170</v>
      </c>
      <c r="K326" s="11">
        <f>IFERROR(__xludf.DUMMYFUNCTION("""COMPUTED_VALUE"""),3.0)</f>
        <v>3</v>
      </c>
      <c r="L326" s="11">
        <f>IFERROR(__xludf.DUMMYFUNCTION("""COMPUTED_VALUE"""),9.0)</f>
        <v>9</v>
      </c>
      <c r="M326" s="11">
        <f>IFERROR(__xludf.DUMMYFUNCTION("""COMPUTED_VALUE"""),353.0)</f>
        <v>353</v>
      </c>
      <c r="N326" s="11">
        <f t="shared" si="1"/>
        <v>182</v>
      </c>
    </row>
    <row r="327">
      <c r="I327" s="13" t="str">
        <f>IFERROR(__xludf.DUMMYFUNCTION("""COMPUTED_VALUE"""),"740460599475760_1905065849681890")</f>
        <v>740460599475760_1905065849681890</v>
      </c>
      <c r="J327" s="11">
        <f>IFERROR(__xludf.DUMMYFUNCTION("""COMPUTED_VALUE"""),291.0)</f>
        <v>291</v>
      </c>
      <c r="K327" s="11">
        <f>IFERROR(__xludf.DUMMYFUNCTION("""COMPUTED_VALUE"""),14.0)</f>
        <v>14</v>
      </c>
      <c r="L327" s="11">
        <f>IFERROR(__xludf.DUMMYFUNCTION("""COMPUTED_VALUE"""),14.0)</f>
        <v>14</v>
      </c>
      <c r="M327" s="11">
        <f>IFERROR(__xludf.DUMMYFUNCTION("""COMPUTED_VALUE"""),355.0)</f>
        <v>355</v>
      </c>
      <c r="N327" s="11">
        <f t="shared" si="1"/>
        <v>319</v>
      </c>
    </row>
    <row r="328">
      <c r="I328" s="13" t="str">
        <f>IFERROR(__xludf.DUMMYFUNCTION("""COMPUTED_VALUE"""),"740460599475760_1905068203014988")</f>
        <v>740460599475760_1905068203014988</v>
      </c>
      <c r="J328" s="11">
        <f>IFERROR(__xludf.DUMMYFUNCTION("""COMPUTED_VALUE"""),271.0)</f>
        <v>271</v>
      </c>
      <c r="K328" s="11">
        <f>IFERROR(__xludf.DUMMYFUNCTION("""COMPUTED_VALUE"""),41.0)</f>
        <v>41</v>
      </c>
      <c r="L328" s="11">
        <f>IFERROR(__xludf.DUMMYFUNCTION("""COMPUTED_VALUE"""),10.0)</f>
        <v>10</v>
      </c>
      <c r="M328" s="11">
        <f>IFERROR(__xludf.DUMMYFUNCTION("""COMPUTED_VALUE"""),355.0)</f>
        <v>355</v>
      </c>
      <c r="N328" s="11">
        <f t="shared" si="1"/>
        <v>322</v>
      </c>
    </row>
    <row r="329">
      <c r="I329" s="13" t="str">
        <f>IFERROR(__xludf.DUMMYFUNCTION("""COMPUTED_VALUE"""),"740460599475760_1910557712466037")</f>
        <v>740460599475760_1910557712466037</v>
      </c>
      <c r="J329" s="11">
        <f>IFERROR(__xludf.DUMMYFUNCTION("""COMPUTED_VALUE"""),412.0)</f>
        <v>412</v>
      </c>
      <c r="K329" s="11">
        <f>IFERROR(__xludf.DUMMYFUNCTION("""COMPUTED_VALUE"""),34.0)</f>
        <v>34</v>
      </c>
      <c r="L329" s="11">
        <f>IFERROR(__xludf.DUMMYFUNCTION("""COMPUTED_VALUE"""),12.0)</f>
        <v>12</v>
      </c>
      <c r="M329" s="11">
        <f>IFERROR(__xludf.DUMMYFUNCTION("""COMPUTED_VALUE"""),355.0)</f>
        <v>355</v>
      </c>
      <c r="N329" s="11">
        <f t="shared" si="1"/>
        <v>458</v>
      </c>
    </row>
    <row r="330">
      <c r="I330" s="13" t="str">
        <f>IFERROR(__xludf.DUMMYFUNCTION("""COMPUTED_VALUE"""),"740460599475760_1943028985885576")</f>
        <v>740460599475760_1943028985885576</v>
      </c>
      <c r="J330" s="11">
        <f>IFERROR(__xludf.DUMMYFUNCTION("""COMPUTED_VALUE"""),265.0)</f>
        <v>265</v>
      </c>
      <c r="K330" s="11">
        <f>IFERROR(__xludf.DUMMYFUNCTION("""COMPUTED_VALUE"""),23.0)</f>
        <v>23</v>
      </c>
      <c r="L330" s="11">
        <f>IFERROR(__xludf.DUMMYFUNCTION("""COMPUTED_VALUE"""),4.0)</f>
        <v>4</v>
      </c>
      <c r="M330" s="11">
        <f>IFERROR(__xludf.DUMMYFUNCTION("""COMPUTED_VALUE"""),355.0)</f>
        <v>355</v>
      </c>
      <c r="N330" s="11">
        <f t="shared" si="1"/>
        <v>292</v>
      </c>
    </row>
    <row r="331">
      <c r="I331" s="13" t="str">
        <f>IFERROR(__xludf.DUMMYFUNCTION("""COMPUTED_VALUE"""),"740460599475760_447029496861849")</f>
        <v>740460599475760_447029496861849</v>
      </c>
      <c r="J331" s="11">
        <f>IFERROR(__xludf.DUMMYFUNCTION("""COMPUTED_VALUE"""),449.0)</f>
        <v>449</v>
      </c>
      <c r="K331" s="11">
        <f>IFERROR(__xludf.DUMMYFUNCTION("""COMPUTED_VALUE"""),201.0)</f>
        <v>201</v>
      </c>
      <c r="L331" s="11">
        <f>IFERROR(__xludf.DUMMYFUNCTION("""COMPUTED_VALUE"""),72.0)</f>
        <v>72</v>
      </c>
      <c r="M331" s="11">
        <f>IFERROR(__xludf.DUMMYFUNCTION("""COMPUTED_VALUE"""),355.0)</f>
        <v>355</v>
      </c>
      <c r="N331" s="11">
        <f t="shared" si="1"/>
        <v>722</v>
      </c>
    </row>
    <row r="332">
      <c r="I332" s="13" t="str">
        <f>IFERROR(__xludf.DUMMYFUNCTION("""COMPUTED_VALUE"""),"172882636630076_991272001457798")</f>
        <v>172882636630076_991272001457798</v>
      </c>
      <c r="J332" s="11">
        <f>IFERROR(__xludf.DUMMYFUNCTION("""COMPUTED_VALUE"""),930.0)</f>
        <v>930</v>
      </c>
      <c r="K332" s="11">
        <f>IFERROR(__xludf.DUMMYFUNCTION("""COMPUTED_VALUE"""),32.0)</f>
        <v>32</v>
      </c>
      <c r="L332" s="11">
        <f>IFERROR(__xludf.DUMMYFUNCTION("""COMPUTED_VALUE"""),114.0)</f>
        <v>114</v>
      </c>
      <c r="M332" s="11">
        <f>IFERROR(__xludf.DUMMYFUNCTION("""COMPUTED_VALUE"""),356.0)</f>
        <v>356</v>
      </c>
      <c r="N332" s="11">
        <f t="shared" si="1"/>
        <v>1076</v>
      </c>
    </row>
    <row r="333">
      <c r="I333" s="13" t="str">
        <f>IFERROR(__xludf.DUMMYFUNCTION("""COMPUTED_VALUE"""),"740460599475760_282532207073795")</f>
        <v>740460599475760_282532207073795</v>
      </c>
      <c r="J333" s="11">
        <f>IFERROR(__xludf.DUMMYFUNCTION("""COMPUTED_VALUE"""),386.0)</f>
        <v>386</v>
      </c>
      <c r="K333" s="11">
        <f>IFERROR(__xludf.DUMMYFUNCTION("""COMPUTED_VALUE"""),31.0)</f>
        <v>31</v>
      </c>
      <c r="L333" s="11">
        <f>IFERROR(__xludf.DUMMYFUNCTION("""COMPUTED_VALUE"""),7.0)</f>
        <v>7</v>
      </c>
      <c r="M333" s="11">
        <f>IFERROR(__xludf.DUMMYFUNCTION("""COMPUTED_VALUE"""),357.0)</f>
        <v>357</v>
      </c>
      <c r="N333" s="11">
        <f t="shared" si="1"/>
        <v>424</v>
      </c>
    </row>
    <row r="334">
      <c r="I334" s="13" t="str">
        <f>IFERROR(__xludf.DUMMYFUNCTION("""COMPUTED_VALUE"""),"172882636630076_981491159102549")</f>
        <v>172882636630076_981491159102549</v>
      </c>
      <c r="J334" s="11">
        <f>IFERROR(__xludf.DUMMYFUNCTION("""COMPUTED_VALUE"""),111.0)</f>
        <v>111</v>
      </c>
      <c r="K334" s="11">
        <f>IFERROR(__xludf.DUMMYFUNCTION("""COMPUTED_VALUE"""),0.0)</f>
        <v>0</v>
      </c>
      <c r="L334" s="11">
        <f>IFERROR(__xludf.DUMMYFUNCTION("""COMPUTED_VALUE"""),5.0)</f>
        <v>5</v>
      </c>
      <c r="M334" s="11">
        <f>IFERROR(__xludf.DUMMYFUNCTION("""COMPUTED_VALUE"""),357.0)</f>
        <v>357</v>
      </c>
      <c r="N334" s="11">
        <f t="shared" si="1"/>
        <v>116</v>
      </c>
    </row>
    <row r="335">
      <c r="I335" s="13" t="str">
        <f>IFERROR(__xludf.DUMMYFUNCTION("""COMPUTED_VALUE"""),"172882636630076_988271731757825")</f>
        <v>172882636630076_988271731757825</v>
      </c>
      <c r="J335" s="11">
        <f>IFERROR(__xludf.DUMMYFUNCTION("""COMPUTED_VALUE"""),439.0)</f>
        <v>439</v>
      </c>
      <c r="K335" s="11">
        <f>IFERROR(__xludf.DUMMYFUNCTION("""COMPUTED_VALUE"""),6.0)</f>
        <v>6</v>
      </c>
      <c r="L335" s="11">
        <f>IFERROR(__xludf.DUMMYFUNCTION("""COMPUTED_VALUE"""),24.0)</f>
        <v>24</v>
      </c>
      <c r="M335" s="11">
        <f>IFERROR(__xludf.DUMMYFUNCTION("""COMPUTED_VALUE"""),357.0)</f>
        <v>357</v>
      </c>
      <c r="N335" s="11">
        <f t="shared" si="1"/>
        <v>469</v>
      </c>
    </row>
    <row r="336">
      <c r="I336" s="13" t="str">
        <f>IFERROR(__xludf.DUMMYFUNCTION("""COMPUTED_VALUE"""),"172882636630076_977798096138522")</f>
        <v>172882636630076_977798096138522</v>
      </c>
      <c r="J336" s="11">
        <f>IFERROR(__xludf.DUMMYFUNCTION("""COMPUTED_VALUE"""),152.0)</f>
        <v>152</v>
      </c>
      <c r="K336" s="11">
        <f>IFERROR(__xludf.DUMMYFUNCTION("""COMPUTED_VALUE"""),4.0)</f>
        <v>4</v>
      </c>
      <c r="L336" s="11">
        <f>IFERROR(__xludf.DUMMYFUNCTION("""COMPUTED_VALUE"""),4.0)</f>
        <v>4</v>
      </c>
      <c r="M336" s="11">
        <f>IFERROR(__xludf.DUMMYFUNCTION("""COMPUTED_VALUE"""),358.0)</f>
        <v>358</v>
      </c>
      <c r="N336" s="11">
        <f t="shared" si="1"/>
        <v>160</v>
      </c>
    </row>
    <row r="337">
      <c r="I337" s="13" t="str">
        <f>IFERROR(__xludf.DUMMYFUNCTION("""COMPUTED_VALUE"""),"172882636630076_1016596568925341")</f>
        <v>172882636630076_1016596568925341</v>
      </c>
      <c r="J337" s="11">
        <f>IFERROR(__xludf.DUMMYFUNCTION("""COMPUTED_VALUE"""),61.0)</f>
        <v>61</v>
      </c>
      <c r="K337" s="11">
        <f>IFERROR(__xludf.DUMMYFUNCTION("""COMPUTED_VALUE"""),0.0)</f>
        <v>0</v>
      </c>
      <c r="L337" s="11"/>
      <c r="M337" s="11">
        <f>IFERROR(__xludf.DUMMYFUNCTION("""COMPUTED_VALUE"""),359.0)</f>
        <v>359</v>
      </c>
      <c r="N337" s="11">
        <f t="shared" si="1"/>
        <v>61</v>
      </c>
    </row>
    <row r="338">
      <c r="I338" s="13" t="str">
        <f>IFERROR(__xludf.DUMMYFUNCTION("""COMPUTED_VALUE"""),"172882636630076_973689799882685")</f>
        <v>172882636630076_973689799882685</v>
      </c>
      <c r="J338" s="11">
        <f>IFERROR(__xludf.DUMMYFUNCTION("""COMPUTED_VALUE"""),1872.0)</f>
        <v>1872</v>
      </c>
      <c r="K338" s="11">
        <f>IFERROR(__xludf.DUMMYFUNCTION("""COMPUTED_VALUE"""),44.0)</f>
        <v>44</v>
      </c>
      <c r="L338" s="11">
        <f>IFERROR(__xludf.DUMMYFUNCTION("""COMPUTED_VALUE"""),222.0)</f>
        <v>222</v>
      </c>
      <c r="M338" s="11">
        <f>IFERROR(__xludf.DUMMYFUNCTION("""COMPUTED_VALUE"""),361.0)</f>
        <v>361</v>
      </c>
      <c r="N338" s="11">
        <f t="shared" si="1"/>
        <v>2138</v>
      </c>
    </row>
    <row r="339">
      <c r="I339" s="13" t="str">
        <f>IFERROR(__xludf.DUMMYFUNCTION("""COMPUTED_VALUE"""),"740460599475760_1938461969675611")</f>
        <v>740460599475760_1938461969675611</v>
      </c>
      <c r="J339" s="11">
        <f>IFERROR(__xludf.DUMMYFUNCTION("""COMPUTED_VALUE"""),1432.0)</f>
        <v>1432</v>
      </c>
      <c r="K339" s="11">
        <f>IFERROR(__xludf.DUMMYFUNCTION("""COMPUTED_VALUE"""),47.0)</f>
        <v>47</v>
      </c>
      <c r="L339" s="11">
        <f>IFERROR(__xludf.DUMMYFUNCTION("""COMPUTED_VALUE"""),48.0)</f>
        <v>48</v>
      </c>
      <c r="M339" s="11">
        <f>IFERROR(__xludf.DUMMYFUNCTION("""COMPUTED_VALUE"""),362.0)</f>
        <v>362</v>
      </c>
      <c r="N339" s="11">
        <f t="shared" si="1"/>
        <v>1527</v>
      </c>
    </row>
    <row r="340">
      <c r="I340" s="13" t="str">
        <f>IFERROR(__xludf.DUMMYFUNCTION("""COMPUTED_VALUE"""),"172882636630076_977696136148718")</f>
        <v>172882636630076_977696136148718</v>
      </c>
      <c r="J340" s="11">
        <f>IFERROR(__xludf.DUMMYFUNCTION("""COMPUTED_VALUE"""),577.0)</f>
        <v>577</v>
      </c>
      <c r="K340" s="11">
        <f>IFERROR(__xludf.DUMMYFUNCTION("""COMPUTED_VALUE"""),75.0)</f>
        <v>75</v>
      </c>
      <c r="L340" s="11">
        <f>IFERROR(__xludf.DUMMYFUNCTION("""COMPUTED_VALUE"""),25.0)</f>
        <v>25</v>
      </c>
      <c r="M340" s="11">
        <f>IFERROR(__xludf.DUMMYFUNCTION("""COMPUTED_VALUE"""),364.0)</f>
        <v>364</v>
      </c>
      <c r="N340" s="11">
        <f t="shared" si="1"/>
        <v>677</v>
      </c>
    </row>
    <row r="341">
      <c r="I341" s="13" t="str">
        <f>IFERROR(__xludf.DUMMYFUNCTION("""COMPUTED_VALUE"""),"172882636630076_980958539155811")</f>
        <v>172882636630076_980958539155811</v>
      </c>
      <c r="J341" s="11">
        <f>IFERROR(__xludf.DUMMYFUNCTION("""COMPUTED_VALUE"""),96.0)</f>
        <v>96</v>
      </c>
      <c r="K341" s="11">
        <f>IFERROR(__xludf.DUMMYFUNCTION("""COMPUTED_VALUE"""),3.0)</f>
        <v>3</v>
      </c>
      <c r="L341" s="11">
        <f>IFERROR(__xludf.DUMMYFUNCTION("""COMPUTED_VALUE"""),3.0)</f>
        <v>3</v>
      </c>
      <c r="M341" s="11">
        <f>IFERROR(__xludf.DUMMYFUNCTION("""COMPUTED_VALUE"""),365.0)</f>
        <v>365</v>
      </c>
      <c r="N341" s="11">
        <f t="shared" si="1"/>
        <v>102</v>
      </c>
    </row>
    <row r="342">
      <c r="I342" s="13" t="str">
        <f>IFERROR(__xludf.DUMMYFUNCTION("""COMPUTED_VALUE"""),"172882636630076_1023840101534321")</f>
        <v>172882636630076_1023840101534321</v>
      </c>
      <c r="J342" s="11">
        <f>IFERROR(__xludf.DUMMYFUNCTION("""COMPUTED_VALUE"""),129.0)</f>
        <v>129</v>
      </c>
      <c r="K342" s="11">
        <f>IFERROR(__xludf.DUMMYFUNCTION("""COMPUTED_VALUE"""),1.0)</f>
        <v>1</v>
      </c>
      <c r="L342" s="11">
        <f>IFERROR(__xludf.DUMMYFUNCTION("""COMPUTED_VALUE"""),6.0)</f>
        <v>6</v>
      </c>
      <c r="M342" s="11">
        <f>IFERROR(__xludf.DUMMYFUNCTION("""COMPUTED_VALUE"""),367.0)</f>
        <v>367</v>
      </c>
      <c r="N342" s="11">
        <f t="shared" si="1"/>
        <v>136</v>
      </c>
    </row>
    <row r="343">
      <c r="I343" s="13" t="str">
        <f>IFERROR(__xludf.DUMMYFUNCTION("""COMPUTED_VALUE"""),"740460599475760_1918050318383443")</f>
        <v>740460599475760_1918050318383443</v>
      </c>
      <c r="J343" s="11">
        <f>IFERROR(__xludf.DUMMYFUNCTION("""COMPUTED_VALUE"""),249.0)</f>
        <v>249</v>
      </c>
      <c r="K343" s="11">
        <f>IFERROR(__xludf.DUMMYFUNCTION("""COMPUTED_VALUE"""),19.0)</f>
        <v>19</v>
      </c>
      <c r="L343" s="11">
        <f>IFERROR(__xludf.DUMMYFUNCTION("""COMPUTED_VALUE"""),10.0)</f>
        <v>10</v>
      </c>
      <c r="M343" s="11">
        <f>IFERROR(__xludf.DUMMYFUNCTION("""COMPUTED_VALUE"""),370.0)</f>
        <v>370</v>
      </c>
      <c r="N343" s="11">
        <f t="shared" si="1"/>
        <v>278</v>
      </c>
    </row>
    <row r="344">
      <c r="I344" s="13" t="str">
        <f>IFERROR(__xludf.DUMMYFUNCTION("""COMPUTED_VALUE"""),"740460599475760_1917028241818984")</f>
        <v>740460599475760_1917028241818984</v>
      </c>
      <c r="J344" s="11">
        <f>IFERROR(__xludf.DUMMYFUNCTION("""COMPUTED_VALUE"""),300.0)</f>
        <v>300</v>
      </c>
      <c r="K344" s="11">
        <f>IFERROR(__xludf.DUMMYFUNCTION("""COMPUTED_VALUE"""),46.0)</f>
        <v>46</v>
      </c>
      <c r="L344" s="11">
        <f>IFERROR(__xludf.DUMMYFUNCTION("""COMPUTED_VALUE"""),56.0)</f>
        <v>56</v>
      </c>
      <c r="M344" s="11">
        <f>IFERROR(__xludf.DUMMYFUNCTION("""COMPUTED_VALUE"""),383.0)</f>
        <v>383</v>
      </c>
      <c r="N344" s="11">
        <f t="shared" si="1"/>
        <v>402</v>
      </c>
    </row>
    <row r="345">
      <c r="I345" s="13" t="str">
        <f>IFERROR(__xludf.DUMMYFUNCTION("""COMPUTED_VALUE"""),"172882636630076_1004261323492199")</f>
        <v>172882636630076_1004261323492199</v>
      </c>
      <c r="J345" s="11">
        <f>IFERROR(__xludf.DUMMYFUNCTION("""COMPUTED_VALUE"""),199.0)</f>
        <v>199</v>
      </c>
      <c r="K345" s="11">
        <f>IFERROR(__xludf.DUMMYFUNCTION("""COMPUTED_VALUE"""),0.0)</f>
        <v>0</v>
      </c>
      <c r="L345" s="11">
        <f>IFERROR(__xludf.DUMMYFUNCTION("""COMPUTED_VALUE"""),14.0)</f>
        <v>14</v>
      </c>
      <c r="M345" s="11">
        <f>IFERROR(__xludf.DUMMYFUNCTION("""COMPUTED_VALUE"""),391.0)</f>
        <v>391</v>
      </c>
      <c r="N345" s="11">
        <f t="shared" si="1"/>
        <v>213</v>
      </c>
    </row>
    <row r="346">
      <c r="I346" s="13" t="str">
        <f>IFERROR(__xludf.DUMMYFUNCTION("""COMPUTED_VALUE"""),"172882636630076_982061412378857")</f>
        <v>172882636630076_982061412378857</v>
      </c>
      <c r="J346" s="11">
        <f>IFERROR(__xludf.DUMMYFUNCTION("""COMPUTED_VALUE"""),92.0)</f>
        <v>92</v>
      </c>
      <c r="K346" s="11">
        <f>IFERROR(__xludf.DUMMYFUNCTION("""COMPUTED_VALUE"""),0.0)</f>
        <v>0</v>
      </c>
      <c r="L346" s="11"/>
      <c r="M346" s="11">
        <f>IFERROR(__xludf.DUMMYFUNCTION("""COMPUTED_VALUE"""),396.0)</f>
        <v>396</v>
      </c>
      <c r="N346" s="11">
        <f t="shared" si="1"/>
        <v>92</v>
      </c>
    </row>
    <row r="347">
      <c r="I347" s="13" t="str">
        <f>IFERROR(__xludf.DUMMYFUNCTION("""COMPUTED_VALUE"""),"740460599475760_1933548783500263")</f>
        <v>740460599475760_1933548783500263</v>
      </c>
      <c r="J347" s="11">
        <f>IFERROR(__xludf.DUMMYFUNCTION("""COMPUTED_VALUE"""),554.0)</f>
        <v>554</v>
      </c>
      <c r="K347" s="11">
        <f>IFERROR(__xludf.DUMMYFUNCTION("""COMPUTED_VALUE"""),55.0)</f>
        <v>55</v>
      </c>
      <c r="L347" s="11">
        <f>IFERROR(__xludf.DUMMYFUNCTION("""COMPUTED_VALUE"""),15.0)</f>
        <v>15</v>
      </c>
      <c r="M347" s="11">
        <f>IFERROR(__xludf.DUMMYFUNCTION("""COMPUTED_VALUE"""),399.0)</f>
        <v>399</v>
      </c>
      <c r="N347" s="11">
        <f t="shared" si="1"/>
        <v>624</v>
      </c>
    </row>
    <row r="348">
      <c r="I348" s="13" t="str">
        <f>IFERROR(__xludf.DUMMYFUNCTION("""COMPUTED_VALUE"""),"172882636630076_1004171890167809")</f>
        <v>172882636630076_1004171890167809</v>
      </c>
      <c r="J348" s="11">
        <f>IFERROR(__xludf.DUMMYFUNCTION("""COMPUTED_VALUE"""),381.0)</f>
        <v>381</v>
      </c>
      <c r="K348" s="11">
        <f>IFERROR(__xludf.DUMMYFUNCTION("""COMPUTED_VALUE"""),8.0)</f>
        <v>8</v>
      </c>
      <c r="L348" s="11">
        <f>IFERROR(__xludf.DUMMYFUNCTION("""COMPUTED_VALUE"""),22.0)</f>
        <v>22</v>
      </c>
      <c r="M348" s="11">
        <f>IFERROR(__xludf.DUMMYFUNCTION("""COMPUTED_VALUE"""),401.0)</f>
        <v>401</v>
      </c>
      <c r="N348" s="11">
        <f t="shared" si="1"/>
        <v>411</v>
      </c>
    </row>
    <row r="349">
      <c r="I349" s="13" t="str">
        <f>IFERROR(__xludf.DUMMYFUNCTION("""COMPUTED_VALUE"""),"740460599475760_1908404846014657")</f>
        <v>740460599475760_1908404846014657</v>
      </c>
      <c r="J349" s="11">
        <f>IFERROR(__xludf.DUMMYFUNCTION("""COMPUTED_VALUE"""),301.0)</f>
        <v>301</v>
      </c>
      <c r="K349" s="11">
        <f>IFERROR(__xludf.DUMMYFUNCTION("""COMPUTED_VALUE"""),17.0)</f>
        <v>17</v>
      </c>
      <c r="L349" s="11">
        <f>IFERROR(__xludf.DUMMYFUNCTION("""COMPUTED_VALUE"""),7.0)</f>
        <v>7</v>
      </c>
      <c r="M349" s="11">
        <f>IFERROR(__xludf.DUMMYFUNCTION("""COMPUTED_VALUE"""),404.0)</f>
        <v>404</v>
      </c>
      <c r="N349" s="11">
        <f t="shared" si="1"/>
        <v>325</v>
      </c>
    </row>
    <row r="350">
      <c r="I350" s="13" t="str">
        <f>IFERROR(__xludf.DUMMYFUNCTION("""COMPUTED_VALUE"""),"740460599475760_1946818968839911")</f>
        <v>740460599475760_1946818968839911</v>
      </c>
      <c r="J350" s="11">
        <f>IFERROR(__xludf.DUMMYFUNCTION("""COMPUTED_VALUE"""),20868.0)</f>
        <v>20868</v>
      </c>
      <c r="K350" s="11">
        <f>IFERROR(__xludf.DUMMYFUNCTION("""COMPUTED_VALUE"""),279.0)</f>
        <v>279</v>
      </c>
      <c r="L350" s="11">
        <f>IFERROR(__xludf.DUMMYFUNCTION("""COMPUTED_VALUE"""),166.0)</f>
        <v>166</v>
      </c>
      <c r="M350" s="11">
        <f>IFERROR(__xludf.DUMMYFUNCTION("""COMPUTED_VALUE"""),409.0)</f>
        <v>409</v>
      </c>
      <c r="N350" s="11">
        <f t="shared" si="1"/>
        <v>21313</v>
      </c>
    </row>
    <row r="351">
      <c r="I351" s="13" t="str">
        <f>IFERROR(__xludf.DUMMYFUNCTION("""COMPUTED_VALUE"""),"740460599475760_1947013265487148")</f>
        <v>740460599475760_1947013265487148</v>
      </c>
      <c r="J351" s="11">
        <f>IFERROR(__xludf.DUMMYFUNCTION("""COMPUTED_VALUE"""),22980.0)</f>
        <v>22980</v>
      </c>
      <c r="K351" s="11">
        <f>IFERROR(__xludf.DUMMYFUNCTION("""COMPUTED_VALUE"""),154.0)</f>
        <v>154</v>
      </c>
      <c r="L351" s="11">
        <f>IFERROR(__xludf.DUMMYFUNCTION("""COMPUTED_VALUE"""),61.0)</f>
        <v>61</v>
      </c>
      <c r="M351" s="11">
        <f>IFERROR(__xludf.DUMMYFUNCTION("""COMPUTED_VALUE"""),409.0)</f>
        <v>409</v>
      </c>
      <c r="N351" s="11">
        <f t="shared" si="1"/>
        <v>23195</v>
      </c>
    </row>
    <row r="352">
      <c r="I352" s="13" t="str">
        <f>IFERROR(__xludf.DUMMYFUNCTION("""COMPUTED_VALUE"""),"172882636630076_973096053275393")</f>
        <v>172882636630076_973096053275393</v>
      </c>
      <c r="J352" s="11">
        <f>IFERROR(__xludf.DUMMYFUNCTION("""COMPUTED_VALUE"""),1321.0)</f>
        <v>1321</v>
      </c>
      <c r="K352" s="11">
        <f>IFERROR(__xludf.DUMMYFUNCTION("""COMPUTED_VALUE"""),15.0)</f>
        <v>15</v>
      </c>
      <c r="L352" s="11">
        <f>IFERROR(__xludf.DUMMYFUNCTION("""COMPUTED_VALUE"""),61.0)</f>
        <v>61</v>
      </c>
      <c r="M352" s="11">
        <f>IFERROR(__xludf.DUMMYFUNCTION("""COMPUTED_VALUE"""),411.0)</f>
        <v>411</v>
      </c>
      <c r="N352" s="11">
        <f t="shared" si="1"/>
        <v>1397</v>
      </c>
    </row>
    <row r="353">
      <c r="I353" s="13" t="str">
        <f>IFERROR(__xludf.DUMMYFUNCTION("""COMPUTED_VALUE"""),"172882636630076_982779412307057")</f>
        <v>172882636630076_982779412307057</v>
      </c>
      <c r="J353" s="11">
        <f>IFERROR(__xludf.DUMMYFUNCTION("""COMPUTED_VALUE"""),1459.0)</f>
        <v>1459</v>
      </c>
      <c r="K353" s="11">
        <f>IFERROR(__xludf.DUMMYFUNCTION("""COMPUTED_VALUE"""),6.0)</f>
        <v>6</v>
      </c>
      <c r="L353" s="11">
        <f>IFERROR(__xludf.DUMMYFUNCTION("""COMPUTED_VALUE"""),79.0)</f>
        <v>79</v>
      </c>
      <c r="M353" s="11">
        <f>IFERROR(__xludf.DUMMYFUNCTION("""COMPUTED_VALUE"""),419.0)</f>
        <v>419</v>
      </c>
      <c r="N353" s="11">
        <f t="shared" si="1"/>
        <v>1544</v>
      </c>
    </row>
    <row r="354">
      <c r="I354" s="13" t="str">
        <f>IFERROR(__xludf.DUMMYFUNCTION("""COMPUTED_VALUE"""),"740460599475760_1928451200676688")</f>
        <v>740460599475760_1928451200676688</v>
      </c>
      <c r="J354" s="11">
        <f>IFERROR(__xludf.DUMMYFUNCTION("""COMPUTED_VALUE"""),1372.0)</f>
        <v>1372</v>
      </c>
      <c r="K354" s="11">
        <f>IFERROR(__xludf.DUMMYFUNCTION("""COMPUTED_VALUE"""),90.0)</f>
        <v>90</v>
      </c>
      <c r="L354" s="11">
        <f>IFERROR(__xludf.DUMMYFUNCTION("""COMPUTED_VALUE"""),69.0)</f>
        <v>69</v>
      </c>
      <c r="M354" s="11">
        <f>IFERROR(__xludf.DUMMYFUNCTION("""COMPUTED_VALUE"""),426.0)</f>
        <v>426</v>
      </c>
      <c r="N354" s="11">
        <f t="shared" si="1"/>
        <v>1531</v>
      </c>
    </row>
    <row r="355">
      <c r="I355" s="13" t="str">
        <f>IFERROR(__xludf.DUMMYFUNCTION("""COMPUTED_VALUE"""),"172882636630076_972880253296973")</f>
        <v>172882636630076_972880253296973</v>
      </c>
      <c r="J355" s="11">
        <f>IFERROR(__xludf.DUMMYFUNCTION("""COMPUTED_VALUE"""),225.0)</f>
        <v>225</v>
      </c>
      <c r="K355" s="11">
        <f>IFERROR(__xludf.DUMMYFUNCTION("""COMPUTED_VALUE"""),20.0)</f>
        <v>20</v>
      </c>
      <c r="L355" s="11">
        <f>IFERROR(__xludf.DUMMYFUNCTION("""COMPUTED_VALUE"""),11.0)</f>
        <v>11</v>
      </c>
      <c r="M355" s="11">
        <f>IFERROR(__xludf.DUMMYFUNCTION("""COMPUTED_VALUE"""),426.0)</f>
        <v>426</v>
      </c>
      <c r="N355" s="11">
        <f t="shared" si="1"/>
        <v>256</v>
      </c>
    </row>
    <row r="356">
      <c r="I356" s="13" t="str">
        <f>IFERROR(__xludf.DUMMYFUNCTION("""COMPUTED_VALUE"""),"172882636630076_980953712489627")</f>
        <v>172882636630076_980953712489627</v>
      </c>
      <c r="J356" s="11">
        <f>IFERROR(__xludf.DUMMYFUNCTION("""COMPUTED_VALUE"""),106.0)</f>
        <v>106</v>
      </c>
      <c r="K356" s="11">
        <f>IFERROR(__xludf.DUMMYFUNCTION("""COMPUTED_VALUE"""),0.0)</f>
        <v>0</v>
      </c>
      <c r="L356" s="11">
        <f>IFERROR(__xludf.DUMMYFUNCTION("""COMPUTED_VALUE"""),3.0)</f>
        <v>3</v>
      </c>
      <c r="M356" s="11">
        <f>IFERROR(__xludf.DUMMYFUNCTION("""COMPUTED_VALUE"""),427.0)</f>
        <v>427</v>
      </c>
      <c r="N356" s="11">
        <f t="shared" si="1"/>
        <v>109</v>
      </c>
    </row>
    <row r="357">
      <c r="I357" s="13" t="str">
        <f>IFERROR(__xludf.DUMMYFUNCTION("""COMPUTED_VALUE"""),"172882636630076_1008135323104799")</f>
        <v>172882636630076_1008135323104799</v>
      </c>
      <c r="J357" s="11">
        <f>IFERROR(__xludf.DUMMYFUNCTION("""COMPUTED_VALUE"""),161.0)</f>
        <v>161</v>
      </c>
      <c r="K357" s="11">
        <f>IFERROR(__xludf.DUMMYFUNCTION("""COMPUTED_VALUE"""),14.0)</f>
        <v>14</v>
      </c>
      <c r="L357" s="11">
        <f>IFERROR(__xludf.DUMMYFUNCTION("""COMPUTED_VALUE"""),9.0)</f>
        <v>9</v>
      </c>
      <c r="M357" s="11">
        <f>IFERROR(__xludf.DUMMYFUNCTION("""COMPUTED_VALUE"""),432.0)</f>
        <v>432</v>
      </c>
      <c r="N357" s="11">
        <f t="shared" si="1"/>
        <v>184</v>
      </c>
    </row>
    <row r="358">
      <c r="I358" s="13" t="str">
        <f>IFERROR(__xludf.DUMMYFUNCTION("""COMPUTED_VALUE"""),"172882636630076_1020646178520380")</f>
        <v>172882636630076_1020646178520380</v>
      </c>
      <c r="J358" s="11">
        <f>IFERROR(__xludf.DUMMYFUNCTION("""COMPUTED_VALUE"""),76.0)</f>
        <v>76</v>
      </c>
      <c r="K358" s="11">
        <f>IFERROR(__xludf.DUMMYFUNCTION("""COMPUTED_VALUE"""),0.0)</f>
        <v>0</v>
      </c>
      <c r="L358" s="11">
        <f>IFERROR(__xludf.DUMMYFUNCTION("""COMPUTED_VALUE"""),2.0)</f>
        <v>2</v>
      </c>
      <c r="M358" s="11">
        <f>IFERROR(__xludf.DUMMYFUNCTION("""COMPUTED_VALUE"""),434.0)</f>
        <v>434</v>
      </c>
      <c r="N358" s="11">
        <f t="shared" si="1"/>
        <v>78</v>
      </c>
    </row>
    <row r="359">
      <c r="I359" s="13" t="str">
        <f>IFERROR(__xludf.DUMMYFUNCTION("""COMPUTED_VALUE"""),"172882636630076_990554618196203")</f>
        <v>172882636630076_990554618196203</v>
      </c>
      <c r="J359" s="11">
        <f>IFERROR(__xludf.DUMMYFUNCTION("""COMPUTED_VALUE"""),200.0)</f>
        <v>200</v>
      </c>
      <c r="K359" s="11">
        <f>IFERROR(__xludf.DUMMYFUNCTION("""COMPUTED_VALUE"""),11.0)</f>
        <v>11</v>
      </c>
      <c r="L359" s="11">
        <f>IFERROR(__xludf.DUMMYFUNCTION("""COMPUTED_VALUE"""),5.0)</f>
        <v>5</v>
      </c>
      <c r="M359" s="11">
        <f>IFERROR(__xludf.DUMMYFUNCTION("""COMPUTED_VALUE"""),435.0)</f>
        <v>435</v>
      </c>
      <c r="N359" s="11">
        <f t="shared" si="1"/>
        <v>216</v>
      </c>
    </row>
    <row r="360">
      <c r="I360" s="13" t="str">
        <f>IFERROR(__xludf.DUMMYFUNCTION("""COMPUTED_VALUE"""),"740460599475760_1910533969135078")</f>
        <v>740460599475760_1910533969135078</v>
      </c>
      <c r="J360" s="11">
        <f>IFERROR(__xludf.DUMMYFUNCTION("""COMPUTED_VALUE"""),195.0)</f>
        <v>195</v>
      </c>
      <c r="K360" s="11">
        <f>IFERROR(__xludf.DUMMYFUNCTION("""COMPUTED_VALUE"""),27.0)</f>
        <v>27</v>
      </c>
      <c r="L360" s="11"/>
      <c r="M360" s="11">
        <f>IFERROR(__xludf.DUMMYFUNCTION("""COMPUTED_VALUE"""),437.0)</f>
        <v>437</v>
      </c>
      <c r="N360" s="11">
        <f t="shared" si="1"/>
        <v>222</v>
      </c>
    </row>
    <row r="361">
      <c r="I361" s="13" t="str">
        <f>IFERROR(__xludf.DUMMYFUNCTION("""COMPUTED_VALUE"""),"740460599475760_1914640848724390")</f>
        <v>740460599475760_1914640848724390</v>
      </c>
      <c r="J361" s="11">
        <f>IFERROR(__xludf.DUMMYFUNCTION("""COMPUTED_VALUE"""),1775.0)</f>
        <v>1775</v>
      </c>
      <c r="K361" s="11">
        <f>IFERROR(__xludf.DUMMYFUNCTION("""COMPUTED_VALUE"""),285.0)</f>
        <v>285</v>
      </c>
      <c r="L361" s="11">
        <f>IFERROR(__xludf.DUMMYFUNCTION("""COMPUTED_VALUE"""),46.0)</f>
        <v>46</v>
      </c>
      <c r="M361" s="11">
        <f>IFERROR(__xludf.DUMMYFUNCTION("""COMPUTED_VALUE"""),437.0)</f>
        <v>437</v>
      </c>
      <c r="N361" s="11">
        <f t="shared" si="1"/>
        <v>2106</v>
      </c>
    </row>
    <row r="362">
      <c r="I362" s="13" t="str">
        <f>IFERROR(__xludf.DUMMYFUNCTION("""COMPUTED_VALUE"""),"740460599475760_1943020629219745")</f>
        <v>740460599475760_1943020629219745</v>
      </c>
      <c r="J362" s="11">
        <f>IFERROR(__xludf.DUMMYFUNCTION("""COMPUTED_VALUE"""),638.0)</f>
        <v>638</v>
      </c>
      <c r="K362" s="11">
        <f>IFERROR(__xludf.DUMMYFUNCTION("""COMPUTED_VALUE"""),21.0)</f>
        <v>21</v>
      </c>
      <c r="L362" s="11">
        <f>IFERROR(__xludf.DUMMYFUNCTION("""COMPUTED_VALUE"""),17.0)</f>
        <v>17</v>
      </c>
      <c r="M362" s="11">
        <f>IFERROR(__xludf.DUMMYFUNCTION("""COMPUTED_VALUE"""),438.0)</f>
        <v>438</v>
      </c>
      <c r="N362" s="11">
        <f t="shared" si="1"/>
        <v>676</v>
      </c>
    </row>
    <row r="363">
      <c r="I363" s="13" t="str">
        <f>IFERROR(__xludf.DUMMYFUNCTION("""COMPUTED_VALUE"""),"740460599475760_1933545816833893")</f>
        <v>740460599475760_1933545816833893</v>
      </c>
      <c r="J363" s="11">
        <f>IFERROR(__xludf.DUMMYFUNCTION("""COMPUTED_VALUE"""),555.0)</f>
        <v>555</v>
      </c>
      <c r="K363" s="11">
        <f>IFERROR(__xludf.DUMMYFUNCTION("""COMPUTED_VALUE"""),37.0)</f>
        <v>37</v>
      </c>
      <c r="L363" s="11">
        <f>IFERROR(__xludf.DUMMYFUNCTION("""COMPUTED_VALUE"""),24.0)</f>
        <v>24</v>
      </c>
      <c r="M363" s="11">
        <f>IFERROR(__xludf.DUMMYFUNCTION("""COMPUTED_VALUE"""),450.0)</f>
        <v>450</v>
      </c>
      <c r="N363" s="11">
        <f t="shared" si="1"/>
        <v>616</v>
      </c>
    </row>
    <row r="364">
      <c r="I364" s="13" t="str">
        <f>IFERROR(__xludf.DUMMYFUNCTION("""COMPUTED_VALUE"""),"172882636630076_970669680184697")</f>
        <v>172882636630076_970669680184697</v>
      </c>
      <c r="J364" s="11">
        <f>IFERROR(__xludf.DUMMYFUNCTION("""COMPUTED_VALUE"""),109.0)</f>
        <v>109</v>
      </c>
      <c r="K364" s="11">
        <f>IFERROR(__xludf.DUMMYFUNCTION("""COMPUTED_VALUE"""),0.0)</f>
        <v>0</v>
      </c>
      <c r="L364" s="11"/>
      <c r="M364" s="11">
        <f>IFERROR(__xludf.DUMMYFUNCTION("""COMPUTED_VALUE"""),453.0)</f>
        <v>453</v>
      </c>
      <c r="N364" s="11">
        <f t="shared" si="1"/>
        <v>109</v>
      </c>
    </row>
    <row r="365">
      <c r="I365" s="13" t="str">
        <f>IFERROR(__xludf.DUMMYFUNCTION("""COMPUTED_VALUE"""),"740460599475760_1963760730479068")</f>
        <v>740460599475760_1963760730479068</v>
      </c>
      <c r="J365" s="11">
        <f>IFERROR(__xludf.DUMMYFUNCTION("""COMPUTED_VALUE"""),22184.0)</f>
        <v>22184</v>
      </c>
      <c r="K365" s="11">
        <f>IFERROR(__xludf.DUMMYFUNCTION("""COMPUTED_VALUE"""),161.0)</f>
        <v>161</v>
      </c>
      <c r="L365" s="11">
        <f>IFERROR(__xludf.DUMMYFUNCTION("""COMPUTED_VALUE"""),51.0)</f>
        <v>51</v>
      </c>
      <c r="M365" s="11">
        <f>IFERROR(__xludf.DUMMYFUNCTION("""COMPUTED_VALUE"""),455.0)</f>
        <v>455</v>
      </c>
      <c r="N365" s="11">
        <f t="shared" si="1"/>
        <v>22396</v>
      </c>
    </row>
    <row r="366">
      <c r="I366" s="13" t="str">
        <f>IFERROR(__xludf.DUMMYFUNCTION("""COMPUTED_VALUE"""),"172882636630076_977895402795458")</f>
        <v>172882636630076_977895402795458</v>
      </c>
      <c r="J366" s="11">
        <f>IFERROR(__xludf.DUMMYFUNCTION("""COMPUTED_VALUE"""),389.0)</f>
        <v>389</v>
      </c>
      <c r="K366" s="11">
        <f>IFERROR(__xludf.DUMMYFUNCTION("""COMPUTED_VALUE"""),15.0)</f>
        <v>15</v>
      </c>
      <c r="L366" s="11">
        <f>IFERROR(__xludf.DUMMYFUNCTION("""COMPUTED_VALUE"""),29.0)</f>
        <v>29</v>
      </c>
      <c r="M366" s="11">
        <f>IFERROR(__xludf.DUMMYFUNCTION("""COMPUTED_VALUE"""),463.0)</f>
        <v>463</v>
      </c>
      <c r="N366" s="11">
        <f t="shared" si="1"/>
        <v>433</v>
      </c>
    </row>
    <row r="367">
      <c r="I367" s="13" t="str">
        <f>IFERROR(__xludf.DUMMYFUNCTION("""COMPUTED_VALUE"""),"172882636630076_941368270062200")</f>
        <v>172882636630076_941368270062200</v>
      </c>
      <c r="J367" s="11">
        <f>IFERROR(__xludf.DUMMYFUNCTION("""COMPUTED_VALUE"""),493.0)</f>
        <v>493</v>
      </c>
      <c r="K367" s="11">
        <f>IFERROR(__xludf.DUMMYFUNCTION("""COMPUTED_VALUE"""),16.0)</f>
        <v>16</v>
      </c>
      <c r="L367" s="11">
        <f>IFERROR(__xludf.DUMMYFUNCTION("""COMPUTED_VALUE"""),40.0)</f>
        <v>40</v>
      </c>
      <c r="M367" s="11">
        <f>IFERROR(__xludf.DUMMYFUNCTION("""COMPUTED_VALUE"""),470.0)</f>
        <v>470</v>
      </c>
      <c r="N367" s="11">
        <f t="shared" si="1"/>
        <v>549</v>
      </c>
    </row>
    <row r="368">
      <c r="I368" s="13" t="str">
        <f>IFERROR(__xludf.DUMMYFUNCTION("""COMPUTED_VALUE"""),"740460599475760_1949240285264446")</f>
        <v>740460599475760_1949240285264446</v>
      </c>
      <c r="J368" s="11">
        <f>IFERROR(__xludf.DUMMYFUNCTION("""COMPUTED_VALUE"""),9090.0)</f>
        <v>9090</v>
      </c>
      <c r="K368" s="11">
        <f>IFERROR(__xludf.DUMMYFUNCTION("""COMPUTED_VALUE"""),1337.0)</f>
        <v>1337</v>
      </c>
      <c r="L368" s="11">
        <f>IFERROR(__xludf.DUMMYFUNCTION("""COMPUTED_VALUE"""),652.0)</f>
        <v>652</v>
      </c>
      <c r="M368" s="11">
        <f>IFERROR(__xludf.DUMMYFUNCTION("""COMPUTED_VALUE"""),472.0)</f>
        <v>472</v>
      </c>
      <c r="N368" s="11">
        <f t="shared" si="1"/>
        <v>11079</v>
      </c>
    </row>
    <row r="369">
      <c r="I369" s="13" t="str">
        <f>IFERROR(__xludf.DUMMYFUNCTION("""COMPUTED_VALUE"""),"740460599475760_1914765935378548")</f>
        <v>740460599475760_1914765935378548</v>
      </c>
      <c r="J369" s="11">
        <f>IFERROR(__xludf.DUMMYFUNCTION("""COMPUTED_VALUE"""),2740.0)</f>
        <v>2740</v>
      </c>
      <c r="K369" s="11">
        <f>IFERROR(__xludf.DUMMYFUNCTION("""COMPUTED_VALUE"""),210.0)</f>
        <v>210</v>
      </c>
      <c r="L369" s="11">
        <f>IFERROR(__xludf.DUMMYFUNCTION("""COMPUTED_VALUE"""),254.0)</f>
        <v>254</v>
      </c>
      <c r="M369" s="11">
        <f>IFERROR(__xludf.DUMMYFUNCTION("""COMPUTED_VALUE"""),473.0)</f>
        <v>473</v>
      </c>
      <c r="N369" s="11">
        <f t="shared" si="1"/>
        <v>3204</v>
      </c>
    </row>
    <row r="370">
      <c r="I370" s="13" t="str">
        <f>IFERROR(__xludf.DUMMYFUNCTION("""COMPUTED_VALUE"""),"172882636630076_973674283217570")</f>
        <v>172882636630076_973674283217570</v>
      </c>
      <c r="J370" s="11">
        <f>IFERROR(__xludf.DUMMYFUNCTION("""COMPUTED_VALUE"""),1164.0)</f>
        <v>1164</v>
      </c>
      <c r="K370" s="11">
        <f>IFERROR(__xludf.DUMMYFUNCTION("""COMPUTED_VALUE"""),55.0)</f>
        <v>55</v>
      </c>
      <c r="L370" s="11">
        <f>IFERROR(__xludf.DUMMYFUNCTION("""COMPUTED_VALUE"""),157.0)</f>
        <v>157</v>
      </c>
      <c r="M370" s="11">
        <f>IFERROR(__xludf.DUMMYFUNCTION("""COMPUTED_VALUE"""),473.0)</f>
        <v>473</v>
      </c>
      <c r="N370" s="11">
        <f t="shared" si="1"/>
        <v>1376</v>
      </c>
    </row>
    <row r="371">
      <c r="I371" s="13" t="str">
        <f>IFERROR(__xludf.DUMMYFUNCTION("""COMPUTED_VALUE"""),"172882636630076_1012606602657671")</f>
        <v>172882636630076_1012606602657671</v>
      </c>
      <c r="J371" s="11">
        <f>IFERROR(__xludf.DUMMYFUNCTION("""COMPUTED_VALUE"""),107.0)</f>
        <v>107</v>
      </c>
      <c r="K371" s="11">
        <f>IFERROR(__xludf.DUMMYFUNCTION("""COMPUTED_VALUE"""),8.0)</f>
        <v>8</v>
      </c>
      <c r="L371" s="11">
        <f>IFERROR(__xludf.DUMMYFUNCTION("""COMPUTED_VALUE"""),6.0)</f>
        <v>6</v>
      </c>
      <c r="M371" s="11">
        <f>IFERROR(__xludf.DUMMYFUNCTION("""COMPUTED_VALUE"""),483.0)</f>
        <v>483</v>
      </c>
      <c r="N371" s="11">
        <f t="shared" si="1"/>
        <v>121</v>
      </c>
    </row>
    <row r="372">
      <c r="I372" s="13" t="str">
        <f>IFERROR(__xludf.DUMMYFUNCTION("""COMPUTED_VALUE"""),"740460599475760_1917117195143422")</f>
        <v>740460599475760_1917117195143422</v>
      </c>
      <c r="J372" s="11">
        <f>IFERROR(__xludf.DUMMYFUNCTION("""COMPUTED_VALUE"""),678.0)</f>
        <v>678</v>
      </c>
      <c r="K372" s="11">
        <f>IFERROR(__xludf.DUMMYFUNCTION("""COMPUTED_VALUE"""),63.0)</f>
        <v>63</v>
      </c>
      <c r="L372" s="11">
        <f>IFERROR(__xludf.DUMMYFUNCTION("""COMPUTED_VALUE"""),20.0)</f>
        <v>20</v>
      </c>
      <c r="M372" s="11">
        <f>IFERROR(__xludf.DUMMYFUNCTION("""COMPUTED_VALUE"""),484.0)</f>
        <v>484</v>
      </c>
      <c r="N372" s="11">
        <f t="shared" si="1"/>
        <v>761</v>
      </c>
    </row>
    <row r="373">
      <c r="I373" s="13" t="str">
        <f>IFERROR(__xludf.DUMMYFUNCTION("""COMPUTED_VALUE"""),"172882636630076_991250004793331")</f>
        <v>172882636630076_991250004793331</v>
      </c>
      <c r="J373" s="11">
        <f>IFERROR(__xludf.DUMMYFUNCTION("""COMPUTED_VALUE"""),484.0)</f>
        <v>484</v>
      </c>
      <c r="K373" s="11">
        <f>IFERROR(__xludf.DUMMYFUNCTION("""COMPUTED_VALUE"""),5.0)</f>
        <v>5</v>
      </c>
      <c r="L373" s="11">
        <f>IFERROR(__xludf.DUMMYFUNCTION("""COMPUTED_VALUE"""),18.0)</f>
        <v>18</v>
      </c>
      <c r="M373" s="11">
        <f>IFERROR(__xludf.DUMMYFUNCTION("""COMPUTED_VALUE"""),491.0)</f>
        <v>491</v>
      </c>
      <c r="N373" s="11">
        <f t="shared" si="1"/>
        <v>507</v>
      </c>
    </row>
    <row r="374">
      <c r="I374" s="13" t="str">
        <f>IFERROR(__xludf.DUMMYFUNCTION("""COMPUTED_VALUE"""),"172882636630076_996102694308062")</f>
        <v>172882636630076_996102694308062</v>
      </c>
      <c r="J374" s="11">
        <f>IFERROR(__xludf.DUMMYFUNCTION("""COMPUTED_VALUE"""),623.0)</f>
        <v>623</v>
      </c>
      <c r="K374" s="11">
        <f>IFERROR(__xludf.DUMMYFUNCTION("""COMPUTED_VALUE"""),7.0)</f>
        <v>7</v>
      </c>
      <c r="L374" s="11">
        <f>IFERROR(__xludf.DUMMYFUNCTION("""COMPUTED_VALUE"""),6.0)</f>
        <v>6</v>
      </c>
      <c r="M374" s="11">
        <f>IFERROR(__xludf.DUMMYFUNCTION("""COMPUTED_VALUE"""),491.0)</f>
        <v>491</v>
      </c>
      <c r="N374" s="11">
        <f t="shared" si="1"/>
        <v>636</v>
      </c>
    </row>
    <row r="375">
      <c r="I375" s="13" t="str">
        <f>IFERROR(__xludf.DUMMYFUNCTION("""COMPUTED_VALUE"""),"740460599475760_1914615942060214")</f>
        <v>740460599475760_1914615942060214</v>
      </c>
      <c r="J375" s="11">
        <f>IFERROR(__xludf.DUMMYFUNCTION("""COMPUTED_VALUE"""),523.0)</f>
        <v>523</v>
      </c>
      <c r="K375" s="11">
        <f>IFERROR(__xludf.DUMMYFUNCTION("""COMPUTED_VALUE"""),37.0)</f>
        <v>37</v>
      </c>
      <c r="L375" s="11">
        <f>IFERROR(__xludf.DUMMYFUNCTION("""COMPUTED_VALUE"""),12.0)</f>
        <v>12</v>
      </c>
      <c r="M375" s="11">
        <f>IFERROR(__xludf.DUMMYFUNCTION("""COMPUTED_VALUE"""),492.0)</f>
        <v>492</v>
      </c>
      <c r="N375" s="11">
        <f t="shared" si="1"/>
        <v>572</v>
      </c>
    </row>
    <row r="376">
      <c r="I376" s="13" t="str">
        <f>IFERROR(__xludf.DUMMYFUNCTION("""COMPUTED_VALUE"""),"172882636630076_974893623095636")</f>
        <v>172882636630076_974893623095636</v>
      </c>
      <c r="J376" s="11">
        <f>IFERROR(__xludf.DUMMYFUNCTION("""COMPUTED_VALUE"""),145.0)</f>
        <v>145</v>
      </c>
      <c r="K376" s="11">
        <f>IFERROR(__xludf.DUMMYFUNCTION("""COMPUTED_VALUE"""),2.0)</f>
        <v>2</v>
      </c>
      <c r="L376" s="11">
        <f>IFERROR(__xludf.DUMMYFUNCTION("""COMPUTED_VALUE"""),1.0)</f>
        <v>1</v>
      </c>
      <c r="M376" s="11">
        <f>IFERROR(__xludf.DUMMYFUNCTION("""COMPUTED_VALUE"""),495.0)</f>
        <v>495</v>
      </c>
      <c r="N376" s="11">
        <f t="shared" si="1"/>
        <v>148</v>
      </c>
    </row>
    <row r="377">
      <c r="I377" s="13" t="str">
        <f>IFERROR(__xludf.DUMMYFUNCTION("""COMPUTED_VALUE"""),"172882636630076_986959085222423")</f>
        <v>172882636630076_986959085222423</v>
      </c>
      <c r="J377" s="11">
        <f>IFERROR(__xludf.DUMMYFUNCTION("""COMPUTED_VALUE"""),5448.0)</f>
        <v>5448</v>
      </c>
      <c r="K377" s="11">
        <f>IFERROR(__xludf.DUMMYFUNCTION("""COMPUTED_VALUE"""),92.0)</f>
        <v>92</v>
      </c>
      <c r="L377" s="11">
        <f>IFERROR(__xludf.DUMMYFUNCTION("""COMPUTED_VALUE"""),514.0)</f>
        <v>514</v>
      </c>
      <c r="M377" s="11">
        <f>IFERROR(__xludf.DUMMYFUNCTION("""COMPUTED_VALUE"""),500.0)</f>
        <v>500</v>
      </c>
      <c r="N377" s="11">
        <f t="shared" si="1"/>
        <v>6054</v>
      </c>
    </row>
    <row r="378">
      <c r="I378" s="13" t="str">
        <f>IFERROR(__xludf.DUMMYFUNCTION("""COMPUTED_VALUE"""),"172882636630076_1023704381547893")</f>
        <v>172882636630076_1023704381547893</v>
      </c>
      <c r="J378" s="11">
        <f>IFERROR(__xludf.DUMMYFUNCTION("""COMPUTED_VALUE"""),263.0)</f>
        <v>263</v>
      </c>
      <c r="K378" s="11">
        <f>IFERROR(__xludf.DUMMYFUNCTION("""COMPUTED_VALUE"""),1.0)</f>
        <v>1</v>
      </c>
      <c r="L378" s="11">
        <f>IFERROR(__xludf.DUMMYFUNCTION("""COMPUTED_VALUE"""),2.0)</f>
        <v>2</v>
      </c>
      <c r="M378" s="11">
        <f>IFERROR(__xludf.DUMMYFUNCTION("""COMPUTED_VALUE"""),500.0)</f>
        <v>500</v>
      </c>
      <c r="N378" s="11">
        <f t="shared" si="1"/>
        <v>266</v>
      </c>
    </row>
    <row r="379">
      <c r="I379" s="13" t="str">
        <f>IFERROR(__xludf.DUMMYFUNCTION("""COMPUTED_VALUE"""),"172882636630076_1020555818529416")</f>
        <v>172882636630076_1020555818529416</v>
      </c>
      <c r="J379" s="11">
        <f>IFERROR(__xludf.DUMMYFUNCTION("""COMPUTED_VALUE"""),187.0)</f>
        <v>187</v>
      </c>
      <c r="K379" s="11">
        <f>IFERROR(__xludf.DUMMYFUNCTION("""COMPUTED_VALUE"""),6.0)</f>
        <v>6</v>
      </c>
      <c r="L379" s="11">
        <f>IFERROR(__xludf.DUMMYFUNCTION("""COMPUTED_VALUE"""),17.0)</f>
        <v>17</v>
      </c>
      <c r="M379" s="11">
        <f>IFERROR(__xludf.DUMMYFUNCTION("""COMPUTED_VALUE"""),502.0)</f>
        <v>502</v>
      </c>
      <c r="N379" s="11">
        <f t="shared" si="1"/>
        <v>210</v>
      </c>
    </row>
    <row r="380">
      <c r="I380" s="13" t="str">
        <f>IFERROR(__xludf.DUMMYFUNCTION("""COMPUTED_VALUE"""),"172882636630076_992549451330053")</f>
        <v>172882636630076_992549451330053</v>
      </c>
      <c r="J380" s="11">
        <f>IFERROR(__xludf.DUMMYFUNCTION("""COMPUTED_VALUE"""),136.0)</f>
        <v>136</v>
      </c>
      <c r="K380" s="11">
        <f>IFERROR(__xludf.DUMMYFUNCTION("""COMPUTED_VALUE"""),2.0)</f>
        <v>2</v>
      </c>
      <c r="L380" s="11">
        <f>IFERROR(__xludf.DUMMYFUNCTION("""COMPUTED_VALUE"""),8.0)</f>
        <v>8</v>
      </c>
      <c r="M380" s="11">
        <f>IFERROR(__xludf.DUMMYFUNCTION("""COMPUTED_VALUE"""),509.0)</f>
        <v>509</v>
      </c>
      <c r="N380" s="11">
        <f t="shared" si="1"/>
        <v>146</v>
      </c>
    </row>
    <row r="381">
      <c r="I381" s="13" t="str">
        <f>IFERROR(__xludf.DUMMYFUNCTION("""COMPUTED_VALUE"""),"172882636630076_974253753159623")</f>
        <v>172882636630076_974253753159623</v>
      </c>
      <c r="J381" s="11">
        <f>IFERROR(__xludf.DUMMYFUNCTION("""COMPUTED_VALUE"""),268.0)</f>
        <v>268</v>
      </c>
      <c r="K381" s="11">
        <f>IFERROR(__xludf.DUMMYFUNCTION("""COMPUTED_VALUE"""),0.0)</f>
        <v>0</v>
      </c>
      <c r="L381" s="11">
        <f>IFERROR(__xludf.DUMMYFUNCTION("""COMPUTED_VALUE"""),8.0)</f>
        <v>8</v>
      </c>
      <c r="M381" s="11">
        <f>IFERROR(__xludf.DUMMYFUNCTION("""COMPUTED_VALUE"""),523.0)</f>
        <v>523</v>
      </c>
      <c r="N381" s="11">
        <f t="shared" si="1"/>
        <v>276</v>
      </c>
    </row>
    <row r="382">
      <c r="I382" s="13" t="str">
        <f>IFERROR(__xludf.DUMMYFUNCTION("""COMPUTED_VALUE"""),"740460599475760_1941531746035300")</f>
        <v>740460599475760_1941531746035300</v>
      </c>
      <c r="J382" s="11">
        <f>IFERROR(__xludf.DUMMYFUNCTION("""COMPUTED_VALUE"""),1136.0)</f>
        <v>1136</v>
      </c>
      <c r="K382" s="11">
        <f>IFERROR(__xludf.DUMMYFUNCTION("""COMPUTED_VALUE"""),41.0)</f>
        <v>41</v>
      </c>
      <c r="L382" s="11">
        <f>IFERROR(__xludf.DUMMYFUNCTION("""COMPUTED_VALUE"""),31.0)</f>
        <v>31</v>
      </c>
      <c r="M382" s="11">
        <f>IFERROR(__xludf.DUMMYFUNCTION("""COMPUTED_VALUE"""),526.0)</f>
        <v>526</v>
      </c>
      <c r="N382" s="11">
        <f t="shared" si="1"/>
        <v>1208</v>
      </c>
    </row>
    <row r="383">
      <c r="I383" s="13" t="str">
        <f>IFERROR(__xludf.DUMMYFUNCTION("""COMPUTED_VALUE"""),"172882636630076_1013318095919855")</f>
        <v>172882636630076_1013318095919855</v>
      </c>
      <c r="J383" s="11">
        <f>IFERROR(__xludf.DUMMYFUNCTION("""COMPUTED_VALUE"""),224.0)</f>
        <v>224</v>
      </c>
      <c r="K383" s="11">
        <f>IFERROR(__xludf.DUMMYFUNCTION("""COMPUTED_VALUE"""),3.0)</f>
        <v>3</v>
      </c>
      <c r="L383" s="11">
        <f>IFERROR(__xludf.DUMMYFUNCTION("""COMPUTED_VALUE"""),33.0)</f>
        <v>33</v>
      </c>
      <c r="M383" s="11">
        <f>IFERROR(__xludf.DUMMYFUNCTION("""COMPUTED_VALUE"""),527.0)</f>
        <v>527</v>
      </c>
      <c r="N383" s="11">
        <f t="shared" si="1"/>
        <v>260</v>
      </c>
    </row>
    <row r="384">
      <c r="I384" s="13" t="str">
        <f>IFERROR(__xludf.DUMMYFUNCTION("""COMPUTED_VALUE"""),"172882636630076_1017506038834394")</f>
        <v>172882636630076_1017506038834394</v>
      </c>
      <c r="J384" s="11">
        <f>IFERROR(__xludf.DUMMYFUNCTION("""COMPUTED_VALUE"""),173.0)</f>
        <v>173</v>
      </c>
      <c r="K384" s="11">
        <f>IFERROR(__xludf.DUMMYFUNCTION("""COMPUTED_VALUE"""),10.0)</f>
        <v>10</v>
      </c>
      <c r="L384" s="11">
        <f>IFERROR(__xludf.DUMMYFUNCTION("""COMPUTED_VALUE"""),16.0)</f>
        <v>16</v>
      </c>
      <c r="M384" s="11">
        <f>IFERROR(__xludf.DUMMYFUNCTION("""COMPUTED_VALUE"""),528.0)</f>
        <v>528</v>
      </c>
      <c r="N384" s="11">
        <f t="shared" si="1"/>
        <v>199</v>
      </c>
    </row>
    <row r="385">
      <c r="I385" s="13" t="str">
        <f>IFERROR(__xludf.DUMMYFUNCTION("""COMPUTED_VALUE"""),"172882636630076_987063738545291")</f>
        <v>172882636630076_987063738545291</v>
      </c>
      <c r="J385" s="11">
        <f>IFERROR(__xludf.DUMMYFUNCTION("""COMPUTED_VALUE"""),231.0)</f>
        <v>231</v>
      </c>
      <c r="K385" s="11">
        <f>IFERROR(__xludf.DUMMYFUNCTION("""COMPUTED_VALUE"""),7.0)</f>
        <v>7</v>
      </c>
      <c r="L385" s="11">
        <f>IFERROR(__xludf.DUMMYFUNCTION("""COMPUTED_VALUE"""),11.0)</f>
        <v>11</v>
      </c>
      <c r="M385" s="11">
        <f>IFERROR(__xludf.DUMMYFUNCTION("""COMPUTED_VALUE"""),537.0)</f>
        <v>537</v>
      </c>
      <c r="N385" s="11">
        <f t="shared" si="1"/>
        <v>249</v>
      </c>
    </row>
    <row r="386">
      <c r="I386" s="13" t="str">
        <f>IFERROR(__xludf.DUMMYFUNCTION("""COMPUTED_VALUE"""),"172882636630076_1003122253606106")</f>
        <v>172882636630076_1003122253606106</v>
      </c>
      <c r="J386" s="11">
        <f>IFERROR(__xludf.DUMMYFUNCTION("""COMPUTED_VALUE"""),88.0)</f>
        <v>88</v>
      </c>
      <c r="K386" s="11">
        <f>IFERROR(__xludf.DUMMYFUNCTION("""COMPUTED_VALUE"""),0.0)</f>
        <v>0</v>
      </c>
      <c r="L386" s="11">
        <f>IFERROR(__xludf.DUMMYFUNCTION("""COMPUTED_VALUE"""),1.0)</f>
        <v>1</v>
      </c>
      <c r="M386" s="11">
        <f>IFERROR(__xludf.DUMMYFUNCTION("""COMPUTED_VALUE"""),540.0)</f>
        <v>540</v>
      </c>
      <c r="N386" s="11">
        <f t="shared" si="1"/>
        <v>89</v>
      </c>
    </row>
    <row r="387">
      <c r="I387" s="13" t="str">
        <f>IFERROR(__xludf.DUMMYFUNCTION("""COMPUTED_VALUE"""),"740460599475760_1919656528222822")</f>
        <v>740460599475760_1919656528222822</v>
      </c>
      <c r="J387" s="11">
        <f>IFERROR(__xludf.DUMMYFUNCTION("""COMPUTED_VALUE"""),1317.0)</f>
        <v>1317</v>
      </c>
      <c r="K387" s="11">
        <f>IFERROR(__xludf.DUMMYFUNCTION("""COMPUTED_VALUE"""),174.0)</f>
        <v>174</v>
      </c>
      <c r="L387" s="11">
        <f>IFERROR(__xludf.DUMMYFUNCTION("""COMPUTED_VALUE"""),45.0)</f>
        <v>45</v>
      </c>
      <c r="M387" s="11">
        <f>IFERROR(__xludf.DUMMYFUNCTION("""COMPUTED_VALUE"""),543.0)</f>
        <v>543</v>
      </c>
      <c r="N387" s="11">
        <f t="shared" si="1"/>
        <v>1536</v>
      </c>
    </row>
    <row r="388">
      <c r="I388" s="13" t="str">
        <f>IFERROR(__xludf.DUMMYFUNCTION("""COMPUTED_VALUE"""),"172882636630076_990130271571971")</f>
        <v>172882636630076_990130271571971</v>
      </c>
      <c r="J388" s="11">
        <f>IFERROR(__xludf.DUMMYFUNCTION("""COMPUTED_VALUE"""),387.0)</f>
        <v>387</v>
      </c>
      <c r="K388" s="11">
        <f>IFERROR(__xludf.DUMMYFUNCTION("""COMPUTED_VALUE"""),4.0)</f>
        <v>4</v>
      </c>
      <c r="L388" s="11">
        <f>IFERROR(__xludf.DUMMYFUNCTION("""COMPUTED_VALUE"""),29.0)</f>
        <v>29</v>
      </c>
      <c r="M388" s="11">
        <f>IFERROR(__xludf.DUMMYFUNCTION("""COMPUTED_VALUE"""),548.0)</f>
        <v>548</v>
      </c>
      <c r="N388" s="11">
        <f t="shared" si="1"/>
        <v>420</v>
      </c>
    </row>
    <row r="389">
      <c r="I389" s="13" t="str">
        <f>IFERROR(__xludf.DUMMYFUNCTION("""COMPUTED_VALUE"""),"172882636630076_401104991611623")</f>
        <v>172882636630076_401104991611623</v>
      </c>
      <c r="J389" s="11">
        <f>IFERROR(__xludf.DUMMYFUNCTION("""COMPUTED_VALUE"""),549.0)</f>
        <v>549</v>
      </c>
      <c r="K389" s="11">
        <f>IFERROR(__xludf.DUMMYFUNCTION("""COMPUTED_VALUE"""),16.0)</f>
        <v>16</v>
      </c>
      <c r="L389" s="11">
        <f>IFERROR(__xludf.DUMMYFUNCTION("""COMPUTED_VALUE"""),48.0)</f>
        <v>48</v>
      </c>
      <c r="M389" s="11">
        <f>IFERROR(__xludf.DUMMYFUNCTION("""COMPUTED_VALUE"""),556.0)</f>
        <v>556</v>
      </c>
      <c r="N389" s="11">
        <f t="shared" si="1"/>
        <v>613</v>
      </c>
    </row>
    <row r="390">
      <c r="I390" s="13" t="str">
        <f>IFERROR(__xludf.DUMMYFUNCTION("""COMPUTED_VALUE"""),"172882636630076_1020158005235864")</f>
        <v>172882636630076_1020158005235864</v>
      </c>
      <c r="J390" s="11">
        <f>IFERROR(__xludf.DUMMYFUNCTION("""COMPUTED_VALUE"""),1066.0)</f>
        <v>1066</v>
      </c>
      <c r="K390" s="11">
        <f>IFERROR(__xludf.DUMMYFUNCTION("""COMPUTED_VALUE"""),15.0)</f>
        <v>15</v>
      </c>
      <c r="L390" s="11">
        <f>IFERROR(__xludf.DUMMYFUNCTION("""COMPUTED_VALUE"""),58.0)</f>
        <v>58</v>
      </c>
      <c r="M390" s="11">
        <f>IFERROR(__xludf.DUMMYFUNCTION("""COMPUTED_VALUE"""),559.0)</f>
        <v>559</v>
      </c>
      <c r="N390" s="11">
        <f t="shared" si="1"/>
        <v>1139</v>
      </c>
    </row>
    <row r="391">
      <c r="I391" s="13" t="str">
        <f>IFERROR(__xludf.DUMMYFUNCTION("""COMPUTED_VALUE"""),"172882636630076_973652123219786")</f>
        <v>172882636630076_973652123219786</v>
      </c>
      <c r="J391" s="11">
        <f>IFERROR(__xludf.DUMMYFUNCTION("""COMPUTED_VALUE"""),642.0)</f>
        <v>642</v>
      </c>
      <c r="K391" s="11">
        <f>IFERROR(__xludf.DUMMYFUNCTION("""COMPUTED_VALUE"""),7.0)</f>
        <v>7</v>
      </c>
      <c r="L391" s="11">
        <f>IFERROR(__xludf.DUMMYFUNCTION("""COMPUTED_VALUE"""),33.0)</f>
        <v>33</v>
      </c>
      <c r="M391" s="11">
        <f>IFERROR(__xludf.DUMMYFUNCTION("""COMPUTED_VALUE"""),561.0)</f>
        <v>561</v>
      </c>
      <c r="N391" s="11">
        <f t="shared" si="1"/>
        <v>682</v>
      </c>
    </row>
    <row r="392">
      <c r="I392" s="13" t="str">
        <f>IFERROR(__xludf.DUMMYFUNCTION("""COMPUTED_VALUE"""),"172882636630076_972919619959703")</f>
        <v>172882636630076_972919619959703</v>
      </c>
      <c r="J392" s="11">
        <f>IFERROR(__xludf.DUMMYFUNCTION("""COMPUTED_VALUE"""),74.0)</f>
        <v>74</v>
      </c>
      <c r="K392" s="11">
        <f>IFERROR(__xludf.DUMMYFUNCTION("""COMPUTED_VALUE"""),3.0)</f>
        <v>3</v>
      </c>
      <c r="L392" s="11"/>
      <c r="M392" s="11">
        <f>IFERROR(__xludf.DUMMYFUNCTION("""COMPUTED_VALUE"""),564.0)</f>
        <v>564</v>
      </c>
      <c r="N392" s="11">
        <f t="shared" si="1"/>
        <v>77</v>
      </c>
    </row>
    <row r="393">
      <c r="I393" s="13" t="str">
        <f>IFERROR(__xludf.DUMMYFUNCTION("""COMPUTED_VALUE"""),"172882636630076_974967039754961")</f>
        <v>172882636630076_974967039754961</v>
      </c>
      <c r="J393" s="11">
        <f>IFERROR(__xludf.DUMMYFUNCTION("""COMPUTED_VALUE"""),597.0)</f>
        <v>597</v>
      </c>
      <c r="K393" s="11">
        <f>IFERROR(__xludf.DUMMYFUNCTION("""COMPUTED_VALUE"""),10.0)</f>
        <v>10</v>
      </c>
      <c r="L393" s="11">
        <f>IFERROR(__xludf.DUMMYFUNCTION("""COMPUTED_VALUE"""),14.0)</f>
        <v>14</v>
      </c>
      <c r="M393" s="11">
        <f>IFERROR(__xludf.DUMMYFUNCTION("""COMPUTED_VALUE"""),567.0)</f>
        <v>567</v>
      </c>
      <c r="N393" s="11">
        <f t="shared" si="1"/>
        <v>621</v>
      </c>
    </row>
    <row r="394">
      <c r="I394" s="13" t="str">
        <f>IFERROR(__xludf.DUMMYFUNCTION("""COMPUTED_VALUE"""),"172882636630076_982766825641649")</f>
        <v>172882636630076_982766825641649</v>
      </c>
      <c r="J394" s="11">
        <f>IFERROR(__xludf.DUMMYFUNCTION("""COMPUTED_VALUE"""),518.0)</f>
        <v>518</v>
      </c>
      <c r="K394" s="11">
        <f>IFERROR(__xludf.DUMMYFUNCTION("""COMPUTED_VALUE"""),6.0)</f>
        <v>6</v>
      </c>
      <c r="L394" s="11">
        <f>IFERROR(__xludf.DUMMYFUNCTION("""COMPUTED_VALUE"""),15.0)</f>
        <v>15</v>
      </c>
      <c r="M394" s="11">
        <f>IFERROR(__xludf.DUMMYFUNCTION("""COMPUTED_VALUE"""),579.0)</f>
        <v>579</v>
      </c>
      <c r="N394" s="11">
        <f t="shared" si="1"/>
        <v>539</v>
      </c>
    </row>
    <row r="395">
      <c r="I395" s="13" t="str">
        <f>IFERROR(__xludf.DUMMYFUNCTION("""COMPUTED_VALUE"""),"172882636630076_992517154666616")</f>
        <v>172882636630076_992517154666616</v>
      </c>
      <c r="J395" s="11">
        <f>IFERROR(__xludf.DUMMYFUNCTION("""COMPUTED_VALUE"""),1570.0)</f>
        <v>1570</v>
      </c>
      <c r="K395" s="11">
        <f>IFERROR(__xludf.DUMMYFUNCTION("""COMPUTED_VALUE"""),20.0)</f>
        <v>20</v>
      </c>
      <c r="L395" s="11">
        <f>IFERROR(__xludf.DUMMYFUNCTION("""COMPUTED_VALUE"""),69.0)</f>
        <v>69</v>
      </c>
      <c r="M395" s="11">
        <f>IFERROR(__xludf.DUMMYFUNCTION("""COMPUTED_VALUE"""),582.0)</f>
        <v>582</v>
      </c>
      <c r="N395" s="11">
        <f t="shared" si="1"/>
        <v>1659</v>
      </c>
    </row>
    <row r="396">
      <c r="I396" s="13" t="str">
        <f>IFERROR(__xludf.DUMMYFUNCTION("""COMPUTED_VALUE"""),"172882636630076_1020635191854812")</f>
        <v>172882636630076_1020635191854812</v>
      </c>
      <c r="J396" s="11">
        <f>IFERROR(__xludf.DUMMYFUNCTION("""COMPUTED_VALUE"""),107.0)</f>
        <v>107</v>
      </c>
      <c r="K396" s="11">
        <f>IFERROR(__xludf.DUMMYFUNCTION("""COMPUTED_VALUE"""),1.0)</f>
        <v>1</v>
      </c>
      <c r="L396" s="11">
        <f>IFERROR(__xludf.DUMMYFUNCTION("""COMPUTED_VALUE"""),9.0)</f>
        <v>9</v>
      </c>
      <c r="M396" s="11">
        <f>IFERROR(__xludf.DUMMYFUNCTION("""COMPUTED_VALUE"""),586.0)</f>
        <v>586</v>
      </c>
      <c r="N396" s="11">
        <f t="shared" si="1"/>
        <v>117</v>
      </c>
    </row>
    <row r="397">
      <c r="I397" s="13" t="str">
        <f>IFERROR(__xludf.DUMMYFUNCTION("""COMPUTED_VALUE"""),"172882636630076_994303424487989")</f>
        <v>172882636630076_994303424487989</v>
      </c>
      <c r="J397" s="11">
        <f>IFERROR(__xludf.DUMMYFUNCTION("""COMPUTED_VALUE"""),3060.0)</f>
        <v>3060</v>
      </c>
      <c r="K397" s="11">
        <f>IFERROR(__xludf.DUMMYFUNCTION("""COMPUTED_VALUE"""),40.0)</f>
        <v>40</v>
      </c>
      <c r="L397" s="11">
        <f>IFERROR(__xludf.DUMMYFUNCTION("""COMPUTED_VALUE"""),67.0)</f>
        <v>67</v>
      </c>
      <c r="M397" s="11">
        <f>IFERROR(__xludf.DUMMYFUNCTION("""COMPUTED_VALUE"""),590.0)</f>
        <v>590</v>
      </c>
      <c r="N397" s="11">
        <f t="shared" si="1"/>
        <v>3167</v>
      </c>
    </row>
    <row r="398">
      <c r="I398" s="13" t="str">
        <f>IFERROR(__xludf.DUMMYFUNCTION("""COMPUTED_VALUE"""),"740460599475760_1923251744529967")</f>
        <v>740460599475760_1923251744529967</v>
      </c>
      <c r="J398" s="11">
        <f>IFERROR(__xludf.DUMMYFUNCTION("""COMPUTED_VALUE"""),2142.0)</f>
        <v>2142</v>
      </c>
      <c r="K398" s="11">
        <f>IFERROR(__xludf.DUMMYFUNCTION("""COMPUTED_VALUE"""),253.0)</f>
        <v>253</v>
      </c>
      <c r="L398" s="11">
        <f>IFERROR(__xludf.DUMMYFUNCTION("""COMPUTED_VALUE"""),52.0)</f>
        <v>52</v>
      </c>
      <c r="M398" s="11">
        <f>IFERROR(__xludf.DUMMYFUNCTION("""COMPUTED_VALUE"""),598.0)</f>
        <v>598</v>
      </c>
      <c r="N398" s="11">
        <f t="shared" si="1"/>
        <v>2447</v>
      </c>
    </row>
    <row r="399">
      <c r="I399" s="13" t="str">
        <f>IFERROR(__xludf.DUMMYFUNCTION("""COMPUTED_VALUE"""),"740460599475760_1921992781322530")</f>
        <v>740460599475760_1921992781322530</v>
      </c>
      <c r="J399" s="11">
        <f>IFERROR(__xludf.DUMMYFUNCTION("""COMPUTED_VALUE"""),311.0)</f>
        <v>311</v>
      </c>
      <c r="K399" s="11">
        <f>IFERROR(__xludf.DUMMYFUNCTION("""COMPUTED_VALUE"""),52.0)</f>
        <v>52</v>
      </c>
      <c r="L399" s="11">
        <f>IFERROR(__xludf.DUMMYFUNCTION("""COMPUTED_VALUE"""),3.0)</f>
        <v>3</v>
      </c>
      <c r="M399" s="11">
        <f>IFERROR(__xludf.DUMMYFUNCTION("""COMPUTED_VALUE"""),602.0)</f>
        <v>602</v>
      </c>
      <c r="N399" s="11">
        <f t="shared" si="1"/>
        <v>366</v>
      </c>
    </row>
    <row r="400">
      <c r="I400" s="13" t="str">
        <f>IFERROR(__xludf.DUMMYFUNCTION("""COMPUTED_VALUE"""),"172882636630076_974324759819189")</f>
        <v>172882636630076_974324759819189</v>
      </c>
      <c r="J400" s="11">
        <f>IFERROR(__xludf.DUMMYFUNCTION("""COMPUTED_VALUE"""),148.0)</f>
        <v>148</v>
      </c>
      <c r="K400" s="11">
        <f>IFERROR(__xludf.DUMMYFUNCTION("""COMPUTED_VALUE"""),0.0)</f>
        <v>0</v>
      </c>
      <c r="L400" s="11">
        <f>IFERROR(__xludf.DUMMYFUNCTION("""COMPUTED_VALUE"""),2.0)</f>
        <v>2</v>
      </c>
      <c r="M400" s="11">
        <f>IFERROR(__xludf.DUMMYFUNCTION("""COMPUTED_VALUE"""),604.0)</f>
        <v>604</v>
      </c>
      <c r="N400" s="11">
        <f t="shared" si="1"/>
        <v>150</v>
      </c>
    </row>
    <row r="401">
      <c r="I401" s="13" t="str">
        <f>IFERROR(__xludf.DUMMYFUNCTION("""COMPUTED_VALUE"""),"740460599475760_1954317724756702")</f>
        <v>740460599475760_1954317724756702</v>
      </c>
      <c r="J401" s="11">
        <f>IFERROR(__xludf.DUMMYFUNCTION("""COMPUTED_VALUE"""),332.0)</f>
        <v>332</v>
      </c>
      <c r="K401" s="11">
        <f>IFERROR(__xludf.DUMMYFUNCTION("""COMPUTED_VALUE"""),17.0)</f>
        <v>17</v>
      </c>
      <c r="L401" s="11">
        <f>IFERROR(__xludf.DUMMYFUNCTION("""COMPUTED_VALUE"""),3.0)</f>
        <v>3</v>
      </c>
      <c r="M401" s="11">
        <f>IFERROR(__xludf.DUMMYFUNCTION("""COMPUTED_VALUE"""),628.0)</f>
        <v>628</v>
      </c>
      <c r="N401" s="11">
        <f t="shared" si="1"/>
        <v>352</v>
      </c>
    </row>
    <row r="402">
      <c r="I402" s="13" t="str">
        <f>IFERROR(__xludf.DUMMYFUNCTION("""COMPUTED_VALUE"""),"172882636630076_974981129753552")</f>
        <v>172882636630076_974981129753552</v>
      </c>
      <c r="J402" s="11">
        <f>IFERROR(__xludf.DUMMYFUNCTION("""COMPUTED_VALUE"""),465.0)</f>
        <v>465</v>
      </c>
      <c r="K402" s="11">
        <f>IFERROR(__xludf.DUMMYFUNCTION("""COMPUTED_VALUE"""),1.0)</f>
        <v>1</v>
      </c>
      <c r="L402" s="11">
        <f>IFERROR(__xludf.DUMMYFUNCTION("""COMPUTED_VALUE"""),26.0)</f>
        <v>26</v>
      </c>
      <c r="M402" s="11">
        <f>IFERROR(__xludf.DUMMYFUNCTION("""COMPUTED_VALUE"""),631.0)</f>
        <v>631</v>
      </c>
      <c r="N402" s="11">
        <f t="shared" si="1"/>
        <v>492</v>
      </c>
    </row>
    <row r="403">
      <c r="I403" s="13" t="str">
        <f>IFERROR(__xludf.DUMMYFUNCTION("""COMPUTED_VALUE"""),"172882636630076_1014537342464597")</f>
        <v>172882636630076_1014537342464597</v>
      </c>
      <c r="J403" s="11">
        <f>IFERROR(__xludf.DUMMYFUNCTION("""COMPUTED_VALUE"""),906.0)</f>
        <v>906</v>
      </c>
      <c r="K403" s="11">
        <f>IFERROR(__xludf.DUMMYFUNCTION("""COMPUTED_VALUE"""),54.0)</f>
        <v>54</v>
      </c>
      <c r="L403" s="11">
        <f>IFERROR(__xludf.DUMMYFUNCTION("""COMPUTED_VALUE"""),187.0)</f>
        <v>187</v>
      </c>
      <c r="M403" s="11">
        <f>IFERROR(__xludf.DUMMYFUNCTION("""COMPUTED_VALUE"""),633.0)</f>
        <v>633</v>
      </c>
      <c r="N403" s="11">
        <f t="shared" si="1"/>
        <v>1147</v>
      </c>
    </row>
    <row r="404">
      <c r="I404" s="13" t="str">
        <f>IFERROR(__xludf.DUMMYFUNCTION("""COMPUTED_VALUE"""),"740460599475760_1922714304583711")</f>
        <v>740460599475760_1922714304583711</v>
      </c>
      <c r="J404" s="11">
        <f>IFERROR(__xludf.DUMMYFUNCTION("""COMPUTED_VALUE"""),489.0)</f>
        <v>489</v>
      </c>
      <c r="K404" s="11">
        <f>IFERROR(__xludf.DUMMYFUNCTION("""COMPUTED_VALUE"""),18.0)</f>
        <v>18</v>
      </c>
      <c r="L404" s="11">
        <f>IFERROR(__xludf.DUMMYFUNCTION("""COMPUTED_VALUE"""),16.0)</f>
        <v>16</v>
      </c>
      <c r="M404" s="11">
        <f>IFERROR(__xludf.DUMMYFUNCTION("""COMPUTED_VALUE"""),635.0)</f>
        <v>635</v>
      </c>
      <c r="N404" s="11">
        <f t="shared" si="1"/>
        <v>523</v>
      </c>
    </row>
    <row r="405">
      <c r="I405" s="13" t="str">
        <f>IFERROR(__xludf.DUMMYFUNCTION("""COMPUTED_VALUE"""),"172882636630076_1008791016372563")</f>
        <v>172882636630076_1008791016372563</v>
      </c>
      <c r="J405" s="11">
        <f>IFERROR(__xludf.DUMMYFUNCTION("""COMPUTED_VALUE"""),60.0)</f>
        <v>60</v>
      </c>
      <c r="K405" s="11">
        <f>IFERROR(__xludf.DUMMYFUNCTION("""COMPUTED_VALUE"""),0.0)</f>
        <v>0</v>
      </c>
      <c r="L405" s="11">
        <f>IFERROR(__xludf.DUMMYFUNCTION("""COMPUTED_VALUE"""),6.0)</f>
        <v>6</v>
      </c>
      <c r="M405" s="11">
        <f>IFERROR(__xludf.DUMMYFUNCTION("""COMPUTED_VALUE"""),645.0)</f>
        <v>645</v>
      </c>
      <c r="N405" s="11">
        <f t="shared" si="1"/>
        <v>66</v>
      </c>
    </row>
    <row r="406">
      <c r="I406" s="13" t="str">
        <f>IFERROR(__xludf.DUMMYFUNCTION("""COMPUTED_VALUE"""),"172882636630076_976362902948708")</f>
        <v>172882636630076_976362902948708</v>
      </c>
      <c r="J406" s="11">
        <f>IFERROR(__xludf.DUMMYFUNCTION("""COMPUTED_VALUE"""),147.0)</f>
        <v>147</v>
      </c>
      <c r="K406" s="11">
        <f>IFERROR(__xludf.DUMMYFUNCTION("""COMPUTED_VALUE"""),2.0)</f>
        <v>2</v>
      </c>
      <c r="L406" s="11">
        <f>IFERROR(__xludf.DUMMYFUNCTION("""COMPUTED_VALUE"""),2.0)</f>
        <v>2</v>
      </c>
      <c r="M406" s="11">
        <f>IFERROR(__xludf.DUMMYFUNCTION("""COMPUTED_VALUE"""),655.0)</f>
        <v>655</v>
      </c>
      <c r="N406" s="11">
        <f t="shared" si="1"/>
        <v>151</v>
      </c>
    </row>
    <row r="407">
      <c r="I407" s="13" t="str">
        <f>IFERROR(__xludf.DUMMYFUNCTION("""COMPUTED_VALUE"""),"740460599475760_1913537378834737")</f>
        <v>740460599475760_1913537378834737</v>
      </c>
      <c r="J407" s="11">
        <f>IFERROR(__xludf.DUMMYFUNCTION("""COMPUTED_VALUE"""),377.0)</f>
        <v>377</v>
      </c>
      <c r="K407" s="11">
        <f>IFERROR(__xludf.DUMMYFUNCTION("""COMPUTED_VALUE"""),29.0)</f>
        <v>29</v>
      </c>
      <c r="L407" s="11">
        <f>IFERROR(__xludf.DUMMYFUNCTION("""COMPUTED_VALUE"""),10.0)</f>
        <v>10</v>
      </c>
      <c r="M407" s="11">
        <f>IFERROR(__xludf.DUMMYFUNCTION("""COMPUTED_VALUE"""),667.0)</f>
        <v>667</v>
      </c>
      <c r="N407" s="11">
        <f t="shared" si="1"/>
        <v>416</v>
      </c>
    </row>
    <row r="408">
      <c r="I408" s="13" t="str">
        <f>IFERROR(__xludf.DUMMYFUNCTION("""COMPUTED_VALUE"""),"172882636630076_1005758736675791")</f>
        <v>172882636630076_1005758736675791</v>
      </c>
      <c r="J408" s="11">
        <f>IFERROR(__xludf.DUMMYFUNCTION("""COMPUTED_VALUE"""),872.0)</f>
        <v>872</v>
      </c>
      <c r="K408" s="11">
        <f>IFERROR(__xludf.DUMMYFUNCTION("""COMPUTED_VALUE"""),6.0)</f>
        <v>6</v>
      </c>
      <c r="L408" s="11">
        <f>IFERROR(__xludf.DUMMYFUNCTION("""COMPUTED_VALUE"""),33.0)</f>
        <v>33</v>
      </c>
      <c r="M408" s="11">
        <f>IFERROR(__xludf.DUMMYFUNCTION("""COMPUTED_VALUE"""),688.0)</f>
        <v>688</v>
      </c>
      <c r="N408" s="11">
        <f t="shared" si="1"/>
        <v>911</v>
      </c>
    </row>
    <row r="409">
      <c r="F409" s="13"/>
      <c r="G409" s="13"/>
      <c r="H409" s="13"/>
      <c r="I409" s="13" t="str">
        <f>IFERROR(__xludf.DUMMYFUNCTION("""COMPUTED_VALUE"""),"172882636630076_1005813916670273")</f>
        <v>172882636630076_1005813916670273</v>
      </c>
      <c r="J409" s="11">
        <f>IFERROR(__xludf.DUMMYFUNCTION("""COMPUTED_VALUE"""),494.0)</f>
        <v>494</v>
      </c>
      <c r="K409" s="11">
        <f>IFERROR(__xludf.DUMMYFUNCTION("""COMPUTED_VALUE"""),0.0)</f>
        <v>0</v>
      </c>
      <c r="L409" s="11">
        <f>IFERROR(__xludf.DUMMYFUNCTION("""COMPUTED_VALUE"""),13.0)</f>
        <v>13</v>
      </c>
      <c r="M409" s="11">
        <f>IFERROR(__xludf.DUMMYFUNCTION("""COMPUTED_VALUE"""),688.0)</f>
        <v>688</v>
      </c>
      <c r="N409" s="11">
        <f t="shared" si="1"/>
        <v>507</v>
      </c>
    </row>
    <row r="410">
      <c r="I410" s="13" t="str">
        <f>IFERROR(__xludf.DUMMYFUNCTION("""COMPUTED_VALUE"""),"172882636630076_1009374452980886")</f>
        <v>172882636630076_1009374452980886</v>
      </c>
      <c r="J410" s="11">
        <f>IFERROR(__xludf.DUMMYFUNCTION("""COMPUTED_VALUE"""),182.0)</f>
        <v>182</v>
      </c>
      <c r="K410" s="11">
        <f>IFERROR(__xludf.DUMMYFUNCTION("""COMPUTED_VALUE"""),2.0)</f>
        <v>2</v>
      </c>
      <c r="L410" s="11">
        <f>IFERROR(__xludf.DUMMYFUNCTION("""COMPUTED_VALUE"""),2.0)</f>
        <v>2</v>
      </c>
      <c r="M410" s="11">
        <f>IFERROR(__xludf.DUMMYFUNCTION("""COMPUTED_VALUE"""),689.0)</f>
        <v>689</v>
      </c>
      <c r="N410" s="11">
        <f t="shared" si="1"/>
        <v>186</v>
      </c>
    </row>
    <row r="411">
      <c r="I411" s="13" t="str">
        <f>IFERROR(__xludf.DUMMYFUNCTION("""COMPUTED_VALUE"""),"172882636630076_1010225402895791")</f>
        <v>172882636630076_1010225402895791</v>
      </c>
      <c r="J411" s="11">
        <f>IFERROR(__xludf.DUMMYFUNCTION("""COMPUTED_VALUE"""),381.0)</f>
        <v>381</v>
      </c>
      <c r="K411" s="11">
        <f>IFERROR(__xludf.DUMMYFUNCTION("""COMPUTED_VALUE"""),3.0)</f>
        <v>3</v>
      </c>
      <c r="L411" s="11">
        <f>IFERROR(__xludf.DUMMYFUNCTION("""COMPUTED_VALUE"""),9.0)</f>
        <v>9</v>
      </c>
      <c r="M411" s="11">
        <f>IFERROR(__xludf.DUMMYFUNCTION("""COMPUTED_VALUE"""),690.0)</f>
        <v>690</v>
      </c>
      <c r="N411" s="11">
        <f t="shared" si="1"/>
        <v>393</v>
      </c>
    </row>
    <row r="412">
      <c r="I412" s="13" t="str">
        <f>IFERROR(__xludf.DUMMYFUNCTION("""COMPUTED_VALUE"""),"172882636630076_1010219899563008")</f>
        <v>172882636630076_1010219899563008</v>
      </c>
      <c r="J412" s="11">
        <f>IFERROR(__xludf.DUMMYFUNCTION("""COMPUTED_VALUE"""),199.0)</f>
        <v>199</v>
      </c>
      <c r="K412" s="11">
        <f>IFERROR(__xludf.DUMMYFUNCTION("""COMPUTED_VALUE"""),0.0)</f>
        <v>0</v>
      </c>
      <c r="L412" s="11">
        <f>IFERROR(__xludf.DUMMYFUNCTION("""COMPUTED_VALUE"""),16.0)</f>
        <v>16</v>
      </c>
      <c r="M412" s="11">
        <f>IFERROR(__xludf.DUMMYFUNCTION("""COMPUTED_VALUE"""),712.0)</f>
        <v>712</v>
      </c>
      <c r="N412" s="11">
        <f t="shared" si="1"/>
        <v>215</v>
      </c>
    </row>
    <row r="413">
      <c r="I413" s="13" t="str">
        <f>IFERROR(__xludf.DUMMYFUNCTION("""COMPUTED_VALUE"""),"172882636630076_1018687355382929")</f>
        <v>172882636630076_1018687355382929</v>
      </c>
      <c r="J413" s="11">
        <f>IFERROR(__xludf.DUMMYFUNCTION("""COMPUTED_VALUE"""),81.0)</f>
        <v>81</v>
      </c>
      <c r="K413" s="11">
        <f>IFERROR(__xludf.DUMMYFUNCTION("""COMPUTED_VALUE"""),0.0)</f>
        <v>0</v>
      </c>
      <c r="L413" s="11"/>
      <c r="M413" s="11">
        <f>IFERROR(__xludf.DUMMYFUNCTION("""COMPUTED_VALUE"""),715.0)</f>
        <v>715</v>
      </c>
      <c r="N413" s="11">
        <f t="shared" si="1"/>
        <v>81</v>
      </c>
    </row>
    <row r="414">
      <c r="I414" s="13" t="str">
        <f>IFERROR(__xludf.DUMMYFUNCTION("""COMPUTED_VALUE"""),"740460599475760_1922684047920070")</f>
        <v>740460599475760_1922684047920070</v>
      </c>
      <c r="J414" s="11">
        <f>IFERROR(__xludf.DUMMYFUNCTION("""COMPUTED_VALUE"""),349.0)</f>
        <v>349</v>
      </c>
      <c r="K414" s="11">
        <f>IFERROR(__xludf.DUMMYFUNCTION("""COMPUTED_VALUE"""),47.0)</f>
        <v>47</v>
      </c>
      <c r="L414" s="11">
        <f>IFERROR(__xludf.DUMMYFUNCTION("""COMPUTED_VALUE"""),8.0)</f>
        <v>8</v>
      </c>
      <c r="M414" s="11">
        <f>IFERROR(__xludf.DUMMYFUNCTION("""COMPUTED_VALUE"""),727.0)</f>
        <v>727</v>
      </c>
      <c r="N414" s="11">
        <f t="shared" si="1"/>
        <v>404</v>
      </c>
    </row>
    <row r="415">
      <c r="I415" s="13" t="str">
        <f>IFERROR(__xludf.DUMMYFUNCTION("""COMPUTED_VALUE"""),"172882636630076_1020152101903121")</f>
        <v>172882636630076_1020152101903121</v>
      </c>
      <c r="J415" s="11">
        <f>IFERROR(__xludf.DUMMYFUNCTION("""COMPUTED_VALUE"""),28953.0)</f>
        <v>28953</v>
      </c>
      <c r="K415" s="11">
        <f>IFERROR(__xludf.DUMMYFUNCTION("""COMPUTED_VALUE"""),61.0)</f>
        <v>61</v>
      </c>
      <c r="L415" s="11">
        <f>IFERROR(__xludf.DUMMYFUNCTION("""COMPUTED_VALUE"""),437.0)</f>
        <v>437</v>
      </c>
      <c r="M415" s="11">
        <f>IFERROR(__xludf.DUMMYFUNCTION("""COMPUTED_VALUE"""),727.0)</f>
        <v>727</v>
      </c>
      <c r="N415" s="11">
        <f t="shared" si="1"/>
        <v>29451</v>
      </c>
    </row>
    <row r="416">
      <c r="I416" s="13" t="str">
        <f>IFERROR(__xludf.DUMMYFUNCTION("""COMPUTED_VALUE"""),"172882636630076_1017030578881940")</f>
        <v>172882636630076_1017030578881940</v>
      </c>
      <c r="J416" s="11">
        <f>IFERROR(__xludf.DUMMYFUNCTION("""COMPUTED_VALUE"""),238.0)</f>
        <v>238</v>
      </c>
      <c r="K416" s="11">
        <f>IFERROR(__xludf.DUMMYFUNCTION("""COMPUTED_VALUE"""),0.0)</f>
        <v>0</v>
      </c>
      <c r="L416" s="11">
        <f>IFERROR(__xludf.DUMMYFUNCTION("""COMPUTED_VALUE"""),8.0)</f>
        <v>8</v>
      </c>
      <c r="M416" s="11">
        <f>IFERROR(__xludf.DUMMYFUNCTION("""COMPUTED_VALUE"""),737.0)</f>
        <v>737</v>
      </c>
      <c r="N416" s="11">
        <f t="shared" si="1"/>
        <v>246</v>
      </c>
    </row>
    <row r="417">
      <c r="I417" s="13" t="str">
        <f>IFERROR(__xludf.DUMMYFUNCTION("""COMPUTED_VALUE"""),"172882636630076_1014949152423416")</f>
        <v>172882636630076_1014949152423416</v>
      </c>
      <c r="J417" s="11">
        <f>IFERROR(__xludf.DUMMYFUNCTION("""COMPUTED_VALUE"""),583.0)</f>
        <v>583</v>
      </c>
      <c r="K417" s="11">
        <f>IFERROR(__xludf.DUMMYFUNCTION("""COMPUTED_VALUE"""),0.0)</f>
        <v>0</v>
      </c>
      <c r="L417" s="11">
        <f>IFERROR(__xludf.DUMMYFUNCTION("""COMPUTED_VALUE"""),8.0)</f>
        <v>8</v>
      </c>
      <c r="M417" s="11">
        <f>IFERROR(__xludf.DUMMYFUNCTION("""COMPUTED_VALUE"""),740.0)</f>
        <v>740</v>
      </c>
      <c r="N417" s="11">
        <f t="shared" si="1"/>
        <v>591</v>
      </c>
    </row>
    <row r="418">
      <c r="I418" s="13" t="str">
        <f>IFERROR(__xludf.DUMMYFUNCTION("""COMPUTED_VALUE"""),"172882636630076_976953709556294")</f>
        <v>172882636630076_976953709556294</v>
      </c>
      <c r="J418" s="11">
        <f>IFERROR(__xludf.DUMMYFUNCTION("""COMPUTED_VALUE"""),1613.0)</f>
        <v>1613</v>
      </c>
      <c r="K418" s="11">
        <f>IFERROR(__xludf.DUMMYFUNCTION("""COMPUTED_VALUE"""),4.0)</f>
        <v>4</v>
      </c>
      <c r="L418" s="11">
        <f>IFERROR(__xludf.DUMMYFUNCTION("""COMPUTED_VALUE"""),30.0)</f>
        <v>30</v>
      </c>
      <c r="M418" s="11">
        <f>IFERROR(__xludf.DUMMYFUNCTION("""COMPUTED_VALUE"""),741.0)</f>
        <v>741</v>
      </c>
      <c r="N418" s="11">
        <f t="shared" si="1"/>
        <v>1647</v>
      </c>
    </row>
    <row r="419">
      <c r="I419" s="13" t="str">
        <f>IFERROR(__xludf.DUMMYFUNCTION("""COMPUTED_VALUE"""),"172882636630076_1020170918567906")</f>
        <v>172882636630076_1020170918567906</v>
      </c>
      <c r="J419" s="11">
        <f>IFERROR(__xludf.DUMMYFUNCTION("""COMPUTED_VALUE"""),2992.0)</f>
        <v>2992</v>
      </c>
      <c r="K419" s="11">
        <f>IFERROR(__xludf.DUMMYFUNCTION("""COMPUTED_VALUE"""),21.0)</f>
        <v>21</v>
      </c>
      <c r="L419" s="11">
        <f>IFERROR(__xludf.DUMMYFUNCTION("""COMPUTED_VALUE"""),56.0)</f>
        <v>56</v>
      </c>
      <c r="M419" s="11">
        <f>IFERROR(__xludf.DUMMYFUNCTION("""COMPUTED_VALUE"""),742.0)</f>
        <v>742</v>
      </c>
      <c r="N419" s="11">
        <f t="shared" si="1"/>
        <v>3069</v>
      </c>
    </row>
    <row r="420">
      <c r="I420" s="13" t="str">
        <f>IFERROR(__xludf.DUMMYFUNCTION("""COMPUTED_VALUE"""),"740460599475760_1948421818679626")</f>
        <v>740460599475760_1948421818679626</v>
      </c>
      <c r="J420" s="11">
        <f>IFERROR(__xludf.DUMMYFUNCTION("""COMPUTED_VALUE"""),747.0)</f>
        <v>747</v>
      </c>
      <c r="K420" s="11">
        <f>IFERROR(__xludf.DUMMYFUNCTION("""COMPUTED_VALUE"""),222.0)</f>
        <v>222</v>
      </c>
      <c r="L420" s="11">
        <f>IFERROR(__xludf.DUMMYFUNCTION("""COMPUTED_VALUE"""),57.0)</f>
        <v>57</v>
      </c>
      <c r="M420" s="11">
        <f>IFERROR(__xludf.DUMMYFUNCTION("""COMPUTED_VALUE"""),758.0)</f>
        <v>758</v>
      </c>
      <c r="N420" s="11">
        <f t="shared" si="1"/>
        <v>1026</v>
      </c>
    </row>
    <row r="421">
      <c r="I421" s="13" t="str">
        <f>IFERROR(__xludf.DUMMYFUNCTION("""COMPUTED_VALUE"""),"740460599475760_1919541568234318")</f>
        <v>740460599475760_1919541568234318</v>
      </c>
      <c r="J421" s="11">
        <f>IFERROR(__xludf.DUMMYFUNCTION("""COMPUTED_VALUE"""),506.0)</f>
        <v>506</v>
      </c>
      <c r="K421" s="11">
        <f>IFERROR(__xludf.DUMMYFUNCTION("""COMPUTED_VALUE"""),36.0)</f>
        <v>36</v>
      </c>
      <c r="L421" s="11">
        <f>IFERROR(__xludf.DUMMYFUNCTION("""COMPUTED_VALUE"""),21.0)</f>
        <v>21</v>
      </c>
      <c r="M421" s="11">
        <f>IFERROR(__xludf.DUMMYFUNCTION("""COMPUTED_VALUE"""),767.0)</f>
        <v>767</v>
      </c>
      <c r="N421" s="11">
        <f t="shared" si="1"/>
        <v>563</v>
      </c>
    </row>
    <row r="422">
      <c r="I422" s="13" t="str">
        <f>IFERROR(__xludf.DUMMYFUNCTION("""COMPUTED_VALUE"""),"740460599475760_1919542078234267")</f>
        <v>740460599475760_1919542078234267</v>
      </c>
      <c r="J422" s="11">
        <f>IFERROR(__xludf.DUMMYFUNCTION("""COMPUTED_VALUE"""),305.0)</f>
        <v>305</v>
      </c>
      <c r="K422" s="11">
        <f>IFERROR(__xludf.DUMMYFUNCTION("""COMPUTED_VALUE"""),23.0)</f>
        <v>23</v>
      </c>
      <c r="L422" s="11">
        <f>IFERROR(__xludf.DUMMYFUNCTION("""COMPUTED_VALUE"""),12.0)</f>
        <v>12</v>
      </c>
      <c r="M422" s="11">
        <f>IFERROR(__xludf.DUMMYFUNCTION("""COMPUTED_VALUE"""),767.0)</f>
        <v>767</v>
      </c>
      <c r="N422" s="11">
        <f t="shared" si="1"/>
        <v>340</v>
      </c>
    </row>
    <row r="423">
      <c r="I423" s="13" t="str">
        <f>IFERROR(__xludf.DUMMYFUNCTION("""COMPUTED_VALUE"""),"172882636630076_973095346608797")</f>
        <v>172882636630076_973095346608797</v>
      </c>
      <c r="J423" s="11">
        <f>IFERROR(__xludf.DUMMYFUNCTION("""COMPUTED_VALUE"""),165.0)</f>
        <v>165</v>
      </c>
      <c r="K423" s="11">
        <f>IFERROR(__xludf.DUMMYFUNCTION("""COMPUTED_VALUE"""),0.0)</f>
        <v>0</v>
      </c>
      <c r="L423" s="11">
        <f>IFERROR(__xludf.DUMMYFUNCTION("""COMPUTED_VALUE"""),3.0)</f>
        <v>3</v>
      </c>
      <c r="M423" s="11">
        <f>IFERROR(__xludf.DUMMYFUNCTION("""COMPUTED_VALUE"""),768.0)</f>
        <v>768</v>
      </c>
      <c r="N423" s="11">
        <f t="shared" si="1"/>
        <v>168</v>
      </c>
    </row>
    <row r="424">
      <c r="I424" s="13" t="str">
        <f>IFERROR(__xludf.DUMMYFUNCTION("""COMPUTED_VALUE"""),"172882636630076_971543223430676")</f>
        <v>172882636630076_971543223430676</v>
      </c>
      <c r="J424" s="11">
        <f>IFERROR(__xludf.DUMMYFUNCTION("""COMPUTED_VALUE"""),483.0)</f>
        <v>483</v>
      </c>
      <c r="K424" s="11">
        <f>IFERROR(__xludf.DUMMYFUNCTION("""COMPUTED_VALUE"""),7.0)</f>
        <v>7</v>
      </c>
      <c r="L424" s="11">
        <f>IFERROR(__xludf.DUMMYFUNCTION("""COMPUTED_VALUE"""),5.0)</f>
        <v>5</v>
      </c>
      <c r="M424" s="11">
        <f>IFERROR(__xludf.DUMMYFUNCTION("""COMPUTED_VALUE"""),784.0)</f>
        <v>784</v>
      </c>
      <c r="N424" s="11">
        <f t="shared" si="1"/>
        <v>495</v>
      </c>
    </row>
    <row r="425">
      <c r="I425" s="13" t="str">
        <f>IFERROR(__xludf.DUMMYFUNCTION("""COMPUTED_VALUE"""),"172882636630076_970945460157119")</f>
        <v>172882636630076_970945460157119</v>
      </c>
      <c r="J425" s="11">
        <f>IFERROR(__xludf.DUMMYFUNCTION("""COMPUTED_VALUE"""),5203.0)</f>
        <v>5203</v>
      </c>
      <c r="K425" s="11">
        <f>IFERROR(__xludf.DUMMYFUNCTION("""COMPUTED_VALUE"""),55.0)</f>
        <v>55</v>
      </c>
      <c r="L425" s="11">
        <f>IFERROR(__xludf.DUMMYFUNCTION("""COMPUTED_VALUE"""),545.0)</f>
        <v>545</v>
      </c>
      <c r="M425" s="11">
        <f>IFERROR(__xludf.DUMMYFUNCTION("""COMPUTED_VALUE"""),786.0)</f>
        <v>786</v>
      </c>
      <c r="N425" s="11">
        <f t="shared" si="1"/>
        <v>5803</v>
      </c>
    </row>
    <row r="426">
      <c r="I426" s="13" t="str">
        <f>IFERROR(__xludf.DUMMYFUNCTION("""COMPUTED_VALUE"""),"740460599475760_1913685608819914")</f>
        <v>740460599475760_1913685608819914</v>
      </c>
      <c r="J426" s="11">
        <f>IFERROR(__xludf.DUMMYFUNCTION("""COMPUTED_VALUE"""),11193.0)</f>
        <v>11193</v>
      </c>
      <c r="K426" s="11">
        <f>IFERROR(__xludf.DUMMYFUNCTION("""COMPUTED_VALUE"""),1187.0)</f>
        <v>1187</v>
      </c>
      <c r="L426" s="11">
        <f>IFERROR(__xludf.DUMMYFUNCTION("""COMPUTED_VALUE"""),387.0)</f>
        <v>387</v>
      </c>
      <c r="M426" s="11">
        <f>IFERROR(__xludf.DUMMYFUNCTION("""COMPUTED_VALUE"""),794.0)</f>
        <v>794</v>
      </c>
      <c r="N426" s="11">
        <f t="shared" si="1"/>
        <v>12767</v>
      </c>
    </row>
    <row r="427">
      <c r="I427" s="13" t="str">
        <f>IFERROR(__xludf.DUMMYFUNCTION("""COMPUTED_VALUE"""),"172882636630076_1003683373549994")</f>
        <v>172882636630076_1003683373549994</v>
      </c>
      <c r="J427" s="11">
        <f>IFERROR(__xludf.DUMMYFUNCTION("""COMPUTED_VALUE"""),231.0)</f>
        <v>231</v>
      </c>
      <c r="K427" s="11">
        <f>IFERROR(__xludf.DUMMYFUNCTION("""COMPUTED_VALUE"""),0.0)</f>
        <v>0</v>
      </c>
      <c r="L427" s="11">
        <f>IFERROR(__xludf.DUMMYFUNCTION("""COMPUTED_VALUE"""),9.0)</f>
        <v>9</v>
      </c>
      <c r="M427" s="11">
        <f>IFERROR(__xludf.DUMMYFUNCTION("""COMPUTED_VALUE"""),794.0)</f>
        <v>794</v>
      </c>
      <c r="N427" s="11">
        <f t="shared" si="1"/>
        <v>240</v>
      </c>
    </row>
    <row r="428">
      <c r="I428" s="13" t="str">
        <f>IFERROR(__xludf.DUMMYFUNCTION("""COMPUTED_VALUE"""),"172882636630076_971000823484916")</f>
        <v>172882636630076_971000823484916</v>
      </c>
      <c r="J428" s="11">
        <f>IFERROR(__xludf.DUMMYFUNCTION("""COMPUTED_VALUE"""),3015.0)</f>
        <v>3015</v>
      </c>
      <c r="K428" s="11">
        <f>IFERROR(__xludf.DUMMYFUNCTION("""COMPUTED_VALUE"""),43.0)</f>
        <v>43</v>
      </c>
      <c r="L428" s="11">
        <f>IFERROR(__xludf.DUMMYFUNCTION("""COMPUTED_VALUE"""),130.0)</f>
        <v>130</v>
      </c>
      <c r="M428" s="11">
        <f>IFERROR(__xludf.DUMMYFUNCTION("""COMPUTED_VALUE"""),799.0)</f>
        <v>799</v>
      </c>
      <c r="N428" s="11">
        <f t="shared" si="1"/>
        <v>3188</v>
      </c>
    </row>
    <row r="429">
      <c r="I429" s="13" t="str">
        <f>IFERROR(__xludf.DUMMYFUNCTION("""COMPUTED_VALUE"""),"740460599475760_1921988727989602")</f>
        <v>740460599475760_1921988727989602</v>
      </c>
      <c r="J429" s="11">
        <f>IFERROR(__xludf.DUMMYFUNCTION("""COMPUTED_VALUE"""),347.0)</f>
        <v>347</v>
      </c>
      <c r="K429" s="11">
        <f>IFERROR(__xludf.DUMMYFUNCTION("""COMPUTED_VALUE"""),41.0)</f>
        <v>41</v>
      </c>
      <c r="L429" s="11">
        <f>IFERROR(__xludf.DUMMYFUNCTION("""COMPUTED_VALUE"""),21.0)</f>
        <v>21</v>
      </c>
      <c r="M429" s="11">
        <f>IFERROR(__xludf.DUMMYFUNCTION("""COMPUTED_VALUE"""),801.0)</f>
        <v>801</v>
      </c>
      <c r="N429" s="11">
        <f t="shared" si="1"/>
        <v>409</v>
      </c>
    </row>
    <row r="430">
      <c r="I430" s="13" t="str">
        <f>IFERROR(__xludf.DUMMYFUNCTION("""COMPUTED_VALUE"""),"172882636630076_970942463490752")</f>
        <v>172882636630076_970942463490752</v>
      </c>
      <c r="J430" s="11">
        <f>IFERROR(__xludf.DUMMYFUNCTION("""COMPUTED_VALUE"""),1049.0)</f>
        <v>1049</v>
      </c>
      <c r="K430" s="11">
        <f>IFERROR(__xludf.DUMMYFUNCTION("""COMPUTED_VALUE"""),27.0)</f>
        <v>27</v>
      </c>
      <c r="L430" s="11">
        <f>IFERROR(__xludf.DUMMYFUNCTION("""COMPUTED_VALUE"""),14.0)</f>
        <v>14</v>
      </c>
      <c r="M430" s="11">
        <f>IFERROR(__xludf.DUMMYFUNCTION("""COMPUTED_VALUE"""),803.0)</f>
        <v>803</v>
      </c>
      <c r="N430" s="11">
        <f t="shared" si="1"/>
        <v>1090</v>
      </c>
    </row>
    <row r="431">
      <c r="I431" s="13" t="str">
        <f>IFERROR(__xludf.DUMMYFUNCTION("""COMPUTED_VALUE"""),"740460599475760_1920949781426830")</f>
        <v>740460599475760_1920949781426830</v>
      </c>
      <c r="J431" s="11">
        <f>IFERROR(__xludf.DUMMYFUNCTION("""COMPUTED_VALUE"""),332.0)</f>
        <v>332</v>
      </c>
      <c r="K431" s="11">
        <f>IFERROR(__xludf.DUMMYFUNCTION("""COMPUTED_VALUE"""),35.0)</f>
        <v>35</v>
      </c>
      <c r="L431" s="11">
        <f>IFERROR(__xludf.DUMMYFUNCTION("""COMPUTED_VALUE"""),7.0)</f>
        <v>7</v>
      </c>
      <c r="M431" s="11">
        <f>IFERROR(__xludf.DUMMYFUNCTION("""COMPUTED_VALUE"""),809.0)</f>
        <v>809</v>
      </c>
      <c r="N431" s="11">
        <f t="shared" si="1"/>
        <v>374</v>
      </c>
    </row>
    <row r="432">
      <c r="I432" s="13" t="str">
        <f>IFERROR(__xludf.DUMMYFUNCTION("""COMPUTED_VALUE"""),"172882636630076_1023655268219471")</f>
        <v>172882636630076_1023655268219471</v>
      </c>
      <c r="J432" s="11">
        <f>IFERROR(__xludf.DUMMYFUNCTION("""COMPUTED_VALUE"""),249.0)</f>
        <v>249</v>
      </c>
      <c r="K432" s="11">
        <f>IFERROR(__xludf.DUMMYFUNCTION("""COMPUTED_VALUE"""),4.0)</f>
        <v>4</v>
      </c>
      <c r="L432" s="11">
        <f>IFERROR(__xludf.DUMMYFUNCTION("""COMPUTED_VALUE"""),6.0)</f>
        <v>6</v>
      </c>
      <c r="M432" s="11">
        <f>IFERROR(__xludf.DUMMYFUNCTION("""COMPUTED_VALUE"""),821.0)</f>
        <v>821</v>
      </c>
      <c r="N432" s="11">
        <f t="shared" si="1"/>
        <v>259</v>
      </c>
    </row>
    <row r="433">
      <c r="I433" s="13" t="str">
        <f>IFERROR(__xludf.DUMMYFUNCTION("""COMPUTED_VALUE"""),"740460599475760_1935583059963502")</f>
        <v>740460599475760_1935583059963502</v>
      </c>
      <c r="J433" s="11">
        <f>IFERROR(__xludf.DUMMYFUNCTION("""COMPUTED_VALUE"""),1552.0)</f>
        <v>1552</v>
      </c>
      <c r="K433" s="11">
        <f>IFERROR(__xludf.DUMMYFUNCTION("""COMPUTED_VALUE"""),260.0)</f>
        <v>260</v>
      </c>
      <c r="L433" s="11">
        <f>IFERROR(__xludf.DUMMYFUNCTION("""COMPUTED_VALUE"""),55.0)</f>
        <v>55</v>
      </c>
      <c r="M433" s="11">
        <f>IFERROR(__xludf.DUMMYFUNCTION("""COMPUTED_VALUE"""),822.0)</f>
        <v>822</v>
      </c>
      <c r="N433" s="11">
        <f t="shared" si="1"/>
        <v>1867</v>
      </c>
    </row>
    <row r="434">
      <c r="I434" s="13" t="str">
        <f>IFERROR(__xludf.DUMMYFUNCTION("""COMPUTED_VALUE"""),"172882636630076_982696852315313")</f>
        <v>172882636630076_982696852315313</v>
      </c>
      <c r="J434" s="11">
        <f>IFERROR(__xludf.DUMMYFUNCTION("""COMPUTED_VALUE"""),592.0)</f>
        <v>592</v>
      </c>
      <c r="K434" s="11">
        <f>IFERROR(__xludf.DUMMYFUNCTION("""COMPUTED_VALUE"""),14.0)</f>
        <v>14</v>
      </c>
      <c r="L434" s="11">
        <f>IFERROR(__xludf.DUMMYFUNCTION("""COMPUTED_VALUE"""),29.0)</f>
        <v>29</v>
      </c>
      <c r="M434" s="11">
        <f>IFERROR(__xludf.DUMMYFUNCTION("""COMPUTED_VALUE"""),828.0)</f>
        <v>828</v>
      </c>
      <c r="N434" s="11">
        <f t="shared" si="1"/>
        <v>635</v>
      </c>
    </row>
    <row r="435">
      <c r="I435" s="13" t="str">
        <f>IFERROR(__xludf.DUMMYFUNCTION("""COMPUTED_VALUE"""),"172882636630076_996049987646666")</f>
        <v>172882636630076_996049987646666</v>
      </c>
      <c r="J435" s="11">
        <f>IFERROR(__xludf.DUMMYFUNCTION("""COMPUTED_VALUE"""),334.0)</f>
        <v>334</v>
      </c>
      <c r="K435" s="11">
        <f>IFERROR(__xludf.DUMMYFUNCTION("""COMPUTED_VALUE"""),25.0)</f>
        <v>25</v>
      </c>
      <c r="L435" s="11">
        <f>IFERROR(__xludf.DUMMYFUNCTION("""COMPUTED_VALUE"""),32.0)</f>
        <v>32</v>
      </c>
      <c r="M435" s="11">
        <f>IFERROR(__xludf.DUMMYFUNCTION("""COMPUTED_VALUE"""),831.0)</f>
        <v>831</v>
      </c>
      <c r="N435" s="11">
        <f t="shared" si="1"/>
        <v>391</v>
      </c>
    </row>
    <row r="436">
      <c r="I436" s="13" t="str">
        <f>IFERROR(__xludf.DUMMYFUNCTION("""COMPUTED_VALUE"""),"740460599475760_1933766253478516")</f>
        <v>740460599475760_1933766253478516</v>
      </c>
      <c r="J436" s="11">
        <f>IFERROR(__xludf.DUMMYFUNCTION("""COMPUTED_VALUE"""),504.0)</f>
        <v>504</v>
      </c>
      <c r="K436" s="11">
        <f>IFERROR(__xludf.DUMMYFUNCTION("""COMPUTED_VALUE"""),51.0)</f>
        <v>51</v>
      </c>
      <c r="L436" s="11">
        <f>IFERROR(__xludf.DUMMYFUNCTION("""COMPUTED_VALUE"""),15.0)</f>
        <v>15</v>
      </c>
      <c r="M436" s="11">
        <f>IFERROR(__xludf.DUMMYFUNCTION("""COMPUTED_VALUE"""),833.0)</f>
        <v>833</v>
      </c>
      <c r="N436" s="11">
        <f t="shared" si="1"/>
        <v>570</v>
      </c>
    </row>
    <row r="437">
      <c r="I437" s="13" t="str">
        <f>IFERROR(__xludf.DUMMYFUNCTION("""COMPUTED_VALUE"""),"740460599475760_1922737251248083")</f>
        <v>740460599475760_1922737251248083</v>
      </c>
      <c r="J437" s="11">
        <f>IFERROR(__xludf.DUMMYFUNCTION("""COMPUTED_VALUE"""),771.0)</f>
        <v>771</v>
      </c>
      <c r="K437" s="11">
        <f>IFERROR(__xludf.DUMMYFUNCTION("""COMPUTED_VALUE"""),28.0)</f>
        <v>28</v>
      </c>
      <c r="L437" s="11">
        <f>IFERROR(__xludf.DUMMYFUNCTION("""COMPUTED_VALUE"""),77.0)</f>
        <v>77</v>
      </c>
      <c r="M437" s="11">
        <f>IFERROR(__xludf.DUMMYFUNCTION("""COMPUTED_VALUE"""),834.0)</f>
        <v>834</v>
      </c>
      <c r="N437" s="11">
        <f t="shared" si="1"/>
        <v>876</v>
      </c>
    </row>
    <row r="438">
      <c r="I438" s="13" t="str">
        <f>IFERROR(__xludf.DUMMYFUNCTION("""COMPUTED_VALUE"""),"172882636630076_1005700296681635")</f>
        <v>172882636630076_1005700296681635</v>
      </c>
      <c r="J438" s="11">
        <f>IFERROR(__xludf.DUMMYFUNCTION("""COMPUTED_VALUE"""),203.0)</f>
        <v>203</v>
      </c>
      <c r="K438" s="11">
        <f>IFERROR(__xludf.DUMMYFUNCTION("""COMPUTED_VALUE"""),5.0)</f>
        <v>5</v>
      </c>
      <c r="L438" s="11">
        <f>IFERROR(__xludf.DUMMYFUNCTION("""COMPUTED_VALUE"""),7.0)</f>
        <v>7</v>
      </c>
      <c r="M438" s="11">
        <f>IFERROR(__xludf.DUMMYFUNCTION("""COMPUTED_VALUE"""),835.0)</f>
        <v>835</v>
      </c>
      <c r="N438" s="11">
        <f t="shared" si="1"/>
        <v>215</v>
      </c>
    </row>
    <row r="439">
      <c r="I439" s="13" t="str">
        <f>IFERROR(__xludf.DUMMYFUNCTION("""COMPUTED_VALUE"""),"740460599475760_1946073798914428")</f>
        <v>740460599475760_1946073798914428</v>
      </c>
      <c r="J439" s="11">
        <f>IFERROR(__xludf.DUMMYFUNCTION("""COMPUTED_VALUE"""),9301.0)</f>
        <v>9301</v>
      </c>
      <c r="K439" s="11">
        <f>IFERROR(__xludf.DUMMYFUNCTION("""COMPUTED_VALUE"""),619.0)</f>
        <v>619</v>
      </c>
      <c r="L439" s="11">
        <f>IFERROR(__xludf.DUMMYFUNCTION("""COMPUTED_VALUE"""),231.0)</f>
        <v>231</v>
      </c>
      <c r="M439" s="11">
        <f>IFERROR(__xludf.DUMMYFUNCTION("""COMPUTED_VALUE"""),879.0)</f>
        <v>879</v>
      </c>
      <c r="N439" s="11">
        <f t="shared" si="1"/>
        <v>10151</v>
      </c>
    </row>
    <row r="440">
      <c r="I440" s="13" t="str">
        <f>IFERROR(__xludf.DUMMYFUNCTION("""COMPUTED_VALUE"""),"172882636630076_943157496307517")</f>
        <v>172882636630076_943157496307517</v>
      </c>
      <c r="J440" s="11">
        <f>IFERROR(__xludf.DUMMYFUNCTION("""COMPUTED_VALUE"""),1724.0)</f>
        <v>1724</v>
      </c>
      <c r="K440" s="11">
        <f>IFERROR(__xludf.DUMMYFUNCTION("""COMPUTED_VALUE"""),246.0)</f>
        <v>246</v>
      </c>
      <c r="L440" s="11">
        <f>IFERROR(__xludf.DUMMYFUNCTION("""COMPUTED_VALUE"""),194.0)</f>
        <v>194</v>
      </c>
      <c r="M440" s="11">
        <f>IFERROR(__xludf.DUMMYFUNCTION("""COMPUTED_VALUE"""),879.0)</f>
        <v>879</v>
      </c>
      <c r="N440" s="11">
        <f t="shared" si="1"/>
        <v>2164</v>
      </c>
    </row>
    <row r="441">
      <c r="I441" s="13" t="str">
        <f>IFERROR(__xludf.DUMMYFUNCTION("""COMPUTED_VALUE"""),"172882636630076_975672303017768")</f>
        <v>172882636630076_975672303017768</v>
      </c>
      <c r="J441" s="11">
        <f>IFERROR(__xludf.DUMMYFUNCTION("""COMPUTED_VALUE"""),1108.0)</f>
        <v>1108</v>
      </c>
      <c r="K441" s="11">
        <f>IFERROR(__xludf.DUMMYFUNCTION("""COMPUTED_VALUE"""),34.0)</f>
        <v>34</v>
      </c>
      <c r="L441" s="11">
        <f>IFERROR(__xludf.DUMMYFUNCTION("""COMPUTED_VALUE"""),23.0)</f>
        <v>23</v>
      </c>
      <c r="M441" s="11">
        <f>IFERROR(__xludf.DUMMYFUNCTION("""COMPUTED_VALUE"""),880.0)</f>
        <v>880</v>
      </c>
      <c r="N441" s="11">
        <f t="shared" si="1"/>
        <v>1165</v>
      </c>
    </row>
    <row r="442">
      <c r="I442" s="13" t="str">
        <f>IFERROR(__xludf.DUMMYFUNCTION("""COMPUTED_VALUE"""),"172882636630076_998503534067978")</f>
        <v>172882636630076_998503534067978</v>
      </c>
      <c r="J442" s="11">
        <f>IFERROR(__xludf.DUMMYFUNCTION("""COMPUTED_VALUE"""),1061.0)</f>
        <v>1061</v>
      </c>
      <c r="K442" s="11">
        <f>IFERROR(__xludf.DUMMYFUNCTION("""COMPUTED_VALUE"""),7.0)</f>
        <v>7</v>
      </c>
      <c r="L442" s="11">
        <f>IFERROR(__xludf.DUMMYFUNCTION("""COMPUTED_VALUE"""),9.0)</f>
        <v>9</v>
      </c>
      <c r="M442" s="11">
        <f>IFERROR(__xludf.DUMMYFUNCTION("""COMPUTED_VALUE"""),881.0)</f>
        <v>881</v>
      </c>
      <c r="N442" s="11">
        <f t="shared" si="1"/>
        <v>1077</v>
      </c>
    </row>
    <row r="443">
      <c r="I443" s="13" t="str">
        <f>IFERROR(__xludf.DUMMYFUNCTION("""COMPUTED_VALUE"""),"172882636630076_1017489112169420")</f>
        <v>172882636630076_1017489112169420</v>
      </c>
      <c r="J443" s="11">
        <f>IFERROR(__xludf.DUMMYFUNCTION("""COMPUTED_VALUE"""),99.0)</f>
        <v>99</v>
      </c>
      <c r="K443" s="11">
        <f>IFERROR(__xludf.DUMMYFUNCTION("""COMPUTED_VALUE"""),0.0)</f>
        <v>0</v>
      </c>
      <c r="L443" s="11">
        <f>IFERROR(__xludf.DUMMYFUNCTION("""COMPUTED_VALUE"""),19.0)</f>
        <v>19</v>
      </c>
      <c r="M443" s="11">
        <f>IFERROR(__xludf.DUMMYFUNCTION("""COMPUTED_VALUE"""),900.0)</f>
        <v>900</v>
      </c>
      <c r="N443" s="11">
        <f t="shared" si="1"/>
        <v>118</v>
      </c>
    </row>
    <row r="444">
      <c r="I444" s="13" t="str">
        <f>IFERROR(__xludf.DUMMYFUNCTION("""COMPUTED_VALUE"""),"740460599475760_1946179912237150")</f>
        <v>740460599475760_1946179912237150</v>
      </c>
      <c r="J444" s="11">
        <f>IFERROR(__xludf.DUMMYFUNCTION("""COMPUTED_VALUE"""),264.0)</f>
        <v>264</v>
      </c>
      <c r="K444" s="11">
        <f>IFERROR(__xludf.DUMMYFUNCTION("""COMPUTED_VALUE"""),24.0)</f>
        <v>24</v>
      </c>
      <c r="L444" s="11">
        <f>IFERROR(__xludf.DUMMYFUNCTION("""COMPUTED_VALUE"""),10.0)</f>
        <v>10</v>
      </c>
      <c r="M444" s="11">
        <f>IFERROR(__xludf.DUMMYFUNCTION("""COMPUTED_VALUE"""),903.0)</f>
        <v>903</v>
      </c>
      <c r="N444" s="11">
        <f t="shared" si="1"/>
        <v>298</v>
      </c>
    </row>
    <row r="445">
      <c r="I445" s="13" t="str">
        <f>IFERROR(__xludf.DUMMYFUNCTION("""COMPUTED_VALUE"""),"172882636630076_975060066412325")</f>
        <v>172882636630076_975060066412325</v>
      </c>
      <c r="J445" s="11">
        <f>IFERROR(__xludf.DUMMYFUNCTION("""COMPUTED_VALUE"""),93.0)</f>
        <v>93</v>
      </c>
      <c r="K445" s="11">
        <f>IFERROR(__xludf.DUMMYFUNCTION("""COMPUTED_VALUE"""),1.0)</f>
        <v>1</v>
      </c>
      <c r="L445" s="11">
        <f>IFERROR(__xludf.DUMMYFUNCTION("""COMPUTED_VALUE"""),1.0)</f>
        <v>1</v>
      </c>
      <c r="M445" s="11">
        <f>IFERROR(__xludf.DUMMYFUNCTION("""COMPUTED_VALUE"""),904.0)</f>
        <v>904</v>
      </c>
      <c r="N445" s="11">
        <f t="shared" si="1"/>
        <v>95</v>
      </c>
    </row>
    <row r="446">
      <c r="I446" s="13" t="str">
        <f>IFERROR(__xludf.DUMMYFUNCTION("""COMPUTED_VALUE"""),"172882636630076_974385706479761")</f>
        <v>172882636630076_974385706479761</v>
      </c>
      <c r="J446" s="11">
        <f>IFERROR(__xludf.DUMMYFUNCTION("""COMPUTED_VALUE"""),63.0)</f>
        <v>63</v>
      </c>
      <c r="K446" s="11">
        <f>IFERROR(__xludf.DUMMYFUNCTION("""COMPUTED_VALUE"""),0.0)</f>
        <v>0</v>
      </c>
      <c r="L446" s="11">
        <f>IFERROR(__xludf.DUMMYFUNCTION("""COMPUTED_VALUE"""),7.0)</f>
        <v>7</v>
      </c>
      <c r="M446" s="11">
        <f>IFERROR(__xludf.DUMMYFUNCTION("""COMPUTED_VALUE"""),905.0)</f>
        <v>905</v>
      </c>
      <c r="N446" s="11">
        <f t="shared" si="1"/>
        <v>70</v>
      </c>
    </row>
    <row r="447">
      <c r="I447" s="13" t="str">
        <f>IFERROR(__xludf.DUMMYFUNCTION("""COMPUTED_VALUE"""),"172882636630076_998530390731959")</f>
        <v>172882636630076_998530390731959</v>
      </c>
      <c r="J447" s="11">
        <f>IFERROR(__xludf.DUMMYFUNCTION("""COMPUTED_VALUE"""),489.0)</f>
        <v>489</v>
      </c>
      <c r="K447" s="11">
        <f>IFERROR(__xludf.DUMMYFUNCTION("""COMPUTED_VALUE"""),0.0)</f>
        <v>0</v>
      </c>
      <c r="L447" s="11">
        <f>IFERROR(__xludf.DUMMYFUNCTION("""COMPUTED_VALUE"""),6.0)</f>
        <v>6</v>
      </c>
      <c r="M447" s="11">
        <f>IFERROR(__xludf.DUMMYFUNCTION("""COMPUTED_VALUE"""),908.0)</f>
        <v>908</v>
      </c>
      <c r="N447" s="11">
        <f t="shared" si="1"/>
        <v>495</v>
      </c>
    </row>
    <row r="448">
      <c r="I448" s="13" t="str">
        <f>IFERROR(__xludf.DUMMYFUNCTION("""COMPUTED_VALUE"""),"740460599475760_1905162739672201")</f>
        <v>740460599475760_1905162739672201</v>
      </c>
      <c r="J448" s="11">
        <f>IFERROR(__xludf.DUMMYFUNCTION("""COMPUTED_VALUE"""),316.0)</f>
        <v>316</v>
      </c>
      <c r="K448" s="11">
        <f>IFERROR(__xludf.DUMMYFUNCTION("""COMPUTED_VALUE"""),56.0)</f>
        <v>56</v>
      </c>
      <c r="L448" s="11">
        <f>IFERROR(__xludf.DUMMYFUNCTION("""COMPUTED_VALUE"""),7.0)</f>
        <v>7</v>
      </c>
      <c r="M448" s="11">
        <f>IFERROR(__xludf.DUMMYFUNCTION("""COMPUTED_VALUE"""),910.0)</f>
        <v>910</v>
      </c>
      <c r="N448" s="11">
        <f t="shared" si="1"/>
        <v>379</v>
      </c>
    </row>
    <row r="449">
      <c r="I449" s="13" t="str">
        <f>IFERROR(__xludf.DUMMYFUNCTION("""COMPUTED_VALUE"""),"740460599475760_1914639852057823")</f>
        <v>740460599475760_1914639852057823</v>
      </c>
      <c r="J449" s="11">
        <f>IFERROR(__xludf.DUMMYFUNCTION("""COMPUTED_VALUE"""),234.0)</f>
        <v>234</v>
      </c>
      <c r="K449" s="11">
        <f>IFERROR(__xludf.DUMMYFUNCTION("""COMPUTED_VALUE"""),32.0)</f>
        <v>32</v>
      </c>
      <c r="L449" s="11">
        <f>IFERROR(__xludf.DUMMYFUNCTION("""COMPUTED_VALUE"""),9.0)</f>
        <v>9</v>
      </c>
      <c r="M449" s="11">
        <f>IFERROR(__xludf.DUMMYFUNCTION("""COMPUTED_VALUE"""),910.0)</f>
        <v>910</v>
      </c>
      <c r="N449" s="11">
        <f t="shared" si="1"/>
        <v>275</v>
      </c>
    </row>
    <row r="450">
      <c r="I450" s="13" t="str">
        <f>IFERROR(__xludf.DUMMYFUNCTION("""COMPUTED_VALUE"""),"740460599475760_1917094281812380")</f>
        <v>740460599475760_1917094281812380</v>
      </c>
      <c r="J450" s="11">
        <f>IFERROR(__xludf.DUMMYFUNCTION("""COMPUTED_VALUE"""),162.0)</f>
        <v>162</v>
      </c>
      <c r="K450" s="11">
        <f>IFERROR(__xludf.DUMMYFUNCTION("""COMPUTED_VALUE"""),14.0)</f>
        <v>14</v>
      </c>
      <c r="L450" s="11">
        <f>IFERROR(__xludf.DUMMYFUNCTION("""COMPUTED_VALUE"""),1.0)</f>
        <v>1</v>
      </c>
      <c r="M450" s="11">
        <f>IFERROR(__xludf.DUMMYFUNCTION("""COMPUTED_VALUE"""),911.0)</f>
        <v>911</v>
      </c>
      <c r="N450" s="11">
        <f t="shared" si="1"/>
        <v>177</v>
      </c>
    </row>
    <row r="451">
      <c r="I451" s="13" t="str">
        <f>IFERROR(__xludf.DUMMYFUNCTION("""COMPUTED_VALUE"""),"740460599475760_1925663274288814")</f>
        <v>740460599475760_1925663274288814</v>
      </c>
      <c r="J451" s="11">
        <f>IFERROR(__xludf.DUMMYFUNCTION("""COMPUTED_VALUE"""),178.0)</f>
        <v>178</v>
      </c>
      <c r="K451" s="11">
        <f>IFERROR(__xludf.DUMMYFUNCTION("""COMPUTED_VALUE"""),33.0)</f>
        <v>33</v>
      </c>
      <c r="L451" s="11">
        <f>IFERROR(__xludf.DUMMYFUNCTION("""COMPUTED_VALUE"""),1.0)</f>
        <v>1</v>
      </c>
      <c r="M451" s="11">
        <f>IFERROR(__xludf.DUMMYFUNCTION("""COMPUTED_VALUE"""),911.0)</f>
        <v>911</v>
      </c>
      <c r="N451" s="11">
        <f t="shared" si="1"/>
        <v>212</v>
      </c>
    </row>
    <row r="452">
      <c r="I452" s="13" t="str">
        <f>IFERROR(__xludf.DUMMYFUNCTION("""COMPUTED_VALUE"""),"740460599475760_1920381241483684")</f>
        <v>740460599475760_1920381241483684</v>
      </c>
      <c r="J452" s="11">
        <f>IFERROR(__xludf.DUMMYFUNCTION("""COMPUTED_VALUE"""),191.0)</f>
        <v>191</v>
      </c>
      <c r="K452" s="11">
        <f>IFERROR(__xludf.DUMMYFUNCTION("""COMPUTED_VALUE"""),30.0)</f>
        <v>30</v>
      </c>
      <c r="L452" s="11">
        <f>IFERROR(__xludf.DUMMYFUNCTION("""COMPUTED_VALUE"""),5.0)</f>
        <v>5</v>
      </c>
      <c r="M452" s="11">
        <f>IFERROR(__xludf.DUMMYFUNCTION("""COMPUTED_VALUE"""),916.0)</f>
        <v>916</v>
      </c>
      <c r="N452" s="11">
        <f t="shared" si="1"/>
        <v>226</v>
      </c>
    </row>
    <row r="453">
      <c r="I453" s="13" t="str">
        <f>IFERROR(__xludf.DUMMYFUNCTION("""COMPUTED_VALUE"""),"740460599475760_1962250917296716")</f>
        <v>740460599475760_1962250917296716</v>
      </c>
      <c r="J453" s="11">
        <f>IFERROR(__xludf.DUMMYFUNCTION("""COMPUTED_VALUE"""),194.0)</f>
        <v>194</v>
      </c>
      <c r="K453" s="11">
        <f>IFERROR(__xludf.DUMMYFUNCTION("""COMPUTED_VALUE"""),30.0)</f>
        <v>30</v>
      </c>
      <c r="L453" s="11">
        <f>IFERROR(__xludf.DUMMYFUNCTION("""COMPUTED_VALUE"""),6.0)</f>
        <v>6</v>
      </c>
      <c r="M453" s="11">
        <f>IFERROR(__xludf.DUMMYFUNCTION("""COMPUTED_VALUE"""),918.0)</f>
        <v>918</v>
      </c>
      <c r="N453" s="11">
        <f t="shared" si="1"/>
        <v>230</v>
      </c>
    </row>
    <row r="454">
      <c r="I454" s="13" t="str">
        <f>IFERROR(__xludf.DUMMYFUNCTION("""COMPUTED_VALUE"""),"740460599475760_1942317042623437")</f>
        <v>740460599475760_1942317042623437</v>
      </c>
      <c r="J454" s="11">
        <f>IFERROR(__xludf.DUMMYFUNCTION("""COMPUTED_VALUE"""),465.0)</f>
        <v>465</v>
      </c>
      <c r="K454" s="11">
        <f>IFERROR(__xludf.DUMMYFUNCTION("""COMPUTED_VALUE"""),36.0)</f>
        <v>36</v>
      </c>
      <c r="L454" s="11">
        <f>IFERROR(__xludf.DUMMYFUNCTION("""COMPUTED_VALUE"""),5.0)</f>
        <v>5</v>
      </c>
      <c r="M454" s="11">
        <f>IFERROR(__xludf.DUMMYFUNCTION("""COMPUTED_VALUE"""),919.0)</f>
        <v>919</v>
      </c>
      <c r="N454" s="11">
        <f t="shared" si="1"/>
        <v>506</v>
      </c>
    </row>
    <row r="455">
      <c r="I455" s="13" t="str">
        <f>IFERROR(__xludf.DUMMYFUNCTION("""COMPUTED_VALUE"""),"172882636630076_975724409679224")</f>
        <v>172882636630076_975724409679224</v>
      </c>
      <c r="J455" s="11">
        <f>IFERROR(__xludf.DUMMYFUNCTION("""COMPUTED_VALUE"""),39.0)</f>
        <v>39</v>
      </c>
      <c r="K455" s="11">
        <f>IFERROR(__xludf.DUMMYFUNCTION("""COMPUTED_VALUE"""),0.0)</f>
        <v>0</v>
      </c>
      <c r="L455" s="11">
        <f>IFERROR(__xludf.DUMMYFUNCTION("""COMPUTED_VALUE"""),3.0)</f>
        <v>3</v>
      </c>
      <c r="M455" s="11">
        <f>IFERROR(__xludf.DUMMYFUNCTION("""COMPUTED_VALUE"""),919.0)</f>
        <v>919</v>
      </c>
      <c r="N455" s="11">
        <f t="shared" si="1"/>
        <v>42</v>
      </c>
    </row>
    <row r="456">
      <c r="I456" s="13" t="str">
        <f>IFERROR(__xludf.DUMMYFUNCTION("""COMPUTED_VALUE"""),"740460599475760_1925661867622288")</f>
        <v>740460599475760_1925661867622288</v>
      </c>
      <c r="J456" s="11">
        <f>IFERROR(__xludf.DUMMYFUNCTION("""COMPUTED_VALUE"""),163.0)</f>
        <v>163</v>
      </c>
      <c r="K456" s="11">
        <f>IFERROR(__xludf.DUMMYFUNCTION("""COMPUTED_VALUE"""),30.0)</f>
        <v>30</v>
      </c>
      <c r="L456" s="11">
        <f>IFERROR(__xludf.DUMMYFUNCTION("""COMPUTED_VALUE"""),3.0)</f>
        <v>3</v>
      </c>
      <c r="M456" s="11">
        <f>IFERROR(__xludf.DUMMYFUNCTION("""COMPUTED_VALUE"""),920.0)</f>
        <v>920</v>
      </c>
      <c r="N456" s="11">
        <f t="shared" si="1"/>
        <v>196</v>
      </c>
    </row>
    <row r="457">
      <c r="F457" s="13"/>
      <c r="G457" s="13"/>
      <c r="H457" s="13"/>
      <c r="I457" s="13" t="str">
        <f>IFERROR(__xludf.DUMMYFUNCTION("""COMPUTED_VALUE"""),"740460599475760_1916023201919488")</f>
        <v>740460599475760_1916023201919488</v>
      </c>
      <c r="J457" s="11">
        <f>IFERROR(__xludf.DUMMYFUNCTION("""COMPUTED_VALUE"""),901.0)</f>
        <v>901</v>
      </c>
      <c r="K457" s="11">
        <f>IFERROR(__xludf.DUMMYFUNCTION("""COMPUTED_VALUE"""),31.0)</f>
        <v>31</v>
      </c>
      <c r="L457" s="11">
        <f>IFERROR(__xludf.DUMMYFUNCTION("""COMPUTED_VALUE"""),41.0)</f>
        <v>41</v>
      </c>
      <c r="M457" s="11">
        <f>IFERROR(__xludf.DUMMYFUNCTION("""COMPUTED_VALUE"""),922.0)</f>
        <v>922</v>
      </c>
      <c r="N457" s="11">
        <f t="shared" si="1"/>
        <v>973</v>
      </c>
    </row>
    <row r="458">
      <c r="I458" s="13" t="str">
        <f>IFERROR(__xludf.DUMMYFUNCTION("""COMPUTED_VALUE"""),"740460599475760_1966884233500051")</f>
        <v>740460599475760_1966884233500051</v>
      </c>
      <c r="J458" s="11">
        <f>IFERROR(__xludf.DUMMYFUNCTION("""COMPUTED_VALUE"""),180.0)</f>
        <v>180</v>
      </c>
      <c r="K458" s="11">
        <f>IFERROR(__xludf.DUMMYFUNCTION("""COMPUTED_VALUE"""),16.0)</f>
        <v>16</v>
      </c>
      <c r="L458" s="11"/>
      <c r="M458" s="11">
        <f>IFERROR(__xludf.DUMMYFUNCTION("""COMPUTED_VALUE"""),928.0)</f>
        <v>928</v>
      </c>
      <c r="N458" s="11">
        <f t="shared" si="1"/>
        <v>196</v>
      </c>
    </row>
    <row r="459">
      <c r="I459" s="13" t="str">
        <f>IFERROR(__xludf.DUMMYFUNCTION("""COMPUTED_VALUE"""),"740460599475760_1958524954335979")</f>
        <v>740460599475760_1958524954335979</v>
      </c>
      <c r="J459" s="11">
        <f>IFERROR(__xludf.DUMMYFUNCTION("""COMPUTED_VALUE"""),218.0)</f>
        <v>218</v>
      </c>
      <c r="K459" s="11">
        <f>IFERROR(__xludf.DUMMYFUNCTION("""COMPUTED_VALUE"""),23.0)</f>
        <v>23</v>
      </c>
      <c r="L459" s="11">
        <f>IFERROR(__xludf.DUMMYFUNCTION("""COMPUTED_VALUE"""),3.0)</f>
        <v>3</v>
      </c>
      <c r="M459" s="11">
        <f>IFERROR(__xludf.DUMMYFUNCTION("""COMPUTED_VALUE"""),933.0)</f>
        <v>933</v>
      </c>
      <c r="N459" s="11">
        <f t="shared" si="1"/>
        <v>244</v>
      </c>
    </row>
    <row r="460">
      <c r="I460" s="13" t="str">
        <f>IFERROR(__xludf.DUMMYFUNCTION("""COMPUTED_VALUE"""),"740460599475760_1958525884335886")</f>
        <v>740460599475760_1958525884335886</v>
      </c>
      <c r="J460" s="11">
        <f>IFERROR(__xludf.DUMMYFUNCTION("""COMPUTED_VALUE"""),167.0)</f>
        <v>167</v>
      </c>
      <c r="K460" s="11">
        <f>IFERROR(__xludf.DUMMYFUNCTION("""COMPUTED_VALUE"""),25.0)</f>
        <v>25</v>
      </c>
      <c r="L460" s="11">
        <f>IFERROR(__xludf.DUMMYFUNCTION("""COMPUTED_VALUE"""),4.0)</f>
        <v>4</v>
      </c>
      <c r="M460" s="11">
        <f>IFERROR(__xludf.DUMMYFUNCTION("""COMPUTED_VALUE"""),935.0)</f>
        <v>935</v>
      </c>
      <c r="N460" s="11">
        <f t="shared" si="1"/>
        <v>196</v>
      </c>
    </row>
    <row r="461">
      <c r="I461" s="13" t="str">
        <f>IFERROR(__xludf.DUMMYFUNCTION("""COMPUTED_VALUE"""),"740460599475760_1966950776826730")</f>
        <v>740460599475760_1966950776826730</v>
      </c>
      <c r="J461" s="11">
        <f>IFERROR(__xludf.DUMMYFUNCTION("""COMPUTED_VALUE"""),1332.0)</f>
        <v>1332</v>
      </c>
      <c r="K461" s="11">
        <f>IFERROR(__xludf.DUMMYFUNCTION("""COMPUTED_VALUE"""),90.0)</f>
        <v>90</v>
      </c>
      <c r="L461" s="11">
        <f>IFERROR(__xludf.DUMMYFUNCTION("""COMPUTED_VALUE"""),173.0)</f>
        <v>173</v>
      </c>
      <c r="M461" s="11">
        <f>IFERROR(__xludf.DUMMYFUNCTION("""COMPUTED_VALUE"""),939.0)</f>
        <v>939</v>
      </c>
      <c r="N461" s="11">
        <f t="shared" si="1"/>
        <v>1595</v>
      </c>
    </row>
    <row r="462">
      <c r="I462" s="13" t="str">
        <f>IFERROR(__xludf.DUMMYFUNCTION("""COMPUTED_VALUE"""),"172882636630076_991329311452067")</f>
        <v>172882636630076_991329311452067</v>
      </c>
      <c r="J462" s="11">
        <f>IFERROR(__xludf.DUMMYFUNCTION("""COMPUTED_VALUE"""),661.0)</f>
        <v>661</v>
      </c>
      <c r="K462" s="11">
        <f>IFERROR(__xludf.DUMMYFUNCTION("""COMPUTED_VALUE"""),4.0)</f>
        <v>4</v>
      </c>
      <c r="L462" s="11">
        <f>IFERROR(__xludf.DUMMYFUNCTION("""COMPUTED_VALUE"""),7.0)</f>
        <v>7</v>
      </c>
      <c r="M462" s="11">
        <f>IFERROR(__xludf.DUMMYFUNCTION("""COMPUTED_VALUE"""),954.0)</f>
        <v>954</v>
      </c>
      <c r="N462" s="11">
        <f t="shared" si="1"/>
        <v>672</v>
      </c>
    </row>
    <row r="463">
      <c r="I463" s="13" t="str">
        <f>IFERROR(__xludf.DUMMYFUNCTION("""COMPUTED_VALUE"""),"172882636630076_993086827942982")</f>
        <v>172882636630076_993086827942982</v>
      </c>
      <c r="J463" s="11">
        <f>IFERROR(__xludf.DUMMYFUNCTION("""COMPUTED_VALUE"""),943.0)</f>
        <v>943</v>
      </c>
      <c r="K463" s="11">
        <f>IFERROR(__xludf.DUMMYFUNCTION("""COMPUTED_VALUE"""),19.0)</f>
        <v>19</v>
      </c>
      <c r="L463" s="11">
        <f>IFERROR(__xludf.DUMMYFUNCTION("""COMPUTED_VALUE"""),20.0)</f>
        <v>20</v>
      </c>
      <c r="M463" s="11">
        <f>IFERROR(__xludf.DUMMYFUNCTION("""COMPUTED_VALUE"""),958.0)</f>
        <v>958</v>
      </c>
      <c r="N463" s="11">
        <f t="shared" si="1"/>
        <v>982</v>
      </c>
    </row>
    <row r="464">
      <c r="I464" s="13" t="str">
        <f>IFERROR(__xludf.DUMMYFUNCTION("""COMPUTED_VALUE"""),"172882636630076_999185517333113")</f>
        <v>172882636630076_999185517333113</v>
      </c>
      <c r="J464" s="11">
        <f>IFERROR(__xludf.DUMMYFUNCTION("""COMPUTED_VALUE"""),501.0)</f>
        <v>501</v>
      </c>
      <c r="K464" s="11">
        <f>IFERROR(__xludf.DUMMYFUNCTION("""COMPUTED_VALUE"""),10.0)</f>
        <v>10</v>
      </c>
      <c r="L464" s="11">
        <f>IFERROR(__xludf.DUMMYFUNCTION("""COMPUTED_VALUE"""),41.0)</f>
        <v>41</v>
      </c>
      <c r="M464" s="11">
        <f>IFERROR(__xludf.DUMMYFUNCTION("""COMPUTED_VALUE"""),964.0)</f>
        <v>964</v>
      </c>
      <c r="N464" s="11">
        <f t="shared" si="1"/>
        <v>552</v>
      </c>
    </row>
    <row r="465">
      <c r="I465" s="13" t="str">
        <f>IFERROR(__xludf.DUMMYFUNCTION("""COMPUTED_VALUE"""),"172882636630076_997945124123819")</f>
        <v>172882636630076_997945124123819</v>
      </c>
      <c r="J465" s="11">
        <f>IFERROR(__xludf.DUMMYFUNCTION("""COMPUTED_VALUE"""),1324.0)</f>
        <v>1324</v>
      </c>
      <c r="K465" s="11">
        <f>IFERROR(__xludf.DUMMYFUNCTION("""COMPUTED_VALUE"""),15.0)</f>
        <v>15</v>
      </c>
      <c r="L465" s="11">
        <f>IFERROR(__xludf.DUMMYFUNCTION("""COMPUTED_VALUE"""),33.0)</f>
        <v>33</v>
      </c>
      <c r="M465" s="11">
        <f>IFERROR(__xludf.DUMMYFUNCTION("""COMPUTED_VALUE"""),965.0)</f>
        <v>965</v>
      </c>
      <c r="N465" s="11">
        <f t="shared" si="1"/>
        <v>1372</v>
      </c>
    </row>
    <row r="466">
      <c r="I466" s="13" t="str">
        <f>IFERROR(__xludf.DUMMYFUNCTION("""COMPUTED_VALUE"""),"172882636630076_625073651855177")</f>
        <v>172882636630076_625073651855177</v>
      </c>
      <c r="J466" s="11">
        <f>IFERROR(__xludf.DUMMYFUNCTION("""COMPUTED_VALUE"""),1740.0)</f>
        <v>1740</v>
      </c>
      <c r="K466" s="11">
        <f>IFERROR(__xludf.DUMMYFUNCTION("""COMPUTED_VALUE"""),742.0)</f>
        <v>742</v>
      </c>
      <c r="L466" s="11">
        <f>IFERROR(__xludf.DUMMYFUNCTION("""COMPUTED_VALUE"""),268.0)</f>
        <v>268</v>
      </c>
      <c r="M466" s="11">
        <f>IFERROR(__xludf.DUMMYFUNCTION("""COMPUTED_VALUE"""),971.0)</f>
        <v>971</v>
      </c>
      <c r="N466" s="11">
        <f t="shared" si="1"/>
        <v>2750</v>
      </c>
    </row>
    <row r="467">
      <c r="I467" s="13" t="str">
        <f>IFERROR(__xludf.DUMMYFUNCTION("""COMPUTED_VALUE"""),"740460599475760_1947520292103112")</f>
        <v>740460599475760_1947520292103112</v>
      </c>
      <c r="J467" s="11">
        <f>IFERROR(__xludf.DUMMYFUNCTION("""COMPUTED_VALUE"""),214.0)</f>
        <v>214</v>
      </c>
      <c r="K467" s="11">
        <f>IFERROR(__xludf.DUMMYFUNCTION("""COMPUTED_VALUE"""),17.0)</f>
        <v>17</v>
      </c>
      <c r="L467" s="11">
        <f>IFERROR(__xludf.DUMMYFUNCTION("""COMPUTED_VALUE"""),2.0)</f>
        <v>2</v>
      </c>
      <c r="M467" s="11">
        <f>IFERROR(__xludf.DUMMYFUNCTION("""COMPUTED_VALUE"""),972.0)</f>
        <v>972</v>
      </c>
      <c r="N467" s="11">
        <f t="shared" si="1"/>
        <v>233</v>
      </c>
    </row>
    <row r="468">
      <c r="I468" s="13" t="str">
        <f>IFERROR(__xludf.DUMMYFUNCTION("""COMPUTED_VALUE"""),"740460599475760_1940979659423842")</f>
        <v>740460599475760_1940979659423842</v>
      </c>
      <c r="J468" s="11">
        <f>IFERROR(__xludf.DUMMYFUNCTION("""COMPUTED_VALUE"""),228.0)</f>
        <v>228</v>
      </c>
      <c r="K468" s="11">
        <f>IFERROR(__xludf.DUMMYFUNCTION("""COMPUTED_VALUE"""),33.0)</f>
        <v>33</v>
      </c>
      <c r="L468" s="11">
        <f>IFERROR(__xludf.DUMMYFUNCTION("""COMPUTED_VALUE"""),5.0)</f>
        <v>5</v>
      </c>
      <c r="M468" s="11">
        <f>IFERROR(__xludf.DUMMYFUNCTION("""COMPUTED_VALUE"""),974.0)</f>
        <v>974</v>
      </c>
      <c r="N468" s="11">
        <f t="shared" si="1"/>
        <v>266</v>
      </c>
    </row>
    <row r="469">
      <c r="I469" s="13" t="str">
        <f>IFERROR(__xludf.DUMMYFUNCTION("""COMPUTED_VALUE"""),"740460599475760_1947591738762634")</f>
        <v>740460599475760_1947591738762634</v>
      </c>
      <c r="J469" s="11">
        <f>IFERROR(__xludf.DUMMYFUNCTION("""COMPUTED_VALUE"""),496.0)</f>
        <v>496</v>
      </c>
      <c r="K469" s="11">
        <f>IFERROR(__xludf.DUMMYFUNCTION("""COMPUTED_VALUE"""),60.0)</f>
        <v>60</v>
      </c>
      <c r="L469" s="11">
        <f>IFERROR(__xludf.DUMMYFUNCTION("""COMPUTED_VALUE"""),11.0)</f>
        <v>11</v>
      </c>
      <c r="M469" s="11">
        <f>IFERROR(__xludf.DUMMYFUNCTION("""COMPUTED_VALUE"""),980.0)</f>
        <v>980</v>
      </c>
      <c r="N469" s="11">
        <f t="shared" si="1"/>
        <v>567</v>
      </c>
    </row>
    <row r="470">
      <c r="I470" s="13" t="str">
        <f>IFERROR(__xludf.DUMMYFUNCTION("""COMPUTED_VALUE"""),"740460599475760_1941444886043986")</f>
        <v>740460599475760_1941444886043986</v>
      </c>
      <c r="J470" s="11">
        <f>IFERROR(__xludf.DUMMYFUNCTION("""COMPUTED_VALUE"""),212.0)</f>
        <v>212</v>
      </c>
      <c r="K470" s="11">
        <f>IFERROR(__xludf.DUMMYFUNCTION("""COMPUTED_VALUE"""),33.0)</f>
        <v>33</v>
      </c>
      <c r="L470" s="11">
        <f>IFERROR(__xludf.DUMMYFUNCTION("""COMPUTED_VALUE"""),4.0)</f>
        <v>4</v>
      </c>
      <c r="M470" s="11">
        <f>IFERROR(__xludf.DUMMYFUNCTION("""COMPUTED_VALUE"""),984.0)</f>
        <v>984</v>
      </c>
      <c r="N470" s="11">
        <f t="shared" si="1"/>
        <v>249</v>
      </c>
    </row>
    <row r="471">
      <c r="I471" s="13" t="str">
        <f>IFERROR(__xludf.DUMMYFUNCTION("""COMPUTED_VALUE"""),"740460599475760_1957749637746844")</f>
        <v>740460599475760_1957749637746844</v>
      </c>
      <c r="J471" s="11">
        <f>IFERROR(__xludf.DUMMYFUNCTION("""COMPUTED_VALUE"""),7680.0)</f>
        <v>7680</v>
      </c>
      <c r="K471" s="11">
        <f>IFERROR(__xludf.DUMMYFUNCTION("""COMPUTED_VALUE"""),724.0)</f>
        <v>724</v>
      </c>
      <c r="L471" s="11">
        <f>IFERROR(__xludf.DUMMYFUNCTION("""COMPUTED_VALUE"""),247.0)</f>
        <v>247</v>
      </c>
      <c r="M471" s="11">
        <f>IFERROR(__xludf.DUMMYFUNCTION("""COMPUTED_VALUE"""),987.0)</f>
        <v>987</v>
      </c>
      <c r="N471" s="11">
        <f t="shared" si="1"/>
        <v>8651</v>
      </c>
    </row>
    <row r="472">
      <c r="I472" s="13" t="str">
        <f>IFERROR(__xludf.DUMMYFUNCTION("""COMPUTED_VALUE"""),"740460599475760_1968550000000141")</f>
        <v>740460599475760_1968550000000141</v>
      </c>
      <c r="J472" s="11">
        <f>IFERROR(__xludf.DUMMYFUNCTION("""COMPUTED_VALUE"""),4546.0)</f>
        <v>4546</v>
      </c>
      <c r="K472" s="11">
        <f>IFERROR(__xludf.DUMMYFUNCTION("""COMPUTED_VALUE"""),29.0)</f>
        <v>29</v>
      </c>
      <c r="L472" s="11">
        <f>IFERROR(__xludf.DUMMYFUNCTION("""COMPUTED_VALUE"""),18.0)</f>
        <v>18</v>
      </c>
      <c r="M472" s="11">
        <f>IFERROR(__xludf.DUMMYFUNCTION("""COMPUTED_VALUE"""),990.0)</f>
        <v>990</v>
      </c>
      <c r="N472" s="11">
        <f t="shared" si="1"/>
        <v>4593</v>
      </c>
    </row>
    <row r="473">
      <c r="I473" s="13" t="str">
        <f>IFERROR(__xludf.DUMMYFUNCTION("""COMPUTED_VALUE"""),"172882636630076_874280446610068")</f>
        <v>172882636630076_874280446610068</v>
      </c>
      <c r="J473" s="11">
        <f>IFERROR(__xludf.DUMMYFUNCTION("""COMPUTED_VALUE"""),1289.0)</f>
        <v>1289</v>
      </c>
      <c r="K473" s="11">
        <f>IFERROR(__xludf.DUMMYFUNCTION("""COMPUTED_VALUE"""),919.0)</f>
        <v>919</v>
      </c>
      <c r="L473" s="11">
        <f>IFERROR(__xludf.DUMMYFUNCTION("""COMPUTED_VALUE"""),145.0)</f>
        <v>145</v>
      </c>
      <c r="M473" s="11">
        <f>IFERROR(__xludf.DUMMYFUNCTION("""COMPUTED_VALUE"""),993.0)</f>
        <v>993</v>
      </c>
      <c r="N473" s="11">
        <f t="shared" si="1"/>
        <v>2353</v>
      </c>
    </row>
    <row r="474">
      <c r="I474" s="13" t="str">
        <f>IFERROR(__xludf.DUMMYFUNCTION("""COMPUTED_VALUE"""),"172882636630076_287173213277608")</f>
        <v>172882636630076_287173213277608</v>
      </c>
      <c r="J474" s="11">
        <f>IFERROR(__xludf.DUMMYFUNCTION("""COMPUTED_VALUE"""),975.0)</f>
        <v>975</v>
      </c>
      <c r="K474" s="11">
        <f>IFERROR(__xludf.DUMMYFUNCTION("""COMPUTED_VALUE"""),347.0)</f>
        <v>347</v>
      </c>
      <c r="L474" s="11">
        <f>IFERROR(__xludf.DUMMYFUNCTION("""COMPUTED_VALUE"""),113.0)</f>
        <v>113</v>
      </c>
      <c r="M474" s="11">
        <f>IFERROR(__xludf.DUMMYFUNCTION("""COMPUTED_VALUE"""),993.0)</f>
        <v>993</v>
      </c>
      <c r="N474" s="11">
        <f t="shared" si="1"/>
        <v>1435</v>
      </c>
    </row>
    <row r="475">
      <c r="I475" s="13" t="str">
        <f>IFERROR(__xludf.DUMMYFUNCTION("""COMPUTED_VALUE"""),"172882636630076_403992904533768")</f>
        <v>172882636630076_403992904533768</v>
      </c>
      <c r="J475" s="11">
        <f>IFERROR(__xludf.DUMMYFUNCTION("""COMPUTED_VALUE"""),1558.0)</f>
        <v>1558</v>
      </c>
      <c r="K475" s="11">
        <f>IFERROR(__xludf.DUMMYFUNCTION("""COMPUTED_VALUE"""),717.0)</f>
        <v>717</v>
      </c>
      <c r="L475" s="11">
        <f>IFERROR(__xludf.DUMMYFUNCTION("""COMPUTED_VALUE"""),192.0)</f>
        <v>192</v>
      </c>
      <c r="M475" s="11">
        <f>IFERROR(__xludf.DUMMYFUNCTION("""COMPUTED_VALUE"""),994.0)</f>
        <v>994</v>
      </c>
      <c r="N475" s="11">
        <f t="shared" si="1"/>
        <v>2467</v>
      </c>
    </row>
    <row r="476">
      <c r="I476" s="13" t="str">
        <f>IFERROR(__xludf.DUMMYFUNCTION("""COMPUTED_VALUE"""),"172882636630076_699373684355247")</f>
        <v>172882636630076_699373684355247</v>
      </c>
      <c r="J476" s="11">
        <f>IFERROR(__xludf.DUMMYFUNCTION("""COMPUTED_VALUE"""),843.0)</f>
        <v>843</v>
      </c>
      <c r="K476" s="11">
        <f>IFERROR(__xludf.DUMMYFUNCTION("""COMPUTED_VALUE"""),317.0)</f>
        <v>317</v>
      </c>
      <c r="L476" s="11">
        <f>IFERROR(__xludf.DUMMYFUNCTION("""COMPUTED_VALUE"""),98.0)</f>
        <v>98</v>
      </c>
      <c r="M476" s="11">
        <f>IFERROR(__xludf.DUMMYFUNCTION("""COMPUTED_VALUE"""),994.0)</f>
        <v>994</v>
      </c>
      <c r="N476" s="11">
        <f t="shared" si="1"/>
        <v>1258</v>
      </c>
    </row>
    <row r="477">
      <c r="I477" s="13" t="str">
        <f>IFERROR(__xludf.DUMMYFUNCTION("""COMPUTED_VALUE"""),"172882636630076_424186866092505")</f>
        <v>172882636630076_424186866092505</v>
      </c>
      <c r="J477" s="11">
        <f>IFERROR(__xludf.DUMMYFUNCTION("""COMPUTED_VALUE"""),817.0)</f>
        <v>817</v>
      </c>
      <c r="K477" s="11">
        <f>IFERROR(__xludf.DUMMYFUNCTION("""COMPUTED_VALUE"""),312.0)</f>
        <v>312</v>
      </c>
      <c r="L477" s="11">
        <f>IFERROR(__xludf.DUMMYFUNCTION("""COMPUTED_VALUE"""),49.0)</f>
        <v>49</v>
      </c>
      <c r="M477" s="11">
        <f>IFERROR(__xludf.DUMMYFUNCTION("""COMPUTED_VALUE"""),994.0)</f>
        <v>994</v>
      </c>
      <c r="N477" s="11">
        <f t="shared" si="1"/>
        <v>1178</v>
      </c>
    </row>
    <row r="478">
      <c r="I478" s="13" t="str">
        <f>IFERROR(__xludf.DUMMYFUNCTION("""COMPUTED_VALUE"""),"172882636630076_266636538744720")</f>
        <v>172882636630076_266636538744720</v>
      </c>
      <c r="J478" s="11">
        <f>IFERROR(__xludf.DUMMYFUNCTION("""COMPUTED_VALUE"""),893.0)</f>
        <v>893</v>
      </c>
      <c r="K478" s="11">
        <f>IFERROR(__xludf.DUMMYFUNCTION("""COMPUTED_VALUE"""),412.0)</f>
        <v>412</v>
      </c>
      <c r="L478" s="11">
        <f>IFERROR(__xludf.DUMMYFUNCTION("""COMPUTED_VALUE"""),99.0)</f>
        <v>99</v>
      </c>
      <c r="M478" s="11">
        <f>IFERROR(__xludf.DUMMYFUNCTION("""COMPUTED_VALUE"""),994.0)</f>
        <v>994</v>
      </c>
      <c r="N478" s="11">
        <f t="shared" si="1"/>
        <v>1404</v>
      </c>
    </row>
    <row r="479">
      <c r="I479" s="13" t="str">
        <f>IFERROR(__xludf.DUMMYFUNCTION("""COMPUTED_VALUE"""),"172882636630076_240826381288570")</f>
        <v>172882636630076_240826381288570</v>
      </c>
      <c r="J479" s="11">
        <f>IFERROR(__xludf.DUMMYFUNCTION("""COMPUTED_VALUE"""),1323.0)</f>
        <v>1323</v>
      </c>
      <c r="K479" s="11">
        <f>IFERROR(__xludf.DUMMYFUNCTION("""COMPUTED_VALUE"""),760.0)</f>
        <v>760</v>
      </c>
      <c r="L479" s="11">
        <f>IFERROR(__xludf.DUMMYFUNCTION("""COMPUTED_VALUE"""),71.0)</f>
        <v>71</v>
      </c>
      <c r="M479" s="11">
        <f>IFERROR(__xludf.DUMMYFUNCTION("""COMPUTED_VALUE"""),994.0)</f>
        <v>994</v>
      </c>
      <c r="N479" s="11">
        <f t="shared" si="1"/>
        <v>2154</v>
      </c>
    </row>
    <row r="480">
      <c r="I480" s="13" t="str">
        <f>IFERROR(__xludf.DUMMYFUNCTION("""COMPUTED_VALUE"""),"740460599475760_1931154987072976")</f>
        <v>740460599475760_1931154987072976</v>
      </c>
      <c r="J480" s="11">
        <f>IFERROR(__xludf.DUMMYFUNCTION("""COMPUTED_VALUE"""),261.0)</f>
        <v>261</v>
      </c>
      <c r="K480" s="11">
        <f>IFERROR(__xludf.DUMMYFUNCTION("""COMPUTED_VALUE"""),28.0)</f>
        <v>28</v>
      </c>
      <c r="L480" s="11">
        <f>IFERROR(__xludf.DUMMYFUNCTION("""COMPUTED_VALUE"""),12.0)</f>
        <v>12</v>
      </c>
      <c r="M480" s="11">
        <f>IFERROR(__xludf.DUMMYFUNCTION("""COMPUTED_VALUE"""),998.0)</f>
        <v>998</v>
      </c>
      <c r="N480" s="11">
        <f t="shared" si="1"/>
        <v>301</v>
      </c>
    </row>
    <row r="481">
      <c r="I481" s="13" t="str">
        <f>IFERROR(__xludf.DUMMYFUNCTION("""COMPUTED_VALUE"""),"740460599475760_1932661716922303")</f>
        <v>740460599475760_1932661716922303</v>
      </c>
      <c r="J481" s="11">
        <f>IFERROR(__xludf.DUMMYFUNCTION("""COMPUTED_VALUE"""),224.0)</f>
        <v>224</v>
      </c>
      <c r="K481" s="11">
        <f>IFERROR(__xludf.DUMMYFUNCTION("""COMPUTED_VALUE"""),25.0)</f>
        <v>25</v>
      </c>
      <c r="L481" s="11">
        <f>IFERROR(__xludf.DUMMYFUNCTION("""COMPUTED_VALUE"""),2.0)</f>
        <v>2</v>
      </c>
      <c r="M481" s="11">
        <f>IFERROR(__xludf.DUMMYFUNCTION("""COMPUTED_VALUE"""),998.0)</f>
        <v>998</v>
      </c>
      <c r="N481" s="11">
        <f t="shared" si="1"/>
        <v>251</v>
      </c>
    </row>
    <row r="482">
      <c r="I482" s="13" t="str">
        <f>IFERROR(__xludf.DUMMYFUNCTION("""COMPUTED_VALUE"""),"172882636630076_990526674865664")</f>
        <v>172882636630076_990526674865664</v>
      </c>
      <c r="J482" s="11">
        <f>IFERROR(__xludf.DUMMYFUNCTION("""COMPUTED_VALUE"""),2313.0)</f>
        <v>2313</v>
      </c>
      <c r="K482" s="11">
        <f>IFERROR(__xludf.DUMMYFUNCTION("""COMPUTED_VALUE"""),44.0)</f>
        <v>44</v>
      </c>
      <c r="L482" s="11">
        <f>IFERROR(__xludf.DUMMYFUNCTION("""COMPUTED_VALUE"""),177.0)</f>
        <v>177</v>
      </c>
      <c r="M482" s="11">
        <f>IFERROR(__xludf.DUMMYFUNCTION("""COMPUTED_VALUE"""),1009.0)</f>
        <v>1009</v>
      </c>
      <c r="N482" s="11">
        <f t="shared" si="1"/>
        <v>2534</v>
      </c>
    </row>
    <row r="483">
      <c r="I483" s="13" t="str">
        <f>IFERROR(__xludf.DUMMYFUNCTION("""COMPUTED_VALUE"""),"172882636630076_1014469522471379")</f>
        <v>172882636630076_1014469522471379</v>
      </c>
      <c r="J483" s="11">
        <f>IFERROR(__xludf.DUMMYFUNCTION("""COMPUTED_VALUE"""),350.0)</f>
        <v>350</v>
      </c>
      <c r="K483" s="11">
        <f>IFERROR(__xludf.DUMMYFUNCTION("""COMPUTED_VALUE"""),10.0)</f>
        <v>10</v>
      </c>
      <c r="L483" s="11">
        <f>IFERROR(__xludf.DUMMYFUNCTION("""COMPUTED_VALUE"""),28.0)</f>
        <v>28</v>
      </c>
      <c r="M483" s="11">
        <f>IFERROR(__xludf.DUMMYFUNCTION("""COMPUTED_VALUE"""),1011.0)</f>
        <v>1011</v>
      </c>
      <c r="N483" s="11">
        <f t="shared" si="1"/>
        <v>388</v>
      </c>
    </row>
    <row r="484">
      <c r="I484" s="13" t="str">
        <f>IFERROR(__xludf.DUMMYFUNCTION("""COMPUTED_VALUE"""),"172882636630076_587002365858520")</f>
        <v>172882636630076_587002365858520</v>
      </c>
      <c r="J484" s="11">
        <f>IFERROR(__xludf.DUMMYFUNCTION("""COMPUTED_VALUE"""),686.0)</f>
        <v>686</v>
      </c>
      <c r="K484" s="11">
        <f>IFERROR(__xludf.DUMMYFUNCTION("""COMPUTED_VALUE"""),220.0)</f>
        <v>220</v>
      </c>
      <c r="L484" s="11">
        <f>IFERROR(__xludf.DUMMYFUNCTION("""COMPUTED_VALUE"""),110.0)</f>
        <v>110</v>
      </c>
      <c r="M484" s="11">
        <f>IFERROR(__xludf.DUMMYFUNCTION("""COMPUTED_VALUE"""),1014.0)</f>
        <v>1014</v>
      </c>
      <c r="N484" s="11">
        <f t="shared" si="1"/>
        <v>1016</v>
      </c>
    </row>
    <row r="485">
      <c r="I485" s="13" t="str">
        <f>IFERROR(__xludf.DUMMYFUNCTION("""COMPUTED_VALUE"""),"172882636630076_998456574072674")</f>
        <v>172882636630076_998456574072674</v>
      </c>
      <c r="J485" s="11">
        <f>IFERROR(__xludf.DUMMYFUNCTION("""COMPUTED_VALUE"""),432.0)</f>
        <v>432</v>
      </c>
      <c r="K485" s="11">
        <f>IFERROR(__xludf.DUMMYFUNCTION("""COMPUTED_VALUE"""),10.0)</f>
        <v>10</v>
      </c>
      <c r="L485" s="11">
        <f>IFERROR(__xludf.DUMMYFUNCTION("""COMPUTED_VALUE"""),16.0)</f>
        <v>16</v>
      </c>
      <c r="M485" s="11">
        <f>IFERROR(__xludf.DUMMYFUNCTION("""COMPUTED_VALUE"""),1019.0)</f>
        <v>1019</v>
      </c>
      <c r="N485" s="11">
        <f t="shared" si="1"/>
        <v>458</v>
      </c>
    </row>
    <row r="486">
      <c r="I486" s="13" t="str">
        <f>IFERROR(__xludf.DUMMYFUNCTION("""COMPUTED_VALUE"""),"172882636630076_986268008624864")</f>
        <v>172882636630076_986268008624864</v>
      </c>
      <c r="J486" s="11">
        <f>IFERROR(__xludf.DUMMYFUNCTION("""COMPUTED_VALUE"""),1204.0)</f>
        <v>1204</v>
      </c>
      <c r="K486" s="11">
        <f>IFERROR(__xludf.DUMMYFUNCTION("""COMPUTED_VALUE"""),17.0)</f>
        <v>17</v>
      </c>
      <c r="L486" s="11">
        <f>IFERROR(__xludf.DUMMYFUNCTION("""COMPUTED_VALUE"""),57.0)</f>
        <v>57</v>
      </c>
      <c r="M486" s="11">
        <f>IFERROR(__xludf.DUMMYFUNCTION("""COMPUTED_VALUE"""),1032.0)</f>
        <v>1032</v>
      </c>
      <c r="N486" s="11">
        <f t="shared" si="1"/>
        <v>1278</v>
      </c>
    </row>
    <row r="487">
      <c r="I487" s="13" t="str">
        <f>IFERROR(__xludf.DUMMYFUNCTION("""COMPUTED_VALUE"""),"172882636630076_999121967339468")</f>
        <v>172882636630076_999121967339468</v>
      </c>
      <c r="J487" s="11">
        <f>IFERROR(__xludf.DUMMYFUNCTION("""COMPUTED_VALUE"""),2429.0)</f>
        <v>2429</v>
      </c>
      <c r="K487" s="11">
        <f>IFERROR(__xludf.DUMMYFUNCTION("""COMPUTED_VALUE"""),5.0)</f>
        <v>5</v>
      </c>
      <c r="L487" s="11">
        <f>IFERROR(__xludf.DUMMYFUNCTION("""COMPUTED_VALUE"""),17.0)</f>
        <v>17</v>
      </c>
      <c r="M487" s="11">
        <f>IFERROR(__xludf.DUMMYFUNCTION("""COMPUTED_VALUE"""),1041.0)</f>
        <v>1041</v>
      </c>
      <c r="N487" s="11">
        <f t="shared" si="1"/>
        <v>2451</v>
      </c>
    </row>
    <row r="488">
      <c r="I488" s="13" t="str">
        <f>IFERROR(__xludf.DUMMYFUNCTION("""COMPUTED_VALUE"""),"172882636630076_996665127585152")</f>
        <v>172882636630076_996665127585152</v>
      </c>
      <c r="J488" s="11">
        <f>IFERROR(__xludf.DUMMYFUNCTION("""COMPUTED_VALUE"""),324.0)</f>
        <v>324</v>
      </c>
      <c r="K488" s="11">
        <f>IFERROR(__xludf.DUMMYFUNCTION("""COMPUTED_VALUE"""),3.0)</f>
        <v>3</v>
      </c>
      <c r="L488" s="11">
        <f>IFERROR(__xludf.DUMMYFUNCTION("""COMPUTED_VALUE"""),5.0)</f>
        <v>5</v>
      </c>
      <c r="M488" s="11">
        <f>IFERROR(__xludf.DUMMYFUNCTION("""COMPUTED_VALUE"""),1053.0)</f>
        <v>1053</v>
      </c>
      <c r="N488" s="11">
        <f t="shared" si="1"/>
        <v>332</v>
      </c>
    </row>
    <row r="489">
      <c r="I489" s="13" t="str">
        <f>IFERROR(__xludf.DUMMYFUNCTION("""COMPUTED_VALUE"""),"740460599475760_1911249899063485")</f>
        <v>740460599475760_1911249899063485</v>
      </c>
      <c r="J489" s="11">
        <f>IFERROR(__xludf.DUMMYFUNCTION("""COMPUTED_VALUE"""),4714.0)</f>
        <v>4714</v>
      </c>
      <c r="K489" s="11">
        <f>IFERROR(__xludf.DUMMYFUNCTION("""COMPUTED_VALUE"""),985.0)</f>
        <v>985</v>
      </c>
      <c r="L489" s="11">
        <f>IFERROR(__xludf.DUMMYFUNCTION("""COMPUTED_VALUE"""),216.0)</f>
        <v>216</v>
      </c>
      <c r="M489" s="11">
        <f>IFERROR(__xludf.DUMMYFUNCTION("""COMPUTED_VALUE"""),1058.0)</f>
        <v>1058</v>
      </c>
      <c r="N489" s="11">
        <f t="shared" si="1"/>
        <v>5915</v>
      </c>
    </row>
    <row r="490">
      <c r="I490" s="13" t="str">
        <f>IFERROR(__xludf.DUMMYFUNCTION("""COMPUTED_VALUE"""),"740460599475760_1917068655148276")</f>
        <v>740460599475760_1917068655148276</v>
      </c>
      <c r="J490" s="11">
        <f>IFERROR(__xludf.DUMMYFUNCTION("""COMPUTED_VALUE"""),1324.0)</f>
        <v>1324</v>
      </c>
      <c r="K490" s="11">
        <f>IFERROR(__xludf.DUMMYFUNCTION("""COMPUTED_VALUE"""),116.0)</f>
        <v>116</v>
      </c>
      <c r="L490" s="11">
        <f>IFERROR(__xludf.DUMMYFUNCTION("""COMPUTED_VALUE"""),90.0)</f>
        <v>90</v>
      </c>
      <c r="M490" s="11">
        <f>IFERROR(__xludf.DUMMYFUNCTION("""COMPUTED_VALUE"""),1062.0)</f>
        <v>1062</v>
      </c>
      <c r="N490" s="11">
        <f t="shared" si="1"/>
        <v>1530</v>
      </c>
    </row>
    <row r="491">
      <c r="I491" s="13" t="str">
        <f>IFERROR(__xludf.DUMMYFUNCTION("""COMPUTED_VALUE"""),"740460599475760_1911247819063693")</f>
        <v>740460599475760_1911247819063693</v>
      </c>
      <c r="J491" s="11">
        <f>IFERROR(__xludf.DUMMYFUNCTION("""COMPUTED_VALUE"""),1589.0)</f>
        <v>1589</v>
      </c>
      <c r="K491" s="11">
        <f>IFERROR(__xludf.DUMMYFUNCTION("""COMPUTED_VALUE"""),157.0)</f>
        <v>157</v>
      </c>
      <c r="L491" s="11">
        <f>IFERROR(__xludf.DUMMYFUNCTION("""COMPUTED_VALUE"""),94.0)</f>
        <v>94</v>
      </c>
      <c r="M491" s="11">
        <f>IFERROR(__xludf.DUMMYFUNCTION("""COMPUTED_VALUE"""),1084.0)</f>
        <v>1084</v>
      </c>
      <c r="N491" s="11">
        <f t="shared" si="1"/>
        <v>1840</v>
      </c>
    </row>
    <row r="492">
      <c r="I492" s="13" t="str">
        <f>IFERROR(__xludf.DUMMYFUNCTION("""COMPUTED_VALUE"""),"172882636630076_999260497325615")</f>
        <v>172882636630076_999260497325615</v>
      </c>
      <c r="J492" s="11">
        <f>IFERROR(__xludf.DUMMYFUNCTION("""COMPUTED_VALUE"""),2063.0)</f>
        <v>2063</v>
      </c>
      <c r="K492" s="11">
        <f>IFERROR(__xludf.DUMMYFUNCTION("""COMPUTED_VALUE"""),13.0)</f>
        <v>13</v>
      </c>
      <c r="L492" s="11">
        <f>IFERROR(__xludf.DUMMYFUNCTION("""COMPUTED_VALUE"""),14.0)</f>
        <v>14</v>
      </c>
      <c r="M492" s="11">
        <f>IFERROR(__xludf.DUMMYFUNCTION("""COMPUTED_VALUE"""),1093.0)</f>
        <v>1093</v>
      </c>
      <c r="N492" s="11">
        <f t="shared" si="1"/>
        <v>2090</v>
      </c>
    </row>
    <row r="493">
      <c r="I493" s="13" t="str">
        <f>IFERROR(__xludf.DUMMYFUNCTION("""COMPUTED_VALUE"""),"172882636630076_973550876563244")</f>
        <v>172882636630076_973550876563244</v>
      </c>
      <c r="J493" s="11">
        <f>IFERROR(__xludf.DUMMYFUNCTION("""COMPUTED_VALUE"""),250.0)</f>
        <v>250</v>
      </c>
      <c r="K493" s="11">
        <f>IFERROR(__xludf.DUMMYFUNCTION("""COMPUTED_VALUE"""),4.0)</f>
        <v>4</v>
      </c>
      <c r="L493" s="11">
        <f>IFERROR(__xludf.DUMMYFUNCTION("""COMPUTED_VALUE"""),14.0)</f>
        <v>14</v>
      </c>
      <c r="M493" s="11">
        <f>IFERROR(__xludf.DUMMYFUNCTION("""COMPUTED_VALUE"""),1095.0)</f>
        <v>1095</v>
      </c>
      <c r="N493" s="11">
        <f t="shared" si="1"/>
        <v>268</v>
      </c>
    </row>
    <row r="494">
      <c r="I494" s="13" t="str">
        <f>IFERROR(__xludf.DUMMYFUNCTION("""COMPUTED_VALUE"""),"172882636630076_997901074128224")</f>
        <v>172882636630076_997901074128224</v>
      </c>
      <c r="J494" s="11">
        <f>IFERROR(__xludf.DUMMYFUNCTION("""COMPUTED_VALUE"""),2529.0)</f>
        <v>2529</v>
      </c>
      <c r="K494" s="11">
        <f>IFERROR(__xludf.DUMMYFUNCTION("""COMPUTED_VALUE"""),4.0)</f>
        <v>4</v>
      </c>
      <c r="L494" s="11">
        <f>IFERROR(__xludf.DUMMYFUNCTION("""COMPUTED_VALUE"""),211.0)</f>
        <v>211</v>
      </c>
      <c r="M494" s="11">
        <f>IFERROR(__xludf.DUMMYFUNCTION("""COMPUTED_VALUE"""),1107.0)</f>
        <v>1107</v>
      </c>
      <c r="N494" s="11">
        <f t="shared" si="1"/>
        <v>2744</v>
      </c>
    </row>
    <row r="495">
      <c r="I495" s="13" t="str">
        <f>IFERROR(__xludf.DUMMYFUNCTION("""COMPUTED_VALUE"""),"172882636630076_999096604008671")</f>
        <v>172882636630076_999096604008671</v>
      </c>
      <c r="J495" s="11">
        <f>IFERROR(__xludf.DUMMYFUNCTION("""COMPUTED_VALUE"""),1261.0)</f>
        <v>1261</v>
      </c>
      <c r="K495" s="11">
        <f>IFERROR(__xludf.DUMMYFUNCTION("""COMPUTED_VALUE"""),10.0)</f>
        <v>10</v>
      </c>
      <c r="L495" s="11">
        <f>IFERROR(__xludf.DUMMYFUNCTION("""COMPUTED_VALUE"""),57.0)</f>
        <v>57</v>
      </c>
      <c r="M495" s="11">
        <f>IFERROR(__xludf.DUMMYFUNCTION("""COMPUTED_VALUE"""),1141.0)</f>
        <v>1141</v>
      </c>
      <c r="N495" s="11">
        <f t="shared" si="1"/>
        <v>1328</v>
      </c>
    </row>
    <row r="496">
      <c r="I496" s="13" t="str">
        <f>IFERROR(__xludf.DUMMYFUNCTION("""COMPUTED_VALUE"""),"172882636630076_1000466597205005")</f>
        <v>172882636630076_1000466597205005</v>
      </c>
      <c r="J496" s="11">
        <f>IFERROR(__xludf.DUMMYFUNCTION("""COMPUTED_VALUE"""),225.0)</f>
        <v>225</v>
      </c>
      <c r="K496" s="11">
        <f>IFERROR(__xludf.DUMMYFUNCTION("""COMPUTED_VALUE"""),0.0)</f>
        <v>0</v>
      </c>
      <c r="L496" s="11">
        <f>IFERROR(__xludf.DUMMYFUNCTION("""COMPUTED_VALUE"""),9.0)</f>
        <v>9</v>
      </c>
      <c r="M496" s="11">
        <f>IFERROR(__xludf.DUMMYFUNCTION("""COMPUTED_VALUE"""),1145.0)</f>
        <v>1145</v>
      </c>
      <c r="N496" s="11">
        <f t="shared" si="1"/>
        <v>234</v>
      </c>
    </row>
    <row r="497">
      <c r="I497" s="13" t="str">
        <f>IFERROR(__xludf.DUMMYFUNCTION("""COMPUTED_VALUE"""),"172882636630076_999091954009136")</f>
        <v>172882636630076_999091954009136</v>
      </c>
      <c r="J497" s="11">
        <f>IFERROR(__xludf.DUMMYFUNCTION("""COMPUTED_VALUE"""),1208.0)</f>
        <v>1208</v>
      </c>
      <c r="K497" s="11">
        <f>IFERROR(__xludf.DUMMYFUNCTION("""COMPUTED_VALUE"""),7.0)</f>
        <v>7</v>
      </c>
      <c r="L497" s="11">
        <f>IFERROR(__xludf.DUMMYFUNCTION("""COMPUTED_VALUE"""),22.0)</f>
        <v>22</v>
      </c>
      <c r="M497" s="11">
        <f>IFERROR(__xludf.DUMMYFUNCTION("""COMPUTED_VALUE"""),1153.0)</f>
        <v>1153</v>
      </c>
      <c r="N497" s="11">
        <f t="shared" si="1"/>
        <v>1237</v>
      </c>
    </row>
    <row r="498">
      <c r="I498" s="13" t="str">
        <f>IFERROR(__xludf.DUMMYFUNCTION("""COMPUTED_VALUE"""),"172882636630076_994927227758942")</f>
        <v>172882636630076_994927227758942</v>
      </c>
      <c r="J498" s="11">
        <f>IFERROR(__xludf.DUMMYFUNCTION("""COMPUTED_VALUE"""),1275.0)</f>
        <v>1275</v>
      </c>
      <c r="K498" s="11">
        <f>IFERROR(__xludf.DUMMYFUNCTION("""COMPUTED_VALUE"""),4.0)</f>
        <v>4</v>
      </c>
      <c r="L498" s="11">
        <f>IFERROR(__xludf.DUMMYFUNCTION("""COMPUTED_VALUE"""),28.0)</f>
        <v>28</v>
      </c>
      <c r="M498" s="11">
        <f>IFERROR(__xludf.DUMMYFUNCTION("""COMPUTED_VALUE"""),1154.0)</f>
        <v>1154</v>
      </c>
      <c r="N498" s="11">
        <f t="shared" si="1"/>
        <v>1307</v>
      </c>
    </row>
    <row r="499">
      <c r="I499" s="13" t="str">
        <f>IFERROR(__xludf.DUMMYFUNCTION("""COMPUTED_VALUE"""),"172882636630076_999696490615349")</f>
        <v>172882636630076_999696490615349</v>
      </c>
      <c r="J499" s="11">
        <f>IFERROR(__xludf.DUMMYFUNCTION("""COMPUTED_VALUE"""),612.0)</f>
        <v>612</v>
      </c>
      <c r="K499" s="11">
        <f>IFERROR(__xludf.DUMMYFUNCTION("""COMPUTED_VALUE"""),1.0)</f>
        <v>1</v>
      </c>
      <c r="L499" s="11">
        <f>IFERROR(__xludf.DUMMYFUNCTION("""COMPUTED_VALUE"""),77.0)</f>
        <v>77</v>
      </c>
      <c r="M499" s="11">
        <f>IFERROR(__xludf.DUMMYFUNCTION("""COMPUTED_VALUE"""),1156.0)</f>
        <v>1156</v>
      </c>
      <c r="N499" s="11">
        <f t="shared" si="1"/>
        <v>690</v>
      </c>
    </row>
    <row r="500">
      <c r="I500" s="13" t="str">
        <f>IFERROR(__xludf.DUMMYFUNCTION("""COMPUTED_VALUE"""),"172882636630076_999871137264551")</f>
        <v>172882636630076_999871137264551</v>
      </c>
      <c r="J500" s="11">
        <f>IFERROR(__xludf.DUMMYFUNCTION("""COMPUTED_VALUE"""),315.0)</f>
        <v>315</v>
      </c>
      <c r="K500" s="11">
        <f>IFERROR(__xludf.DUMMYFUNCTION("""COMPUTED_VALUE"""),0.0)</f>
        <v>0</v>
      </c>
      <c r="L500" s="11">
        <f>IFERROR(__xludf.DUMMYFUNCTION("""COMPUTED_VALUE"""),3.0)</f>
        <v>3</v>
      </c>
      <c r="M500" s="11">
        <f>IFERROR(__xludf.DUMMYFUNCTION("""COMPUTED_VALUE"""),1165.0)</f>
        <v>1165</v>
      </c>
      <c r="N500" s="11">
        <f t="shared" si="1"/>
        <v>318</v>
      </c>
    </row>
    <row r="501">
      <c r="I501" s="13" t="str">
        <f>IFERROR(__xludf.DUMMYFUNCTION("""COMPUTED_VALUE"""),"172882636630076_999088734009458")</f>
        <v>172882636630076_999088734009458</v>
      </c>
      <c r="J501" s="11">
        <f>IFERROR(__xludf.DUMMYFUNCTION("""COMPUTED_VALUE"""),1885.0)</f>
        <v>1885</v>
      </c>
      <c r="K501" s="11">
        <f>IFERROR(__xludf.DUMMYFUNCTION("""COMPUTED_VALUE"""),39.0)</f>
        <v>39</v>
      </c>
      <c r="L501" s="11">
        <f>IFERROR(__xludf.DUMMYFUNCTION("""COMPUTED_VALUE"""),86.0)</f>
        <v>86</v>
      </c>
      <c r="M501" s="11">
        <f>IFERROR(__xludf.DUMMYFUNCTION("""COMPUTED_VALUE"""),1172.0)</f>
        <v>1172</v>
      </c>
      <c r="N501" s="11">
        <f t="shared" si="1"/>
        <v>2010</v>
      </c>
    </row>
    <row r="502">
      <c r="I502" s="13" t="str">
        <f>IFERROR(__xludf.DUMMYFUNCTION("""COMPUTED_VALUE"""),"172882636630076_999281797323485")</f>
        <v>172882636630076_999281797323485</v>
      </c>
      <c r="J502" s="11">
        <f>IFERROR(__xludf.DUMMYFUNCTION("""COMPUTED_VALUE"""),827.0)</f>
        <v>827</v>
      </c>
      <c r="K502" s="11">
        <f>IFERROR(__xludf.DUMMYFUNCTION("""COMPUTED_VALUE"""),8.0)</f>
        <v>8</v>
      </c>
      <c r="L502" s="11">
        <f>IFERROR(__xludf.DUMMYFUNCTION("""COMPUTED_VALUE"""),45.0)</f>
        <v>45</v>
      </c>
      <c r="M502" s="11">
        <f>IFERROR(__xludf.DUMMYFUNCTION("""COMPUTED_VALUE"""),1174.0)</f>
        <v>1174</v>
      </c>
      <c r="N502" s="11">
        <f t="shared" si="1"/>
        <v>880</v>
      </c>
    </row>
    <row r="503">
      <c r="I503" s="13" t="str">
        <f>IFERROR(__xludf.DUMMYFUNCTION("""COMPUTED_VALUE"""),"172882636630076_997263320858666")</f>
        <v>172882636630076_997263320858666</v>
      </c>
      <c r="J503" s="11">
        <f>IFERROR(__xludf.DUMMYFUNCTION("""COMPUTED_VALUE"""),2995.0)</f>
        <v>2995</v>
      </c>
      <c r="K503" s="11">
        <f>IFERROR(__xludf.DUMMYFUNCTION("""COMPUTED_VALUE"""),21.0)</f>
        <v>21</v>
      </c>
      <c r="L503" s="11">
        <f>IFERROR(__xludf.DUMMYFUNCTION("""COMPUTED_VALUE"""),222.0)</f>
        <v>222</v>
      </c>
      <c r="M503" s="11">
        <f>IFERROR(__xludf.DUMMYFUNCTION("""COMPUTED_VALUE"""),1183.0)</f>
        <v>1183</v>
      </c>
      <c r="N503" s="11">
        <f t="shared" si="1"/>
        <v>3238</v>
      </c>
    </row>
    <row r="504">
      <c r="I504" s="13" t="str">
        <f>IFERROR(__xludf.DUMMYFUNCTION("""COMPUTED_VALUE"""),"172882636630076_1001808150404183")</f>
        <v>172882636630076_1001808150404183</v>
      </c>
      <c r="J504" s="11">
        <f>IFERROR(__xludf.DUMMYFUNCTION("""COMPUTED_VALUE"""),5572.0)</f>
        <v>5572</v>
      </c>
      <c r="K504" s="11">
        <f>IFERROR(__xludf.DUMMYFUNCTION("""COMPUTED_VALUE"""),64.0)</f>
        <v>64</v>
      </c>
      <c r="L504" s="11">
        <f>IFERROR(__xludf.DUMMYFUNCTION("""COMPUTED_VALUE"""),478.0)</f>
        <v>478</v>
      </c>
      <c r="M504" s="11">
        <f>IFERROR(__xludf.DUMMYFUNCTION("""COMPUTED_VALUE"""),1192.0)</f>
        <v>1192</v>
      </c>
      <c r="N504" s="11">
        <f t="shared" si="1"/>
        <v>6114</v>
      </c>
    </row>
    <row r="505">
      <c r="I505" s="13" t="str">
        <f>IFERROR(__xludf.DUMMYFUNCTION("""COMPUTED_VALUE"""),"172882636630076_974353596482972")</f>
        <v>172882636630076_974353596482972</v>
      </c>
      <c r="J505" s="11">
        <f>IFERROR(__xludf.DUMMYFUNCTION("""COMPUTED_VALUE"""),1259.0)</f>
        <v>1259</v>
      </c>
      <c r="K505" s="11">
        <f>IFERROR(__xludf.DUMMYFUNCTION("""COMPUTED_VALUE"""),18.0)</f>
        <v>18</v>
      </c>
      <c r="L505" s="11">
        <f>IFERROR(__xludf.DUMMYFUNCTION("""COMPUTED_VALUE"""),75.0)</f>
        <v>75</v>
      </c>
      <c r="M505" s="11">
        <f>IFERROR(__xludf.DUMMYFUNCTION("""COMPUTED_VALUE"""),1196.0)</f>
        <v>1196</v>
      </c>
      <c r="N505" s="11">
        <f t="shared" si="1"/>
        <v>1352</v>
      </c>
    </row>
    <row r="506">
      <c r="I506" s="13" t="str">
        <f>IFERROR(__xludf.DUMMYFUNCTION("""COMPUTED_VALUE"""),"172882636630076_1018778448707153")</f>
        <v>172882636630076_1018778448707153</v>
      </c>
      <c r="J506" s="11">
        <f>IFERROR(__xludf.DUMMYFUNCTION("""COMPUTED_VALUE"""),979.0)</f>
        <v>979</v>
      </c>
      <c r="K506" s="11">
        <f>IFERROR(__xludf.DUMMYFUNCTION("""COMPUTED_VALUE"""),53.0)</f>
        <v>53</v>
      </c>
      <c r="L506" s="11">
        <f>IFERROR(__xludf.DUMMYFUNCTION("""COMPUTED_VALUE"""),65.0)</f>
        <v>65</v>
      </c>
      <c r="M506" s="11">
        <f>IFERROR(__xludf.DUMMYFUNCTION("""COMPUTED_VALUE"""),1211.0)</f>
        <v>1211</v>
      </c>
      <c r="N506" s="11">
        <f t="shared" si="1"/>
        <v>1097</v>
      </c>
    </row>
    <row r="507">
      <c r="I507" s="13" t="str">
        <f>IFERROR(__xludf.DUMMYFUNCTION("""COMPUTED_VALUE"""),"172882636630076_994557011129297")</f>
        <v>172882636630076_994557011129297</v>
      </c>
      <c r="J507" s="11">
        <f>IFERROR(__xludf.DUMMYFUNCTION("""COMPUTED_VALUE"""),1623.0)</f>
        <v>1623</v>
      </c>
      <c r="K507" s="11">
        <f>IFERROR(__xludf.DUMMYFUNCTION("""COMPUTED_VALUE"""),43.0)</f>
        <v>43</v>
      </c>
      <c r="L507" s="11">
        <f>IFERROR(__xludf.DUMMYFUNCTION("""COMPUTED_VALUE"""),283.0)</f>
        <v>283</v>
      </c>
      <c r="M507" s="11">
        <f>IFERROR(__xludf.DUMMYFUNCTION("""COMPUTED_VALUE"""),1212.0)</f>
        <v>1212</v>
      </c>
      <c r="N507" s="11">
        <f t="shared" si="1"/>
        <v>1949</v>
      </c>
    </row>
    <row r="508">
      <c r="I508" s="13" t="str">
        <f>IFERROR(__xludf.DUMMYFUNCTION("""COMPUTED_VALUE"""),"172882636630076_1019350951983236")</f>
        <v>172882636630076_1019350951983236</v>
      </c>
      <c r="J508" s="11">
        <f>IFERROR(__xludf.DUMMYFUNCTION("""COMPUTED_VALUE"""),262.0)</f>
        <v>262</v>
      </c>
      <c r="K508" s="11">
        <f>IFERROR(__xludf.DUMMYFUNCTION("""COMPUTED_VALUE"""),5.0)</f>
        <v>5</v>
      </c>
      <c r="L508" s="11">
        <f>IFERROR(__xludf.DUMMYFUNCTION("""COMPUTED_VALUE"""),7.0)</f>
        <v>7</v>
      </c>
      <c r="M508" s="11">
        <f>IFERROR(__xludf.DUMMYFUNCTION("""COMPUTED_VALUE"""),1213.0)</f>
        <v>1213</v>
      </c>
      <c r="N508" s="11">
        <f t="shared" si="1"/>
        <v>274</v>
      </c>
    </row>
    <row r="509">
      <c r="I509" s="13" t="str">
        <f>IFERROR(__xludf.DUMMYFUNCTION("""COMPUTED_VALUE"""),"740460599475760_1921114361410372")</f>
        <v>740460599475760_1921114361410372</v>
      </c>
      <c r="J509" s="11">
        <f>IFERROR(__xludf.DUMMYFUNCTION("""COMPUTED_VALUE"""),5662.0)</f>
        <v>5662</v>
      </c>
      <c r="K509" s="11">
        <f>IFERROR(__xludf.DUMMYFUNCTION("""COMPUTED_VALUE"""),647.0)</f>
        <v>647</v>
      </c>
      <c r="L509" s="11">
        <f>IFERROR(__xludf.DUMMYFUNCTION("""COMPUTED_VALUE"""),539.0)</f>
        <v>539</v>
      </c>
      <c r="M509" s="11">
        <f>IFERROR(__xludf.DUMMYFUNCTION("""COMPUTED_VALUE"""),1216.0)</f>
        <v>1216</v>
      </c>
      <c r="N509" s="11">
        <f t="shared" si="1"/>
        <v>6848</v>
      </c>
    </row>
    <row r="510">
      <c r="I510" s="13" t="str">
        <f>IFERROR(__xludf.DUMMYFUNCTION("""COMPUTED_VALUE"""),"172882636630076_1018340555417609")</f>
        <v>172882636630076_1018340555417609</v>
      </c>
      <c r="J510" s="11">
        <f>IFERROR(__xludf.DUMMYFUNCTION("""COMPUTED_VALUE"""),1504.0)</f>
        <v>1504</v>
      </c>
      <c r="K510" s="11">
        <f>IFERROR(__xludf.DUMMYFUNCTION("""COMPUTED_VALUE"""),29.0)</f>
        <v>29</v>
      </c>
      <c r="L510" s="11">
        <f>IFERROR(__xludf.DUMMYFUNCTION("""COMPUTED_VALUE"""),35.0)</f>
        <v>35</v>
      </c>
      <c r="M510" s="11">
        <f>IFERROR(__xludf.DUMMYFUNCTION("""COMPUTED_VALUE"""),1219.0)</f>
        <v>1219</v>
      </c>
      <c r="N510" s="11">
        <f t="shared" si="1"/>
        <v>1568</v>
      </c>
    </row>
    <row r="511">
      <c r="I511" s="13" t="str">
        <f>IFERROR(__xludf.DUMMYFUNCTION("""COMPUTED_VALUE"""),"172882636630076_1002338103684521")</f>
        <v>172882636630076_1002338103684521</v>
      </c>
      <c r="J511" s="11">
        <f>IFERROR(__xludf.DUMMYFUNCTION("""COMPUTED_VALUE"""),6579.0)</f>
        <v>6579</v>
      </c>
      <c r="K511" s="11">
        <f>IFERROR(__xludf.DUMMYFUNCTION("""COMPUTED_VALUE"""),65.0)</f>
        <v>65</v>
      </c>
      <c r="L511" s="11">
        <f>IFERROR(__xludf.DUMMYFUNCTION("""COMPUTED_VALUE"""),395.0)</f>
        <v>395</v>
      </c>
      <c r="M511" s="11">
        <f>IFERROR(__xludf.DUMMYFUNCTION("""COMPUTED_VALUE"""),1222.0)</f>
        <v>1222</v>
      </c>
      <c r="N511" s="11">
        <f t="shared" si="1"/>
        <v>7039</v>
      </c>
    </row>
    <row r="512">
      <c r="I512" s="13" t="str">
        <f>IFERROR(__xludf.DUMMYFUNCTION("""COMPUTED_VALUE"""),"172882636630076_1019943645257300")</f>
        <v>172882636630076_1019943645257300</v>
      </c>
      <c r="J512" s="11">
        <f>IFERROR(__xludf.DUMMYFUNCTION("""COMPUTED_VALUE"""),355.0)</f>
        <v>355</v>
      </c>
      <c r="K512" s="11">
        <f>IFERROR(__xludf.DUMMYFUNCTION("""COMPUTED_VALUE"""),3.0)</f>
        <v>3</v>
      </c>
      <c r="L512" s="11">
        <f>IFERROR(__xludf.DUMMYFUNCTION("""COMPUTED_VALUE"""),11.0)</f>
        <v>11</v>
      </c>
      <c r="M512" s="11">
        <f>IFERROR(__xludf.DUMMYFUNCTION("""COMPUTED_VALUE"""),1231.0)</f>
        <v>1231</v>
      </c>
      <c r="N512" s="11">
        <f t="shared" si="1"/>
        <v>369</v>
      </c>
    </row>
    <row r="513">
      <c r="I513" s="13" t="str">
        <f>IFERROR(__xludf.DUMMYFUNCTION("""COMPUTED_VALUE"""),"172882636630076_999859547265710")</f>
        <v>172882636630076_999859547265710</v>
      </c>
      <c r="J513" s="11">
        <f>IFERROR(__xludf.DUMMYFUNCTION("""COMPUTED_VALUE"""),1467.0)</f>
        <v>1467</v>
      </c>
      <c r="K513" s="11">
        <f>IFERROR(__xludf.DUMMYFUNCTION("""COMPUTED_VALUE"""),12.0)</f>
        <v>12</v>
      </c>
      <c r="L513" s="11">
        <f>IFERROR(__xludf.DUMMYFUNCTION("""COMPUTED_VALUE"""),51.0)</f>
        <v>51</v>
      </c>
      <c r="M513" s="11">
        <f>IFERROR(__xludf.DUMMYFUNCTION("""COMPUTED_VALUE"""),1236.0)</f>
        <v>1236</v>
      </c>
      <c r="N513" s="11">
        <f t="shared" si="1"/>
        <v>1530</v>
      </c>
    </row>
    <row r="514">
      <c r="I514" s="13" t="str">
        <f>IFERROR(__xludf.DUMMYFUNCTION("""COMPUTED_VALUE"""),"172882636630076_1000440563874275")</f>
        <v>172882636630076_1000440563874275</v>
      </c>
      <c r="J514" s="11">
        <f>IFERROR(__xludf.DUMMYFUNCTION("""COMPUTED_VALUE"""),3021.0)</f>
        <v>3021</v>
      </c>
      <c r="K514" s="11">
        <f>IFERROR(__xludf.DUMMYFUNCTION("""COMPUTED_VALUE"""),40.0)</f>
        <v>40</v>
      </c>
      <c r="L514" s="11">
        <f>IFERROR(__xludf.DUMMYFUNCTION("""COMPUTED_VALUE"""),104.0)</f>
        <v>104</v>
      </c>
      <c r="M514" s="11">
        <f>IFERROR(__xludf.DUMMYFUNCTION("""COMPUTED_VALUE"""),1239.0)</f>
        <v>1239</v>
      </c>
      <c r="N514" s="11">
        <f t="shared" si="1"/>
        <v>3165</v>
      </c>
    </row>
    <row r="515">
      <c r="I515" s="13" t="str">
        <f>IFERROR(__xludf.DUMMYFUNCTION("""COMPUTED_VALUE"""),"172882636630076_1007592689825729")</f>
        <v>172882636630076_1007592689825729</v>
      </c>
      <c r="J515" s="11">
        <f>IFERROR(__xludf.DUMMYFUNCTION("""COMPUTED_VALUE"""),203.0)</f>
        <v>203</v>
      </c>
      <c r="K515" s="11">
        <f>IFERROR(__xludf.DUMMYFUNCTION("""COMPUTED_VALUE"""),0.0)</f>
        <v>0</v>
      </c>
      <c r="L515" s="11">
        <f>IFERROR(__xludf.DUMMYFUNCTION("""COMPUTED_VALUE"""),2.0)</f>
        <v>2</v>
      </c>
      <c r="M515" s="11">
        <f>IFERROR(__xludf.DUMMYFUNCTION("""COMPUTED_VALUE"""),1241.0)</f>
        <v>1241</v>
      </c>
      <c r="N515" s="11">
        <f t="shared" si="1"/>
        <v>205</v>
      </c>
    </row>
    <row r="516">
      <c r="I516" s="13" t="str">
        <f>IFERROR(__xludf.DUMMYFUNCTION("""COMPUTED_VALUE"""),"172882636630076_1018820962036235")</f>
        <v>172882636630076_1018820962036235</v>
      </c>
      <c r="J516" s="11">
        <f>IFERROR(__xludf.DUMMYFUNCTION("""COMPUTED_VALUE"""),2600.0)</f>
        <v>2600</v>
      </c>
      <c r="K516" s="11">
        <f>IFERROR(__xludf.DUMMYFUNCTION("""COMPUTED_VALUE"""),20.0)</f>
        <v>20</v>
      </c>
      <c r="L516" s="11">
        <f>IFERROR(__xludf.DUMMYFUNCTION("""COMPUTED_VALUE"""),112.0)</f>
        <v>112</v>
      </c>
      <c r="M516" s="11">
        <f>IFERROR(__xludf.DUMMYFUNCTION("""COMPUTED_VALUE"""),1245.0)</f>
        <v>1245</v>
      </c>
      <c r="N516" s="11">
        <f t="shared" si="1"/>
        <v>2732</v>
      </c>
    </row>
    <row r="517">
      <c r="I517" s="13" t="str">
        <f>IFERROR(__xludf.DUMMYFUNCTION("""COMPUTED_VALUE"""),"172882636630076_1000447847206880")</f>
        <v>172882636630076_1000447847206880</v>
      </c>
      <c r="J517" s="11">
        <f>IFERROR(__xludf.DUMMYFUNCTION("""COMPUTED_VALUE"""),3418.0)</f>
        <v>3418</v>
      </c>
      <c r="K517" s="11">
        <f>IFERROR(__xludf.DUMMYFUNCTION("""COMPUTED_VALUE"""),22.0)</f>
        <v>22</v>
      </c>
      <c r="L517" s="11">
        <f>IFERROR(__xludf.DUMMYFUNCTION("""COMPUTED_VALUE"""),123.0)</f>
        <v>123</v>
      </c>
      <c r="M517" s="11">
        <f>IFERROR(__xludf.DUMMYFUNCTION("""COMPUTED_VALUE"""),1249.0)</f>
        <v>1249</v>
      </c>
      <c r="N517" s="11">
        <f t="shared" si="1"/>
        <v>3563</v>
      </c>
    </row>
    <row r="518">
      <c r="I518" s="13" t="str">
        <f>IFERROR(__xludf.DUMMYFUNCTION("""COMPUTED_VALUE"""),"172882636630076_1018981242020207")</f>
        <v>172882636630076_1018981242020207</v>
      </c>
      <c r="J518" s="11">
        <f>IFERROR(__xludf.DUMMYFUNCTION("""COMPUTED_VALUE"""),961.0)</f>
        <v>961</v>
      </c>
      <c r="K518" s="11">
        <f>IFERROR(__xludf.DUMMYFUNCTION("""COMPUTED_VALUE"""),14.0)</f>
        <v>14</v>
      </c>
      <c r="L518" s="11">
        <f>IFERROR(__xludf.DUMMYFUNCTION("""COMPUTED_VALUE"""),10.0)</f>
        <v>10</v>
      </c>
      <c r="M518" s="11">
        <f>IFERROR(__xludf.DUMMYFUNCTION("""COMPUTED_VALUE"""),1268.0)</f>
        <v>1268</v>
      </c>
      <c r="N518" s="11">
        <f t="shared" si="1"/>
        <v>985</v>
      </c>
    </row>
    <row r="519">
      <c r="I519" s="13" t="str">
        <f>IFERROR(__xludf.DUMMYFUNCTION("""COMPUTED_VALUE"""),"172882636630076_969476276970704")</f>
        <v>172882636630076_969476276970704</v>
      </c>
      <c r="J519" s="11">
        <f>IFERROR(__xludf.DUMMYFUNCTION("""COMPUTED_VALUE"""),1111.0)</f>
        <v>1111</v>
      </c>
      <c r="K519" s="11">
        <f>IFERROR(__xludf.DUMMYFUNCTION("""COMPUTED_VALUE"""),13.0)</f>
        <v>13</v>
      </c>
      <c r="L519" s="11">
        <f>IFERROR(__xludf.DUMMYFUNCTION("""COMPUTED_VALUE"""),49.0)</f>
        <v>49</v>
      </c>
      <c r="M519" s="11">
        <f>IFERROR(__xludf.DUMMYFUNCTION("""COMPUTED_VALUE"""),1273.0)</f>
        <v>1273</v>
      </c>
      <c r="N519" s="11">
        <f t="shared" si="1"/>
        <v>1173</v>
      </c>
    </row>
    <row r="520">
      <c r="I520" s="13" t="str">
        <f>IFERROR(__xludf.DUMMYFUNCTION("""COMPUTED_VALUE"""),"172882636630076_1018844178700580")</f>
        <v>172882636630076_1018844178700580</v>
      </c>
      <c r="J520" s="11">
        <f>IFERROR(__xludf.DUMMYFUNCTION("""COMPUTED_VALUE"""),218.0)</f>
        <v>218</v>
      </c>
      <c r="K520" s="11">
        <f>IFERROR(__xludf.DUMMYFUNCTION("""COMPUTED_VALUE"""),0.0)</f>
        <v>0</v>
      </c>
      <c r="L520" s="11">
        <f>IFERROR(__xludf.DUMMYFUNCTION("""COMPUTED_VALUE"""),5.0)</f>
        <v>5</v>
      </c>
      <c r="M520" s="11">
        <f>IFERROR(__xludf.DUMMYFUNCTION("""COMPUTED_VALUE"""),1274.0)</f>
        <v>1274</v>
      </c>
      <c r="N520" s="11">
        <f t="shared" si="1"/>
        <v>223</v>
      </c>
    </row>
    <row r="521">
      <c r="I521" s="13" t="str">
        <f>IFERROR(__xludf.DUMMYFUNCTION("""COMPUTED_VALUE"""),"172882636630076_1002995990285399")</f>
        <v>172882636630076_1002995990285399</v>
      </c>
      <c r="J521" s="11">
        <f>IFERROR(__xludf.DUMMYFUNCTION("""COMPUTED_VALUE"""),435.0)</f>
        <v>435</v>
      </c>
      <c r="K521" s="11">
        <f>IFERROR(__xludf.DUMMYFUNCTION("""COMPUTED_VALUE"""),0.0)</f>
        <v>0</v>
      </c>
      <c r="L521" s="11">
        <f>IFERROR(__xludf.DUMMYFUNCTION("""COMPUTED_VALUE"""),21.0)</f>
        <v>21</v>
      </c>
      <c r="M521" s="11">
        <f>IFERROR(__xludf.DUMMYFUNCTION("""COMPUTED_VALUE"""),1294.0)</f>
        <v>1294</v>
      </c>
      <c r="N521" s="11">
        <f t="shared" si="1"/>
        <v>456</v>
      </c>
    </row>
    <row r="522">
      <c r="I522" s="13" t="str">
        <f>IFERROR(__xludf.DUMMYFUNCTION("""COMPUTED_VALUE"""),"172882636630076_1005935756658089")</f>
        <v>172882636630076_1005935756658089</v>
      </c>
      <c r="J522" s="11">
        <f>IFERROR(__xludf.DUMMYFUNCTION("""COMPUTED_VALUE"""),176.0)</f>
        <v>176</v>
      </c>
      <c r="K522" s="11">
        <f>IFERROR(__xludf.DUMMYFUNCTION("""COMPUTED_VALUE"""),0.0)</f>
        <v>0</v>
      </c>
      <c r="L522" s="11">
        <f>IFERROR(__xludf.DUMMYFUNCTION("""COMPUTED_VALUE"""),16.0)</f>
        <v>16</v>
      </c>
      <c r="M522" s="11">
        <f>IFERROR(__xludf.DUMMYFUNCTION("""COMPUTED_VALUE"""),1300.0)</f>
        <v>1300</v>
      </c>
      <c r="N522" s="11">
        <f t="shared" si="1"/>
        <v>192</v>
      </c>
    </row>
    <row r="523">
      <c r="I523" s="13" t="str">
        <f>IFERROR(__xludf.DUMMYFUNCTION("""COMPUTED_VALUE"""),"172882636630076_1019983768586621")</f>
        <v>172882636630076_1019983768586621</v>
      </c>
      <c r="J523" s="11">
        <f>IFERROR(__xludf.DUMMYFUNCTION("""COMPUTED_VALUE"""),60.0)</f>
        <v>60</v>
      </c>
      <c r="K523" s="11">
        <f>IFERROR(__xludf.DUMMYFUNCTION("""COMPUTED_VALUE"""),1.0)</f>
        <v>1</v>
      </c>
      <c r="L523" s="11">
        <f>IFERROR(__xludf.DUMMYFUNCTION("""COMPUTED_VALUE"""),1.0)</f>
        <v>1</v>
      </c>
      <c r="M523" s="11">
        <f>IFERROR(__xludf.DUMMYFUNCTION("""COMPUTED_VALUE"""),1301.0)</f>
        <v>1301</v>
      </c>
      <c r="N523" s="11">
        <f t="shared" si="1"/>
        <v>62</v>
      </c>
    </row>
    <row r="524">
      <c r="I524" s="13" t="str">
        <f>IFERROR(__xludf.DUMMYFUNCTION("""COMPUTED_VALUE"""),"172882636630076_1002358573682474")</f>
        <v>172882636630076_1002358573682474</v>
      </c>
      <c r="J524" s="11">
        <f>IFERROR(__xludf.DUMMYFUNCTION("""COMPUTED_VALUE"""),1058.0)</f>
        <v>1058</v>
      </c>
      <c r="K524" s="11">
        <f>IFERROR(__xludf.DUMMYFUNCTION("""COMPUTED_VALUE"""),17.0)</f>
        <v>17</v>
      </c>
      <c r="L524" s="11">
        <f>IFERROR(__xludf.DUMMYFUNCTION("""COMPUTED_VALUE"""),41.0)</f>
        <v>41</v>
      </c>
      <c r="M524" s="11">
        <f>IFERROR(__xludf.DUMMYFUNCTION("""COMPUTED_VALUE"""),1324.0)</f>
        <v>1324</v>
      </c>
      <c r="N524" s="11">
        <f t="shared" si="1"/>
        <v>1116</v>
      </c>
    </row>
    <row r="525">
      <c r="I525" s="13" t="str">
        <f>IFERROR(__xludf.DUMMYFUNCTION("""COMPUTED_VALUE"""),"172882636630076_1007623696489295")</f>
        <v>172882636630076_1007623696489295</v>
      </c>
      <c r="J525" s="11">
        <f>IFERROR(__xludf.DUMMYFUNCTION("""COMPUTED_VALUE"""),46.0)</f>
        <v>46</v>
      </c>
      <c r="K525" s="11">
        <f>IFERROR(__xludf.DUMMYFUNCTION("""COMPUTED_VALUE"""),0.0)</f>
        <v>0</v>
      </c>
      <c r="L525" s="11">
        <f>IFERROR(__xludf.DUMMYFUNCTION("""COMPUTED_VALUE"""),2.0)</f>
        <v>2</v>
      </c>
      <c r="M525" s="11">
        <f>IFERROR(__xludf.DUMMYFUNCTION("""COMPUTED_VALUE"""),1335.0)</f>
        <v>1335</v>
      </c>
      <c r="N525" s="11">
        <f t="shared" si="1"/>
        <v>48</v>
      </c>
    </row>
    <row r="526">
      <c r="I526" s="13" t="str">
        <f>IFERROR(__xludf.DUMMYFUNCTION("""COMPUTED_VALUE"""),"172882636630076_970284500223215")</f>
        <v>172882636630076_970284500223215</v>
      </c>
      <c r="J526" s="11">
        <f>IFERROR(__xludf.DUMMYFUNCTION("""COMPUTED_VALUE"""),2758.0)</f>
        <v>2758</v>
      </c>
      <c r="K526" s="11">
        <f>IFERROR(__xludf.DUMMYFUNCTION("""COMPUTED_VALUE"""),30.0)</f>
        <v>30</v>
      </c>
      <c r="L526" s="11">
        <f>IFERROR(__xludf.DUMMYFUNCTION("""COMPUTED_VALUE"""),132.0)</f>
        <v>132</v>
      </c>
      <c r="M526" s="11">
        <f>IFERROR(__xludf.DUMMYFUNCTION("""COMPUTED_VALUE"""),1339.0)</f>
        <v>1339</v>
      </c>
      <c r="N526" s="11">
        <f t="shared" si="1"/>
        <v>2920</v>
      </c>
    </row>
    <row r="527">
      <c r="I527" s="13" t="str">
        <f>IFERROR(__xludf.DUMMYFUNCTION("""COMPUTED_VALUE"""),"172882636630076_1019558645295800")</f>
        <v>172882636630076_1019558645295800</v>
      </c>
      <c r="J527" s="11">
        <f>IFERROR(__xludf.DUMMYFUNCTION("""COMPUTED_VALUE"""),895.0)</f>
        <v>895</v>
      </c>
      <c r="K527" s="11">
        <f>IFERROR(__xludf.DUMMYFUNCTION("""COMPUTED_VALUE"""),12.0)</f>
        <v>12</v>
      </c>
      <c r="L527" s="11">
        <f>IFERROR(__xludf.DUMMYFUNCTION("""COMPUTED_VALUE"""),14.0)</f>
        <v>14</v>
      </c>
      <c r="M527" s="11">
        <f>IFERROR(__xludf.DUMMYFUNCTION("""COMPUTED_VALUE"""),1339.0)</f>
        <v>1339</v>
      </c>
      <c r="N527" s="11">
        <f t="shared" si="1"/>
        <v>921</v>
      </c>
    </row>
    <row r="528">
      <c r="I528" s="13" t="str">
        <f>IFERROR(__xludf.DUMMYFUNCTION("""COMPUTED_VALUE"""),"172882636630076_1012700112648320")</f>
        <v>172882636630076_1012700112648320</v>
      </c>
      <c r="J528" s="11">
        <f>IFERROR(__xludf.DUMMYFUNCTION("""COMPUTED_VALUE"""),77.0)</f>
        <v>77</v>
      </c>
      <c r="K528" s="11">
        <f>IFERROR(__xludf.DUMMYFUNCTION("""COMPUTED_VALUE"""),0.0)</f>
        <v>0</v>
      </c>
      <c r="L528" s="11">
        <f>IFERROR(__xludf.DUMMYFUNCTION("""COMPUTED_VALUE"""),2.0)</f>
        <v>2</v>
      </c>
      <c r="M528" s="11">
        <f>IFERROR(__xludf.DUMMYFUNCTION("""COMPUTED_VALUE"""),1368.0)</f>
        <v>1368</v>
      </c>
      <c r="N528" s="11">
        <f t="shared" si="1"/>
        <v>79</v>
      </c>
    </row>
    <row r="529">
      <c r="I529" s="13" t="str">
        <f>IFERROR(__xludf.DUMMYFUNCTION("""COMPUTED_VALUE"""),"172882636630076_972150376703294")</f>
        <v>172882636630076_972150376703294</v>
      </c>
      <c r="J529" s="11">
        <f>IFERROR(__xludf.DUMMYFUNCTION("""COMPUTED_VALUE"""),231.0)</f>
        <v>231</v>
      </c>
      <c r="K529" s="11">
        <f>IFERROR(__xludf.DUMMYFUNCTION("""COMPUTED_VALUE"""),4.0)</f>
        <v>4</v>
      </c>
      <c r="L529" s="11">
        <f>IFERROR(__xludf.DUMMYFUNCTION("""COMPUTED_VALUE"""),3.0)</f>
        <v>3</v>
      </c>
      <c r="M529" s="11">
        <f>IFERROR(__xludf.DUMMYFUNCTION("""COMPUTED_VALUE"""),1371.0)</f>
        <v>1371</v>
      </c>
      <c r="N529" s="11">
        <f t="shared" si="1"/>
        <v>238</v>
      </c>
    </row>
    <row r="530">
      <c r="I530" s="13" t="str">
        <f>IFERROR(__xludf.DUMMYFUNCTION("""COMPUTED_VALUE"""),"172882636630076_1003660933552238")</f>
        <v>172882636630076_1003660933552238</v>
      </c>
      <c r="J530" s="11">
        <f>IFERROR(__xludf.DUMMYFUNCTION("""COMPUTED_VALUE"""),1012.0)</f>
        <v>1012</v>
      </c>
      <c r="K530" s="11">
        <f>IFERROR(__xludf.DUMMYFUNCTION("""COMPUTED_VALUE"""),4.0)</f>
        <v>4</v>
      </c>
      <c r="L530" s="11">
        <f>IFERROR(__xludf.DUMMYFUNCTION("""COMPUTED_VALUE"""),25.0)</f>
        <v>25</v>
      </c>
      <c r="M530" s="11">
        <f>IFERROR(__xludf.DUMMYFUNCTION("""COMPUTED_VALUE"""),1374.0)</f>
        <v>1374</v>
      </c>
      <c r="N530" s="11">
        <f t="shared" si="1"/>
        <v>1041</v>
      </c>
    </row>
    <row r="531">
      <c r="I531" s="13" t="str">
        <f>IFERROR(__xludf.DUMMYFUNCTION("""COMPUTED_VALUE"""),"172882636630076_1007219633196368")</f>
        <v>172882636630076_1007219633196368</v>
      </c>
      <c r="J531" s="11">
        <f>IFERROR(__xludf.DUMMYFUNCTION("""COMPUTED_VALUE"""),1113.0)</f>
        <v>1113</v>
      </c>
      <c r="K531" s="11">
        <f>IFERROR(__xludf.DUMMYFUNCTION("""COMPUTED_VALUE"""),20.0)</f>
        <v>20</v>
      </c>
      <c r="L531" s="11">
        <f>IFERROR(__xludf.DUMMYFUNCTION("""COMPUTED_VALUE"""),34.0)</f>
        <v>34</v>
      </c>
      <c r="M531" s="11">
        <f>IFERROR(__xludf.DUMMYFUNCTION("""COMPUTED_VALUE"""),1394.0)</f>
        <v>1394</v>
      </c>
      <c r="N531" s="11">
        <f t="shared" si="1"/>
        <v>1167</v>
      </c>
    </row>
    <row r="532">
      <c r="I532" s="13" t="str">
        <f>IFERROR(__xludf.DUMMYFUNCTION("""COMPUTED_VALUE"""),"172882636630076_1017834152134916")</f>
        <v>172882636630076_1017834152134916</v>
      </c>
      <c r="J532" s="11">
        <f>IFERROR(__xludf.DUMMYFUNCTION("""COMPUTED_VALUE"""),2552.0)</f>
        <v>2552</v>
      </c>
      <c r="K532" s="11">
        <f>IFERROR(__xludf.DUMMYFUNCTION("""COMPUTED_VALUE"""),3.0)</f>
        <v>3</v>
      </c>
      <c r="L532" s="11">
        <f>IFERROR(__xludf.DUMMYFUNCTION("""COMPUTED_VALUE"""),45.0)</f>
        <v>45</v>
      </c>
      <c r="M532" s="11">
        <f>IFERROR(__xludf.DUMMYFUNCTION("""COMPUTED_VALUE"""),1403.0)</f>
        <v>1403</v>
      </c>
      <c r="N532" s="11">
        <f t="shared" si="1"/>
        <v>2600</v>
      </c>
    </row>
    <row r="533">
      <c r="I533" s="13" t="str">
        <f>IFERROR(__xludf.DUMMYFUNCTION("""COMPUTED_VALUE"""),"172882636630076_1018144412103890")</f>
        <v>172882636630076_1018144412103890</v>
      </c>
      <c r="J533" s="11">
        <f>IFERROR(__xludf.DUMMYFUNCTION("""COMPUTED_VALUE"""),1275.0)</f>
        <v>1275</v>
      </c>
      <c r="K533" s="11">
        <f>IFERROR(__xludf.DUMMYFUNCTION("""COMPUTED_VALUE"""),30.0)</f>
        <v>30</v>
      </c>
      <c r="L533" s="11">
        <f>IFERROR(__xludf.DUMMYFUNCTION("""COMPUTED_VALUE"""),71.0)</f>
        <v>71</v>
      </c>
      <c r="M533" s="11">
        <f>IFERROR(__xludf.DUMMYFUNCTION("""COMPUTED_VALUE"""),1407.0)</f>
        <v>1407</v>
      </c>
      <c r="N533" s="11">
        <f t="shared" si="1"/>
        <v>1376</v>
      </c>
    </row>
    <row r="534">
      <c r="I534" s="13" t="str">
        <f>IFERROR(__xludf.DUMMYFUNCTION("""COMPUTED_VALUE"""),"172882636630076_1017105642207767")</f>
        <v>172882636630076_1017105642207767</v>
      </c>
      <c r="J534" s="11">
        <f>IFERROR(__xludf.DUMMYFUNCTION("""COMPUTED_VALUE"""),137.0)</f>
        <v>137</v>
      </c>
      <c r="K534" s="11">
        <f>IFERROR(__xludf.DUMMYFUNCTION("""COMPUTED_VALUE"""),0.0)</f>
        <v>0</v>
      </c>
      <c r="L534" s="11">
        <f>IFERROR(__xludf.DUMMYFUNCTION("""COMPUTED_VALUE"""),3.0)</f>
        <v>3</v>
      </c>
      <c r="M534" s="11">
        <f>IFERROR(__xludf.DUMMYFUNCTION("""COMPUTED_VALUE"""),1410.0)</f>
        <v>1410</v>
      </c>
      <c r="N534" s="11">
        <f t="shared" si="1"/>
        <v>140</v>
      </c>
    </row>
    <row r="535">
      <c r="I535" s="13" t="str">
        <f>IFERROR(__xludf.DUMMYFUNCTION("""COMPUTED_VALUE"""),"172882636630076_972161813368817")</f>
        <v>172882636630076_972161813368817</v>
      </c>
      <c r="J535" s="11">
        <f>IFERROR(__xludf.DUMMYFUNCTION("""COMPUTED_VALUE"""),451.0)</f>
        <v>451</v>
      </c>
      <c r="K535" s="11">
        <f>IFERROR(__xludf.DUMMYFUNCTION("""COMPUTED_VALUE"""),3.0)</f>
        <v>3</v>
      </c>
      <c r="L535" s="11">
        <f>IFERROR(__xludf.DUMMYFUNCTION("""COMPUTED_VALUE"""),6.0)</f>
        <v>6</v>
      </c>
      <c r="M535" s="11">
        <f>IFERROR(__xludf.DUMMYFUNCTION("""COMPUTED_VALUE"""),1413.0)</f>
        <v>1413</v>
      </c>
      <c r="N535" s="11">
        <f t="shared" si="1"/>
        <v>460</v>
      </c>
    </row>
    <row r="536">
      <c r="I536" s="13" t="str">
        <f>IFERROR(__xludf.DUMMYFUNCTION("""COMPUTED_VALUE"""),"172882636630076_1007813089803689")</f>
        <v>172882636630076_1007813089803689</v>
      </c>
      <c r="J536" s="11">
        <f>IFERROR(__xludf.DUMMYFUNCTION("""COMPUTED_VALUE"""),937.0)</f>
        <v>937</v>
      </c>
      <c r="K536" s="11">
        <f>IFERROR(__xludf.DUMMYFUNCTION("""COMPUTED_VALUE"""),16.0)</f>
        <v>16</v>
      </c>
      <c r="L536" s="11">
        <f>IFERROR(__xludf.DUMMYFUNCTION("""COMPUTED_VALUE"""),9.0)</f>
        <v>9</v>
      </c>
      <c r="M536" s="11">
        <f>IFERROR(__xludf.DUMMYFUNCTION("""COMPUTED_VALUE"""),1416.0)</f>
        <v>1416</v>
      </c>
      <c r="N536" s="11">
        <f t="shared" si="1"/>
        <v>962</v>
      </c>
    </row>
    <row r="537">
      <c r="I537" s="13" t="str">
        <f>IFERROR(__xludf.DUMMYFUNCTION("""COMPUTED_VALUE"""),"172882636630076_1000417933876538")</f>
        <v>172882636630076_1000417933876538</v>
      </c>
      <c r="J537" s="11">
        <f>IFERROR(__xludf.DUMMYFUNCTION("""COMPUTED_VALUE"""),1874.0)</f>
        <v>1874</v>
      </c>
      <c r="K537" s="11">
        <f>IFERROR(__xludf.DUMMYFUNCTION("""COMPUTED_VALUE"""),53.0)</f>
        <v>53</v>
      </c>
      <c r="L537" s="11">
        <f>IFERROR(__xludf.DUMMYFUNCTION("""COMPUTED_VALUE"""),49.0)</f>
        <v>49</v>
      </c>
      <c r="M537" s="11">
        <f>IFERROR(__xludf.DUMMYFUNCTION("""COMPUTED_VALUE"""),1431.0)</f>
        <v>1431</v>
      </c>
      <c r="N537" s="11">
        <f t="shared" si="1"/>
        <v>1976</v>
      </c>
    </row>
    <row r="538">
      <c r="I538" s="13" t="str">
        <f>IFERROR(__xludf.DUMMYFUNCTION("""COMPUTED_VALUE"""),"172882636630076_1000369933881338")</f>
        <v>172882636630076_1000369933881338</v>
      </c>
      <c r="J538" s="11">
        <f>IFERROR(__xludf.DUMMYFUNCTION("""COMPUTED_VALUE"""),2043.0)</f>
        <v>2043</v>
      </c>
      <c r="K538" s="11">
        <f>IFERROR(__xludf.DUMMYFUNCTION("""COMPUTED_VALUE"""),16.0)</f>
        <v>16</v>
      </c>
      <c r="L538" s="11">
        <f>IFERROR(__xludf.DUMMYFUNCTION("""COMPUTED_VALUE"""),367.0)</f>
        <v>367</v>
      </c>
      <c r="M538" s="11">
        <f>IFERROR(__xludf.DUMMYFUNCTION("""COMPUTED_VALUE"""),1443.0)</f>
        <v>1443</v>
      </c>
      <c r="N538" s="11">
        <f t="shared" si="1"/>
        <v>2426</v>
      </c>
    </row>
    <row r="539">
      <c r="I539" s="13" t="str">
        <f>IFERROR(__xludf.DUMMYFUNCTION("""COMPUTED_VALUE"""),"172882636630076_1011017489483249")</f>
        <v>172882636630076_1011017489483249</v>
      </c>
      <c r="J539" s="11">
        <f>IFERROR(__xludf.DUMMYFUNCTION("""COMPUTED_VALUE"""),1257.0)</f>
        <v>1257</v>
      </c>
      <c r="K539" s="11">
        <f>IFERROR(__xludf.DUMMYFUNCTION("""COMPUTED_VALUE"""),19.0)</f>
        <v>19</v>
      </c>
      <c r="L539" s="11">
        <f>IFERROR(__xludf.DUMMYFUNCTION("""COMPUTED_VALUE"""),27.0)</f>
        <v>27</v>
      </c>
      <c r="M539" s="11">
        <f>IFERROR(__xludf.DUMMYFUNCTION("""COMPUTED_VALUE"""),1463.0)</f>
        <v>1463</v>
      </c>
      <c r="N539" s="11">
        <f t="shared" si="1"/>
        <v>1303</v>
      </c>
    </row>
    <row r="540">
      <c r="I540" s="13" t="str">
        <f>IFERROR(__xludf.DUMMYFUNCTION("""COMPUTED_VALUE"""),"172882636630076_1016029862315345")</f>
        <v>172882636630076_1016029862315345</v>
      </c>
      <c r="J540" s="11">
        <f>IFERROR(__xludf.DUMMYFUNCTION("""COMPUTED_VALUE"""),1132.0)</f>
        <v>1132</v>
      </c>
      <c r="K540" s="11">
        <f>IFERROR(__xludf.DUMMYFUNCTION("""COMPUTED_VALUE"""),14.0)</f>
        <v>14</v>
      </c>
      <c r="L540" s="11">
        <f>IFERROR(__xludf.DUMMYFUNCTION("""COMPUTED_VALUE"""),33.0)</f>
        <v>33</v>
      </c>
      <c r="M540" s="11">
        <f>IFERROR(__xludf.DUMMYFUNCTION("""COMPUTED_VALUE"""),1466.0)</f>
        <v>1466</v>
      </c>
      <c r="N540" s="11">
        <f t="shared" si="1"/>
        <v>1179</v>
      </c>
    </row>
    <row r="541">
      <c r="I541" s="13" t="str">
        <f>IFERROR(__xludf.DUMMYFUNCTION("""COMPUTED_VALUE"""),"172882636630076_1001291520455846")</f>
        <v>172882636630076_1001291520455846</v>
      </c>
      <c r="J541" s="11">
        <f>IFERROR(__xludf.DUMMYFUNCTION("""COMPUTED_VALUE"""),971.0)</f>
        <v>971</v>
      </c>
      <c r="K541" s="11">
        <f>IFERROR(__xludf.DUMMYFUNCTION("""COMPUTED_VALUE"""),7.0)</f>
        <v>7</v>
      </c>
      <c r="L541" s="11">
        <f>IFERROR(__xludf.DUMMYFUNCTION("""COMPUTED_VALUE"""),45.0)</f>
        <v>45</v>
      </c>
      <c r="M541" s="11">
        <f>IFERROR(__xludf.DUMMYFUNCTION("""COMPUTED_VALUE"""),1481.0)</f>
        <v>1481</v>
      </c>
      <c r="N541" s="11">
        <f t="shared" si="1"/>
        <v>1023</v>
      </c>
    </row>
    <row r="542">
      <c r="I542" s="13" t="str">
        <f>IFERROR(__xludf.DUMMYFUNCTION("""COMPUTED_VALUE"""),"172882636630076_1000429033875428")</f>
        <v>172882636630076_1000429033875428</v>
      </c>
      <c r="J542" s="11">
        <f>IFERROR(__xludf.DUMMYFUNCTION("""COMPUTED_VALUE"""),2087.0)</f>
        <v>2087</v>
      </c>
      <c r="K542" s="11">
        <f>IFERROR(__xludf.DUMMYFUNCTION("""COMPUTED_VALUE"""),18.0)</f>
        <v>18</v>
      </c>
      <c r="L542" s="11">
        <f>IFERROR(__xludf.DUMMYFUNCTION("""COMPUTED_VALUE"""),359.0)</f>
        <v>359</v>
      </c>
      <c r="M542" s="11">
        <f>IFERROR(__xludf.DUMMYFUNCTION("""COMPUTED_VALUE"""),1482.0)</f>
        <v>1482</v>
      </c>
      <c r="N542" s="11">
        <f t="shared" si="1"/>
        <v>2464</v>
      </c>
    </row>
    <row r="543">
      <c r="I543" s="13" t="str">
        <f>IFERROR(__xludf.DUMMYFUNCTION("""COMPUTED_VALUE"""),"172882636630076_1001572340427764")</f>
        <v>172882636630076_1001572340427764</v>
      </c>
      <c r="J543" s="11">
        <f>IFERROR(__xludf.DUMMYFUNCTION("""COMPUTED_VALUE"""),1074.0)</f>
        <v>1074</v>
      </c>
      <c r="K543" s="11">
        <f>IFERROR(__xludf.DUMMYFUNCTION("""COMPUTED_VALUE"""),10.0)</f>
        <v>10</v>
      </c>
      <c r="L543" s="11">
        <f>IFERROR(__xludf.DUMMYFUNCTION("""COMPUTED_VALUE"""),49.0)</f>
        <v>49</v>
      </c>
      <c r="M543" s="11">
        <f>IFERROR(__xludf.DUMMYFUNCTION("""COMPUTED_VALUE"""),1492.0)</f>
        <v>1492</v>
      </c>
      <c r="N543" s="11">
        <f t="shared" si="1"/>
        <v>1133</v>
      </c>
    </row>
    <row r="544">
      <c r="I544" s="13" t="str">
        <f>IFERROR(__xludf.DUMMYFUNCTION("""COMPUTED_VALUE"""),"172882636630076_1001924903725841")</f>
        <v>172882636630076_1001924903725841</v>
      </c>
      <c r="J544" s="11">
        <f>IFERROR(__xludf.DUMMYFUNCTION("""COMPUTED_VALUE"""),1180.0)</f>
        <v>1180</v>
      </c>
      <c r="K544" s="11">
        <f>IFERROR(__xludf.DUMMYFUNCTION("""COMPUTED_VALUE"""),6.0)</f>
        <v>6</v>
      </c>
      <c r="L544" s="11">
        <f>IFERROR(__xludf.DUMMYFUNCTION("""COMPUTED_VALUE"""),28.0)</f>
        <v>28</v>
      </c>
      <c r="M544" s="11">
        <f>IFERROR(__xludf.DUMMYFUNCTION("""COMPUTED_VALUE"""),1493.0)</f>
        <v>1493</v>
      </c>
      <c r="N544" s="11">
        <f t="shared" si="1"/>
        <v>1214</v>
      </c>
    </row>
    <row r="545">
      <c r="I545" s="13" t="str">
        <f>IFERROR(__xludf.DUMMYFUNCTION("""COMPUTED_VALUE"""),"172882636630076_1010255829559415")</f>
        <v>172882636630076_1010255829559415</v>
      </c>
      <c r="J545" s="11">
        <f>IFERROR(__xludf.DUMMYFUNCTION("""COMPUTED_VALUE"""),115.0)</f>
        <v>115</v>
      </c>
      <c r="K545" s="11">
        <f>IFERROR(__xludf.DUMMYFUNCTION("""COMPUTED_VALUE"""),0.0)</f>
        <v>0</v>
      </c>
      <c r="L545" s="11">
        <f>IFERROR(__xludf.DUMMYFUNCTION("""COMPUTED_VALUE"""),6.0)</f>
        <v>6</v>
      </c>
      <c r="M545" s="11">
        <f>IFERROR(__xludf.DUMMYFUNCTION("""COMPUTED_VALUE"""),1495.0)</f>
        <v>1495</v>
      </c>
      <c r="N545" s="11">
        <f t="shared" si="1"/>
        <v>121</v>
      </c>
    </row>
    <row r="546">
      <c r="I546" s="13" t="str">
        <f>IFERROR(__xludf.DUMMYFUNCTION("""COMPUTED_VALUE"""),"172882636630076_1015878822330449")</f>
        <v>172882636630076_1015878822330449</v>
      </c>
      <c r="J546" s="11">
        <f>IFERROR(__xludf.DUMMYFUNCTION("""COMPUTED_VALUE"""),1054.0)</f>
        <v>1054</v>
      </c>
      <c r="K546" s="11">
        <f>IFERROR(__xludf.DUMMYFUNCTION("""COMPUTED_VALUE"""),10.0)</f>
        <v>10</v>
      </c>
      <c r="L546" s="11">
        <f>IFERROR(__xludf.DUMMYFUNCTION("""COMPUTED_VALUE"""),76.0)</f>
        <v>76</v>
      </c>
      <c r="M546" s="11">
        <f>IFERROR(__xludf.DUMMYFUNCTION("""COMPUTED_VALUE"""),1495.0)</f>
        <v>1495</v>
      </c>
      <c r="N546" s="11">
        <f t="shared" si="1"/>
        <v>1140</v>
      </c>
    </row>
    <row r="547">
      <c r="I547" s="13" t="str">
        <f>IFERROR(__xludf.DUMMYFUNCTION("""COMPUTED_VALUE"""),"172882636630076_1005926013325730")</f>
        <v>172882636630076_1005926013325730</v>
      </c>
      <c r="J547" s="11">
        <f>IFERROR(__xludf.DUMMYFUNCTION("""COMPUTED_VALUE"""),983.0)</f>
        <v>983</v>
      </c>
      <c r="K547" s="11">
        <f>IFERROR(__xludf.DUMMYFUNCTION("""COMPUTED_VALUE"""),11.0)</f>
        <v>11</v>
      </c>
      <c r="L547" s="11">
        <f>IFERROR(__xludf.DUMMYFUNCTION("""COMPUTED_VALUE"""),21.0)</f>
        <v>21</v>
      </c>
      <c r="M547" s="11">
        <f>IFERROR(__xludf.DUMMYFUNCTION("""COMPUTED_VALUE"""),1521.0)</f>
        <v>1521</v>
      </c>
      <c r="N547" s="11">
        <f t="shared" si="1"/>
        <v>1015</v>
      </c>
    </row>
    <row r="548">
      <c r="I548" s="13" t="str">
        <f>IFERROR(__xludf.DUMMYFUNCTION("""COMPUTED_VALUE"""),"172882636630076_1005921279992870")</f>
        <v>172882636630076_1005921279992870</v>
      </c>
      <c r="J548" s="11">
        <f>IFERROR(__xludf.DUMMYFUNCTION("""COMPUTED_VALUE"""),2067.0)</f>
        <v>2067</v>
      </c>
      <c r="K548" s="11">
        <f>IFERROR(__xludf.DUMMYFUNCTION("""COMPUTED_VALUE"""),28.0)</f>
        <v>28</v>
      </c>
      <c r="L548" s="11">
        <f>IFERROR(__xludf.DUMMYFUNCTION("""COMPUTED_VALUE"""),95.0)</f>
        <v>95</v>
      </c>
      <c r="M548" s="11">
        <f>IFERROR(__xludf.DUMMYFUNCTION("""COMPUTED_VALUE"""),1522.0)</f>
        <v>1522</v>
      </c>
      <c r="N548" s="11">
        <f t="shared" si="1"/>
        <v>2190</v>
      </c>
    </row>
    <row r="549">
      <c r="I549" s="13" t="str">
        <f>IFERROR(__xludf.DUMMYFUNCTION("""COMPUTED_VALUE"""),"172882636630076_1017589345492730")</f>
        <v>172882636630076_1017589345492730</v>
      </c>
      <c r="J549" s="11">
        <f>IFERROR(__xludf.DUMMYFUNCTION("""COMPUTED_VALUE"""),3112.0)</f>
        <v>3112</v>
      </c>
      <c r="K549" s="11">
        <f>IFERROR(__xludf.DUMMYFUNCTION("""COMPUTED_VALUE"""),10.0)</f>
        <v>10</v>
      </c>
      <c r="L549" s="11">
        <f>IFERROR(__xludf.DUMMYFUNCTION("""COMPUTED_VALUE"""),123.0)</f>
        <v>123</v>
      </c>
      <c r="M549" s="11">
        <f>IFERROR(__xludf.DUMMYFUNCTION("""COMPUTED_VALUE"""),1538.0)</f>
        <v>1538</v>
      </c>
      <c r="N549" s="11">
        <f t="shared" si="1"/>
        <v>3245</v>
      </c>
    </row>
    <row r="550">
      <c r="I550" s="13" t="str">
        <f>IFERROR(__xludf.DUMMYFUNCTION("""COMPUTED_VALUE"""),"172882636630076_1001283097123355")</f>
        <v>172882636630076_1001283097123355</v>
      </c>
      <c r="J550" s="11">
        <f>IFERROR(__xludf.DUMMYFUNCTION("""COMPUTED_VALUE"""),986.0)</f>
        <v>986</v>
      </c>
      <c r="K550" s="11">
        <f>IFERROR(__xludf.DUMMYFUNCTION("""COMPUTED_VALUE"""),4.0)</f>
        <v>4</v>
      </c>
      <c r="L550" s="11">
        <f>IFERROR(__xludf.DUMMYFUNCTION("""COMPUTED_VALUE"""),38.0)</f>
        <v>38</v>
      </c>
      <c r="M550" s="11">
        <f>IFERROR(__xludf.DUMMYFUNCTION("""COMPUTED_VALUE"""),1539.0)</f>
        <v>1539</v>
      </c>
      <c r="N550" s="11">
        <f t="shared" si="1"/>
        <v>1028</v>
      </c>
    </row>
    <row r="551">
      <c r="I551" s="13" t="str">
        <f>IFERROR(__xludf.DUMMYFUNCTION("""COMPUTED_VALUE"""),"172882636630076_1014187265832938")</f>
        <v>172882636630076_1014187265832938</v>
      </c>
      <c r="J551" s="11">
        <f>IFERROR(__xludf.DUMMYFUNCTION("""COMPUTED_VALUE"""),1080.0)</f>
        <v>1080</v>
      </c>
      <c r="K551" s="11">
        <f>IFERROR(__xludf.DUMMYFUNCTION("""COMPUTED_VALUE"""),0.0)</f>
        <v>0</v>
      </c>
      <c r="L551" s="11">
        <f>IFERROR(__xludf.DUMMYFUNCTION("""COMPUTED_VALUE"""),15.0)</f>
        <v>15</v>
      </c>
      <c r="M551" s="11">
        <f>IFERROR(__xludf.DUMMYFUNCTION("""COMPUTED_VALUE"""),1541.0)</f>
        <v>1541</v>
      </c>
      <c r="N551" s="11">
        <f t="shared" si="1"/>
        <v>1095</v>
      </c>
    </row>
    <row r="552">
      <c r="I552" s="13" t="str">
        <f>IFERROR(__xludf.DUMMYFUNCTION("""COMPUTED_VALUE"""),"172882636630076_1014939492424382")</f>
        <v>172882636630076_1014939492424382</v>
      </c>
      <c r="J552" s="11">
        <f>IFERROR(__xludf.DUMMYFUNCTION("""COMPUTED_VALUE"""),598.0)</f>
        <v>598</v>
      </c>
      <c r="K552" s="11">
        <f>IFERROR(__xludf.DUMMYFUNCTION("""COMPUTED_VALUE"""),6.0)</f>
        <v>6</v>
      </c>
      <c r="L552" s="11">
        <f>IFERROR(__xludf.DUMMYFUNCTION("""COMPUTED_VALUE"""),9.0)</f>
        <v>9</v>
      </c>
      <c r="M552" s="11">
        <f>IFERROR(__xludf.DUMMYFUNCTION("""COMPUTED_VALUE"""),1543.0)</f>
        <v>1543</v>
      </c>
      <c r="N552" s="11">
        <f t="shared" si="1"/>
        <v>613</v>
      </c>
    </row>
    <row r="553">
      <c r="I553" s="13" t="str">
        <f>IFERROR(__xludf.DUMMYFUNCTION("""COMPUTED_VALUE"""),"172882636630076_1014938215757843")</f>
        <v>172882636630076_1014938215757843</v>
      </c>
      <c r="J553" s="11">
        <f>IFERROR(__xludf.DUMMYFUNCTION("""COMPUTED_VALUE"""),1142.0)</f>
        <v>1142</v>
      </c>
      <c r="K553" s="11">
        <f>IFERROR(__xludf.DUMMYFUNCTION("""COMPUTED_VALUE"""),13.0)</f>
        <v>13</v>
      </c>
      <c r="L553" s="11">
        <f>IFERROR(__xludf.DUMMYFUNCTION("""COMPUTED_VALUE"""),40.0)</f>
        <v>40</v>
      </c>
      <c r="M553" s="11">
        <f>IFERROR(__xludf.DUMMYFUNCTION("""COMPUTED_VALUE"""),1547.0)</f>
        <v>1547</v>
      </c>
      <c r="N553" s="11">
        <f t="shared" si="1"/>
        <v>1195</v>
      </c>
    </row>
    <row r="554">
      <c r="I554" s="13" t="str">
        <f>IFERROR(__xludf.DUMMYFUNCTION("""COMPUTED_VALUE"""),"172882636630076_1005877146663950")</f>
        <v>172882636630076_1005877146663950</v>
      </c>
      <c r="J554" s="11">
        <f>IFERROR(__xludf.DUMMYFUNCTION("""COMPUTED_VALUE"""),1917.0)</f>
        <v>1917</v>
      </c>
      <c r="K554" s="11">
        <f>IFERROR(__xludf.DUMMYFUNCTION("""COMPUTED_VALUE"""),12.0)</f>
        <v>12</v>
      </c>
      <c r="L554" s="11">
        <f>IFERROR(__xludf.DUMMYFUNCTION("""COMPUTED_VALUE"""),31.0)</f>
        <v>31</v>
      </c>
      <c r="M554" s="11">
        <f>IFERROR(__xludf.DUMMYFUNCTION("""COMPUTED_VALUE"""),1548.0)</f>
        <v>1548</v>
      </c>
      <c r="N554" s="11">
        <f t="shared" si="1"/>
        <v>1960</v>
      </c>
    </row>
    <row r="555">
      <c r="I555" s="13" t="str">
        <f>IFERROR(__xludf.DUMMYFUNCTION("""COMPUTED_VALUE"""),"172882636630076_1002650746986590")</f>
        <v>172882636630076_1002650746986590</v>
      </c>
      <c r="J555" s="11">
        <f>IFERROR(__xludf.DUMMYFUNCTION("""COMPUTED_VALUE"""),1465.0)</f>
        <v>1465</v>
      </c>
      <c r="K555" s="11">
        <f>IFERROR(__xludf.DUMMYFUNCTION("""COMPUTED_VALUE"""),32.0)</f>
        <v>32</v>
      </c>
      <c r="L555" s="11">
        <f>IFERROR(__xludf.DUMMYFUNCTION("""COMPUTED_VALUE"""),77.0)</f>
        <v>77</v>
      </c>
      <c r="M555" s="11">
        <f>IFERROR(__xludf.DUMMYFUNCTION("""COMPUTED_VALUE"""),1560.0)</f>
        <v>1560</v>
      </c>
      <c r="N555" s="11">
        <f t="shared" si="1"/>
        <v>1574</v>
      </c>
    </row>
    <row r="556">
      <c r="I556" s="13" t="str">
        <f>IFERROR(__xludf.DUMMYFUNCTION("""COMPUTED_VALUE"""),"172882636630076_1006587349926263")</f>
        <v>172882636630076_1006587349926263</v>
      </c>
      <c r="J556" s="11">
        <f>IFERROR(__xludf.DUMMYFUNCTION("""COMPUTED_VALUE"""),171.0)</f>
        <v>171</v>
      </c>
      <c r="K556" s="11">
        <f>IFERROR(__xludf.DUMMYFUNCTION("""COMPUTED_VALUE"""),0.0)</f>
        <v>0</v>
      </c>
      <c r="L556" s="11">
        <f>IFERROR(__xludf.DUMMYFUNCTION("""COMPUTED_VALUE"""),3.0)</f>
        <v>3</v>
      </c>
      <c r="M556" s="11">
        <f>IFERROR(__xludf.DUMMYFUNCTION("""COMPUTED_VALUE"""),1567.0)</f>
        <v>1567</v>
      </c>
      <c r="N556" s="11">
        <f t="shared" si="1"/>
        <v>174</v>
      </c>
    </row>
    <row r="557">
      <c r="I557" s="13" t="str">
        <f>IFERROR(__xludf.DUMMYFUNCTION("""COMPUTED_VALUE"""),"172882636630076_1014653392452992")</f>
        <v>172882636630076_1014653392452992</v>
      </c>
      <c r="J557" s="11">
        <f>IFERROR(__xludf.DUMMYFUNCTION("""COMPUTED_VALUE"""),1749.0)</f>
        <v>1749</v>
      </c>
      <c r="K557" s="11">
        <f>IFERROR(__xludf.DUMMYFUNCTION("""COMPUTED_VALUE"""),1.0)</f>
        <v>1</v>
      </c>
      <c r="L557" s="11">
        <f>IFERROR(__xludf.DUMMYFUNCTION("""COMPUTED_VALUE"""),28.0)</f>
        <v>28</v>
      </c>
      <c r="M557" s="11">
        <f>IFERROR(__xludf.DUMMYFUNCTION("""COMPUTED_VALUE"""),1571.0)</f>
        <v>1571</v>
      </c>
      <c r="N557" s="11">
        <f t="shared" si="1"/>
        <v>1778</v>
      </c>
    </row>
    <row r="558">
      <c r="I558" s="13" t="str">
        <f>IFERROR(__xludf.DUMMYFUNCTION("""COMPUTED_VALUE"""),"172882636630076_1010515446200120")</f>
        <v>172882636630076_1010515446200120</v>
      </c>
      <c r="J558" s="11">
        <f>IFERROR(__xludf.DUMMYFUNCTION("""COMPUTED_VALUE"""),499.0)</f>
        <v>499</v>
      </c>
      <c r="K558" s="11">
        <f>IFERROR(__xludf.DUMMYFUNCTION("""COMPUTED_VALUE"""),0.0)</f>
        <v>0</v>
      </c>
      <c r="L558" s="11">
        <f>IFERROR(__xludf.DUMMYFUNCTION("""COMPUTED_VALUE"""),11.0)</f>
        <v>11</v>
      </c>
      <c r="M558" s="11">
        <f>IFERROR(__xludf.DUMMYFUNCTION("""COMPUTED_VALUE"""),1574.0)</f>
        <v>1574</v>
      </c>
      <c r="N558" s="11">
        <f t="shared" si="1"/>
        <v>510</v>
      </c>
    </row>
    <row r="559">
      <c r="I559" s="13" t="str">
        <f>IFERROR(__xludf.DUMMYFUNCTION("""COMPUTED_VALUE"""),"172882636630076_1011030879481910")</f>
        <v>172882636630076_1011030879481910</v>
      </c>
      <c r="J559" s="11">
        <f>IFERROR(__xludf.DUMMYFUNCTION("""COMPUTED_VALUE"""),698.0)</f>
        <v>698</v>
      </c>
      <c r="K559" s="11">
        <f>IFERROR(__xludf.DUMMYFUNCTION("""COMPUTED_VALUE"""),18.0)</f>
        <v>18</v>
      </c>
      <c r="L559" s="11">
        <f>IFERROR(__xludf.DUMMYFUNCTION("""COMPUTED_VALUE"""),5.0)</f>
        <v>5</v>
      </c>
      <c r="M559" s="11">
        <f>IFERROR(__xludf.DUMMYFUNCTION("""COMPUTED_VALUE"""),1579.0)</f>
        <v>1579</v>
      </c>
      <c r="N559" s="11">
        <f t="shared" si="1"/>
        <v>721</v>
      </c>
    </row>
    <row r="560">
      <c r="I560" s="13" t="str">
        <f>IFERROR(__xludf.DUMMYFUNCTION("""COMPUTED_VALUE"""),"172882636630076_1010510302867301")</f>
        <v>172882636630076_1010510302867301</v>
      </c>
      <c r="J560" s="11">
        <f>IFERROR(__xludf.DUMMYFUNCTION("""COMPUTED_VALUE"""),1355.0)</f>
        <v>1355</v>
      </c>
      <c r="K560" s="11">
        <f>IFERROR(__xludf.DUMMYFUNCTION("""COMPUTED_VALUE"""),17.0)</f>
        <v>17</v>
      </c>
      <c r="L560" s="11">
        <f>IFERROR(__xludf.DUMMYFUNCTION("""COMPUTED_VALUE"""),57.0)</f>
        <v>57</v>
      </c>
      <c r="M560" s="11">
        <f>IFERROR(__xludf.DUMMYFUNCTION("""COMPUTED_VALUE"""),1585.0)</f>
        <v>1585</v>
      </c>
      <c r="N560" s="11">
        <f t="shared" si="1"/>
        <v>1429</v>
      </c>
    </row>
    <row r="561">
      <c r="I561" s="13" t="str">
        <f>IFERROR(__xludf.DUMMYFUNCTION("""COMPUTED_VALUE"""),"172882636630076_1014168805834784")</f>
        <v>172882636630076_1014168805834784</v>
      </c>
      <c r="J561" s="11">
        <f>IFERROR(__xludf.DUMMYFUNCTION("""COMPUTED_VALUE"""),1560.0)</f>
        <v>1560</v>
      </c>
      <c r="K561" s="11">
        <f>IFERROR(__xludf.DUMMYFUNCTION("""COMPUTED_VALUE"""),28.0)</f>
        <v>28</v>
      </c>
      <c r="L561" s="11">
        <f>IFERROR(__xludf.DUMMYFUNCTION("""COMPUTED_VALUE"""),38.0)</f>
        <v>38</v>
      </c>
      <c r="M561" s="11">
        <f>IFERROR(__xludf.DUMMYFUNCTION("""COMPUTED_VALUE"""),1595.0)</f>
        <v>1595</v>
      </c>
      <c r="N561" s="11">
        <f t="shared" si="1"/>
        <v>1626</v>
      </c>
    </row>
    <row r="562">
      <c r="I562" s="13" t="str">
        <f>IFERROR(__xludf.DUMMYFUNCTION("""COMPUTED_VALUE"""),"172882636630076_1015898692328462")</f>
        <v>172882636630076_1015898692328462</v>
      </c>
      <c r="J562" s="11">
        <f>IFERROR(__xludf.DUMMYFUNCTION("""COMPUTED_VALUE"""),176.0)</f>
        <v>176</v>
      </c>
      <c r="K562" s="11">
        <f>IFERROR(__xludf.DUMMYFUNCTION("""COMPUTED_VALUE"""),0.0)</f>
        <v>0</v>
      </c>
      <c r="L562" s="11">
        <f>IFERROR(__xludf.DUMMYFUNCTION("""COMPUTED_VALUE"""),3.0)</f>
        <v>3</v>
      </c>
      <c r="M562" s="11">
        <f>IFERROR(__xludf.DUMMYFUNCTION("""COMPUTED_VALUE"""),1595.0)</f>
        <v>1595</v>
      </c>
      <c r="N562" s="11">
        <f t="shared" si="1"/>
        <v>179</v>
      </c>
    </row>
    <row r="563">
      <c r="I563" s="13" t="str">
        <f>IFERROR(__xludf.DUMMYFUNCTION("""COMPUTED_VALUE"""),"172882636630076_1001915433726788")</f>
        <v>172882636630076_1001915433726788</v>
      </c>
      <c r="J563" s="11">
        <f>IFERROR(__xludf.DUMMYFUNCTION("""COMPUTED_VALUE"""),1281.0)</f>
        <v>1281</v>
      </c>
      <c r="K563" s="11">
        <f>IFERROR(__xludf.DUMMYFUNCTION("""COMPUTED_VALUE"""),26.0)</f>
        <v>26</v>
      </c>
      <c r="L563" s="11">
        <f>IFERROR(__xludf.DUMMYFUNCTION("""COMPUTED_VALUE"""),59.0)</f>
        <v>59</v>
      </c>
      <c r="M563" s="11">
        <f>IFERROR(__xludf.DUMMYFUNCTION("""COMPUTED_VALUE"""),1603.0)</f>
        <v>1603</v>
      </c>
      <c r="N563" s="11">
        <f t="shared" si="1"/>
        <v>1366</v>
      </c>
    </row>
    <row r="564">
      <c r="I564" s="13" t="str">
        <f>IFERROR(__xludf.DUMMYFUNCTION("""COMPUTED_VALUE"""),"172882636630076_1014090272509304")</f>
        <v>172882636630076_1014090272509304</v>
      </c>
      <c r="J564" s="11">
        <f>IFERROR(__xludf.DUMMYFUNCTION("""COMPUTED_VALUE"""),4145.0)</f>
        <v>4145</v>
      </c>
      <c r="K564" s="11">
        <f>IFERROR(__xludf.DUMMYFUNCTION("""COMPUTED_VALUE"""),49.0)</f>
        <v>49</v>
      </c>
      <c r="L564" s="11">
        <f>IFERROR(__xludf.DUMMYFUNCTION("""COMPUTED_VALUE"""),294.0)</f>
        <v>294</v>
      </c>
      <c r="M564" s="11">
        <f>IFERROR(__xludf.DUMMYFUNCTION("""COMPUTED_VALUE"""),1608.0)</f>
        <v>1608</v>
      </c>
      <c r="N564" s="11">
        <f t="shared" si="1"/>
        <v>4488</v>
      </c>
    </row>
    <row r="565">
      <c r="I565" s="13" t="str">
        <f>IFERROR(__xludf.DUMMYFUNCTION("""COMPUTED_VALUE"""),"172882636630076_1016094915642173")</f>
        <v>172882636630076_1016094915642173</v>
      </c>
      <c r="J565" s="11">
        <f>IFERROR(__xludf.DUMMYFUNCTION("""COMPUTED_VALUE"""),1459.0)</f>
        <v>1459</v>
      </c>
      <c r="K565" s="11">
        <f>IFERROR(__xludf.DUMMYFUNCTION("""COMPUTED_VALUE"""),28.0)</f>
        <v>28</v>
      </c>
      <c r="L565" s="11">
        <f>IFERROR(__xludf.DUMMYFUNCTION("""COMPUTED_VALUE"""),41.0)</f>
        <v>41</v>
      </c>
      <c r="M565" s="11">
        <f>IFERROR(__xludf.DUMMYFUNCTION("""COMPUTED_VALUE"""),1612.0)</f>
        <v>1612</v>
      </c>
      <c r="N565" s="11">
        <f t="shared" si="1"/>
        <v>1528</v>
      </c>
    </row>
    <row r="566">
      <c r="I566" s="13" t="str">
        <f>IFERROR(__xludf.DUMMYFUNCTION("""COMPUTED_VALUE"""),"172882636630076_1015450285706636")</f>
        <v>172882636630076_1015450285706636</v>
      </c>
      <c r="J566" s="11">
        <f>IFERROR(__xludf.DUMMYFUNCTION("""COMPUTED_VALUE"""),648.0)</f>
        <v>648</v>
      </c>
      <c r="K566" s="11">
        <f>IFERROR(__xludf.DUMMYFUNCTION("""COMPUTED_VALUE"""),3.0)</f>
        <v>3</v>
      </c>
      <c r="L566" s="11">
        <f>IFERROR(__xludf.DUMMYFUNCTION("""COMPUTED_VALUE"""),10.0)</f>
        <v>10</v>
      </c>
      <c r="M566" s="11">
        <f>IFERROR(__xludf.DUMMYFUNCTION("""COMPUTED_VALUE"""),1614.0)</f>
        <v>1614</v>
      </c>
      <c r="N566" s="11">
        <f t="shared" si="1"/>
        <v>661</v>
      </c>
    </row>
    <row r="567">
      <c r="I567" s="13" t="str">
        <f>IFERROR(__xludf.DUMMYFUNCTION("""COMPUTED_VALUE"""),"172882636630076_1012891612629170")</f>
        <v>172882636630076_1012891612629170</v>
      </c>
      <c r="J567" s="11">
        <f>IFERROR(__xludf.DUMMYFUNCTION("""COMPUTED_VALUE"""),669.0)</f>
        <v>669</v>
      </c>
      <c r="K567" s="11">
        <f>IFERROR(__xludf.DUMMYFUNCTION("""COMPUTED_VALUE"""),8.0)</f>
        <v>8</v>
      </c>
      <c r="L567" s="11">
        <f>IFERROR(__xludf.DUMMYFUNCTION("""COMPUTED_VALUE"""),7.0)</f>
        <v>7</v>
      </c>
      <c r="M567" s="11">
        <f>IFERROR(__xludf.DUMMYFUNCTION("""COMPUTED_VALUE"""),1620.0)</f>
        <v>1620</v>
      </c>
      <c r="N567" s="11">
        <f t="shared" si="1"/>
        <v>684</v>
      </c>
    </row>
    <row r="568">
      <c r="I568" s="13" t="str">
        <f>IFERROR(__xludf.DUMMYFUNCTION("""COMPUTED_VALUE"""),"172882636630076_1011462816105383")</f>
        <v>172882636630076_1011462816105383</v>
      </c>
      <c r="J568" s="11">
        <f>IFERROR(__xludf.DUMMYFUNCTION("""COMPUTED_VALUE"""),56.0)</f>
        <v>56</v>
      </c>
      <c r="K568" s="11">
        <f>IFERROR(__xludf.DUMMYFUNCTION("""COMPUTED_VALUE"""),0.0)</f>
        <v>0</v>
      </c>
      <c r="L568" s="11"/>
      <c r="M568" s="11">
        <f>IFERROR(__xludf.DUMMYFUNCTION("""COMPUTED_VALUE"""),1625.0)</f>
        <v>1625</v>
      </c>
      <c r="N568" s="11">
        <f t="shared" si="1"/>
        <v>56</v>
      </c>
    </row>
    <row r="569">
      <c r="I569" s="13" t="str">
        <f>IFERROR(__xludf.DUMMYFUNCTION("""COMPUTED_VALUE"""),"172882636630076_1009768216274843")</f>
        <v>172882636630076_1009768216274843</v>
      </c>
      <c r="J569" s="11">
        <f>IFERROR(__xludf.DUMMYFUNCTION("""COMPUTED_VALUE"""),905.0)</f>
        <v>905</v>
      </c>
      <c r="K569" s="11">
        <f>IFERROR(__xludf.DUMMYFUNCTION("""COMPUTED_VALUE"""),34.0)</f>
        <v>34</v>
      </c>
      <c r="L569" s="11">
        <f>IFERROR(__xludf.DUMMYFUNCTION("""COMPUTED_VALUE"""),28.0)</f>
        <v>28</v>
      </c>
      <c r="M569" s="11">
        <f>IFERROR(__xludf.DUMMYFUNCTION("""COMPUTED_VALUE"""),1627.0)</f>
        <v>1627</v>
      </c>
      <c r="N569" s="11">
        <f t="shared" si="1"/>
        <v>967</v>
      </c>
    </row>
    <row r="570">
      <c r="I570" s="13" t="str">
        <f>IFERROR(__xludf.DUMMYFUNCTION("""COMPUTED_VALUE"""),"172882636630076_1008768976374767")</f>
        <v>172882636630076_1008768976374767</v>
      </c>
      <c r="J570" s="11">
        <f>IFERROR(__xludf.DUMMYFUNCTION("""COMPUTED_VALUE"""),342.0)</f>
        <v>342</v>
      </c>
      <c r="K570" s="11">
        <f>IFERROR(__xludf.DUMMYFUNCTION("""COMPUTED_VALUE"""),6.0)</f>
        <v>6</v>
      </c>
      <c r="L570" s="11">
        <f>IFERROR(__xludf.DUMMYFUNCTION("""COMPUTED_VALUE"""),3.0)</f>
        <v>3</v>
      </c>
      <c r="M570" s="11">
        <f>IFERROR(__xludf.DUMMYFUNCTION("""COMPUTED_VALUE"""),1628.0)</f>
        <v>1628</v>
      </c>
      <c r="N570" s="11">
        <f t="shared" si="1"/>
        <v>351</v>
      </c>
    </row>
    <row r="571">
      <c r="I571" s="13" t="str">
        <f>IFERROR(__xludf.DUMMYFUNCTION("""COMPUTED_VALUE"""),"172882636630076_1011606189424379")</f>
        <v>172882636630076_1011606189424379</v>
      </c>
      <c r="J571" s="11">
        <f>IFERROR(__xludf.DUMMYFUNCTION("""COMPUTED_VALUE"""),1060.0)</f>
        <v>1060</v>
      </c>
      <c r="K571" s="11">
        <f>IFERROR(__xludf.DUMMYFUNCTION("""COMPUTED_VALUE"""),21.0)</f>
        <v>21</v>
      </c>
      <c r="L571" s="11">
        <f>IFERROR(__xludf.DUMMYFUNCTION("""COMPUTED_VALUE"""),31.0)</f>
        <v>31</v>
      </c>
      <c r="M571" s="11">
        <f>IFERROR(__xludf.DUMMYFUNCTION("""COMPUTED_VALUE"""),1630.0)</f>
        <v>1630</v>
      </c>
      <c r="N571" s="11">
        <f t="shared" si="1"/>
        <v>1112</v>
      </c>
    </row>
    <row r="572">
      <c r="I572" s="13" t="str">
        <f>IFERROR(__xludf.DUMMYFUNCTION("""COMPUTED_VALUE"""),"172882636630076_1013909035860761")</f>
        <v>172882636630076_1013909035860761</v>
      </c>
      <c r="J572" s="11">
        <f>IFERROR(__xludf.DUMMYFUNCTION("""COMPUTED_VALUE"""),647.0)</f>
        <v>647</v>
      </c>
      <c r="K572" s="11">
        <f>IFERROR(__xludf.DUMMYFUNCTION("""COMPUTED_VALUE"""),10.0)</f>
        <v>10</v>
      </c>
      <c r="L572" s="11">
        <f>IFERROR(__xludf.DUMMYFUNCTION("""COMPUTED_VALUE"""),19.0)</f>
        <v>19</v>
      </c>
      <c r="M572" s="11">
        <f>IFERROR(__xludf.DUMMYFUNCTION("""COMPUTED_VALUE"""),1631.0)</f>
        <v>1631</v>
      </c>
      <c r="N572" s="11">
        <f t="shared" si="1"/>
        <v>676</v>
      </c>
    </row>
    <row r="573">
      <c r="I573" s="13" t="str">
        <f>IFERROR(__xludf.DUMMYFUNCTION("""COMPUTED_VALUE"""),"172882636630076_1001062310478767")</f>
        <v>172882636630076_1001062310478767</v>
      </c>
      <c r="J573" s="11">
        <f>IFERROR(__xludf.DUMMYFUNCTION("""COMPUTED_VALUE"""),1758.0)</f>
        <v>1758</v>
      </c>
      <c r="K573" s="11">
        <f>IFERROR(__xludf.DUMMYFUNCTION("""COMPUTED_VALUE"""),36.0)</f>
        <v>36</v>
      </c>
      <c r="L573" s="11">
        <f>IFERROR(__xludf.DUMMYFUNCTION("""COMPUTED_VALUE"""),75.0)</f>
        <v>75</v>
      </c>
      <c r="M573" s="11">
        <f>IFERROR(__xludf.DUMMYFUNCTION("""COMPUTED_VALUE"""),1633.0)</f>
        <v>1633</v>
      </c>
      <c r="N573" s="11">
        <f t="shared" si="1"/>
        <v>1869</v>
      </c>
    </row>
    <row r="574">
      <c r="I574" s="13" t="str">
        <f>IFERROR(__xludf.DUMMYFUNCTION("""COMPUTED_VALUE"""),"172882636630076_1013266309258367")</f>
        <v>172882636630076_1013266309258367</v>
      </c>
      <c r="J574" s="11">
        <f>IFERROR(__xludf.DUMMYFUNCTION("""COMPUTED_VALUE"""),298.0)</f>
        <v>298</v>
      </c>
      <c r="K574" s="11">
        <f>IFERROR(__xludf.DUMMYFUNCTION("""COMPUTED_VALUE"""),1.0)</f>
        <v>1</v>
      </c>
      <c r="L574" s="11">
        <f>IFERROR(__xludf.DUMMYFUNCTION("""COMPUTED_VALUE"""),3.0)</f>
        <v>3</v>
      </c>
      <c r="M574" s="11">
        <f>IFERROR(__xludf.DUMMYFUNCTION("""COMPUTED_VALUE"""),1633.0)</f>
        <v>1633</v>
      </c>
      <c r="N574" s="11">
        <f t="shared" si="1"/>
        <v>302</v>
      </c>
    </row>
    <row r="575">
      <c r="I575" s="13" t="str">
        <f>IFERROR(__xludf.DUMMYFUNCTION("""COMPUTED_VALUE"""),"172882636630076_1006579676593697")</f>
        <v>172882636630076_1006579676593697</v>
      </c>
      <c r="J575" s="11">
        <f>IFERROR(__xludf.DUMMYFUNCTION("""COMPUTED_VALUE"""),803.0)</f>
        <v>803</v>
      </c>
      <c r="K575" s="11">
        <f>IFERROR(__xludf.DUMMYFUNCTION("""COMPUTED_VALUE"""),10.0)</f>
        <v>10</v>
      </c>
      <c r="L575" s="11">
        <f>IFERROR(__xludf.DUMMYFUNCTION("""COMPUTED_VALUE"""),10.0)</f>
        <v>10</v>
      </c>
      <c r="M575" s="11">
        <f>IFERROR(__xludf.DUMMYFUNCTION("""COMPUTED_VALUE"""),1638.0)</f>
        <v>1638</v>
      </c>
      <c r="N575" s="11">
        <f t="shared" si="1"/>
        <v>823</v>
      </c>
    </row>
    <row r="576">
      <c r="I576" s="13" t="str">
        <f>IFERROR(__xludf.DUMMYFUNCTION("""COMPUTED_VALUE"""),"172882636630076_1008169273101404")</f>
        <v>172882636630076_1008169273101404</v>
      </c>
      <c r="J576" s="11">
        <f>IFERROR(__xludf.DUMMYFUNCTION("""COMPUTED_VALUE"""),512.0)</f>
        <v>512</v>
      </c>
      <c r="K576" s="11">
        <f>IFERROR(__xludf.DUMMYFUNCTION("""COMPUTED_VALUE"""),7.0)</f>
        <v>7</v>
      </c>
      <c r="L576" s="11">
        <f>IFERROR(__xludf.DUMMYFUNCTION("""COMPUTED_VALUE"""),17.0)</f>
        <v>17</v>
      </c>
      <c r="M576" s="11">
        <f>IFERROR(__xludf.DUMMYFUNCTION("""COMPUTED_VALUE"""),1645.0)</f>
        <v>1645</v>
      </c>
      <c r="N576" s="11">
        <f t="shared" si="1"/>
        <v>536</v>
      </c>
    </row>
    <row r="577">
      <c r="I577" s="13" t="str">
        <f>IFERROR(__xludf.DUMMYFUNCTION("""COMPUTED_VALUE"""),"172882636630076_1008328726418792")</f>
        <v>172882636630076_1008328726418792</v>
      </c>
      <c r="J577" s="11">
        <f>IFERROR(__xludf.DUMMYFUNCTION("""COMPUTED_VALUE"""),4396.0)</f>
        <v>4396</v>
      </c>
      <c r="K577" s="11">
        <f>IFERROR(__xludf.DUMMYFUNCTION("""COMPUTED_VALUE"""),69.0)</f>
        <v>69</v>
      </c>
      <c r="L577" s="11">
        <f>IFERROR(__xludf.DUMMYFUNCTION("""COMPUTED_VALUE"""),532.0)</f>
        <v>532</v>
      </c>
      <c r="M577" s="11">
        <f>IFERROR(__xludf.DUMMYFUNCTION("""COMPUTED_VALUE"""),1653.0)</f>
        <v>1653</v>
      </c>
      <c r="N577" s="11">
        <f t="shared" si="1"/>
        <v>4997</v>
      </c>
    </row>
    <row r="578">
      <c r="I578" s="13" t="str">
        <f>IFERROR(__xludf.DUMMYFUNCTION("""COMPUTED_VALUE"""),"172882636630076_1012243712693960")</f>
        <v>172882636630076_1012243712693960</v>
      </c>
      <c r="J578" s="11">
        <f>IFERROR(__xludf.DUMMYFUNCTION("""COMPUTED_VALUE"""),409.0)</f>
        <v>409</v>
      </c>
      <c r="K578" s="11">
        <f>IFERROR(__xludf.DUMMYFUNCTION("""COMPUTED_VALUE"""),4.0)</f>
        <v>4</v>
      </c>
      <c r="L578" s="11">
        <f>IFERROR(__xludf.DUMMYFUNCTION("""COMPUTED_VALUE"""),16.0)</f>
        <v>16</v>
      </c>
      <c r="M578" s="11">
        <f>IFERROR(__xludf.DUMMYFUNCTION("""COMPUTED_VALUE"""),1654.0)</f>
        <v>1654</v>
      </c>
      <c r="N578" s="11">
        <f t="shared" si="1"/>
        <v>429</v>
      </c>
    </row>
    <row r="579">
      <c r="I579" s="13" t="str">
        <f>IFERROR(__xludf.DUMMYFUNCTION("""COMPUTED_VALUE"""),"172882636630076_1001741087077556")</f>
        <v>172882636630076_1001741087077556</v>
      </c>
      <c r="J579" s="11">
        <f>IFERROR(__xludf.DUMMYFUNCTION("""COMPUTED_VALUE"""),605.0)</f>
        <v>605</v>
      </c>
      <c r="K579" s="11">
        <f>IFERROR(__xludf.DUMMYFUNCTION("""COMPUTED_VALUE"""),7.0)</f>
        <v>7</v>
      </c>
      <c r="L579" s="11">
        <f>IFERROR(__xludf.DUMMYFUNCTION("""COMPUTED_VALUE"""),16.0)</f>
        <v>16</v>
      </c>
      <c r="M579" s="11">
        <f>IFERROR(__xludf.DUMMYFUNCTION("""COMPUTED_VALUE"""),1656.0)</f>
        <v>1656</v>
      </c>
      <c r="N579" s="11">
        <f t="shared" si="1"/>
        <v>628</v>
      </c>
    </row>
    <row r="580">
      <c r="D580" s="13"/>
      <c r="E580" s="13"/>
      <c r="I580" s="13" t="str">
        <f>IFERROR(__xludf.DUMMYFUNCTION("""COMPUTED_VALUE"""),"172882636630076_1003626886888976")</f>
        <v>172882636630076_1003626886888976</v>
      </c>
      <c r="J580" s="11">
        <f>IFERROR(__xludf.DUMMYFUNCTION("""COMPUTED_VALUE"""),1305.0)</f>
        <v>1305</v>
      </c>
      <c r="K580" s="11">
        <f>IFERROR(__xludf.DUMMYFUNCTION("""COMPUTED_VALUE"""),24.0)</f>
        <v>24</v>
      </c>
      <c r="L580" s="11">
        <f>IFERROR(__xludf.DUMMYFUNCTION("""COMPUTED_VALUE"""),92.0)</f>
        <v>92</v>
      </c>
      <c r="M580" s="11">
        <f>IFERROR(__xludf.DUMMYFUNCTION("""COMPUTED_VALUE"""),1659.0)</f>
        <v>1659</v>
      </c>
      <c r="N580" s="11">
        <f t="shared" si="1"/>
        <v>1421</v>
      </c>
    </row>
    <row r="581">
      <c r="I581" s="13" t="str">
        <f>IFERROR(__xludf.DUMMYFUNCTION("""COMPUTED_VALUE"""),"172882636630076_1013947185856946")</f>
        <v>172882636630076_1013947185856946</v>
      </c>
      <c r="J581" s="11">
        <f>IFERROR(__xludf.DUMMYFUNCTION("""COMPUTED_VALUE"""),1443.0)</f>
        <v>1443</v>
      </c>
      <c r="K581" s="11">
        <f>IFERROR(__xludf.DUMMYFUNCTION("""COMPUTED_VALUE"""),57.0)</f>
        <v>57</v>
      </c>
      <c r="L581" s="11">
        <f>IFERROR(__xludf.DUMMYFUNCTION("""COMPUTED_VALUE"""),33.0)</f>
        <v>33</v>
      </c>
      <c r="M581" s="11">
        <f>IFERROR(__xludf.DUMMYFUNCTION("""COMPUTED_VALUE"""),1667.0)</f>
        <v>1667</v>
      </c>
      <c r="N581" s="11">
        <f t="shared" si="1"/>
        <v>1533</v>
      </c>
    </row>
    <row r="582">
      <c r="I582" s="13" t="str">
        <f>IFERROR(__xludf.DUMMYFUNCTION("""COMPUTED_VALUE"""),"172882636630076_1007177663200565")</f>
        <v>172882636630076_1007177663200565</v>
      </c>
      <c r="J582" s="11">
        <f>IFERROR(__xludf.DUMMYFUNCTION("""COMPUTED_VALUE"""),935.0)</f>
        <v>935</v>
      </c>
      <c r="K582" s="11">
        <f>IFERROR(__xludf.DUMMYFUNCTION("""COMPUTED_VALUE"""),34.0)</f>
        <v>34</v>
      </c>
      <c r="L582" s="11">
        <f>IFERROR(__xludf.DUMMYFUNCTION("""COMPUTED_VALUE"""),13.0)</f>
        <v>13</v>
      </c>
      <c r="M582" s="11">
        <f>IFERROR(__xludf.DUMMYFUNCTION("""COMPUTED_VALUE"""),1668.0)</f>
        <v>1668</v>
      </c>
      <c r="N582" s="11">
        <f t="shared" si="1"/>
        <v>982</v>
      </c>
    </row>
    <row r="583">
      <c r="I583" s="13" t="str">
        <f>IFERROR(__xludf.DUMMYFUNCTION("""COMPUTED_VALUE"""),"172882636630076_1005493426702322")</f>
        <v>172882636630076_1005493426702322</v>
      </c>
      <c r="J583" s="11">
        <f>IFERROR(__xludf.DUMMYFUNCTION("""COMPUTED_VALUE"""),938.0)</f>
        <v>938</v>
      </c>
      <c r="K583" s="11">
        <f>IFERROR(__xludf.DUMMYFUNCTION("""COMPUTED_VALUE"""),42.0)</f>
        <v>42</v>
      </c>
      <c r="L583" s="11">
        <f>IFERROR(__xludf.DUMMYFUNCTION("""COMPUTED_VALUE"""),14.0)</f>
        <v>14</v>
      </c>
      <c r="M583" s="11">
        <f>IFERROR(__xludf.DUMMYFUNCTION("""COMPUTED_VALUE"""),1671.0)</f>
        <v>1671</v>
      </c>
      <c r="N583" s="11">
        <f t="shared" si="1"/>
        <v>994</v>
      </c>
    </row>
    <row r="584">
      <c r="I584" s="13" t="str">
        <f>IFERROR(__xludf.DUMMYFUNCTION("""COMPUTED_VALUE"""),"172882636630076_1003126920272306")</f>
        <v>172882636630076_1003126920272306</v>
      </c>
      <c r="J584" s="11">
        <f>IFERROR(__xludf.DUMMYFUNCTION("""COMPUTED_VALUE"""),1912.0)</f>
        <v>1912</v>
      </c>
      <c r="K584" s="11">
        <f>IFERROR(__xludf.DUMMYFUNCTION("""COMPUTED_VALUE"""),11.0)</f>
        <v>11</v>
      </c>
      <c r="L584" s="11">
        <f>IFERROR(__xludf.DUMMYFUNCTION("""COMPUTED_VALUE"""),62.0)</f>
        <v>62</v>
      </c>
      <c r="M584" s="11">
        <f>IFERROR(__xludf.DUMMYFUNCTION("""COMPUTED_VALUE"""),1674.0)</f>
        <v>1674</v>
      </c>
      <c r="N584" s="11">
        <f t="shared" si="1"/>
        <v>1985</v>
      </c>
    </row>
    <row r="585">
      <c r="I585" s="13" t="str">
        <f>IFERROR(__xludf.DUMMYFUNCTION("""COMPUTED_VALUE"""),"172882636630076_1008780796373585")</f>
        <v>172882636630076_1008780796373585</v>
      </c>
      <c r="J585" s="11">
        <f>IFERROR(__xludf.DUMMYFUNCTION("""COMPUTED_VALUE"""),587.0)</f>
        <v>587</v>
      </c>
      <c r="K585" s="11">
        <f>IFERROR(__xludf.DUMMYFUNCTION("""COMPUTED_VALUE"""),2.0)</f>
        <v>2</v>
      </c>
      <c r="L585" s="11">
        <f>IFERROR(__xludf.DUMMYFUNCTION("""COMPUTED_VALUE"""),10.0)</f>
        <v>10</v>
      </c>
      <c r="M585" s="11">
        <f>IFERROR(__xludf.DUMMYFUNCTION("""COMPUTED_VALUE"""),1674.0)</f>
        <v>1674</v>
      </c>
      <c r="N585" s="11">
        <f t="shared" si="1"/>
        <v>599</v>
      </c>
    </row>
    <row r="586">
      <c r="I586" s="13" t="str">
        <f>IFERROR(__xludf.DUMMYFUNCTION("""COMPUTED_VALUE"""),"172882636630076_1004216456830019")</f>
        <v>172882636630076_1004216456830019</v>
      </c>
      <c r="J586" s="11">
        <f>IFERROR(__xludf.DUMMYFUNCTION("""COMPUTED_VALUE"""),633.0)</f>
        <v>633</v>
      </c>
      <c r="K586" s="11">
        <f>IFERROR(__xludf.DUMMYFUNCTION("""COMPUTED_VALUE"""),8.0)</f>
        <v>8</v>
      </c>
      <c r="L586" s="11">
        <f>IFERROR(__xludf.DUMMYFUNCTION("""COMPUTED_VALUE"""),25.0)</f>
        <v>25</v>
      </c>
      <c r="M586" s="11">
        <f>IFERROR(__xludf.DUMMYFUNCTION("""COMPUTED_VALUE"""),1680.0)</f>
        <v>1680</v>
      </c>
      <c r="N586" s="11">
        <f t="shared" si="1"/>
        <v>666</v>
      </c>
    </row>
    <row r="587">
      <c r="I587" s="13" t="str">
        <f>IFERROR(__xludf.DUMMYFUNCTION("""COMPUTED_VALUE"""),"172882636630076_1004861883432143")</f>
        <v>172882636630076_1004861883432143</v>
      </c>
      <c r="J587" s="11">
        <f>IFERROR(__xludf.DUMMYFUNCTION("""COMPUTED_VALUE"""),788.0)</f>
        <v>788</v>
      </c>
      <c r="K587" s="11">
        <f>IFERROR(__xludf.DUMMYFUNCTION("""COMPUTED_VALUE"""),12.0)</f>
        <v>12</v>
      </c>
      <c r="L587" s="11">
        <f>IFERROR(__xludf.DUMMYFUNCTION("""COMPUTED_VALUE"""),24.0)</f>
        <v>24</v>
      </c>
      <c r="M587" s="11">
        <f>IFERROR(__xludf.DUMMYFUNCTION("""COMPUTED_VALUE"""),1691.0)</f>
        <v>1691</v>
      </c>
      <c r="N587" s="11">
        <f t="shared" si="1"/>
        <v>824</v>
      </c>
    </row>
    <row r="588">
      <c r="I588" s="13" t="str">
        <f>IFERROR(__xludf.DUMMYFUNCTION("""COMPUTED_VALUE"""),"172882636630076_1004514486800216")</f>
        <v>172882636630076_1004514486800216</v>
      </c>
      <c r="J588" s="11">
        <f>IFERROR(__xludf.DUMMYFUNCTION("""COMPUTED_VALUE"""),2059.0)</f>
        <v>2059</v>
      </c>
      <c r="K588" s="11">
        <f>IFERROR(__xludf.DUMMYFUNCTION("""COMPUTED_VALUE"""),24.0)</f>
        <v>24</v>
      </c>
      <c r="L588" s="11">
        <f>IFERROR(__xludf.DUMMYFUNCTION("""COMPUTED_VALUE"""),30.0)</f>
        <v>30</v>
      </c>
      <c r="M588" s="11">
        <f>IFERROR(__xludf.DUMMYFUNCTION("""COMPUTED_VALUE"""),1692.0)</f>
        <v>1692</v>
      </c>
      <c r="N588" s="11">
        <f t="shared" si="1"/>
        <v>2113</v>
      </c>
    </row>
    <row r="589">
      <c r="I589" s="13" t="str">
        <f>IFERROR(__xludf.DUMMYFUNCTION("""COMPUTED_VALUE"""),"172882636630076_1009398206311844")</f>
        <v>172882636630076_1009398206311844</v>
      </c>
      <c r="J589" s="11">
        <f>IFERROR(__xludf.DUMMYFUNCTION("""COMPUTED_VALUE"""),468.0)</f>
        <v>468</v>
      </c>
      <c r="K589" s="11">
        <f>IFERROR(__xludf.DUMMYFUNCTION("""COMPUTED_VALUE"""),4.0)</f>
        <v>4</v>
      </c>
      <c r="L589" s="11">
        <f>IFERROR(__xludf.DUMMYFUNCTION("""COMPUTED_VALUE"""),9.0)</f>
        <v>9</v>
      </c>
      <c r="M589" s="11">
        <f>IFERROR(__xludf.DUMMYFUNCTION("""COMPUTED_VALUE"""),1720.0)</f>
        <v>1720</v>
      </c>
      <c r="N589" s="11">
        <f t="shared" si="1"/>
        <v>481</v>
      </c>
    </row>
    <row r="590">
      <c r="I590" s="13" t="str">
        <f>IFERROR(__xludf.DUMMYFUNCTION("""COMPUTED_VALUE"""),"172882636630076_1012283736023291")</f>
        <v>172882636630076_1012283736023291</v>
      </c>
      <c r="J590" s="11">
        <f>IFERROR(__xludf.DUMMYFUNCTION("""COMPUTED_VALUE"""),945.0)</f>
        <v>945</v>
      </c>
      <c r="K590" s="11">
        <f>IFERROR(__xludf.DUMMYFUNCTION("""COMPUTED_VALUE"""),20.0)</f>
        <v>20</v>
      </c>
      <c r="L590" s="11">
        <f>IFERROR(__xludf.DUMMYFUNCTION("""COMPUTED_VALUE"""),12.0)</f>
        <v>12</v>
      </c>
      <c r="M590" s="11">
        <f>IFERROR(__xludf.DUMMYFUNCTION("""COMPUTED_VALUE"""),1733.0)</f>
        <v>1733</v>
      </c>
      <c r="N590" s="11">
        <f t="shared" si="1"/>
        <v>977</v>
      </c>
    </row>
    <row r="591">
      <c r="I591" s="13" t="str">
        <f>IFERROR(__xludf.DUMMYFUNCTION("""COMPUTED_VALUE"""),"172882636630076_1003860053532326")</f>
        <v>172882636630076_1003860053532326</v>
      </c>
      <c r="J591" s="11">
        <f>IFERROR(__xludf.DUMMYFUNCTION("""COMPUTED_VALUE"""),1264.0)</f>
        <v>1264</v>
      </c>
      <c r="K591" s="11">
        <f>IFERROR(__xludf.DUMMYFUNCTION("""COMPUTED_VALUE"""),16.0)</f>
        <v>16</v>
      </c>
      <c r="L591" s="11">
        <f>IFERROR(__xludf.DUMMYFUNCTION("""COMPUTED_VALUE"""),41.0)</f>
        <v>41</v>
      </c>
      <c r="M591" s="11">
        <f>IFERROR(__xludf.DUMMYFUNCTION("""COMPUTED_VALUE"""),1743.0)</f>
        <v>1743</v>
      </c>
      <c r="N591" s="11">
        <f t="shared" si="1"/>
        <v>1321</v>
      </c>
    </row>
    <row r="592">
      <c r="I592" s="13" t="str">
        <f>IFERROR(__xludf.DUMMYFUNCTION("""COMPUTED_VALUE"""),"172882636630076_1013544389230559")</f>
        <v>172882636630076_1013544389230559</v>
      </c>
      <c r="J592" s="11">
        <f>IFERROR(__xludf.DUMMYFUNCTION("""COMPUTED_VALUE"""),713.0)</f>
        <v>713</v>
      </c>
      <c r="K592" s="11">
        <f>IFERROR(__xludf.DUMMYFUNCTION("""COMPUTED_VALUE"""),14.0)</f>
        <v>14</v>
      </c>
      <c r="L592" s="11">
        <f>IFERROR(__xludf.DUMMYFUNCTION("""COMPUTED_VALUE"""),6.0)</f>
        <v>6</v>
      </c>
      <c r="M592" s="11">
        <f>IFERROR(__xludf.DUMMYFUNCTION("""COMPUTED_VALUE"""),1747.0)</f>
        <v>1747</v>
      </c>
      <c r="N592" s="11">
        <f t="shared" si="1"/>
        <v>733</v>
      </c>
    </row>
    <row r="593">
      <c r="I593" s="13" t="str">
        <f>IFERROR(__xludf.DUMMYFUNCTION("""COMPUTED_VALUE"""),"172882636630076_1009036856347979")</f>
        <v>172882636630076_1009036856347979</v>
      </c>
      <c r="J593" s="11">
        <f>IFERROR(__xludf.DUMMYFUNCTION("""COMPUTED_VALUE"""),696.0)</f>
        <v>696</v>
      </c>
      <c r="K593" s="11">
        <f>IFERROR(__xludf.DUMMYFUNCTION("""COMPUTED_VALUE"""),15.0)</f>
        <v>15</v>
      </c>
      <c r="L593" s="11">
        <f>IFERROR(__xludf.DUMMYFUNCTION("""COMPUTED_VALUE"""),10.0)</f>
        <v>10</v>
      </c>
      <c r="M593" s="11">
        <f>IFERROR(__xludf.DUMMYFUNCTION("""COMPUTED_VALUE"""),1751.0)</f>
        <v>1751</v>
      </c>
      <c r="N593" s="11">
        <f t="shared" si="1"/>
        <v>721</v>
      </c>
    </row>
    <row r="594">
      <c r="I594" s="13" t="str">
        <f>IFERROR(__xludf.DUMMYFUNCTION("""COMPUTED_VALUE"""),"172882636630076_1004897060095292")</f>
        <v>172882636630076_1004897060095292</v>
      </c>
      <c r="J594" s="11">
        <f>IFERROR(__xludf.DUMMYFUNCTION("""COMPUTED_VALUE"""),228.0)</f>
        <v>228</v>
      </c>
      <c r="K594" s="11">
        <f>IFERROR(__xludf.DUMMYFUNCTION("""COMPUTED_VALUE"""),1.0)</f>
        <v>1</v>
      </c>
      <c r="L594" s="11">
        <f>IFERROR(__xludf.DUMMYFUNCTION("""COMPUTED_VALUE"""),5.0)</f>
        <v>5</v>
      </c>
      <c r="M594" s="11">
        <f>IFERROR(__xludf.DUMMYFUNCTION("""COMPUTED_VALUE"""),1756.0)</f>
        <v>1756</v>
      </c>
      <c r="N594" s="11">
        <f t="shared" si="1"/>
        <v>234</v>
      </c>
    </row>
    <row r="595">
      <c r="I595" s="13" t="str">
        <f>IFERROR(__xludf.DUMMYFUNCTION("""COMPUTED_VALUE"""),"172882636630076_1005123576739307")</f>
        <v>172882636630076_1005123576739307</v>
      </c>
      <c r="J595" s="11">
        <f>IFERROR(__xludf.DUMMYFUNCTION("""COMPUTED_VALUE"""),5893.0)</f>
        <v>5893</v>
      </c>
      <c r="K595" s="11">
        <f>IFERROR(__xludf.DUMMYFUNCTION("""COMPUTED_VALUE"""),143.0)</f>
        <v>143</v>
      </c>
      <c r="L595" s="11">
        <f>IFERROR(__xludf.DUMMYFUNCTION("""COMPUTED_VALUE"""),1026.0)</f>
        <v>1026</v>
      </c>
      <c r="M595" s="11">
        <f>IFERROR(__xludf.DUMMYFUNCTION("""COMPUTED_VALUE"""),1765.0)</f>
        <v>1765</v>
      </c>
      <c r="N595" s="11">
        <f t="shared" si="1"/>
        <v>7062</v>
      </c>
    </row>
    <row r="596">
      <c r="I596" s="13" t="str">
        <f>IFERROR(__xludf.DUMMYFUNCTION("""COMPUTED_VALUE"""),"172882636630076_1008401143078217")</f>
        <v>172882636630076_1008401143078217</v>
      </c>
      <c r="J596" s="11">
        <f>IFERROR(__xludf.DUMMYFUNCTION("""COMPUTED_VALUE"""),1682.0)</f>
        <v>1682</v>
      </c>
      <c r="K596" s="11">
        <f>IFERROR(__xludf.DUMMYFUNCTION("""COMPUTED_VALUE"""),19.0)</f>
        <v>19</v>
      </c>
      <c r="L596" s="11">
        <f>IFERROR(__xludf.DUMMYFUNCTION("""COMPUTED_VALUE"""),41.0)</f>
        <v>41</v>
      </c>
      <c r="M596" s="11">
        <f>IFERROR(__xludf.DUMMYFUNCTION("""COMPUTED_VALUE"""),1774.0)</f>
        <v>1774</v>
      </c>
      <c r="N596" s="11">
        <f t="shared" si="1"/>
        <v>1742</v>
      </c>
    </row>
    <row r="597">
      <c r="I597" s="13" t="str">
        <f>IFERROR(__xludf.DUMMYFUNCTION("""COMPUTED_VALUE"""),"172882636630076_1004509010134097")</f>
        <v>172882636630076_1004509010134097</v>
      </c>
      <c r="J597" s="11">
        <f>IFERROR(__xludf.DUMMYFUNCTION("""COMPUTED_VALUE"""),1199.0)</f>
        <v>1199</v>
      </c>
      <c r="K597" s="11">
        <f>IFERROR(__xludf.DUMMYFUNCTION("""COMPUTED_VALUE"""),22.0)</f>
        <v>22</v>
      </c>
      <c r="L597" s="11">
        <f>IFERROR(__xludf.DUMMYFUNCTION("""COMPUTED_VALUE"""),26.0)</f>
        <v>26</v>
      </c>
      <c r="M597" s="11">
        <f>IFERROR(__xludf.DUMMYFUNCTION("""COMPUTED_VALUE"""),1785.0)</f>
        <v>1785</v>
      </c>
      <c r="N597" s="11">
        <f t="shared" si="1"/>
        <v>1247</v>
      </c>
    </row>
    <row r="598">
      <c r="I598" s="13" t="str">
        <f>IFERROR(__xludf.DUMMYFUNCTION("""COMPUTED_VALUE"""),"172882636630076_1003059263612405")</f>
        <v>172882636630076_1003059263612405</v>
      </c>
      <c r="J598" s="11">
        <f>IFERROR(__xludf.DUMMYFUNCTION("""COMPUTED_VALUE"""),1309.0)</f>
        <v>1309</v>
      </c>
      <c r="K598" s="11">
        <f>IFERROR(__xludf.DUMMYFUNCTION("""COMPUTED_VALUE"""),4.0)</f>
        <v>4</v>
      </c>
      <c r="L598" s="11">
        <f>IFERROR(__xludf.DUMMYFUNCTION("""COMPUTED_VALUE"""),16.0)</f>
        <v>16</v>
      </c>
      <c r="M598" s="11">
        <f>IFERROR(__xludf.DUMMYFUNCTION("""COMPUTED_VALUE"""),1865.0)</f>
        <v>1865</v>
      </c>
      <c r="N598" s="11">
        <f t="shared" si="1"/>
        <v>1329</v>
      </c>
    </row>
    <row r="599">
      <c r="I599" s="13" t="str">
        <f>IFERROR(__xludf.DUMMYFUNCTION("""COMPUTED_VALUE"""),"172882636630076_1005134566738208")</f>
        <v>172882636630076_1005134566738208</v>
      </c>
      <c r="J599" s="11">
        <f>IFERROR(__xludf.DUMMYFUNCTION("""COMPUTED_VALUE"""),2053.0)</f>
        <v>2053</v>
      </c>
      <c r="K599" s="11">
        <f>IFERROR(__xludf.DUMMYFUNCTION("""COMPUTED_VALUE"""),40.0)</f>
        <v>40</v>
      </c>
      <c r="L599" s="11">
        <f>IFERROR(__xludf.DUMMYFUNCTION("""COMPUTED_VALUE"""),79.0)</f>
        <v>79</v>
      </c>
      <c r="M599" s="11">
        <f>IFERROR(__xludf.DUMMYFUNCTION("""COMPUTED_VALUE"""),1869.0)</f>
        <v>1869</v>
      </c>
      <c r="N599" s="11">
        <f t="shared" si="1"/>
        <v>2172</v>
      </c>
    </row>
    <row r="600">
      <c r="I600" s="13" t="str">
        <f>IFERROR(__xludf.DUMMYFUNCTION("""COMPUTED_VALUE"""),"172882636630076_1008795433038788")</f>
        <v>172882636630076_1008795433038788</v>
      </c>
      <c r="J600" s="11">
        <f>IFERROR(__xludf.DUMMYFUNCTION("""COMPUTED_VALUE"""),3520.0)</f>
        <v>3520</v>
      </c>
      <c r="K600" s="11">
        <f>IFERROR(__xludf.DUMMYFUNCTION("""COMPUTED_VALUE"""),6.0)</f>
        <v>6</v>
      </c>
      <c r="L600" s="11">
        <f>IFERROR(__xludf.DUMMYFUNCTION("""COMPUTED_VALUE"""),84.0)</f>
        <v>84</v>
      </c>
      <c r="M600" s="11">
        <f>IFERROR(__xludf.DUMMYFUNCTION("""COMPUTED_VALUE"""),1909.0)</f>
        <v>1909</v>
      </c>
      <c r="N600" s="11">
        <f t="shared" si="1"/>
        <v>3610</v>
      </c>
    </row>
    <row r="601">
      <c r="I601" s="13" t="str">
        <f>IFERROR(__xludf.DUMMYFUNCTION("""COMPUTED_VALUE"""),"172882636630076_1008454713072860")</f>
        <v>172882636630076_1008454713072860</v>
      </c>
      <c r="J601" s="11">
        <f>IFERROR(__xludf.DUMMYFUNCTION("""COMPUTED_VALUE"""),135.0)</f>
        <v>135</v>
      </c>
      <c r="K601" s="11">
        <f>IFERROR(__xludf.DUMMYFUNCTION("""COMPUTED_VALUE"""),0.0)</f>
        <v>0</v>
      </c>
      <c r="L601" s="11">
        <f>IFERROR(__xludf.DUMMYFUNCTION("""COMPUTED_VALUE"""),7.0)</f>
        <v>7</v>
      </c>
      <c r="M601" s="11">
        <f>IFERROR(__xludf.DUMMYFUNCTION("""COMPUTED_VALUE"""),1981.0)</f>
        <v>1981</v>
      </c>
      <c r="N601" s="11">
        <f t="shared" si="1"/>
        <v>142</v>
      </c>
    </row>
    <row r="602">
      <c r="I602" s="13" t="str">
        <f>IFERROR(__xludf.DUMMYFUNCTION("""COMPUTED_VALUE"""),"172882636630076_1007863359798662")</f>
        <v>172882636630076_1007863359798662</v>
      </c>
      <c r="J602" s="11">
        <f>IFERROR(__xludf.DUMMYFUNCTION("""COMPUTED_VALUE"""),190.0)</f>
        <v>190</v>
      </c>
      <c r="K602" s="11">
        <f>IFERROR(__xludf.DUMMYFUNCTION("""COMPUTED_VALUE"""),0.0)</f>
        <v>0</v>
      </c>
      <c r="L602" s="11">
        <f>IFERROR(__xludf.DUMMYFUNCTION("""COMPUTED_VALUE"""),10.0)</f>
        <v>10</v>
      </c>
      <c r="M602" s="11">
        <f>IFERROR(__xludf.DUMMYFUNCTION("""COMPUTED_VALUE"""),1984.0)</f>
        <v>1984</v>
      </c>
      <c r="N602" s="11">
        <f t="shared" si="1"/>
        <v>200</v>
      </c>
    </row>
    <row r="603">
      <c r="I603" s="13" t="str">
        <f>IFERROR(__xludf.DUMMYFUNCTION("""COMPUTED_VALUE"""),"172882636630076_1007561479828850")</f>
        <v>172882636630076_1007561479828850</v>
      </c>
      <c r="J603" s="11">
        <f>IFERROR(__xludf.DUMMYFUNCTION("""COMPUTED_VALUE"""),572.0)</f>
        <v>572</v>
      </c>
      <c r="K603" s="11">
        <f>IFERROR(__xludf.DUMMYFUNCTION("""COMPUTED_VALUE"""),1.0)</f>
        <v>1</v>
      </c>
      <c r="L603" s="11">
        <f>IFERROR(__xludf.DUMMYFUNCTION("""COMPUTED_VALUE"""),31.0)</f>
        <v>31</v>
      </c>
      <c r="M603" s="11">
        <f>IFERROR(__xludf.DUMMYFUNCTION("""COMPUTED_VALUE"""),2073.0)</f>
        <v>2073</v>
      </c>
      <c r="N603" s="11">
        <f t="shared" si="1"/>
        <v>604</v>
      </c>
    </row>
    <row r="604">
      <c r="I604" s="13" t="str">
        <f>IFERROR(__xludf.DUMMYFUNCTION("""COMPUTED_VALUE"""),"172882636630076_1004930273425304")</f>
        <v>172882636630076_1004930273425304</v>
      </c>
      <c r="J604" s="11">
        <f>IFERROR(__xludf.DUMMYFUNCTION("""COMPUTED_VALUE"""),451.0)</f>
        <v>451</v>
      </c>
      <c r="K604" s="11">
        <f>IFERROR(__xludf.DUMMYFUNCTION("""COMPUTED_VALUE"""),3.0)</f>
        <v>3</v>
      </c>
      <c r="L604" s="11">
        <f>IFERROR(__xludf.DUMMYFUNCTION("""COMPUTED_VALUE"""),16.0)</f>
        <v>16</v>
      </c>
      <c r="M604" s="11">
        <f>IFERROR(__xludf.DUMMYFUNCTION("""COMPUTED_VALUE"""),2234.0)</f>
        <v>2234</v>
      </c>
      <c r="N604" s="11">
        <f t="shared" si="1"/>
        <v>470</v>
      </c>
    </row>
    <row r="605">
      <c r="I605" s="13" t="str">
        <f>IFERROR(__xludf.DUMMYFUNCTION("""COMPUTED_VALUE"""),"172882636630076_1010142522904079")</f>
        <v>172882636630076_1010142522904079</v>
      </c>
      <c r="J605" s="11">
        <f>IFERROR(__xludf.DUMMYFUNCTION("""COMPUTED_VALUE"""),129.0)</f>
        <v>129</v>
      </c>
      <c r="K605" s="11">
        <f>IFERROR(__xludf.DUMMYFUNCTION("""COMPUTED_VALUE"""),2.0)</f>
        <v>2</v>
      </c>
      <c r="L605" s="11">
        <f>IFERROR(__xludf.DUMMYFUNCTION("""COMPUTED_VALUE"""),3.0)</f>
        <v>3</v>
      </c>
      <c r="M605" s="11">
        <f>IFERROR(__xludf.DUMMYFUNCTION("""COMPUTED_VALUE"""),2270.0)</f>
        <v>2270</v>
      </c>
      <c r="N605" s="11">
        <f t="shared" si="1"/>
        <v>134</v>
      </c>
    </row>
    <row r="606">
      <c r="I606" s="13"/>
    </row>
    <row r="607">
      <c r="I607" s="13"/>
    </row>
    <row r="608">
      <c r="I608" s="13"/>
    </row>
    <row r="609">
      <c r="I609" s="13"/>
    </row>
    <row r="610">
      <c r="I610" s="13"/>
    </row>
    <row r="611">
      <c r="I611" s="13"/>
    </row>
    <row r="612">
      <c r="D612" s="13"/>
      <c r="E612" s="13"/>
      <c r="I612" s="13"/>
    </row>
    <row r="613">
      <c r="I613" s="13"/>
    </row>
    <row r="614">
      <c r="I614" s="13"/>
    </row>
    <row r="615">
      <c r="I615" s="13"/>
    </row>
  </sheetData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1673</v>
      </c>
    </row>
    <row r="2">
      <c r="A2" s="6" t="s">
        <v>1674</v>
      </c>
    </row>
    <row r="3">
      <c r="A3" s="6" t="s">
        <v>1675</v>
      </c>
    </row>
    <row r="4">
      <c r="A4" s="6" t="s">
        <v>1676</v>
      </c>
    </row>
    <row r="5">
      <c r="A5" s="6" t="s">
        <v>1677</v>
      </c>
    </row>
  </sheetData>
  <drawing r:id="rId1"/>
</worksheet>
</file>