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rakash reddy pandem\Desktop\P_Prakash_reddy_2017B3AA0663H\"/>
    </mc:Choice>
  </mc:AlternateContent>
  <xr:revisionPtr revIDLastSave="0" documentId="13_ncr:1_{0187DF1C-F8B9-4F33-AD3F-FD0B4000C53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art-1" sheetId="6" r:id="rId1"/>
    <sheet name="part-2" sheetId="8" r:id="rId2"/>
    <sheet name="financials" sheetId="2" r:id="rId3"/>
    <sheet name="Stock prices" sheetId="4" r:id="rId4"/>
    <sheet name="annualized returns" sheetId="7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6" l="1"/>
  <c r="G35" i="6" l="1"/>
  <c r="G38" i="6"/>
  <c r="B42" i="8" l="1"/>
  <c r="L2" i="2" l="1"/>
  <c r="B44" i="8"/>
  <c r="B43" i="8"/>
  <c r="M28" i="8"/>
  <c r="M29" i="8"/>
  <c r="M30" i="8"/>
  <c r="M31" i="8"/>
  <c r="M32" i="8"/>
  <c r="M33" i="8"/>
  <c r="M34" i="8"/>
  <c r="M35" i="8"/>
  <c r="M36" i="8"/>
  <c r="M37" i="8"/>
  <c r="M27" i="8"/>
  <c r="F68" i="6"/>
  <c r="J67" i="6"/>
  <c r="E65" i="6"/>
  <c r="F65" i="6"/>
  <c r="F37" i="8"/>
  <c r="F36" i="8"/>
  <c r="F35" i="8"/>
  <c r="F34" i="8"/>
  <c r="F33" i="8"/>
  <c r="F32" i="8"/>
  <c r="F31" i="8"/>
  <c r="F30" i="8"/>
  <c r="F29" i="8"/>
  <c r="F28" i="8"/>
  <c r="F27" i="8"/>
  <c r="I65" i="6" l="1"/>
  <c r="D65" i="6"/>
  <c r="L65" i="6"/>
  <c r="G49" i="6"/>
  <c r="B35" i="6"/>
  <c r="B34" i="6"/>
  <c r="B26" i="6"/>
  <c r="B11" i="6" l="1"/>
  <c r="B44" i="6" l="1"/>
  <c r="B30" i="6"/>
  <c r="B23" i="6"/>
  <c r="B20" i="6"/>
  <c r="B2" i="6"/>
  <c r="L8" i="2"/>
  <c r="L7" i="2"/>
  <c r="J146" i="4"/>
  <c r="B8" i="6" l="1"/>
  <c r="I11" i="8" l="1"/>
  <c r="I12" i="8"/>
  <c r="I13" i="8"/>
  <c r="I14" i="8"/>
  <c r="I15" i="8"/>
  <c r="I16" i="8"/>
  <c r="I17" i="8"/>
  <c r="I18" i="8"/>
  <c r="I19" i="8"/>
  <c r="I20" i="8"/>
  <c r="D20" i="8"/>
  <c r="D19" i="8"/>
  <c r="D18" i="8"/>
  <c r="D17" i="8"/>
  <c r="D16" i="8"/>
  <c r="J15" i="8"/>
  <c r="D15" i="8"/>
  <c r="J14" i="8"/>
  <c r="D14" i="8"/>
  <c r="D13" i="8"/>
  <c r="D12" i="8"/>
  <c r="D11" i="8"/>
  <c r="D10" i="8"/>
  <c r="B21" i="8" l="1"/>
  <c r="B95" i="6"/>
  <c r="B93" i="6"/>
  <c r="B94" i="6" s="1"/>
  <c r="E89" i="6"/>
  <c r="D79" i="6"/>
  <c r="B23" i="8" l="1"/>
  <c r="B22" i="8"/>
  <c r="D58" i="6"/>
  <c r="D57" i="6"/>
  <c r="D56" i="6"/>
  <c r="D55" i="6"/>
  <c r="D54" i="6"/>
  <c r="D53" i="6"/>
  <c r="D52" i="6"/>
  <c r="D51" i="6"/>
  <c r="D50" i="6"/>
  <c r="D49" i="6"/>
  <c r="B40" i="6" l="1"/>
  <c r="B25" i="6" l="1"/>
  <c r="D40" i="7"/>
  <c r="D41" i="7" s="1"/>
  <c r="D42" i="7" s="1"/>
  <c r="D43" i="7" s="1"/>
  <c r="B9" i="6" s="1"/>
  <c r="B40" i="7"/>
  <c r="B41" i="7" s="1"/>
  <c r="B42" i="7" s="1"/>
  <c r="B43" i="7" s="1"/>
  <c r="D39" i="7"/>
  <c r="C39" i="7"/>
  <c r="C40" i="7" s="1"/>
  <c r="C41" i="7" s="1"/>
  <c r="C42" i="7" s="1"/>
  <c r="C43" i="7" s="1"/>
  <c r="B39" i="7"/>
  <c r="B7" i="6"/>
  <c r="B16" i="6" s="1"/>
  <c r="B6" i="6"/>
  <c r="B5" i="6"/>
  <c r="B3" i="6"/>
  <c r="K65" i="6" l="1"/>
  <c r="K66" i="6" s="1"/>
  <c r="B62" i="6"/>
  <c r="B2" i="8"/>
  <c r="B24" i="6"/>
  <c r="I74" i="6"/>
  <c r="I72" i="6"/>
  <c r="I67" i="6"/>
  <c r="I71" i="6"/>
  <c r="I70" i="6"/>
  <c r="I68" i="6"/>
  <c r="I66" i="6"/>
  <c r="I73" i="6"/>
  <c r="I69" i="6"/>
  <c r="F12" i="8" l="1"/>
  <c r="F11" i="8"/>
  <c r="D80" i="6"/>
  <c r="L66" i="6"/>
  <c r="D81" i="6" s="1"/>
  <c r="J65" i="6" l="1"/>
  <c r="B1" i="8"/>
  <c r="B6" i="8" s="1"/>
  <c r="B7" i="8" s="1"/>
  <c r="E57" i="6"/>
  <c r="F57" i="6" s="1"/>
  <c r="G57" i="6" s="1"/>
  <c r="E87" i="6" s="1"/>
  <c r="E55" i="6"/>
  <c r="F55" i="6" s="1"/>
  <c r="G55" i="6" s="1"/>
  <c r="E85" i="6" s="1"/>
  <c r="E53" i="6"/>
  <c r="F53" i="6" s="1"/>
  <c r="G53" i="6" s="1"/>
  <c r="E83" i="6" s="1"/>
  <c r="E51" i="6"/>
  <c r="F51" i="6" s="1"/>
  <c r="G51" i="6" s="1"/>
  <c r="E81" i="6" s="1"/>
  <c r="F81" i="6" s="1"/>
  <c r="E49" i="6"/>
  <c r="F49" i="6" s="1"/>
  <c r="E79" i="6" s="1"/>
  <c r="F79" i="6" s="1"/>
  <c r="E54" i="6"/>
  <c r="F54" i="6" s="1"/>
  <c r="G54" i="6" s="1"/>
  <c r="E84" i="6" s="1"/>
  <c r="E50" i="6"/>
  <c r="F50" i="6" s="1"/>
  <c r="G50" i="6" s="1"/>
  <c r="E80" i="6" s="1"/>
  <c r="F80" i="6" s="1"/>
  <c r="E56" i="6"/>
  <c r="F56" i="6" s="1"/>
  <c r="G56" i="6" s="1"/>
  <c r="E86" i="6" s="1"/>
  <c r="E52" i="6"/>
  <c r="F52" i="6" s="1"/>
  <c r="G52" i="6" s="1"/>
  <c r="E82" i="6" s="1"/>
  <c r="E58" i="6"/>
  <c r="F58" i="6" s="1"/>
  <c r="G58" i="6" s="1"/>
  <c r="E88" i="6" s="1"/>
  <c r="D71" i="6"/>
  <c r="D69" i="6"/>
  <c r="D66" i="6"/>
  <c r="D64" i="6"/>
  <c r="E64" i="6" s="1"/>
  <c r="D68" i="6"/>
  <c r="D74" i="6"/>
  <c r="J74" i="6" s="1"/>
  <c r="K74" i="6" s="1"/>
  <c r="D67" i="6"/>
  <c r="D73" i="6"/>
  <c r="D72" i="6"/>
  <c r="D70" i="6"/>
  <c r="G28" i="8" l="1"/>
  <c r="G32" i="8"/>
  <c r="G36" i="8"/>
  <c r="G29" i="8"/>
  <c r="G33" i="8"/>
  <c r="G37" i="8"/>
  <c r="G30" i="8"/>
  <c r="G34" i="8"/>
  <c r="G27" i="8"/>
  <c r="G31" i="8"/>
  <c r="G35" i="8"/>
  <c r="G11" i="8"/>
  <c r="H11" i="8" s="1"/>
  <c r="L11" i="8" s="1"/>
  <c r="E17" i="8"/>
  <c r="K17" i="8" s="1"/>
  <c r="E11" i="8"/>
  <c r="K11" i="8" s="1"/>
  <c r="E14" i="8"/>
  <c r="K14" i="8" s="1"/>
  <c r="E10" i="8"/>
  <c r="L10" i="8" s="1"/>
  <c r="E18" i="8"/>
  <c r="E20" i="8"/>
  <c r="E16" i="8"/>
  <c r="K16" i="8" s="1"/>
  <c r="E13" i="8"/>
  <c r="E19" i="8"/>
  <c r="K19" i="8" s="1"/>
  <c r="E12" i="8"/>
  <c r="E15" i="8"/>
  <c r="E70" i="6"/>
  <c r="J70" i="6"/>
  <c r="K70" i="6" s="1"/>
  <c r="E74" i="6"/>
  <c r="E69" i="6"/>
  <c r="J69" i="6"/>
  <c r="K69" i="6" s="1"/>
  <c r="E72" i="6"/>
  <c r="J72" i="6"/>
  <c r="K72" i="6" s="1"/>
  <c r="E68" i="6"/>
  <c r="J68" i="6"/>
  <c r="K68" i="6" s="1"/>
  <c r="E71" i="6"/>
  <c r="J71" i="6"/>
  <c r="K71" i="6" s="1"/>
  <c r="B36" i="6"/>
  <c r="E73" i="6"/>
  <c r="J73" i="6"/>
  <c r="K73" i="6" s="1"/>
  <c r="E67" i="6"/>
  <c r="K67" i="6"/>
  <c r="E66" i="6"/>
  <c r="J66" i="6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3" i="4"/>
  <c r="B10" i="6"/>
  <c r="I34" i="8" l="1"/>
  <c r="J34" i="8" s="1"/>
  <c r="H34" i="8"/>
  <c r="N34" i="8" s="1"/>
  <c r="I30" i="8"/>
  <c r="J30" i="8" s="1"/>
  <c r="H30" i="8"/>
  <c r="N30" i="8" s="1"/>
  <c r="I31" i="8"/>
  <c r="J31" i="8" s="1"/>
  <c r="H31" i="8"/>
  <c r="N31" i="8" s="1"/>
  <c r="I32" i="8"/>
  <c r="J32" i="8" s="1"/>
  <c r="H32" i="8"/>
  <c r="N32" i="8" s="1"/>
  <c r="I29" i="8"/>
  <c r="J29" i="8" s="1"/>
  <c r="H29" i="8"/>
  <c r="N29" i="8" s="1"/>
  <c r="I35" i="8"/>
  <c r="J35" i="8" s="1"/>
  <c r="H35" i="8"/>
  <c r="N35" i="8" s="1"/>
  <c r="I36" i="8"/>
  <c r="J36" i="8" s="1"/>
  <c r="H36" i="8"/>
  <c r="N36" i="8" s="1"/>
  <c r="I37" i="8"/>
  <c r="J37" i="8" s="1"/>
  <c r="H37" i="8"/>
  <c r="N37" i="8" s="1"/>
  <c r="I27" i="8"/>
  <c r="J27" i="8" s="1"/>
  <c r="H27" i="8"/>
  <c r="N27" i="8" s="1"/>
  <c r="I33" i="8"/>
  <c r="J33" i="8" s="1"/>
  <c r="H33" i="8"/>
  <c r="N33" i="8" s="1"/>
  <c r="I28" i="8"/>
  <c r="J28" i="8" s="1"/>
  <c r="H28" i="8"/>
  <c r="N28" i="8" s="1"/>
  <c r="F67" i="6"/>
  <c r="G12" i="8"/>
  <c r="H12" i="8" s="1"/>
  <c r="G19" i="8"/>
  <c r="G14" i="8"/>
  <c r="G15" i="8"/>
  <c r="G18" i="8"/>
  <c r="G16" i="8"/>
  <c r="G13" i="8"/>
  <c r="G17" i="8"/>
  <c r="G20" i="8"/>
  <c r="F69" i="6"/>
  <c r="F70" i="6"/>
  <c r="K18" i="8"/>
  <c r="K12" i="8"/>
  <c r="F66" i="6"/>
  <c r="K13" i="8"/>
  <c r="K20" i="8"/>
  <c r="F73" i="6"/>
  <c r="F71" i="6"/>
  <c r="F72" i="6"/>
  <c r="F74" i="6"/>
  <c r="K15" i="8"/>
  <c r="L12" i="8" l="1"/>
  <c r="L67" i="6"/>
  <c r="D82" i="6" s="1"/>
  <c r="F82" i="6" s="1"/>
  <c r="F13" i="8"/>
  <c r="H13" i="8" s="1"/>
  <c r="L13" i="8" s="1"/>
  <c r="L73" i="6"/>
  <c r="D88" i="6" s="1"/>
  <c r="F88" i="6" s="1"/>
  <c r="F19" i="8"/>
  <c r="H19" i="8" s="1"/>
  <c r="L19" i="8" s="1"/>
  <c r="L68" i="6"/>
  <c r="D83" i="6" s="1"/>
  <c r="F83" i="6" s="1"/>
  <c r="F14" i="8"/>
  <c r="H14" i="8" s="1"/>
  <c r="L14" i="8" s="1"/>
  <c r="L72" i="6"/>
  <c r="D87" i="6" s="1"/>
  <c r="F87" i="6" s="1"/>
  <c r="F18" i="8"/>
  <c r="H18" i="8" s="1"/>
  <c r="L18" i="8" s="1"/>
  <c r="F20" i="8"/>
  <c r="H20" i="8" s="1"/>
  <c r="L20" i="8" s="1"/>
  <c r="L74" i="6"/>
  <c r="D89" i="6" s="1"/>
  <c r="F89" i="6" s="1"/>
  <c r="L69" i="6"/>
  <c r="D84" i="6" s="1"/>
  <c r="F84" i="6" s="1"/>
  <c r="F15" i="8"/>
  <c r="H15" i="8" s="1"/>
  <c r="L15" i="8" s="1"/>
  <c r="L70" i="6"/>
  <c r="D85" i="6" s="1"/>
  <c r="F85" i="6" s="1"/>
  <c r="F16" i="8"/>
  <c r="H16" i="8" s="1"/>
  <c r="L16" i="8" s="1"/>
  <c r="L71" i="6"/>
  <c r="D86" i="6" s="1"/>
  <c r="F86" i="6" s="1"/>
  <c r="F17" i="8"/>
  <c r="H17" i="8" s="1"/>
  <c r="L17" i="8" s="1"/>
</calcChain>
</file>

<file path=xl/sharedStrings.xml><?xml version="1.0" encoding="utf-8"?>
<sst xmlns="http://schemas.openxmlformats.org/spreadsheetml/2006/main" count="346" uniqueCount="267">
  <si>
    <t>Fixed Assets</t>
  </si>
  <si>
    <t>Other Assets</t>
  </si>
  <si>
    <t>Total Assets</t>
  </si>
  <si>
    <t>ASSETS</t>
  </si>
  <si>
    <t>Source:</t>
  </si>
  <si>
    <t>Standalone Balance Sheet</t>
  </si>
  <si>
    <t>------------------- in Rs. Cr. -------------------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</si>
  <si>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</si>
  <si>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</si>
  <si>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</si>
  <si>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</si>
  <si>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</si>
  <si>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</si>
  <si>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</si>
  <si>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</si>
  <si>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</si>
  <si>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</si>
  <si>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Other Long Term Liabilities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</si>
  <si>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</si>
  <si>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</si>
  <si>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</si>
  <si>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</si>
  <si>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</si>
  <si>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</si>
  <si>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</si>
  <si>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</si>
  <si>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NON-CURRENT ASSETS</t>
  </si>
  <si>
    <t>Tangible Assets</t>
  </si>
  <si>
    <t>Intangible Assets</t>
  </si>
  <si>
    <t>Capital Work-In-Progress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</si>
  <si>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</si>
  <si>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</si>
  <si>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</si>
  <si>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</si>
  <si>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</si>
  <si>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</si>
  <si>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</si>
  <si>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</si>
  <si>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</si>
  <si>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</si>
  <si>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</si>
  <si>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</si>
  <si>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</si>
  <si>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in Rs. Cr.</t>
  </si>
  <si>
    <t>https://www.moneycontrol.com/stocks/company_info/print_main.php</t>
  </si>
  <si>
    <t>Standalone Profit &amp; Loss account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</si>
  <si>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</si>
  <si>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</si>
  <si>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</si>
  <si>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</si>
  <si>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</si>
  <si>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</si>
  <si>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</si>
  <si>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</si>
  <si>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</si>
  <si>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</si>
  <si>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</si>
  <si>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</si>
  <si>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</si>
  <si>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</si>
  <si>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</si>
  <si>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</si>
  <si>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</si>
  <si>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</si>
  <si>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</si>
  <si>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</si>
  <si>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</si>
  <si>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</si>
  <si>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</si>
  <si>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</si>
  <si>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</si>
  <si>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</si>
  <si>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Corporate tax rate</t>
  </si>
  <si>
    <t>EBT</t>
  </si>
  <si>
    <t>EBIT</t>
  </si>
  <si>
    <t>Date</t>
  </si>
  <si>
    <t>Open</t>
  </si>
  <si>
    <t>High</t>
  </si>
  <si>
    <t>Low</t>
  </si>
  <si>
    <t>Close</t>
  </si>
  <si>
    <t>Adj Close</t>
  </si>
  <si>
    <t>Volume</t>
  </si>
  <si>
    <t>Returns of company</t>
  </si>
  <si>
    <t>Adj Close SENSEX</t>
  </si>
  <si>
    <t>Returns of SENSEX</t>
  </si>
  <si>
    <t>Stock prices source:</t>
  </si>
  <si>
    <t>https://in.finance.yahoo.com/quote/MOTHERSUMI.BO/history?period1=1459123200&amp;period2=1553472000&amp;interval=1wk&amp;filter=history&amp;frequency=1wk</t>
  </si>
  <si>
    <t>Sensex Source:</t>
  </si>
  <si>
    <t>https://in.finance.yahoo.com/quote/%5EBSESN/history?period1=1437004800&amp;period2=1594857600&amp;interval=1wk&amp;filter=history&amp;frequency=1wk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</si>
  <si>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</si>
  <si>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</si>
  <si>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</si>
  <si>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</si>
  <si>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</si>
  <si>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</si>
  <si>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</si>
  <si>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</si>
  <si>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</si>
  <si>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</si>
  <si>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</si>
  <si>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</si>
  <si>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</si>
  <si>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</si>
  <si>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</si>
  <si>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</si>
  <si>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</si>
  <si>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</si>
  <si>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</si>
  <si>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</si>
  <si>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</si>
  <si>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</si>
  <si>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</si>
  <si>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</si>
  <si>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Company </t>
  </si>
  <si>
    <t>Debt Outstanding</t>
  </si>
  <si>
    <t>Interest Expense</t>
  </si>
  <si>
    <t>Maturity of loan</t>
  </si>
  <si>
    <t>Price</t>
  </si>
  <si>
    <t>No. of shares outstanding</t>
  </si>
  <si>
    <t>Market cap</t>
  </si>
  <si>
    <t>Treasury bond rate</t>
  </si>
  <si>
    <t>Market risk premium</t>
  </si>
  <si>
    <t>TAX RATE</t>
  </si>
  <si>
    <t>STEP 1</t>
  </si>
  <si>
    <t>MARKET VALUE OF EQUITY</t>
  </si>
  <si>
    <t>Market value of equity</t>
  </si>
  <si>
    <t>STEP 2</t>
  </si>
  <si>
    <t>MARKET VALUE OF DEBT</t>
  </si>
  <si>
    <t>Interest coverage ratio</t>
  </si>
  <si>
    <t>Based on Table 1, rating is</t>
  </si>
  <si>
    <t>Based on Table 2, spread is</t>
  </si>
  <si>
    <t>Cost of debt</t>
  </si>
  <si>
    <t>Interest expense</t>
  </si>
  <si>
    <t>T</t>
  </si>
  <si>
    <t>Market Value of debt</t>
  </si>
  <si>
    <t>STEP 3</t>
  </si>
  <si>
    <t>VALUE OF THE FIRM</t>
  </si>
  <si>
    <t>Value of the firm</t>
  </si>
  <si>
    <t>STEP 4</t>
  </si>
  <si>
    <t>CAPITAL STRUCTURE RATIOS</t>
  </si>
  <si>
    <t>D/E</t>
  </si>
  <si>
    <t>D/V</t>
  </si>
  <si>
    <t>E/V</t>
  </si>
  <si>
    <t>STEP 5</t>
  </si>
  <si>
    <t>BETA EQUITY OF THE FIRM</t>
  </si>
  <si>
    <t>Beta</t>
  </si>
  <si>
    <t>STEP 6</t>
  </si>
  <si>
    <t>CALCULATE BETA UNLEVERED</t>
  </si>
  <si>
    <t>BETA UNLEVERED</t>
  </si>
  <si>
    <t>STEP 7</t>
  </si>
  <si>
    <t>COST OF EQUITY CAPITAL FOR VARIOUS D/V LEVELS</t>
  </si>
  <si>
    <t>STEP 8</t>
  </si>
  <si>
    <t>COST OF DEBT FOR VARIOUS D/V LEVELS</t>
  </si>
  <si>
    <t>Cost of debt for AAA rated</t>
  </si>
  <si>
    <t>STEP 9</t>
  </si>
  <si>
    <t>COST OF CAPITAL FOR VARIOUS D/V LEVELS</t>
  </si>
  <si>
    <t>FROM THE TABLES OPTIMAL CAPITAL STRUCTURE IS</t>
  </si>
  <si>
    <t>years</t>
  </si>
  <si>
    <t>crores</t>
  </si>
  <si>
    <t>Earnings per share</t>
  </si>
  <si>
    <t>Basic</t>
  </si>
  <si>
    <t>Diluted</t>
  </si>
  <si>
    <t>Month</t>
  </si>
  <si>
    <t>rm-rf%</t>
  </si>
  <si>
    <t>Average monthly returns%</t>
  </si>
  <si>
    <t>Average monthly returns</t>
  </si>
  <si>
    <t>Annualized Returns for 3 yrs</t>
  </si>
  <si>
    <t>Annuliazed returns</t>
  </si>
  <si>
    <t>Annuliazed returns%</t>
  </si>
  <si>
    <t>2016/04</t>
  </si>
  <si>
    <t>2016/05</t>
  </si>
  <si>
    <t>2019/03</t>
  </si>
  <si>
    <t>2019/02</t>
  </si>
  <si>
    <t>2019/01</t>
  </si>
  <si>
    <t>2018/10</t>
  </si>
  <si>
    <t>2018/11</t>
  </si>
  <si>
    <t>2018/12</t>
  </si>
  <si>
    <t>2018/09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</si>
  <si>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</si>
  <si>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</si>
  <si>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</si>
  <si>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</si>
  <si>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</si>
  <si>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</si>
  <si>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</si>
  <si>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</si>
  <si>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</si>
  <si>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</si>
  <si>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</si>
  <si>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</si>
  <si>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</si>
  <si>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</si>
  <si>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</si>
  <si>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</si>
  <si>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</si>
  <si>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</si>
  <si>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</si>
  <si>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</si>
  <si>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</si>
  <si>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</si>
  <si>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</si>
  <si>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</si>
  <si>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</si>
  <si>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</si>
  <si>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</si>
  <si>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For developed market firms with market cap &gt; $5 billion</t>
  </si>
  <si>
    <t>If interest coverage ratio is</t>
  </si>
  <si>
    <t>&gt;</t>
  </si>
  <si>
    <t>≤ to</t>
  </si>
  <si>
    <t>Rating is</t>
  </si>
  <si>
    <t>Spread is</t>
  </si>
  <si>
    <t>AAA</t>
  </si>
  <si>
    <t>AA</t>
  </si>
  <si>
    <t>A+</t>
  </si>
  <si>
    <t>A</t>
  </si>
  <si>
    <t>A-</t>
  </si>
  <si>
    <t>BBB</t>
  </si>
  <si>
    <t>BB+</t>
  </si>
  <si>
    <t>BB</t>
  </si>
  <si>
    <t>B+</t>
  </si>
  <si>
    <t>B</t>
  </si>
  <si>
    <t>B-</t>
  </si>
  <si>
    <t>CCC</t>
  </si>
  <si>
    <t>CC</t>
  </si>
  <si>
    <t>C</t>
  </si>
  <si>
    <t>D</t>
  </si>
  <si>
    <t>Beta unlevered</t>
  </si>
  <si>
    <t>Beta levered</t>
  </si>
  <si>
    <t>Cost of Equity</t>
  </si>
  <si>
    <t>Debt value</t>
  </si>
  <si>
    <t>Interest expense for AAA rated</t>
  </si>
  <si>
    <t>Rating</t>
  </si>
  <si>
    <t>Spread</t>
  </si>
  <si>
    <t>Interest expense at cost of debt</t>
  </si>
  <si>
    <t>Effective tax rate</t>
  </si>
  <si>
    <t>after tax cost of debt</t>
  </si>
  <si>
    <t>After Tax Cost of Debt</t>
  </si>
  <si>
    <t>Cost of Capital</t>
  </si>
  <si>
    <t>na</t>
  </si>
  <si>
    <t>rs</t>
  </si>
  <si>
    <t>http://pages.stern.nyu.edu/~adamodar/New_Home_Page/datafile/ratings.htm</t>
  </si>
  <si>
    <t>Source for finding spread for a given interest coverage ratio</t>
  </si>
  <si>
    <t>Value of interest tax shield</t>
  </si>
  <si>
    <t>Bankruptcy cost</t>
  </si>
  <si>
    <t>probability of default</t>
  </si>
  <si>
    <t xml:space="preserve">Value of unlevered firm </t>
  </si>
  <si>
    <t>Value of firm</t>
  </si>
  <si>
    <t>of unlevered firm value</t>
  </si>
  <si>
    <t>http://pages.stern.nyu.edu/~adamodar/pdfiles/acf2E/presentations/optmix.pdf</t>
  </si>
  <si>
    <t>Debt/Value</t>
  </si>
  <si>
    <t>Value of unlevered firm</t>
  </si>
  <si>
    <t>Interest tax shield</t>
  </si>
  <si>
    <t>Prob. Of default</t>
  </si>
  <si>
    <t>PV of bankruptcy cost</t>
  </si>
  <si>
    <t>Value of the levered firm</t>
  </si>
  <si>
    <t>rm%</t>
  </si>
  <si>
    <t>rf%</t>
  </si>
  <si>
    <t>By optimal capital structures method we got D/V value as 20% but by using APV method we got the D/V value as 10%</t>
  </si>
  <si>
    <t>So we furthur calculated value of levered firm for  D/V values ranging in between 10% to 20%</t>
  </si>
  <si>
    <t>Returns of sensex(BETA LEVERED)</t>
  </si>
  <si>
    <t>optimal D/E value</t>
  </si>
  <si>
    <t>Debt to be taken so as to attain optimal D/E value</t>
  </si>
  <si>
    <t>AFTER COMPARISION BETWEEN OPTIMAL CAPITAL STRUCTURE AND APV METHOD</t>
  </si>
  <si>
    <t>Total ideal market value of debt</t>
  </si>
  <si>
    <t>P PRAKASH REDDY</t>
  </si>
  <si>
    <t>2017B3AA0663H</t>
  </si>
  <si>
    <t>Motherson Sumi Systems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</si>
</sst>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%"/>
    <numFmt numFmtId="165" formatCode="0.0000"/>
    <numFmt numFmtId="166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Geneva"/>
    </font>
    <font>
      <sz val="10"/>
      <name val="Arial"/>
      <family val="2"/>
    </font>
    <font>
      <b/>
      <sz val="10"/>
      <name val="Times New Roman"/>
      <family val="1"/>
    </font>
    <font>
      <i/>
      <sz val="10"/>
      <name val="Times"/>
      <family val="1"/>
    </font>
    <font>
      <sz val="10"/>
      <name val="Times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3">
    <xf numFmtId="0" fontId="0" fillId="0" borderId="0" xfId="0"/>
    <xf numFmtId="4" fontId="0" fillId="0" borderId="0" xfId="0" applyNumberFormat="1"/>
    <xf numFmtId="0" fontId="2" fillId="0" borderId="0" xfId="0" applyFont="1"/>
    <xf numFmtId="0" fontId="3" fillId="0" borderId="0" xfId="2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17" fontId="4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4" fillId="3" borderId="0" xfId="0" applyFont="1" applyFill="1" applyBorder="1" applyAlignment="1">
      <alignment vertical="center" wrapText="1"/>
    </xf>
    <xf numFmtId="0" fontId="0" fillId="5" borderId="0" xfId="0" applyFill="1"/>
    <xf numFmtId="0" fontId="0" fillId="0" borderId="3" xfId="0" applyBorder="1"/>
    <xf numFmtId="0" fontId="0" fillId="0" borderId="4" xfId="0" applyBorder="1"/>
    <xf numFmtId="4" fontId="4" fillId="2" borderId="1" xfId="0" applyNumberFormat="1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7" fontId="4" fillId="2" borderId="0" xfId="0" applyNumberFormat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4" fontId="5" fillId="2" borderId="0" xfId="0" applyNumberFormat="1" applyFont="1" applyFill="1" applyBorder="1" applyAlignment="1">
      <alignment horizontal="right" vertical="center" wrapText="1"/>
    </xf>
    <xf numFmtId="4" fontId="4" fillId="3" borderId="0" xfId="0" applyNumberFormat="1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0" xfId="0" applyFont="1"/>
    <xf numFmtId="10" fontId="0" fillId="0" borderId="0" xfId="0" applyNumberFormat="1"/>
    <xf numFmtId="14" fontId="0" fillId="0" borderId="0" xfId="0" applyNumberFormat="1"/>
    <xf numFmtId="0" fontId="0" fillId="0" borderId="0" xfId="0" applyFill="1" applyBorder="1" applyAlignment="1"/>
    <xf numFmtId="0" fontId="0" fillId="0" borderId="9" xfId="0" applyFill="1" applyBorder="1" applyAlignment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Continuous"/>
    </xf>
    <xf numFmtId="0" fontId="0" fillId="6" borderId="0" xfId="0" applyFill="1"/>
    <xf numFmtId="0" fontId="2" fillId="6" borderId="0" xfId="0" applyFont="1" applyFill="1"/>
    <xf numFmtId="0" fontId="2" fillId="7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7" borderId="0" xfId="0" applyFont="1" applyFill="1"/>
    <xf numFmtId="0" fontId="2" fillId="8" borderId="0" xfId="0" applyFont="1" applyFill="1"/>
    <xf numFmtId="0" fontId="9" fillId="0" borderId="0" xfId="0" applyFont="1"/>
    <xf numFmtId="10" fontId="0" fillId="4" borderId="0" xfId="1" applyNumberFormat="1" applyFont="1" applyFill="1"/>
    <xf numFmtId="0" fontId="0" fillId="10" borderId="0" xfId="0" applyFill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0" fontId="14" fillId="0" borderId="0" xfId="0" applyNumberFormat="1" applyFont="1" applyAlignment="1">
      <alignment horizontal="center"/>
    </xf>
    <xf numFmtId="10" fontId="0" fillId="0" borderId="12" xfId="0" applyNumberFormat="1" applyBorder="1"/>
    <xf numFmtId="10" fontId="0" fillId="0" borderId="3" xfId="0" applyNumberFormat="1" applyBorder="1"/>
    <xf numFmtId="2" fontId="0" fillId="0" borderId="3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2" fontId="0" fillId="0" borderId="14" xfId="0" applyNumberForma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9" fontId="0" fillId="0" borderId="3" xfId="0" applyNumberFormat="1" applyBorder="1"/>
    <xf numFmtId="0" fontId="0" fillId="0" borderId="11" xfId="0" applyBorder="1"/>
    <xf numFmtId="164" fontId="0" fillId="0" borderId="4" xfId="0" applyNumberFormat="1" applyBorder="1"/>
    <xf numFmtId="10" fontId="0" fillId="0" borderId="11" xfId="0" applyNumberFormat="1" applyBorder="1"/>
    <xf numFmtId="164" fontId="0" fillId="0" borderId="20" xfId="0" applyNumberFormat="1" applyBorder="1"/>
    <xf numFmtId="0" fontId="0" fillId="0" borderId="14" xfId="0" applyBorder="1"/>
    <xf numFmtId="10" fontId="0" fillId="0" borderId="15" xfId="0" applyNumberFormat="1" applyBorder="1"/>
    <xf numFmtId="10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2" fillId="0" borderId="3" xfId="0" applyFont="1" applyBorder="1"/>
    <xf numFmtId="164" fontId="0" fillId="0" borderId="3" xfId="0" applyNumberFormat="1" applyBorder="1"/>
    <xf numFmtId="0" fontId="0" fillId="0" borderId="3" xfId="0" applyBorder="1" applyAlignment="1">
      <alignment vertical="top"/>
    </xf>
    <xf numFmtId="10" fontId="0" fillId="5" borderId="3" xfId="0" applyNumberFormat="1" applyFill="1" applyBorder="1"/>
    <xf numFmtId="164" fontId="0" fillId="5" borderId="3" xfId="0" applyNumberFormat="1" applyFill="1" applyBorder="1"/>
    <xf numFmtId="10" fontId="0" fillId="9" borderId="3" xfId="0" applyNumberFormat="1" applyFill="1" applyBorder="1"/>
    <xf numFmtId="164" fontId="0" fillId="9" borderId="3" xfId="0" applyNumberFormat="1" applyFill="1" applyBorder="1"/>
    <xf numFmtId="9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9" xfId="0" applyBorder="1"/>
    <xf numFmtId="9" fontId="0" fillId="0" borderId="14" xfId="0" applyNumberFormat="1" applyBorder="1"/>
    <xf numFmtId="165" fontId="0" fillId="0" borderId="11" xfId="0" applyNumberFormat="1" applyBorder="1"/>
    <xf numFmtId="165" fontId="0" fillId="0" borderId="15" xfId="0" applyNumberFormat="1" applyBorder="1"/>
    <xf numFmtId="166" fontId="0" fillId="0" borderId="3" xfId="0" applyNumberFormat="1" applyBorder="1"/>
    <xf numFmtId="166" fontId="0" fillId="0" borderId="14" xfId="0" applyNumberFormat="1" applyBorder="1"/>
    <xf numFmtId="10" fontId="0" fillId="0" borderId="0" xfId="1" applyNumberFormat="1" applyFont="1"/>
    <xf numFmtId="43" fontId="0" fillId="0" borderId="0" xfId="3" applyFont="1"/>
    <xf numFmtId="43" fontId="0" fillId="0" borderId="0" xfId="0" applyNumberFormat="1"/>
    <xf numFmtId="164" fontId="0" fillId="0" borderId="0" xfId="1" applyNumberFormat="1" applyFont="1"/>
    <xf numFmtId="10" fontId="0" fillId="5" borderId="12" xfId="0" applyNumberFormat="1" applyFill="1" applyBorder="1"/>
    <xf numFmtId="0" fontId="0" fillId="5" borderId="3" xfId="0" applyFill="1" applyBorder="1"/>
    <xf numFmtId="165" fontId="0" fillId="5" borderId="11" xfId="0" applyNumberFormat="1" applyFill="1" applyBorder="1"/>
    <xf numFmtId="10" fontId="0" fillId="12" borderId="12" xfId="0" applyNumberFormat="1" applyFill="1" applyBorder="1"/>
    <xf numFmtId="0" fontId="0" fillId="12" borderId="3" xfId="0" applyFill="1" applyBorder="1"/>
    <xf numFmtId="10" fontId="0" fillId="12" borderId="3" xfId="0" applyNumberFormat="1" applyFill="1" applyBorder="1"/>
    <xf numFmtId="165" fontId="0" fillId="12" borderId="11" xfId="0" applyNumberFormat="1" applyFill="1" applyBorder="1"/>
    <xf numFmtId="0" fontId="2" fillId="5" borderId="17" xfId="0" applyFont="1" applyFill="1" applyBorder="1"/>
    <xf numFmtId="9" fontId="0" fillId="5" borderId="3" xfId="0" applyNumberFormat="1" applyFill="1" applyBorder="1"/>
    <xf numFmtId="10" fontId="0" fillId="5" borderId="14" xfId="0" applyNumberFormat="1" applyFill="1" applyBorder="1"/>
    <xf numFmtId="9" fontId="0" fillId="0" borderId="0" xfId="0" applyNumberFormat="1" applyFill="1"/>
    <xf numFmtId="0" fontId="0" fillId="0" borderId="0" xfId="0" applyFill="1"/>
    <xf numFmtId="10" fontId="0" fillId="0" borderId="0" xfId="0" applyNumberFormat="1" applyFill="1"/>
    <xf numFmtId="43" fontId="0" fillId="0" borderId="0" xfId="3" applyFont="1" applyFill="1"/>
    <xf numFmtId="43" fontId="0" fillId="0" borderId="0" xfId="0" applyNumberFormat="1" applyFill="1"/>
    <xf numFmtId="9" fontId="0" fillId="6" borderId="0" xfId="0" applyNumberFormat="1" applyFill="1"/>
    <xf numFmtId="10" fontId="0" fillId="6" borderId="0" xfId="0" applyNumberFormat="1" applyFill="1"/>
    <xf numFmtId="43" fontId="0" fillId="6" borderId="0" xfId="3" applyFont="1" applyFill="1"/>
    <xf numFmtId="43" fontId="0" fillId="6" borderId="0" xfId="0" applyNumberFormat="1" applyFill="1"/>
    <xf numFmtId="9" fontId="0" fillId="0" borderId="0" xfId="1" applyFont="1"/>
    <xf numFmtId="0" fontId="2" fillId="4" borderId="3" xfId="0" applyFont="1" applyFill="1" applyBorder="1"/>
    <xf numFmtId="0" fontId="10" fillId="11" borderId="5" xfId="0" applyFont="1" applyFill="1" applyBorder="1" applyAlignment="1">
      <alignment horizontal="center" wrapText="1"/>
    </xf>
    <xf numFmtId="0" fontId="10" fillId="11" borderId="6" xfId="0" applyFont="1" applyFill="1" applyBorder="1" applyAlignment="1">
      <alignment horizontal="center" wrapText="1"/>
    </xf>
    <xf numFmtId="0" fontId="10" fillId="11" borderId="7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3" borderId="0" xfId="0" applyFont="1" applyFill="1" applyAlignment="1">
      <alignment vertical="center" wrapText="1"/>
    </xf>
    <xf numFmtId="0" fontId="0" fillId="4" borderId="9" xfId="0" applyFill="1" applyBorder="1" applyAlignmen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1130005634632"/>
          <c:y val="3.5355774759671839E-2"/>
          <c:w val="0.64330125285092732"/>
          <c:h val="0.75029939786356969"/>
        </c:manualLayout>
      </c:layout>
      <c:lineChart>
        <c:grouping val="standard"/>
        <c:varyColors val="0"/>
        <c:ser>
          <c:idx val="2"/>
          <c:order val="0"/>
          <c:tx>
            <c:strRef>
              <c:f>'part-1'!$E$78</c:f>
              <c:strCache>
                <c:ptCount val="1"/>
                <c:pt idx="0">
                  <c:v>Cost of Equity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'part-1'!$E$79:$E$88</c:f>
              <c:numCache>
                <c:formatCode>0.00%</c:formatCode>
                <c:ptCount val="10"/>
                <c:pt idx="0">
                  <c:v>0.17526030936588943</c:v>
                </c:pt>
                <c:pt idx="1">
                  <c:v>0.18419242950149117</c:v>
                </c:pt>
                <c:pt idx="2">
                  <c:v>0.19535757967099332</c:v>
                </c:pt>
                <c:pt idx="3">
                  <c:v>0.20971277274606759</c:v>
                </c:pt>
                <c:pt idx="4">
                  <c:v>0.22885303017949987</c:v>
                </c:pt>
                <c:pt idx="5">
                  <c:v>0.25564939058630509</c:v>
                </c:pt>
                <c:pt idx="6">
                  <c:v>0.29584393119651281</c:v>
                </c:pt>
                <c:pt idx="7">
                  <c:v>0.36283483221352586</c:v>
                </c:pt>
                <c:pt idx="8">
                  <c:v>0.49681663424755196</c:v>
                </c:pt>
                <c:pt idx="9">
                  <c:v>0.89876204034963003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9C8-B0F4-8D21EF49082E}"/>
            </c:ext>
          </c:extLst>
        </c:ser>
        <c:ser>
          <c:idx val="0"/>
          <c:order val="1"/>
          <c:tx>
            <c:strRef>
              <c:f>'part-1'!$D$78</c:f>
              <c:strCache>
                <c:ptCount val="1"/>
                <c:pt idx="0">
                  <c:v>After Tax Cost of Debt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'part-1'!$D$79:$D$89</c:f>
              <c:numCache>
                <c:formatCode>0.000%</c:formatCode>
                <c:ptCount val="11"/>
                <c:pt idx="0" formatCode="General">
                  <c:v>0</c:v>
                </c:pt>
                <c:pt idx="1">
                  <c:v>5.9439379250639676E-2</c:v>
                </c:pt>
                <c:pt idx="2">
                  <c:v>7.6520711056922402E-2</c:v>
                </c:pt>
                <c:pt idx="3">
                  <c:v>9.5109352453680934E-2</c:v>
                </c:pt>
                <c:pt idx="4">
                  <c:v>0.13157878918013291</c:v>
                </c:pt>
                <c:pt idx="5">
                  <c:v>0.13956045121600411</c:v>
                </c:pt>
                <c:pt idx="6">
                  <c:v>0.16894822590658493</c:v>
                </c:pt>
                <c:pt idx="7">
                  <c:v>0.17065377925699976</c:v>
                </c:pt>
                <c:pt idx="8">
                  <c:v>0.1719329442698109</c:v>
                </c:pt>
                <c:pt idx="9">
                  <c:v>0.17292785039088623</c:v>
                </c:pt>
                <c:pt idx="10">
                  <c:v>0.17372377528774649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09C-49C8-B0F4-8D21EF49082E}"/>
            </c:ext>
          </c:extLst>
        </c:ser>
        <c:ser>
          <c:idx val="1"/>
          <c:order val="2"/>
          <c:tx>
            <c:strRef>
              <c:f>'part-1'!$F$78</c:f>
              <c:strCache>
                <c:ptCount val="1"/>
                <c:pt idx="0">
                  <c:v>Cost of Capital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'part-1'!$F$79:$F$88</c:f>
              <c:numCache>
                <c:formatCode>0.00%</c:formatCode>
                <c:ptCount val="10"/>
                <c:pt idx="0">
                  <c:v>0.17526030936588943</c:v>
                </c:pt>
                <c:pt idx="1">
                  <c:v>0.17171712447640605</c:v>
                </c:pt>
                <c:pt idx="2">
                  <c:v>0.17159020594817914</c:v>
                </c:pt>
                <c:pt idx="3">
                  <c:v>0.17533174665835158</c:v>
                </c:pt>
                <c:pt idx="4">
                  <c:v>0.18994333377975309</c:v>
                </c:pt>
                <c:pt idx="5">
                  <c:v>0.19760492090115461</c:v>
                </c:pt>
                <c:pt idx="6">
                  <c:v>0.21970650802255609</c:v>
                </c:pt>
                <c:pt idx="7">
                  <c:v>0.22830809514395761</c:v>
                </c:pt>
                <c:pt idx="8">
                  <c:v>0.23690968226535908</c:v>
                </c:pt>
                <c:pt idx="9">
                  <c:v>0.2455112693867606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9C-49C8-B0F4-8D21EF49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2208"/>
        <c:axId val="551951888"/>
      </c:lineChart>
      <c:catAx>
        <c:axId val="55195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D/V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51888"/>
        <c:crosses val="autoZero"/>
        <c:auto val="1"/>
        <c:lblAlgn val="ctr"/>
        <c:lblOffset val="100"/>
        <c:noMultiLvlLbl val="0"/>
      </c:catAx>
      <c:valAx>
        <c:axId val="5519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Costs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58637931265796"/>
          <c:y val="0.90608767653136046"/>
          <c:w val="0.87469615631607389"/>
          <c:h val="8.1091671418791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of the levered firm by</a:t>
            </a:r>
            <a:r>
              <a:rPr lang="en-US" baseline="0"/>
              <a:t> APV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'part-2'!$L$9</c:f>
              <c:strCache>
                <c:ptCount val="1"/>
                <c:pt idx="0">
                  <c:v>Value of the levered firm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'part-2'!$D$10:$D$20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'part-2'!$L$10:$L$20</c:f>
              <c:numCache>
                <c:formatCode>0.0000</c:formatCode>
                <c:ptCount val="11"/>
                <c:pt idx="0">
                  <c:v>43846.571639672977</c:v>
                </c:pt>
                <c:pt idx="1">
                  <c:v>44778.692697965744</c:v>
                </c:pt>
                <c:pt idx="2">
                  <c:v>43545.670048691449</c:v>
                </c:pt>
                <c:pt idx="3">
                  <c:v>42219.481743381795</c:v>
                </c:pt>
                <c:pt idx="4">
                  <c:v>39823.192350299578</c:v>
                </c:pt>
                <c:pt idx="5">
                  <c:v>37343.913188761544</c:v>
                </c:pt>
                <c:pt idx="6">
                  <c:v>35065.210145803059</c:v>
                </c:pt>
                <c:pt idx="7">
                  <c:v>35065.210145803059</c:v>
                </c:pt>
                <c:pt idx="8">
                  <c:v>35065.210145803059</c:v>
                </c:pt>
                <c:pt idx="9">
                  <c:v>35065.210145803059</c:v>
                </c:pt>
                <c:pt idx="10">
                  <c:v>35065.210145803059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3-45FB-831A-1506BFA0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93232"/>
        <c:axId val="567795152"/>
      </c:lineChart>
      <c:catAx>
        <c:axId val="56779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Debt/value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5152"/>
        <c:crosses val="autoZero"/>
        <c:auto val="1"/>
        <c:lblAlgn val="ctr"/>
        <c:lblOffset val="100"/>
        <c:noMultiLvlLbl val="0"/>
      </c:catAx>
      <c:valAx>
        <c:axId val="5677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Value of leveraged firm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of the levered firm for D/V</a:t>
            </a:r>
            <a:r>
              <a:rPr lang="en-US" baseline="0"/>
              <a:t> in between 10% and 20%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'part-2'!$N$26</c:f>
              <c:strCache>
                <c:ptCount val="1"/>
                <c:pt idx="0">
                  <c:v>Value of the levered firm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'part-2'!$D$27:$D$37</c:f>
              <c:numCache>
                <c:formatCode>0%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cat>
          <c:val>
            <c:numRef>
              <c:f>'part-2'!$N$27:$N$37</c:f>
              <c:numCache>
                <c:formatCode>_(* #,##0.00_);_(* \(#,##0.00\);_(* "-"??_);_(@_)</c:formatCode>
                <c:ptCount val="11"/>
                <c:pt idx="0">
                  <c:v>44778.692697965744</c:v>
                </c:pt>
                <c:pt idx="1">
                  <c:v>44890.451903598601</c:v>
                </c:pt>
                <c:pt idx="2">
                  <c:v>45002.211109231459</c:v>
                </c:pt>
                <c:pt idx="3">
                  <c:v>44996.899968586389</c:v>
                </c:pt>
                <c:pt idx="4">
                  <c:v>45108.659174219247</c:v>
                </c:pt>
                <c:pt idx="5">
                  <c:v>45220.418379852104</c:v>
                </c:pt>
                <c:pt idx="6">
                  <c:v>44940.189235026286</c:v>
                </c:pt>
                <c:pt idx="7">
                  <c:v>44141.693613419535</c:v>
                </c:pt>
                <c:pt idx="8">
                  <c:v>44253.452819052392</c:v>
                </c:pt>
                <c:pt idx="9">
                  <c:v>44365.21202468525</c:v>
                </c:pt>
                <c:pt idx="10">
                  <c:v>43545.670048691449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B-49AE-BE3C-ACBEF941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90288"/>
        <c:axId val="551392528"/>
      </c:lineChart>
      <c:catAx>
        <c:axId val="5513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D/V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674212598425203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2528"/>
        <c:crosses val="autoZero"/>
        <c:auto val="1"/>
        <c:lblAlgn val="ctr"/>
        <c:lblOffset val="100"/>
        <c:noMultiLvlLbl val="0"/>
      </c:catAx>
      <c:valAx>
        <c:axId val="5513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VALUE</a:t>
                </a:r>
                <a:r>
                  <a:rPr lang="en-IN" b="1" baseline="0"/>
                  <a:t> OF LEVERED FIRM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93</xdr:row>
      <xdr:rowOff>99059</xdr:rowOff>
    </xdr:from>
    <xdr:to>
      <xdr:col>13</xdr:col>
      <xdr:colOff>341923</xdr:colOff>
      <xdr:row>117</xdr:row>
      <xdr:rowOff>156306</xdr:rowOff>
    </xdr:to>
    <xdr:graphicFrame macro="">
      <xdr:nvGraphicFramePr>
        <xdr:cNvPr id="2" name="Chart 1" descr="&#10;" title="fd">
          <a:extLst>
            <a:ext uri="{FF2B5EF4-FFF2-40B4-BE49-F238E27FC236}">
              <a16:creationId xmlns:a16="http://schemas.microsoft.com/office/drawing/2014/main" id="{591E063A-5DB8-4CB8-B0E5-B2AD892A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271332</xdr:colOff>
      <xdr:row>7</xdr:row>
      <xdr:rowOff>93180</xdr:rowOff>
    </xdr:from>
    <xdr:to>
      <xdr:col>19</xdr:col>
      <xdr:colOff>89011</xdr:colOff>
      <xdr:row>20</xdr:row>
      <xdr:rowOff>55500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F10D8-5ADD-4824-A98A-77E9DA558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4232" y="1337780"/>
          <a:ext cx="2865679" cy="2299120"/>
        </a:xfrm>
        <a:prstGeom prst="rect">
          <a:avLst/>
        </a:prstGeom>
      </xdr:spPr>
    </xdr:pic>
    <xdr:clientData/>
  </xdr:twoCellAnchor>
  <xdr:twoCellAnchor>
    <xdr:from>
      <xdr:col>9</xdr:col>
      <xdr:colOff>466112</xdr:colOff>
      <xdr:row>47</xdr:row>
      <xdr:rowOff>130622</xdr:rowOff>
    </xdr:from>
    <xdr:to>
      <xdr:col>15</xdr:col>
      <xdr:colOff>185385</xdr:colOff>
      <xdr:row>69</xdr:row>
      <xdr:rowOff>13748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1C8D21-F2AA-42C5-BC38-04EAFE208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1706563</xdr:colOff>
      <xdr:row>48</xdr:row>
      <xdr:rowOff>130018</xdr:rowOff>
    </xdr:from>
    <xdr:to>
      <xdr:col>7</xdr:col>
      <xdr:colOff>954915</xdr:colOff>
      <xdr:row>69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768FC-3296-421E-AD70-182EF239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EEAA6-325C-4A0A-B100-F236129EF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AD387F-1868-4B1F-A9F4-2EB907036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23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C232F4-41BB-4C50-B4CF-81D721F4C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6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BEDF19-C3DA-447C-93A1-157B35140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1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38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CA4D34-7F02-4A32-985E-E0552D040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5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AE644A9-9DD1-48C0-96A9-99342643E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0126809-957E-4B08-B911-BF09A64D9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76200" cy="76200"/>
    <xdr:pic>
      <xdr:nvPicPr>
        <xdr:cNvPr id="10" name="Picture 9">
          <a:extLst>
            <a:ext uri="{FF2B5EF4-FFF2-40B4-BE49-F238E27FC236}">
              <a16:creationId xmlns:a16="http://schemas.microsoft.com/office/drawing/2014/main" id="{1312B1C4-EBAF-4F3F-A7B5-CF6E8753E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76200" cy="76200"/>
    <xdr:pic>
      <xdr:nvPicPr>
        <xdr:cNvPr id="11" name="Picture 10">
          <a:extLst>
            <a:ext uri="{FF2B5EF4-FFF2-40B4-BE49-F238E27FC236}">
              <a16:creationId xmlns:a16="http://schemas.microsoft.com/office/drawing/2014/main" id="{00AE99CC-F85F-4E72-A188-C64BD6401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</xdr:row>
      <xdr:rowOff>0</xdr:rowOff>
    </xdr:from>
    <xdr:ext cx="76200" cy="76200"/>
    <xdr:pic>
      <xdr:nvPicPr>
        <xdr:cNvPr id="12" name="Picture 11">
          <a:extLst>
            <a:ext uri="{FF2B5EF4-FFF2-40B4-BE49-F238E27FC236}">
              <a16:creationId xmlns:a16="http://schemas.microsoft.com/office/drawing/2014/main" id="{45B05C61-C79A-4CE8-9B73-E9318348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</xdr:row>
      <xdr:rowOff>0</xdr:rowOff>
    </xdr:from>
    <xdr:ext cx="76200" cy="76200"/>
    <xdr:pic>
      <xdr:nvPicPr>
        <xdr:cNvPr id="13" name="Picture 12">
          <a:extLst>
            <a:ext uri="{FF2B5EF4-FFF2-40B4-BE49-F238E27FC236}">
              <a16:creationId xmlns:a16="http://schemas.microsoft.com/office/drawing/2014/main" id="{B74B99D6-47C4-4AC4-B246-91D110CAA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76200" cy="76200"/>
    <xdr:pic>
      <xdr:nvPicPr>
        <xdr:cNvPr id="14" name="Picture 13">
          <a:extLst>
            <a:ext uri="{FF2B5EF4-FFF2-40B4-BE49-F238E27FC236}">
              <a16:creationId xmlns:a16="http://schemas.microsoft.com/office/drawing/2014/main" id="{0F3FBDC7-EEA9-4E31-93EF-78C613F28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7714" y="672353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76200" cy="76200"/>
    <xdr:pic>
      <xdr:nvPicPr>
        <xdr:cNvPr id="15" name="Picture 14">
          <a:extLst>
            <a:ext uri="{FF2B5EF4-FFF2-40B4-BE49-F238E27FC236}">
              <a16:creationId xmlns:a16="http://schemas.microsoft.com/office/drawing/2014/main" id="{46DB9E60-3BE8-4529-ACCA-5A47FF93D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7714" y="1043748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76200" cy="76200"/>
    <xdr:pic>
      <xdr:nvPicPr>
        <xdr:cNvPr id="16" name="Picture 15">
          <a:extLst>
            <a:ext uri="{FF2B5EF4-FFF2-40B4-BE49-F238E27FC236}">
              <a16:creationId xmlns:a16="http://schemas.microsoft.com/office/drawing/2014/main" id="{224896D3-6A50-448C-978C-B2AE0FBA6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7714" y="7383076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76200" cy="76200"/>
    <xdr:pic>
      <xdr:nvPicPr>
        <xdr:cNvPr id="17" name="Picture 16">
          <a:extLst>
            <a:ext uri="{FF2B5EF4-FFF2-40B4-BE49-F238E27FC236}">
              <a16:creationId xmlns:a16="http://schemas.microsoft.com/office/drawing/2014/main" id="{D3459FCD-BB38-46EF-A6C0-EEB9C6278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7714" y="7754471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76200" cy="76200"/>
    <xdr:pic>
      <xdr:nvPicPr>
        <xdr:cNvPr id="18" name="Picture 17">
          <a:extLst>
            <a:ext uri="{FF2B5EF4-FFF2-40B4-BE49-F238E27FC236}">
              <a16:creationId xmlns:a16="http://schemas.microsoft.com/office/drawing/2014/main" id="{3531E291-C1A9-4EA7-876C-2F4C3D64B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7714" y="672353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76200" cy="76200"/>
    <xdr:pic>
      <xdr:nvPicPr>
        <xdr:cNvPr id="19" name="Picture 18">
          <a:extLst>
            <a:ext uri="{FF2B5EF4-FFF2-40B4-BE49-F238E27FC236}">
              <a16:creationId xmlns:a16="http://schemas.microsoft.com/office/drawing/2014/main" id="{6C2EEF18-73FE-42CF-B99C-39BD7E1D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7714" y="1043748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76200" cy="76200"/>
    <xdr:pic>
      <xdr:nvPicPr>
        <xdr:cNvPr id="20" name="Picture 19">
          <a:extLst>
            <a:ext uri="{FF2B5EF4-FFF2-40B4-BE49-F238E27FC236}">
              <a16:creationId xmlns:a16="http://schemas.microsoft.com/office/drawing/2014/main" id="{2DBE7C42-77D4-4C36-BE71-8220733ED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7714" y="7383076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76200" cy="76200"/>
    <xdr:pic>
      <xdr:nvPicPr>
        <xdr:cNvPr id="21" name="Picture 20">
          <a:extLst>
            <a:ext uri="{FF2B5EF4-FFF2-40B4-BE49-F238E27FC236}">
              <a16:creationId xmlns:a16="http://schemas.microsoft.com/office/drawing/2014/main" id="{A18EC8A5-0F08-4E30-B7D2-7AF008E2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7714" y="7754471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%20reddy%20pandem/Desktop/BAV%20assignment/Vamsi_2017B3A71083H_DAB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-I"/>
      <sheetName val="Part-II"/>
      <sheetName val="Financials"/>
      <sheetName val="Stock Prices"/>
      <sheetName val="Annualized Returns"/>
    </sheetNames>
    <sheetDataSet>
      <sheetData sheetId="0">
        <row r="64">
          <cell r="C64">
            <v>0</v>
          </cell>
        </row>
        <row r="65">
          <cell r="C65">
            <v>0.1</v>
          </cell>
        </row>
        <row r="66">
          <cell r="C66">
            <v>0.2</v>
          </cell>
        </row>
        <row r="67">
          <cell r="C67">
            <v>0.3</v>
          </cell>
        </row>
        <row r="68">
          <cell r="C68">
            <v>0.4</v>
          </cell>
        </row>
        <row r="69">
          <cell r="C69">
            <v>0.5</v>
          </cell>
        </row>
        <row r="70">
          <cell r="C70">
            <v>0.6</v>
          </cell>
        </row>
        <row r="71">
          <cell r="C71">
            <v>0.7</v>
          </cell>
        </row>
        <row r="72">
          <cell r="C72">
            <v>0.8</v>
          </cell>
        </row>
        <row r="73">
          <cell r="C73">
            <v>0.9</v>
          </cell>
        </row>
        <row r="74">
          <cell r="C74">
            <v>1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A5FB5-6E26-4E95-9EC4-8105FB71012E}" name="Table1" displayName="Table1" ref="J15:M31" headerRowCount="0" totalsRowShown="0" tableBorderDxfId="8">
  <tableColumns count="4">
    <tableColumn id="1" xr3:uid="{FCDB7ABA-43E8-48EA-982F-8AAB2B1D9084}" name="Column1" headerRowDxfId="7" dataDxfId="6"/>
    <tableColumn id="2" xr3:uid="{1AEDAA9D-0861-4080-9682-E34E0180F613}" name="Column2" headerRowDxfId="5" dataDxfId="4"/>
    <tableColumn id="3" xr3:uid="{4E77E0FC-BA67-42EF-8B95-5987CD2F17B5}" name="Column3" headerRowDxfId="3" dataDxfId="2"/>
    <tableColumn id="4" xr3:uid="{63C91CD0-6692-44AA-B0B8-2A0934372193}" name="Column4" headerRowDxf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://pages.stern.nyu.edu/~adamodar/New_Home_Page/datafile/ratings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moneycontrol.com/stocks/company_info/print_main.php" TargetMode="External"/><Relationship Id="rId1" Type="http://schemas.openxmlformats.org/officeDocument/2006/relationships/hyperlink" Target="https://www.moneycontrol.com/stocks/company_info/print_main.ph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n.finance.yahoo.com/quote/%5EBSESN/history?period1=1437004800&amp;period2=1594857600&amp;interval=1wk&amp;filter=history&amp;frequency=1wk" TargetMode="External"/><Relationship Id="rId1" Type="http://schemas.openxmlformats.org/officeDocument/2006/relationships/hyperlink" Target="https://in.finance.yahoo.com/quote/MOTHERSUMI.BO/history?period1=1459123200&amp;period2=1553472000&amp;interval=1wk&amp;filter=history&amp;frequency=1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89A5-2A93-45E8-98CE-0C74EF6C71CF}">
  <dimension ref="A1:N95"/>
  <sheetViews>
    <sheetView zoomScale="93" zoomScaleNormal="86" workbookViewId="0">
      <selection activeCell="F14" sqref="F14"/>
    </sheetView>
  </sheetViews>
  <sheetFormatPr defaultRowHeight="14.4"/>
  <cols>
    <col min="1" max="1" width="45.6640625" bestFit="1" customWidth="1"/>
    <col min="2" max="2" width="21.21875" bestFit="1" customWidth="1"/>
    <col min="4" max="4" width="19.5546875" bestFit="1" customWidth="1"/>
    <col min="5" max="5" width="28" bestFit="1" customWidth="1"/>
    <col min="6" max="6" width="35.21875" customWidth="1"/>
    <col min="7" max="7" width="12.6640625" bestFit="1" customWidth="1"/>
    <col min="10" max="10" width="19.6640625" customWidth="1"/>
    <col min="11" max="11" width="19.21875" bestFit="1" customWidth="1"/>
    <col min="12" max="12" width="18.6640625" bestFit="1" customWidth="1"/>
  </cols>
  <sheetData>
    <row r="1" spans="1:13">
      <c r="A1" s="2" t="s">
        <v>113</v>
      </c>
      <c r="E1" s="115" t="s">
        <v>264</v>
      </c>
      <c r="F1" s="115" t="s">
        <v>265</v>
      </c>
    </row>
    <row r="2" spans="1:13">
      <c r="A2" s="39" t="s">
        <v>114</v>
      </c>
      <c r="B2" s="1">
        <f>financials!B14</f>
        <v>1133.7</v>
      </c>
      <c r="C2" t="s">
        <v>158</v>
      </c>
      <c r="E2" s="119" t="s">
        <v>266</v>
      </c>
      <c r="F2" s="119"/>
    </row>
    <row r="3" spans="1:13">
      <c r="A3" s="39" t="s">
        <v>115</v>
      </c>
      <c r="B3">
        <f>financials!G19</f>
        <v>17.600000000000001</v>
      </c>
      <c r="C3" t="s">
        <v>158</v>
      </c>
    </row>
    <row r="4" spans="1:13">
      <c r="A4" s="39" t="s">
        <v>116</v>
      </c>
      <c r="B4">
        <v>15</v>
      </c>
      <c r="C4" t="s">
        <v>157</v>
      </c>
    </row>
    <row r="5" spans="1:13">
      <c r="A5" s="39" t="s">
        <v>117</v>
      </c>
      <c r="B5">
        <f>'Stock prices'!F158</f>
        <v>137.71144100000001</v>
      </c>
      <c r="C5" t="s">
        <v>239</v>
      </c>
    </row>
    <row r="6" spans="1:13">
      <c r="A6" s="39" t="s">
        <v>118</v>
      </c>
      <c r="B6">
        <f>(financials!G35)/financials!G38</f>
        <v>315.42635658914725</v>
      </c>
    </row>
    <row r="7" spans="1:13">
      <c r="A7" s="39" t="s">
        <v>119</v>
      </c>
      <c r="B7">
        <f>B5*B6</f>
        <v>43437.818095271316</v>
      </c>
      <c r="C7" t="s">
        <v>158</v>
      </c>
    </row>
    <row r="8" spans="1:13">
      <c r="A8" s="39" t="s">
        <v>120</v>
      </c>
      <c r="B8" s="33">
        <f>'annualized returns'!C43</f>
        <v>6.7487099359488864E-2</v>
      </c>
    </row>
    <row r="9" spans="1:13">
      <c r="A9" s="39" t="s">
        <v>121</v>
      </c>
      <c r="B9" s="33">
        <f>'annualized returns'!D43</f>
        <v>9.5229348476916956E-2</v>
      </c>
    </row>
    <row r="10" spans="1:13">
      <c r="A10" s="39" t="s">
        <v>74</v>
      </c>
      <c r="B10" s="1">
        <f>financials!L8</f>
        <v>1240</v>
      </c>
      <c r="C10" t="s">
        <v>158</v>
      </c>
    </row>
    <row r="11" spans="1:13">
      <c r="A11" s="39" t="s">
        <v>122</v>
      </c>
      <c r="B11" s="33">
        <f>financials!L2</f>
        <v>0.25409031413612565</v>
      </c>
    </row>
    <row r="12" spans="1:13">
      <c r="A12" s="40"/>
      <c r="J12" t="s">
        <v>241</v>
      </c>
      <c r="L12" s="3" t="s">
        <v>240</v>
      </c>
    </row>
    <row r="14" spans="1:13" ht="15">
      <c r="A14" s="41" t="s">
        <v>123</v>
      </c>
      <c r="J14" s="116" t="s">
        <v>205</v>
      </c>
      <c r="K14" s="117"/>
      <c r="L14" s="117"/>
      <c r="M14" s="118"/>
    </row>
    <row r="15" spans="1:13">
      <c r="A15" s="42" t="s">
        <v>124</v>
      </c>
      <c r="J15" s="48" t="s">
        <v>206</v>
      </c>
      <c r="K15" s="49"/>
      <c r="L15" s="50"/>
      <c r="M15" s="50"/>
    </row>
    <row r="16" spans="1:13">
      <c r="A16" t="s">
        <v>125</v>
      </c>
      <c r="B16">
        <f>B7</f>
        <v>43437.818095271316</v>
      </c>
      <c r="C16" t="s">
        <v>158</v>
      </c>
      <c r="J16" s="51" t="s">
        <v>207</v>
      </c>
      <c r="K16" s="51" t="s">
        <v>208</v>
      </c>
      <c r="L16" s="51" t="s">
        <v>209</v>
      </c>
      <c r="M16" s="51" t="s">
        <v>210</v>
      </c>
    </row>
    <row r="17" spans="1:13">
      <c r="J17" s="52">
        <v>8.5</v>
      </c>
      <c r="K17" s="53">
        <v>100000</v>
      </c>
      <c r="L17" s="54" t="s">
        <v>211</v>
      </c>
      <c r="M17" s="55">
        <v>6.3E-3</v>
      </c>
    </row>
    <row r="18" spans="1:13">
      <c r="A18" s="43" t="s">
        <v>126</v>
      </c>
      <c r="J18" s="53">
        <v>6.5</v>
      </c>
      <c r="K18" s="53">
        <v>8.4999990000000007</v>
      </c>
      <c r="L18" s="54" t="s">
        <v>212</v>
      </c>
      <c r="M18" s="55">
        <v>7.7999999999999996E-3</v>
      </c>
    </row>
    <row r="19" spans="1:13">
      <c r="A19" s="42" t="s">
        <v>127</v>
      </c>
      <c r="J19" s="53">
        <v>5.5</v>
      </c>
      <c r="K19" s="53">
        <v>6.4999989999999999</v>
      </c>
      <c r="L19" s="54" t="s">
        <v>213</v>
      </c>
      <c r="M19" s="55">
        <v>9.7999999999999997E-3</v>
      </c>
    </row>
    <row r="20" spans="1:13">
      <c r="A20" t="s">
        <v>128</v>
      </c>
      <c r="B20">
        <f>B10/B3</f>
        <v>70.454545454545453</v>
      </c>
      <c r="J20" s="53">
        <v>4.25</v>
      </c>
      <c r="K20" s="53">
        <v>5.4999989999999999</v>
      </c>
      <c r="L20" s="54" t="s">
        <v>214</v>
      </c>
      <c r="M20" s="55">
        <v>1.0800000000000001E-2</v>
      </c>
    </row>
    <row r="21" spans="1:13">
      <c r="A21" t="s">
        <v>129</v>
      </c>
      <c r="B21" t="s">
        <v>211</v>
      </c>
      <c r="J21" s="53">
        <v>3</v>
      </c>
      <c r="K21" s="53">
        <v>4.2499989999999999</v>
      </c>
      <c r="L21" s="54" t="s">
        <v>215</v>
      </c>
      <c r="M21" s="55">
        <v>1.2200000000000001E-2</v>
      </c>
    </row>
    <row r="22" spans="1:13">
      <c r="A22" t="s">
        <v>130</v>
      </c>
      <c r="B22" s="33">
        <v>6.3E-3</v>
      </c>
      <c r="J22" s="53">
        <v>2.5</v>
      </c>
      <c r="K22" s="53">
        <v>2.9999989999999999</v>
      </c>
      <c r="L22" s="54" t="s">
        <v>216</v>
      </c>
      <c r="M22" s="55">
        <v>1.5599999999999999E-2</v>
      </c>
    </row>
    <row r="23" spans="1:13">
      <c r="A23" t="s">
        <v>131</v>
      </c>
      <c r="B23" s="33">
        <f>B8+B22</f>
        <v>7.3787099359488864E-2</v>
      </c>
      <c r="J23" s="53">
        <v>2.25</v>
      </c>
      <c r="K23" s="53">
        <v>2.2499989999999999</v>
      </c>
      <c r="L23" s="54" t="s">
        <v>217</v>
      </c>
      <c r="M23" s="55">
        <v>0.02</v>
      </c>
    </row>
    <row r="24" spans="1:13">
      <c r="A24" t="s">
        <v>132</v>
      </c>
      <c r="B24">
        <f>B3</f>
        <v>17.600000000000001</v>
      </c>
      <c r="C24" t="s">
        <v>158</v>
      </c>
      <c r="F24" s="92"/>
      <c r="J24" s="53">
        <v>2</v>
      </c>
      <c r="K24" s="53">
        <v>2.2499999000000002</v>
      </c>
      <c r="L24" s="54" t="s">
        <v>218</v>
      </c>
      <c r="M24" s="55">
        <v>2.4E-2</v>
      </c>
    </row>
    <row r="25" spans="1:13">
      <c r="A25" t="s">
        <v>133</v>
      </c>
      <c r="B25">
        <f>B4</f>
        <v>15</v>
      </c>
      <c r="C25" t="s">
        <v>157</v>
      </c>
      <c r="J25" s="53">
        <v>1.75</v>
      </c>
      <c r="K25" s="53">
        <v>1.9999990000000001</v>
      </c>
      <c r="L25" s="54" t="s">
        <v>219</v>
      </c>
      <c r="M25" s="55">
        <v>3.5099999999999999E-2</v>
      </c>
    </row>
    <row r="26" spans="1:13">
      <c r="A26" t="s">
        <v>134</v>
      </c>
      <c r="B26" s="92">
        <f>(PV(B23,B25,-B24)+PV(B23,B25,0,-B2))</f>
        <v>546.22986532289281</v>
      </c>
      <c r="C26" t="s">
        <v>158</v>
      </c>
      <c r="J26" s="53">
        <v>1.5</v>
      </c>
      <c r="K26" s="53">
        <v>1.7499990000000001</v>
      </c>
      <c r="L26" s="54" t="s">
        <v>220</v>
      </c>
      <c r="M26" s="55">
        <v>4.2099999999999999E-2</v>
      </c>
    </row>
    <row r="27" spans="1:13">
      <c r="B27" s="92"/>
      <c r="J27" s="53">
        <v>1.25</v>
      </c>
      <c r="K27" s="53">
        <v>1.4999990000000001</v>
      </c>
      <c r="L27" s="54" t="s">
        <v>221</v>
      </c>
      <c r="M27" s="55">
        <v>5.1499999999999997E-2</v>
      </c>
    </row>
    <row r="28" spans="1:13">
      <c r="A28" s="43" t="s">
        <v>135</v>
      </c>
      <c r="J28" s="53">
        <v>0.8</v>
      </c>
      <c r="K28" s="53">
        <v>1.2499990000000001</v>
      </c>
      <c r="L28" s="54" t="s">
        <v>222</v>
      </c>
      <c r="M28" s="55">
        <v>8.2000000000000003E-2</v>
      </c>
    </row>
    <row r="29" spans="1:13">
      <c r="A29" s="42" t="s">
        <v>136</v>
      </c>
      <c r="J29" s="53">
        <v>0.65</v>
      </c>
      <c r="K29" s="53">
        <v>0.79999900000000002</v>
      </c>
      <c r="L29" s="54" t="s">
        <v>223</v>
      </c>
      <c r="M29" s="55">
        <v>8.6400000000000005E-2</v>
      </c>
    </row>
    <row r="30" spans="1:13">
      <c r="A30" t="s">
        <v>137</v>
      </c>
      <c r="B30">
        <f>B26+B16</f>
        <v>43984.047960594209</v>
      </c>
      <c r="C30" t="s">
        <v>158</v>
      </c>
      <c r="J30" s="53">
        <v>0.2</v>
      </c>
      <c r="K30" s="53">
        <v>0.64999899999999999</v>
      </c>
      <c r="L30" s="54" t="s">
        <v>224</v>
      </c>
      <c r="M30" s="55">
        <v>0.1134</v>
      </c>
    </row>
    <row r="31" spans="1:13">
      <c r="J31" s="53">
        <v>-100000</v>
      </c>
      <c r="K31" s="53">
        <v>0.19999900000000001</v>
      </c>
      <c r="L31" s="54" t="s">
        <v>225</v>
      </c>
      <c r="M31" s="55">
        <v>0.1512</v>
      </c>
    </row>
    <row r="32" spans="1:13">
      <c r="A32" s="43" t="s">
        <v>138</v>
      </c>
    </row>
    <row r="33" spans="1:7">
      <c r="A33" s="42" t="s">
        <v>139</v>
      </c>
    </row>
    <row r="34" spans="1:7">
      <c r="A34" t="s">
        <v>140</v>
      </c>
      <c r="B34" s="91">
        <f>B26/B16</f>
        <v>1.2574983948891207E-2</v>
      </c>
    </row>
    <row r="35" spans="1:7">
      <c r="A35" t="s">
        <v>141</v>
      </c>
      <c r="B35" s="94">
        <f>B26/B30</f>
        <v>1.2418817517938916E-2</v>
      </c>
      <c r="F35" t="s">
        <v>261</v>
      </c>
      <c r="G35" s="93">
        <f>(0.15*B16-0.85*B26)/0.85</f>
        <v>7119.2674456073401</v>
      </c>
    </row>
    <row r="36" spans="1:7">
      <c r="A36" t="s">
        <v>142</v>
      </c>
      <c r="B36" s="94">
        <f>1-B35</f>
        <v>0.98758118248206106</v>
      </c>
      <c r="F36" s="93"/>
    </row>
    <row r="38" spans="1:7">
      <c r="A38" s="43" t="s">
        <v>143</v>
      </c>
      <c r="F38" t="s">
        <v>260</v>
      </c>
      <c r="G38" s="33">
        <f>'part-2'!B42</f>
        <v>0.15</v>
      </c>
    </row>
    <row r="39" spans="1:7">
      <c r="A39" s="2" t="s">
        <v>144</v>
      </c>
      <c r="F39" s="114"/>
    </row>
    <row r="40" spans="1:7">
      <c r="A40" t="s">
        <v>145</v>
      </c>
      <c r="B40">
        <f>'Stock prices'!N24</f>
        <v>1.1423379782838905</v>
      </c>
      <c r="F40" t="s">
        <v>263</v>
      </c>
      <c r="G40" s="93">
        <f>G35+B26</f>
        <v>7665.4973109302327</v>
      </c>
    </row>
    <row r="42" spans="1:7">
      <c r="A42" s="43" t="s">
        <v>146</v>
      </c>
    </row>
    <row r="43" spans="1:7">
      <c r="A43" s="2" t="s">
        <v>147</v>
      </c>
    </row>
    <row r="44" spans="1:7">
      <c r="A44" t="s">
        <v>148</v>
      </c>
      <c r="B44">
        <f>B40/(1+((1-B11)*B34))</f>
        <v>1.131722643597884</v>
      </c>
    </row>
    <row r="46" spans="1:7">
      <c r="A46" s="43" t="s">
        <v>149</v>
      </c>
    </row>
    <row r="47" spans="1:7">
      <c r="A47" s="2" t="s">
        <v>150</v>
      </c>
    </row>
    <row r="48" spans="1:7">
      <c r="C48" s="75" t="s">
        <v>141</v>
      </c>
      <c r="D48" s="75" t="s">
        <v>140</v>
      </c>
      <c r="E48" s="75" t="s">
        <v>226</v>
      </c>
      <c r="F48" s="75" t="s">
        <v>227</v>
      </c>
      <c r="G48" s="75" t="s">
        <v>228</v>
      </c>
    </row>
    <row r="49" spans="1:14">
      <c r="C49" s="57">
        <v>0</v>
      </c>
      <c r="D49" s="57">
        <f>0%</f>
        <v>0</v>
      </c>
      <c r="E49" s="58">
        <f>B44</f>
        <v>1.131722643597884</v>
      </c>
      <c r="F49" s="58">
        <f>E49*(1+D49*(1-$B$11))</f>
        <v>1.131722643597884</v>
      </c>
      <c r="G49" s="76">
        <f>$B$8+$B$9*F49</f>
        <v>0.17526030936588943</v>
      </c>
    </row>
    <row r="50" spans="1:14">
      <c r="C50" s="57">
        <v>0.1</v>
      </c>
      <c r="D50" s="57">
        <f>C50/(1-C50)</f>
        <v>0.11111111111111112</v>
      </c>
      <c r="E50" s="58">
        <f>B44</f>
        <v>1.131722643597884</v>
      </c>
      <c r="F50" s="58">
        <f t="shared" ref="F50:F58" si="0">E50*(1+D50*(1-$B$11))</f>
        <v>1.2255185193280096</v>
      </c>
      <c r="G50" s="76">
        <f t="shared" ref="G50:G57" si="1">$B$8+$B$9*F50</f>
        <v>0.18419242950149117</v>
      </c>
    </row>
    <row r="51" spans="1:14">
      <c r="C51" s="57">
        <v>0.2</v>
      </c>
      <c r="D51" s="57">
        <f t="shared" ref="D51:D57" si="2">C51/(1-C51)</f>
        <v>0.25</v>
      </c>
      <c r="E51" s="58">
        <f>B44</f>
        <v>1.131722643597884</v>
      </c>
      <c r="F51" s="58">
        <f t="shared" si="0"/>
        <v>1.3427633639906666</v>
      </c>
      <c r="G51" s="76">
        <f t="shared" si="1"/>
        <v>0.19535757967099332</v>
      </c>
      <c r="J51" s="73"/>
      <c r="K51" s="73"/>
      <c r="L51" s="74"/>
      <c r="M51" s="74"/>
      <c r="N51" s="73"/>
    </row>
    <row r="52" spans="1:14">
      <c r="C52" s="57">
        <v>0.3</v>
      </c>
      <c r="D52" s="57">
        <f t="shared" si="2"/>
        <v>0.4285714285714286</v>
      </c>
      <c r="E52" s="58">
        <f>B44</f>
        <v>1.131722643597884</v>
      </c>
      <c r="F52" s="58">
        <f t="shared" si="0"/>
        <v>1.4935067356997973</v>
      </c>
      <c r="G52" s="76">
        <f t="shared" si="1"/>
        <v>0.20971277274606759</v>
      </c>
    </row>
    <row r="53" spans="1:14">
      <c r="C53" s="57">
        <v>0.4</v>
      </c>
      <c r="D53" s="57">
        <f t="shared" si="2"/>
        <v>0.66666666666666674</v>
      </c>
      <c r="E53" s="58">
        <f>B44</f>
        <v>1.131722643597884</v>
      </c>
      <c r="F53" s="58">
        <f t="shared" si="0"/>
        <v>1.694497897978638</v>
      </c>
      <c r="G53" s="76">
        <f t="shared" si="1"/>
        <v>0.22885303017949987</v>
      </c>
      <c r="J53" s="33"/>
      <c r="N53" s="33"/>
    </row>
    <row r="54" spans="1:14">
      <c r="C54" s="57">
        <v>0.5</v>
      </c>
      <c r="D54" s="57">
        <f t="shared" si="2"/>
        <v>1</v>
      </c>
      <c r="E54" s="58">
        <f>B44</f>
        <v>1.131722643597884</v>
      </c>
      <c r="F54" s="58">
        <f t="shared" si="0"/>
        <v>1.9758855251690151</v>
      </c>
      <c r="G54" s="76">
        <f t="shared" si="1"/>
        <v>0.25564939058630509</v>
      </c>
    </row>
    <row r="55" spans="1:14">
      <c r="C55" s="57">
        <v>0.6</v>
      </c>
      <c r="D55" s="57">
        <f t="shared" si="2"/>
        <v>1.4999999999999998</v>
      </c>
      <c r="E55" s="58">
        <f>B44</f>
        <v>1.131722643597884</v>
      </c>
      <c r="F55" s="58">
        <f t="shared" si="0"/>
        <v>2.3979669659545801</v>
      </c>
      <c r="G55" s="76">
        <f t="shared" si="1"/>
        <v>0.29584393119651281</v>
      </c>
    </row>
    <row r="56" spans="1:14">
      <c r="C56" s="57">
        <v>0.7</v>
      </c>
      <c r="D56" s="57">
        <f t="shared" si="2"/>
        <v>2.333333333333333</v>
      </c>
      <c r="E56" s="58">
        <f>B44</f>
        <v>1.131722643597884</v>
      </c>
      <c r="F56" s="58">
        <f t="shared" si="0"/>
        <v>3.1014360339305225</v>
      </c>
      <c r="G56" s="76">
        <f t="shared" si="1"/>
        <v>0.36283483221352586</v>
      </c>
    </row>
    <row r="57" spans="1:14">
      <c r="C57" s="57">
        <v>0.8</v>
      </c>
      <c r="D57" s="57">
        <f t="shared" si="2"/>
        <v>4.0000000000000009</v>
      </c>
      <c r="E57" s="58">
        <f>B44</f>
        <v>1.131722643597884</v>
      </c>
      <c r="F57" s="58">
        <f t="shared" si="0"/>
        <v>4.5083741698824085</v>
      </c>
      <c r="G57" s="76">
        <f t="shared" si="1"/>
        <v>0.49681663424755196</v>
      </c>
    </row>
    <row r="58" spans="1:14">
      <c r="C58" s="57">
        <v>0.9</v>
      </c>
      <c r="D58" s="57">
        <f>C58/(1-C58)</f>
        <v>9.0000000000000018</v>
      </c>
      <c r="E58" s="58">
        <f>B44</f>
        <v>1.131722643597884</v>
      </c>
      <c r="F58" s="58">
        <f t="shared" si="0"/>
        <v>8.7291885777380642</v>
      </c>
      <c r="G58" s="76">
        <f>$B$8+$B$9*F58</f>
        <v>0.89876204034963003</v>
      </c>
    </row>
    <row r="59" spans="1:14">
      <c r="C59" s="57">
        <v>1</v>
      </c>
      <c r="D59" s="77" t="s">
        <v>238</v>
      </c>
      <c r="E59" s="18"/>
      <c r="F59" s="18"/>
      <c r="G59" s="57">
        <v>0</v>
      </c>
    </row>
    <row r="60" spans="1:14">
      <c r="A60" s="43" t="s">
        <v>151</v>
      </c>
    </row>
    <row r="61" spans="1:14">
      <c r="A61" s="2" t="s">
        <v>152</v>
      </c>
    </row>
    <row r="62" spans="1:14" ht="15" thickBot="1">
      <c r="A62" t="s">
        <v>153</v>
      </c>
      <c r="B62" s="33">
        <f>B23</f>
        <v>7.3787099359488864E-2</v>
      </c>
    </row>
    <row r="63" spans="1:14">
      <c r="C63" s="62" t="s">
        <v>141</v>
      </c>
      <c r="D63" s="63" t="s">
        <v>229</v>
      </c>
      <c r="E63" s="63" t="s">
        <v>230</v>
      </c>
      <c r="F63" s="63" t="s">
        <v>128</v>
      </c>
      <c r="G63" s="63" t="s">
        <v>231</v>
      </c>
      <c r="H63" s="63" t="s">
        <v>232</v>
      </c>
      <c r="I63" s="64" t="s">
        <v>131</v>
      </c>
      <c r="J63" s="63" t="s">
        <v>233</v>
      </c>
      <c r="K63" s="102" t="s">
        <v>234</v>
      </c>
      <c r="L63" s="65" t="s">
        <v>235</v>
      </c>
    </row>
    <row r="64" spans="1:14">
      <c r="C64" s="56">
        <v>0</v>
      </c>
      <c r="D64" s="58">
        <f>C64*$B$30</f>
        <v>0</v>
      </c>
      <c r="E64" s="58">
        <f>D64*$B$62</f>
        <v>0</v>
      </c>
      <c r="F64" s="58"/>
      <c r="G64" s="57"/>
      <c r="H64" s="18"/>
      <c r="I64" s="19"/>
      <c r="J64" s="18"/>
      <c r="K64" s="103"/>
      <c r="L64" s="67"/>
    </row>
    <row r="65" spans="1:12">
      <c r="C65" s="56">
        <v>0.1</v>
      </c>
      <c r="D65" s="58">
        <f>C65*$B$30</f>
        <v>4398.4047960594207</v>
      </c>
      <c r="E65" s="58">
        <f>D65*$B$62</f>
        <v>324.54553171008882</v>
      </c>
      <c r="F65" s="58">
        <f>$B$10/E65</f>
        <v>3.8207273828920609</v>
      </c>
      <c r="G65" s="57" t="s">
        <v>215</v>
      </c>
      <c r="H65" s="57">
        <v>1.2200000000000001E-2</v>
      </c>
      <c r="I65" s="68">
        <f>$B$8+H65</f>
        <v>7.9687099359488867E-2</v>
      </c>
      <c r="J65" s="89">
        <f>I65*D65</f>
        <v>350.49612000683942</v>
      </c>
      <c r="K65" s="78">
        <f>B11</f>
        <v>0.25409031413612565</v>
      </c>
      <c r="L65" s="69">
        <f>I65*(1-K65)</f>
        <v>5.9439379250639676E-2</v>
      </c>
    </row>
    <row r="66" spans="1:12">
      <c r="C66" s="56">
        <v>0.2</v>
      </c>
      <c r="D66" s="58">
        <f t="shared" ref="D66:D74" si="3">C66*$B$30</f>
        <v>8796.8095921188415</v>
      </c>
      <c r="E66" s="58">
        <f t="shared" ref="E66:E74" si="4">D66*$B$62</f>
        <v>649.09106342017765</v>
      </c>
      <c r="F66" s="58">
        <f>$B$10/E66</f>
        <v>1.9103636914460305</v>
      </c>
      <c r="G66" s="57" t="s">
        <v>219</v>
      </c>
      <c r="H66" s="57">
        <v>3.5099999999999999E-2</v>
      </c>
      <c r="I66" s="68">
        <f t="shared" ref="I66:I74" si="5">$B$8+H66</f>
        <v>0.10258709935948887</v>
      </c>
      <c r="J66" s="89">
        <f t="shared" ref="J66:J73" si="6">I66*D66</f>
        <v>902.43917967320033</v>
      </c>
      <c r="K66" s="78">
        <f>K65</f>
        <v>0.25409031413612565</v>
      </c>
      <c r="L66" s="69">
        <f t="shared" ref="L66:L74" si="7">I66*(1-K66)</f>
        <v>7.6520711056922402E-2</v>
      </c>
    </row>
    <row r="67" spans="1:12">
      <c r="C67" s="56">
        <v>0.3</v>
      </c>
      <c r="D67" s="58">
        <f t="shared" si="3"/>
        <v>13195.214388178263</v>
      </c>
      <c r="E67" s="58">
        <f t="shared" si="4"/>
        <v>973.63659513026653</v>
      </c>
      <c r="F67" s="58">
        <f t="shared" ref="F67:F74" si="8">$B$10/E67</f>
        <v>1.2735757942973536</v>
      </c>
      <c r="G67" s="57" t="s">
        <v>221</v>
      </c>
      <c r="H67" s="57">
        <v>5.1499999999999997E-2</v>
      </c>
      <c r="I67" s="68">
        <f t="shared" si="5"/>
        <v>0.11898709935948887</v>
      </c>
      <c r="J67" s="89">
        <f>I67*D67</f>
        <v>1570.060285475924</v>
      </c>
      <c r="K67" s="78">
        <f>($K$65*$B$10)/J67</f>
        <v>0.20067509027737093</v>
      </c>
      <c r="L67" s="69">
        <f t="shared" si="7"/>
        <v>9.5109352453680934E-2</v>
      </c>
    </row>
    <row r="68" spans="1:12">
      <c r="C68" s="56">
        <v>0.4</v>
      </c>
      <c r="D68" s="58">
        <f t="shared" si="3"/>
        <v>17593.619184237683</v>
      </c>
      <c r="E68" s="58">
        <f t="shared" si="4"/>
        <v>1298.1821268403553</v>
      </c>
      <c r="F68" s="58">
        <f>$B$10/E68</f>
        <v>0.95518184572301523</v>
      </c>
      <c r="G68" s="57" t="s">
        <v>222</v>
      </c>
      <c r="H68" s="57">
        <v>8.2000000000000003E-2</v>
      </c>
      <c r="I68" s="68">
        <f t="shared" si="5"/>
        <v>0.14948709935948887</v>
      </c>
      <c r="J68" s="89">
        <f t="shared" si="6"/>
        <v>2630.0190990871479</v>
      </c>
      <c r="K68" s="78">
        <f t="shared" ref="K68:K73" si="9">($K$65*$B$10)/J68</f>
        <v>0.1197983655853123</v>
      </c>
      <c r="L68" s="69">
        <f t="shared" si="7"/>
        <v>0.13157878918013291</v>
      </c>
    </row>
    <row r="69" spans="1:12">
      <c r="C69" s="56">
        <v>0.5</v>
      </c>
      <c r="D69" s="58">
        <f t="shared" si="3"/>
        <v>21992.023980297105</v>
      </c>
      <c r="E69" s="58">
        <f t="shared" si="4"/>
        <v>1622.7276585504442</v>
      </c>
      <c r="F69" s="58">
        <f t="shared" si="8"/>
        <v>0.76414547657841214</v>
      </c>
      <c r="G69" s="57" t="s">
        <v>223</v>
      </c>
      <c r="H69" s="57">
        <v>8.6400000000000005E-2</v>
      </c>
      <c r="I69" s="68">
        <f t="shared" si="5"/>
        <v>0.15388709935948885</v>
      </c>
      <c r="J69" s="89">
        <f t="shared" si="6"/>
        <v>3384.2887793722421</v>
      </c>
      <c r="K69" s="78">
        <f t="shared" si="9"/>
        <v>9.3098435171728791E-2</v>
      </c>
      <c r="L69" s="69">
        <f t="shared" si="7"/>
        <v>0.13956045121600411</v>
      </c>
    </row>
    <row r="70" spans="1:12">
      <c r="C70" s="56">
        <v>0.6</v>
      </c>
      <c r="D70" s="58">
        <f t="shared" si="3"/>
        <v>26390.428776356526</v>
      </c>
      <c r="E70" s="58">
        <f t="shared" si="4"/>
        <v>1947.2731902605331</v>
      </c>
      <c r="F70" s="58">
        <f t="shared" si="8"/>
        <v>0.63678789714867678</v>
      </c>
      <c r="G70" s="57" t="s">
        <v>224</v>
      </c>
      <c r="H70" s="57">
        <v>0.1134</v>
      </c>
      <c r="I70" s="68">
        <f t="shared" si="5"/>
        <v>0.18088709935948888</v>
      </c>
      <c r="J70" s="89">
        <f t="shared" si="6"/>
        <v>4773.6881122083178</v>
      </c>
      <c r="K70" s="78">
        <f t="shared" si="9"/>
        <v>6.600179612133121E-2</v>
      </c>
      <c r="L70" s="69">
        <f t="shared" si="7"/>
        <v>0.16894822590658493</v>
      </c>
    </row>
    <row r="71" spans="1:12">
      <c r="C71" s="56">
        <v>0.7</v>
      </c>
      <c r="D71" s="58">
        <f t="shared" si="3"/>
        <v>30788.833572415944</v>
      </c>
      <c r="E71" s="58">
        <f t="shared" si="4"/>
        <v>2271.8187219706219</v>
      </c>
      <c r="F71" s="58">
        <f t="shared" si="8"/>
        <v>0.54581819755600869</v>
      </c>
      <c r="G71" s="57" t="s">
        <v>224</v>
      </c>
      <c r="H71" s="57">
        <v>0.1134</v>
      </c>
      <c r="I71" s="68">
        <f t="shared" si="5"/>
        <v>0.18088709935948888</v>
      </c>
      <c r="J71" s="89">
        <f t="shared" si="6"/>
        <v>5569.3027975763698</v>
      </c>
      <c r="K71" s="78">
        <f t="shared" si="9"/>
        <v>5.6572968103998186E-2</v>
      </c>
      <c r="L71" s="69">
        <f t="shared" si="7"/>
        <v>0.17065377925699976</v>
      </c>
    </row>
    <row r="72" spans="1:12">
      <c r="C72" s="56">
        <v>0.8</v>
      </c>
      <c r="D72" s="58">
        <f t="shared" si="3"/>
        <v>35187.238368475366</v>
      </c>
      <c r="E72" s="58">
        <f t="shared" si="4"/>
        <v>2596.3642536807106</v>
      </c>
      <c r="F72" s="58">
        <f t="shared" si="8"/>
        <v>0.47759092286150762</v>
      </c>
      <c r="G72" s="57" t="s">
        <v>224</v>
      </c>
      <c r="H72" s="57">
        <v>0.1134</v>
      </c>
      <c r="I72" s="68">
        <f t="shared" si="5"/>
        <v>0.18088709935948888</v>
      </c>
      <c r="J72" s="89">
        <f t="shared" si="6"/>
        <v>6364.9174829444228</v>
      </c>
      <c r="K72" s="78">
        <f t="shared" si="9"/>
        <v>4.9501347090998411E-2</v>
      </c>
      <c r="L72" s="69">
        <f t="shared" si="7"/>
        <v>0.1719329442698109</v>
      </c>
    </row>
    <row r="73" spans="1:12">
      <c r="C73" s="56">
        <v>0.9</v>
      </c>
      <c r="D73" s="58">
        <f t="shared" si="3"/>
        <v>39585.643164534791</v>
      </c>
      <c r="E73" s="58">
        <f t="shared" si="4"/>
        <v>2920.9097853907997</v>
      </c>
      <c r="F73" s="58">
        <f t="shared" si="8"/>
        <v>0.4245252647657845</v>
      </c>
      <c r="G73" s="57" t="s">
        <v>224</v>
      </c>
      <c r="H73" s="57">
        <v>0.1134</v>
      </c>
      <c r="I73" s="68">
        <f t="shared" si="5"/>
        <v>0.18088709935948888</v>
      </c>
      <c r="J73" s="89">
        <f t="shared" si="6"/>
        <v>7160.5321683124766</v>
      </c>
      <c r="K73" s="78">
        <f t="shared" si="9"/>
        <v>4.4001197414220802E-2</v>
      </c>
      <c r="L73" s="69">
        <f t="shared" si="7"/>
        <v>0.17292785039088623</v>
      </c>
    </row>
    <row r="74" spans="1:12" ht="15" thickBot="1">
      <c r="C74" s="59">
        <v>1</v>
      </c>
      <c r="D74" s="61">
        <f t="shared" si="3"/>
        <v>43984.047960594209</v>
      </c>
      <c r="E74" s="61">
        <f t="shared" si="4"/>
        <v>3245.4553171008884</v>
      </c>
      <c r="F74" s="61">
        <f t="shared" si="8"/>
        <v>0.38207273828920607</v>
      </c>
      <c r="G74" s="60" t="s">
        <v>224</v>
      </c>
      <c r="H74" s="57">
        <v>0.1134</v>
      </c>
      <c r="I74" s="70">
        <f t="shared" si="5"/>
        <v>0.18088709935948888</v>
      </c>
      <c r="J74" s="90">
        <f>I74*D74</f>
        <v>7956.1468536805287</v>
      </c>
      <c r="K74" s="104">
        <f>($K$65*$B$10)/J74</f>
        <v>3.9601077672798725E-2</v>
      </c>
      <c r="L74" s="72">
        <f t="shared" si="7"/>
        <v>0.17372377528774649</v>
      </c>
    </row>
    <row r="76" spans="1:12">
      <c r="A76" s="43" t="s">
        <v>154</v>
      </c>
    </row>
    <row r="77" spans="1:12">
      <c r="A77" s="2" t="s">
        <v>155</v>
      </c>
    </row>
    <row r="78" spans="1:12">
      <c r="C78" s="75" t="s">
        <v>141</v>
      </c>
      <c r="D78" s="75" t="s">
        <v>236</v>
      </c>
      <c r="E78" s="75" t="s">
        <v>228</v>
      </c>
      <c r="F78" s="75" t="s">
        <v>237</v>
      </c>
    </row>
    <row r="79" spans="1:12">
      <c r="C79" s="57">
        <v>0</v>
      </c>
      <c r="D79" s="18">
        <f>0</f>
        <v>0</v>
      </c>
      <c r="E79" s="57">
        <f>G49</f>
        <v>0.17526030936588943</v>
      </c>
      <c r="F79" s="57">
        <f>C79*D79+(1-C79)*E79</f>
        <v>0.17526030936588943</v>
      </c>
    </row>
    <row r="80" spans="1:12">
      <c r="C80" s="78">
        <v>0.1</v>
      </c>
      <c r="D80" s="79">
        <f>L65</f>
        <v>5.9439379250639676E-2</v>
      </c>
      <c r="E80" s="78">
        <f t="shared" ref="E80:E88" si="10">G50</f>
        <v>0.18419242950149117</v>
      </c>
      <c r="F80" s="78">
        <f t="shared" ref="F80:F88" si="11">C80*D80+(1-C80)*E80</f>
        <v>0.17171712447640605</v>
      </c>
    </row>
    <row r="81" spans="1:10">
      <c r="C81" s="80">
        <v>0.2</v>
      </c>
      <c r="D81" s="81">
        <f t="shared" ref="D81:D89" si="12">L66</f>
        <v>7.6520711056922402E-2</v>
      </c>
      <c r="E81" s="80">
        <f t="shared" si="10"/>
        <v>0.19535757967099332</v>
      </c>
      <c r="F81" s="80">
        <f t="shared" si="11"/>
        <v>0.17159020594817914</v>
      </c>
    </row>
    <row r="82" spans="1:10">
      <c r="C82" s="57">
        <v>0.3</v>
      </c>
      <c r="D82" s="76">
        <f t="shared" si="12"/>
        <v>9.5109352453680934E-2</v>
      </c>
      <c r="E82" s="57">
        <f t="shared" si="10"/>
        <v>0.20971277274606759</v>
      </c>
      <c r="F82" s="57">
        <f t="shared" si="11"/>
        <v>0.17533174665835158</v>
      </c>
      <c r="J82" s="17"/>
    </row>
    <row r="83" spans="1:10">
      <c r="C83" s="57">
        <v>0.4</v>
      </c>
      <c r="D83" s="76">
        <f t="shared" si="12"/>
        <v>0.13157878918013291</v>
      </c>
      <c r="E83" s="57">
        <f t="shared" si="10"/>
        <v>0.22885303017949987</v>
      </c>
      <c r="F83" s="57">
        <f t="shared" si="11"/>
        <v>0.18994333377975309</v>
      </c>
    </row>
    <row r="84" spans="1:10">
      <c r="C84" s="57">
        <v>0.5</v>
      </c>
      <c r="D84" s="76">
        <f t="shared" si="12"/>
        <v>0.13956045121600411</v>
      </c>
      <c r="E84" s="57">
        <f t="shared" si="10"/>
        <v>0.25564939058630509</v>
      </c>
      <c r="F84" s="57">
        <f t="shared" si="11"/>
        <v>0.19760492090115461</v>
      </c>
    </row>
    <row r="85" spans="1:10">
      <c r="C85" s="57">
        <v>0.6</v>
      </c>
      <c r="D85" s="76">
        <f t="shared" si="12"/>
        <v>0.16894822590658493</v>
      </c>
      <c r="E85" s="57">
        <f t="shared" si="10"/>
        <v>0.29584393119651281</v>
      </c>
      <c r="F85" s="57">
        <f t="shared" si="11"/>
        <v>0.21970650802255609</v>
      </c>
    </row>
    <row r="86" spans="1:10">
      <c r="C86" s="57">
        <v>0.7</v>
      </c>
      <c r="D86" s="76">
        <f t="shared" si="12"/>
        <v>0.17065377925699976</v>
      </c>
      <c r="E86" s="57">
        <f t="shared" si="10"/>
        <v>0.36283483221352586</v>
      </c>
      <c r="F86" s="57">
        <f t="shared" si="11"/>
        <v>0.22830809514395761</v>
      </c>
    </row>
    <row r="87" spans="1:10">
      <c r="C87" s="57">
        <v>0.8</v>
      </c>
      <c r="D87" s="76">
        <f t="shared" si="12"/>
        <v>0.1719329442698109</v>
      </c>
      <c r="E87" s="57">
        <f t="shared" si="10"/>
        <v>0.49681663424755196</v>
      </c>
      <c r="F87" s="57">
        <f t="shared" si="11"/>
        <v>0.23690968226535908</v>
      </c>
    </row>
    <row r="88" spans="1:10">
      <c r="C88" s="57">
        <v>0.9</v>
      </c>
      <c r="D88" s="76">
        <f t="shared" si="12"/>
        <v>0.17292785039088623</v>
      </c>
      <c r="E88" s="57">
        <f t="shared" si="10"/>
        <v>0.89876204034963003</v>
      </c>
      <c r="F88" s="57">
        <f t="shared" si="11"/>
        <v>0.2455112693867606</v>
      </c>
    </row>
    <row r="89" spans="1:10">
      <c r="C89" s="57">
        <v>1</v>
      </c>
      <c r="D89" s="76">
        <f t="shared" si="12"/>
        <v>0.17372377528774649</v>
      </c>
      <c r="E89" s="57">
        <f>G59</f>
        <v>0</v>
      </c>
      <c r="F89" s="57">
        <f>C89*D89+(1-C89)*E89</f>
        <v>0.17372377528774649</v>
      </c>
    </row>
    <row r="92" spans="1:10">
      <c r="A92" s="2" t="s">
        <v>156</v>
      </c>
    </row>
    <row r="93" spans="1:10">
      <c r="A93" s="44" t="s">
        <v>141</v>
      </c>
      <c r="B93" s="33">
        <f>C81</f>
        <v>0.2</v>
      </c>
    </row>
    <row r="94" spans="1:10">
      <c r="A94" s="44" t="s">
        <v>140</v>
      </c>
      <c r="B94" s="33">
        <f>B93/(1-B93)</f>
        <v>0.25</v>
      </c>
    </row>
    <row r="95" spans="1:10">
      <c r="A95" s="44" t="s">
        <v>142</v>
      </c>
      <c r="B95" s="33">
        <f>1-B93</f>
        <v>0.8</v>
      </c>
    </row>
  </sheetData>
  <mergeCells count="2">
    <mergeCell ref="J14:M14"/>
    <mergeCell ref="E2:F2"/>
  </mergeCells>
  <hyperlinks>
    <hyperlink ref="L12" r:id="rId1" xr:uid="{DEA5E8FB-EA5F-48AD-B017-C531124E69EB}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C010-23CC-4D25-9383-6307C23DAB05}">
  <dimension ref="A1:O44"/>
  <sheetViews>
    <sheetView zoomScale="95" zoomScaleNormal="119" workbookViewId="0">
      <selection activeCell="E6" sqref="E6"/>
    </sheetView>
  </sheetViews>
  <sheetFormatPr defaultRowHeight="14.4"/>
  <cols>
    <col min="1" max="1" width="22.88671875" bestFit="1" customWidth="1"/>
    <col min="2" max="2" width="25.77734375" customWidth="1"/>
    <col min="4" max="4" width="10.21875" bestFit="1" customWidth="1"/>
    <col min="5" max="5" width="20.21875" bestFit="1" customWidth="1"/>
    <col min="6" max="6" width="16.6640625" customWidth="1"/>
    <col min="7" max="7" width="12.33203125" bestFit="1" customWidth="1"/>
    <col min="8" max="8" width="16" bestFit="1" customWidth="1"/>
    <col min="9" max="9" width="14" bestFit="1" customWidth="1"/>
    <col min="10" max="10" width="14.109375" bestFit="1" customWidth="1"/>
    <col min="12" max="12" width="25.33203125" customWidth="1"/>
    <col min="13" max="13" width="11.33203125" bestFit="1" customWidth="1"/>
    <col min="14" max="14" width="22.109375" bestFit="1" customWidth="1"/>
  </cols>
  <sheetData>
    <row r="1" spans="1:15">
      <c r="A1" t="s">
        <v>137</v>
      </c>
      <c r="B1">
        <f>'part-1'!B30</f>
        <v>43984.047960594209</v>
      </c>
      <c r="C1" t="s">
        <v>158</v>
      </c>
      <c r="F1" s="115" t="s">
        <v>264</v>
      </c>
      <c r="G1" s="115" t="s">
        <v>265</v>
      </c>
    </row>
    <row r="2" spans="1:15">
      <c r="A2" t="s">
        <v>242</v>
      </c>
      <c r="B2">
        <f>'part-1'!B11*'part-1'!B26</f>
        <v>138.79171807042744</v>
      </c>
      <c r="C2" t="s">
        <v>158</v>
      </c>
      <c r="F2" s="119" t="s">
        <v>266</v>
      </c>
      <c r="G2" s="119"/>
    </row>
    <row r="3" spans="1:15">
      <c r="A3" t="s">
        <v>243</v>
      </c>
      <c r="B3" s="82">
        <v>0.3</v>
      </c>
      <c r="C3" t="s">
        <v>247</v>
      </c>
    </row>
    <row r="4" spans="1:15">
      <c r="A4" t="s">
        <v>231</v>
      </c>
      <c r="B4" t="s">
        <v>211</v>
      </c>
    </row>
    <row r="5" spans="1:15">
      <c r="A5" t="s">
        <v>244</v>
      </c>
      <c r="B5" s="33">
        <v>1E-4</v>
      </c>
      <c r="N5" t="s">
        <v>4</v>
      </c>
      <c r="O5" t="s">
        <v>248</v>
      </c>
    </row>
    <row r="6" spans="1:15">
      <c r="A6" t="s">
        <v>245</v>
      </c>
      <c r="B6">
        <f>(B1-B2)/(1-(B5*B3))</f>
        <v>43846.571639672977</v>
      </c>
    </row>
    <row r="7" spans="1:15">
      <c r="A7" t="s">
        <v>246</v>
      </c>
      <c r="B7">
        <f>B6+B2-B5*B3*B6</f>
        <v>43984.047960594209</v>
      </c>
    </row>
    <row r="8" spans="1:15" ht="15" thickBot="1"/>
    <row r="9" spans="1:15">
      <c r="D9" s="83" t="s">
        <v>249</v>
      </c>
      <c r="E9" s="84" t="s">
        <v>250</v>
      </c>
      <c r="F9" s="84" t="s">
        <v>234</v>
      </c>
      <c r="G9" s="84" t="s">
        <v>229</v>
      </c>
      <c r="H9" s="84" t="s">
        <v>251</v>
      </c>
      <c r="I9" s="84" t="s">
        <v>231</v>
      </c>
      <c r="J9" s="84" t="s">
        <v>252</v>
      </c>
      <c r="K9" s="84" t="s">
        <v>253</v>
      </c>
      <c r="L9" s="85" t="s">
        <v>254</v>
      </c>
    </row>
    <row r="10" spans="1:15">
      <c r="D10" s="56">
        <f>'[1]Part-I'!C64</f>
        <v>0</v>
      </c>
      <c r="E10" s="18">
        <f>B6</f>
        <v>43846.571639672977</v>
      </c>
      <c r="F10" s="57"/>
      <c r="G10" s="18"/>
      <c r="H10" s="18"/>
      <c r="I10" s="57"/>
      <c r="J10" s="18"/>
      <c r="K10" s="18"/>
      <c r="L10" s="87">
        <f>E10</f>
        <v>43846.571639672977</v>
      </c>
    </row>
    <row r="11" spans="1:15">
      <c r="D11" s="98">
        <f>'[1]Part-I'!C65</f>
        <v>0.1</v>
      </c>
      <c r="E11" s="99">
        <f>B6</f>
        <v>43846.571639672977</v>
      </c>
      <c r="F11" s="100">
        <f>'part-1'!K65</f>
        <v>0.25409031413612565</v>
      </c>
      <c r="G11" s="99">
        <f>D11*$B$7</f>
        <v>4398.4047960594207</v>
      </c>
      <c r="H11" s="99">
        <f>F11*G11</f>
        <v>1117.5920563285799</v>
      </c>
      <c r="I11" s="100" t="str">
        <f>'part-1'!G65</f>
        <v>A-</v>
      </c>
      <c r="J11" s="100">
        <v>1.41E-2</v>
      </c>
      <c r="K11" s="99">
        <f>J11*$B$3*E11</f>
        <v>185.47099803581668</v>
      </c>
      <c r="L11" s="101">
        <f>E11+H11-K11</f>
        <v>44778.692697965744</v>
      </c>
    </row>
    <row r="12" spans="1:15">
      <c r="D12" s="95">
        <f>'[1]Part-I'!C66</f>
        <v>0.2</v>
      </c>
      <c r="E12" s="96">
        <f>B6</f>
        <v>43846.571639672977</v>
      </c>
      <c r="F12" s="78">
        <f>'part-1'!K66</f>
        <v>0.25409031413612565</v>
      </c>
      <c r="G12" s="96">
        <f t="shared" ref="G12:G20" si="0">D12*$B$7</f>
        <v>8796.8095921188415</v>
      </c>
      <c r="H12" s="96">
        <f t="shared" ref="H12:H20" si="1">F12*G12</f>
        <v>2235.1841126571599</v>
      </c>
      <c r="I12" s="78" t="str">
        <f>'part-1'!G66</f>
        <v>B+</v>
      </c>
      <c r="J12" s="78">
        <v>0.1928</v>
      </c>
      <c r="K12" s="96">
        <f>J12*$B$3*E12</f>
        <v>2536.0857036386847</v>
      </c>
      <c r="L12" s="97">
        <f t="shared" ref="L12:L20" si="2">E12+H12-K12</f>
        <v>43545.670048691449</v>
      </c>
    </row>
    <row r="13" spans="1:15">
      <c r="D13" s="56">
        <f>'[1]Part-I'!C67</f>
        <v>0.3</v>
      </c>
      <c r="E13" s="18">
        <f>B6</f>
        <v>43846.571639672977</v>
      </c>
      <c r="F13" s="57">
        <f>'part-1'!K67</f>
        <v>0.20067509027737093</v>
      </c>
      <c r="G13" s="18">
        <f t="shared" si="0"/>
        <v>13195.214388178263</v>
      </c>
      <c r="H13" s="18">
        <f t="shared" si="1"/>
        <v>2647.9508385769368</v>
      </c>
      <c r="I13" s="57" t="str">
        <f>'part-1'!G67</f>
        <v>B-</v>
      </c>
      <c r="J13" s="57">
        <v>0.32500000000000001</v>
      </c>
      <c r="K13" s="18">
        <f t="shared" ref="K13:K20" si="3">J13*$B$3*E13</f>
        <v>4275.0407348681156</v>
      </c>
      <c r="L13" s="87">
        <f t="shared" si="2"/>
        <v>42219.481743381795</v>
      </c>
    </row>
    <row r="14" spans="1:15">
      <c r="D14" s="56">
        <f>'[1]Part-I'!C68</f>
        <v>0.4</v>
      </c>
      <c r="E14" s="18">
        <f>B6</f>
        <v>43846.571639672977</v>
      </c>
      <c r="F14" s="57">
        <f>'part-1'!K68</f>
        <v>0.1197983655853123</v>
      </c>
      <c r="G14" s="18">
        <f t="shared" si="0"/>
        <v>17593.619184237683</v>
      </c>
      <c r="H14" s="18">
        <f t="shared" si="1"/>
        <v>2107.68682300207</v>
      </c>
      <c r="I14" s="57" t="str">
        <f>'part-1'!G68</f>
        <v>CCC</v>
      </c>
      <c r="J14" s="57">
        <f>46.61%</f>
        <v>0.46610000000000001</v>
      </c>
      <c r="K14" s="18">
        <f t="shared" si="3"/>
        <v>6131.0661123754726</v>
      </c>
      <c r="L14" s="87">
        <f t="shared" si="2"/>
        <v>39823.192350299578</v>
      </c>
    </row>
    <row r="15" spans="1:15">
      <c r="D15" s="56">
        <f>'[1]Part-I'!C69</f>
        <v>0.5</v>
      </c>
      <c r="E15" s="18">
        <f>B6</f>
        <v>43846.571639672977</v>
      </c>
      <c r="F15" s="57">
        <f>'part-1'!K69</f>
        <v>9.3098435171728791E-2</v>
      </c>
      <c r="G15" s="18">
        <f t="shared" si="0"/>
        <v>21992.023980297105</v>
      </c>
      <c r="H15" s="18">
        <f t="shared" si="1"/>
        <v>2047.423018824795</v>
      </c>
      <c r="I15" s="57" t="str">
        <f>'part-1'!G69</f>
        <v>CC</v>
      </c>
      <c r="J15" s="66">
        <f>65%</f>
        <v>0.65</v>
      </c>
      <c r="K15" s="18">
        <f t="shared" si="3"/>
        <v>8550.0814697362312</v>
      </c>
      <c r="L15" s="87">
        <f t="shared" si="2"/>
        <v>37343.913188761544</v>
      </c>
    </row>
    <row r="16" spans="1:15">
      <c r="D16" s="56">
        <f>'[1]Part-I'!C70</f>
        <v>0.6</v>
      </c>
      <c r="E16" s="18">
        <f>B6</f>
        <v>43846.571639672977</v>
      </c>
      <c r="F16" s="57">
        <f>'part-1'!K70</f>
        <v>6.600179612133121E-2</v>
      </c>
      <c r="G16" s="18">
        <f t="shared" si="0"/>
        <v>26390.428776356526</v>
      </c>
      <c r="H16" s="18">
        <f t="shared" si="1"/>
        <v>1741.8156996515957</v>
      </c>
      <c r="I16" s="57" t="str">
        <f>'part-1'!G70</f>
        <v>C</v>
      </c>
      <c r="J16" s="66">
        <v>0.8</v>
      </c>
      <c r="K16" s="18">
        <f t="shared" si="3"/>
        <v>10523.177193521515</v>
      </c>
      <c r="L16" s="87">
        <f t="shared" si="2"/>
        <v>35065.210145803059</v>
      </c>
    </row>
    <row r="17" spans="1:14">
      <c r="D17" s="56">
        <f>'[1]Part-I'!C71</f>
        <v>0.7</v>
      </c>
      <c r="E17" s="18">
        <f>B6</f>
        <v>43846.571639672977</v>
      </c>
      <c r="F17" s="57">
        <f>'part-1'!K71</f>
        <v>5.6572968103998186E-2</v>
      </c>
      <c r="G17" s="18">
        <f t="shared" si="0"/>
        <v>30788.833572415944</v>
      </c>
      <c r="H17" s="18">
        <f t="shared" si="1"/>
        <v>1741.8156996515957</v>
      </c>
      <c r="I17" s="57" t="str">
        <f>'part-1'!G71</f>
        <v>C</v>
      </c>
      <c r="J17" s="66">
        <v>0.8</v>
      </c>
      <c r="K17" s="18">
        <f t="shared" si="3"/>
        <v>10523.177193521515</v>
      </c>
      <c r="L17" s="87">
        <f t="shared" si="2"/>
        <v>35065.210145803059</v>
      </c>
    </row>
    <row r="18" spans="1:14">
      <c r="D18" s="56">
        <f>'[1]Part-I'!C72</f>
        <v>0.8</v>
      </c>
      <c r="E18" s="18">
        <f>B6</f>
        <v>43846.571639672977</v>
      </c>
      <c r="F18" s="57">
        <f>'part-1'!K72</f>
        <v>4.9501347090998411E-2</v>
      </c>
      <c r="G18" s="18">
        <f t="shared" si="0"/>
        <v>35187.238368475366</v>
      </c>
      <c r="H18" s="18">
        <f t="shared" si="1"/>
        <v>1741.8156996515957</v>
      </c>
      <c r="I18" s="57" t="str">
        <f>'part-1'!G72</f>
        <v>C</v>
      </c>
      <c r="J18" s="66">
        <v>0.8</v>
      </c>
      <c r="K18" s="18">
        <f t="shared" si="3"/>
        <v>10523.177193521515</v>
      </c>
      <c r="L18" s="87">
        <f t="shared" si="2"/>
        <v>35065.210145803059</v>
      </c>
    </row>
    <row r="19" spans="1:14">
      <c r="D19" s="56">
        <f>'[1]Part-I'!C73</f>
        <v>0.9</v>
      </c>
      <c r="E19" s="18">
        <f>B6</f>
        <v>43846.571639672977</v>
      </c>
      <c r="F19" s="57">
        <f>'part-1'!K73</f>
        <v>4.4001197414220802E-2</v>
      </c>
      <c r="G19" s="18">
        <f t="shared" si="0"/>
        <v>39585.643164534791</v>
      </c>
      <c r="H19" s="18">
        <f t="shared" si="1"/>
        <v>1741.8156996515957</v>
      </c>
      <c r="I19" s="57" t="str">
        <f>'part-1'!G73</f>
        <v>C</v>
      </c>
      <c r="J19" s="66">
        <v>0.8</v>
      </c>
      <c r="K19" s="18">
        <f t="shared" si="3"/>
        <v>10523.177193521515</v>
      </c>
      <c r="L19" s="87">
        <f t="shared" si="2"/>
        <v>35065.210145803059</v>
      </c>
    </row>
    <row r="20" spans="1:14" ht="15" thickBot="1">
      <c r="A20" s="2" t="s">
        <v>156</v>
      </c>
      <c r="D20" s="59">
        <f>'[1]Part-I'!C74</f>
        <v>1</v>
      </c>
      <c r="E20" s="71">
        <f>B6</f>
        <v>43846.571639672977</v>
      </c>
      <c r="F20" s="60">
        <f>'part-1'!K74</f>
        <v>3.9601077672798725E-2</v>
      </c>
      <c r="G20" s="71">
        <f t="shared" si="0"/>
        <v>43984.047960594209</v>
      </c>
      <c r="H20" s="71">
        <f t="shared" si="1"/>
        <v>1741.8156996515957</v>
      </c>
      <c r="I20" s="60" t="str">
        <f>'part-1'!G74</f>
        <v>C</v>
      </c>
      <c r="J20" s="86">
        <v>0.8</v>
      </c>
      <c r="K20" s="71">
        <f t="shared" si="3"/>
        <v>10523.177193521515</v>
      </c>
      <c r="L20" s="88">
        <f t="shared" si="2"/>
        <v>35065.210145803059</v>
      </c>
    </row>
    <row r="21" spans="1:14">
      <c r="A21" s="44" t="s">
        <v>141</v>
      </c>
      <c r="B21" s="33">
        <f>D11</f>
        <v>0.1</v>
      </c>
    </row>
    <row r="22" spans="1:14">
      <c r="A22" s="44" t="s">
        <v>140</v>
      </c>
      <c r="B22" s="33">
        <f>B21/(1-B21)</f>
        <v>0.11111111111111112</v>
      </c>
    </row>
    <row r="23" spans="1:14">
      <c r="A23" s="44" t="s">
        <v>142</v>
      </c>
      <c r="B23" s="33">
        <f>1-B21</f>
        <v>0.9</v>
      </c>
      <c r="E23" s="119" t="s">
        <v>257</v>
      </c>
      <c r="F23" s="119"/>
      <c r="G23" s="119"/>
      <c r="H23" s="119"/>
      <c r="I23" s="119"/>
      <c r="J23" s="119"/>
      <c r="K23" s="119"/>
      <c r="L23" s="119"/>
      <c r="M23" s="119"/>
    </row>
    <row r="24" spans="1:14">
      <c r="E24" s="119" t="s">
        <v>258</v>
      </c>
      <c r="F24" s="120"/>
      <c r="G24" s="120"/>
      <c r="H24" s="120"/>
      <c r="I24" s="120"/>
      <c r="J24" s="120"/>
      <c r="K24" s="120"/>
      <c r="L24" s="120"/>
      <c r="M24" s="120"/>
    </row>
    <row r="26" spans="1:14">
      <c r="D26" t="s">
        <v>249</v>
      </c>
      <c r="E26" t="s">
        <v>250</v>
      </c>
      <c r="F26" t="s">
        <v>234</v>
      </c>
      <c r="G26" t="s">
        <v>229</v>
      </c>
      <c r="H26" t="s">
        <v>251</v>
      </c>
      <c r="I26" t="s">
        <v>132</v>
      </c>
      <c r="J26" t="s">
        <v>128</v>
      </c>
      <c r="K26" t="s">
        <v>231</v>
      </c>
      <c r="L26" t="s">
        <v>252</v>
      </c>
      <c r="M26" t="s">
        <v>253</v>
      </c>
      <c r="N26" t="s">
        <v>254</v>
      </c>
    </row>
    <row r="27" spans="1:14">
      <c r="D27" s="82">
        <v>0.1</v>
      </c>
      <c r="E27">
        <v>43846.571639672977</v>
      </c>
      <c r="F27" s="33">
        <f>'part-1'!K65</f>
        <v>0.25409031413612565</v>
      </c>
      <c r="G27">
        <f>D27*$B$7</f>
        <v>4398.4047960594207</v>
      </c>
      <c r="H27">
        <f>F27*G27</f>
        <v>1117.5920563285799</v>
      </c>
      <c r="I27">
        <f>G27*'part-1'!$B$62</f>
        <v>324.54553171008882</v>
      </c>
      <c r="J27">
        <f>'part-1'!$B$10/'part-2'!I27</f>
        <v>3.8207273828920609</v>
      </c>
      <c r="K27" t="s">
        <v>215</v>
      </c>
      <c r="L27" s="33">
        <v>1.41E-2</v>
      </c>
      <c r="M27" s="92">
        <f>L27*$B$3*E27</f>
        <v>185.47099803581668</v>
      </c>
      <c r="N27" s="93">
        <f>E27+H27-M27</f>
        <v>44778.692697965744</v>
      </c>
    </row>
    <row r="28" spans="1:14">
      <c r="D28" s="82">
        <v>0.11</v>
      </c>
      <c r="E28">
        <v>43846.571639672977</v>
      </c>
      <c r="F28" s="33">
        <f>'part-1'!K65</f>
        <v>0.25409031413612565</v>
      </c>
      <c r="G28">
        <f t="shared" ref="G28:G37" si="4">D28*$B$7</f>
        <v>4838.2452756653629</v>
      </c>
      <c r="H28">
        <f t="shared" ref="H28:H37" si="5">F28*G28</f>
        <v>1229.351261961438</v>
      </c>
      <c r="I28">
        <f>G28*'part-1'!$B$62</f>
        <v>357.00008488109773</v>
      </c>
      <c r="J28">
        <f>'part-1'!$B$10/'part-2'!I28</f>
        <v>3.473388529901873</v>
      </c>
      <c r="K28" t="s">
        <v>215</v>
      </c>
      <c r="L28" s="33">
        <v>1.41E-2</v>
      </c>
      <c r="M28" s="92">
        <f t="shared" ref="M28:M37" si="6">L28*$B$3*E28</f>
        <v>185.47099803581668</v>
      </c>
      <c r="N28" s="93">
        <f t="shared" ref="N28:N37" si="7">E28+H28-M28</f>
        <v>44890.451903598601</v>
      </c>
    </row>
    <row r="29" spans="1:14">
      <c r="D29" s="82">
        <v>0.12</v>
      </c>
      <c r="E29">
        <v>43846.571639672977</v>
      </c>
      <c r="F29" s="33">
        <f>'part-1'!K65</f>
        <v>0.25409031413612565</v>
      </c>
      <c r="G29">
        <f t="shared" si="4"/>
        <v>5278.0857552713051</v>
      </c>
      <c r="H29">
        <f t="shared" si="5"/>
        <v>1341.1104675942959</v>
      </c>
      <c r="I29">
        <f>G29*'part-1'!$B$62</f>
        <v>389.45463805210659</v>
      </c>
      <c r="J29">
        <f>'part-1'!$B$10/'part-2'!I29</f>
        <v>3.1839394857433838</v>
      </c>
      <c r="K29" t="s">
        <v>215</v>
      </c>
      <c r="L29" s="33">
        <v>1.41E-2</v>
      </c>
      <c r="M29" s="92">
        <f t="shared" si="6"/>
        <v>185.47099803581668</v>
      </c>
      <c r="N29" s="93">
        <f t="shared" si="7"/>
        <v>45002.211109231459</v>
      </c>
    </row>
    <row r="30" spans="1:14">
      <c r="D30" s="82">
        <v>0.13</v>
      </c>
      <c r="E30">
        <v>43846.571639672977</v>
      </c>
      <c r="F30" s="33">
        <f>'part-1'!K65</f>
        <v>0.25409031413612565</v>
      </c>
      <c r="G30">
        <f t="shared" si="4"/>
        <v>5717.9262348772472</v>
      </c>
      <c r="H30">
        <f t="shared" si="5"/>
        <v>1452.869673227154</v>
      </c>
      <c r="I30">
        <f>G30*'part-1'!$B$62</f>
        <v>421.9091912231155</v>
      </c>
      <c r="J30">
        <f>'part-1'!$B$10/'part-2'!I30</f>
        <v>2.9390210637631236</v>
      </c>
      <c r="K30" t="s">
        <v>216</v>
      </c>
      <c r="L30" s="33">
        <v>2.3E-2</v>
      </c>
      <c r="M30" s="92">
        <f t="shared" si="6"/>
        <v>302.54134431374354</v>
      </c>
      <c r="N30" s="93">
        <f t="shared" si="7"/>
        <v>44996.899968586389</v>
      </c>
    </row>
    <row r="31" spans="1:14">
      <c r="D31" s="82">
        <v>0.14000000000000001</v>
      </c>
      <c r="E31">
        <v>43846.571639672977</v>
      </c>
      <c r="F31" s="33">
        <f>'part-1'!K65</f>
        <v>0.25409031413612565</v>
      </c>
      <c r="G31">
        <f t="shared" si="4"/>
        <v>6157.7667144831903</v>
      </c>
      <c r="H31">
        <f t="shared" si="5"/>
        <v>1564.6288788600123</v>
      </c>
      <c r="I31">
        <f>G31*'part-1'!$B$62</f>
        <v>454.36374439412447</v>
      </c>
      <c r="J31">
        <f>'part-1'!$B$10/'part-2'!I31</f>
        <v>2.7290909877800429</v>
      </c>
      <c r="K31" t="s">
        <v>216</v>
      </c>
      <c r="L31" s="33">
        <v>2.3E-2</v>
      </c>
      <c r="M31" s="92">
        <f t="shared" si="6"/>
        <v>302.54134431374354</v>
      </c>
      <c r="N31" s="93">
        <f t="shared" si="7"/>
        <v>45108.659174219247</v>
      </c>
    </row>
    <row r="32" spans="1:14">
      <c r="D32" s="110">
        <v>0.15</v>
      </c>
      <c r="E32" s="39">
        <v>43846.571639672977</v>
      </c>
      <c r="F32" s="111">
        <f>'part-1'!K65</f>
        <v>0.25409031413612565</v>
      </c>
      <c r="G32" s="39">
        <f t="shared" si="4"/>
        <v>6597.6071940891316</v>
      </c>
      <c r="H32" s="39">
        <f t="shared" si="5"/>
        <v>1676.3880844928699</v>
      </c>
      <c r="I32" s="39">
        <f>G32*'part-1'!$B$62</f>
        <v>486.81829756513326</v>
      </c>
      <c r="J32" s="39">
        <f>'part-1'!$B$10/'part-2'!I32</f>
        <v>2.5471515885947071</v>
      </c>
      <c r="K32" s="39" t="s">
        <v>216</v>
      </c>
      <c r="L32" s="111">
        <v>2.3E-2</v>
      </c>
      <c r="M32" s="112">
        <f t="shared" si="6"/>
        <v>302.54134431374354</v>
      </c>
      <c r="N32" s="113">
        <f t="shared" si="7"/>
        <v>45220.418379852104</v>
      </c>
    </row>
    <row r="33" spans="1:14">
      <c r="D33" s="105">
        <v>0.16</v>
      </c>
      <c r="E33" s="106">
        <v>43846.571639672977</v>
      </c>
      <c r="F33" s="107">
        <f>'part-1'!K65</f>
        <v>0.25409031413612565</v>
      </c>
      <c r="G33" s="106">
        <f t="shared" si="4"/>
        <v>7037.4476736950737</v>
      </c>
      <c r="H33" s="106">
        <f t="shared" si="5"/>
        <v>1788.147290125728</v>
      </c>
      <c r="I33" s="106">
        <f>G33*'part-1'!$B$62</f>
        <v>519.27285073614212</v>
      </c>
      <c r="J33" s="106">
        <f>'part-1'!$B$10/'part-2'!I33</f>
        <v>2.3879546143075379</v>
      </c>
      <c r="K33" s="106" t="s">
        <v>217</v>
      </c>
      <c r="L33" s="107">
        <v>5.28E-2</v>
      </c>
      <c r="M33" s="108">
        <f t="shared" si="6"/>
        <v>694.52969477241993</v>
      </c>
      <c r="N33" s="109">
        <f t="shared" si="7"/>
        <v>44940.189235026286</v>
      </c>
    </row>
    <row r="34" spans="1:14">
      <c r="D34" s="82">
        <v>0.17</v>
      </c>
      <c r="E34">
        <v>43846.571639672977</v>
      </c>
      <c r="F34" s="33">
        <f>'part-1'!K65</f>
        <v>0.25409031413612565</v>
      </c>
      <c r="G34">
        <f t="shared" si="4"/>
        <v>7477.2881533010159</v>
      </c>
      <c r="H34">
        <f t="shared" si="5"/>
        <v>1899.9064957585861</v>
      </c>
      <c r="I34">
        <f>G34*'part-1'!$B$62</f>
        <v>551.72740390715103</v>
      </c>
      <c r="J34">
        <f>'part-1'!$B$10/'part-2'!I34</f>
        <v>2.2474866958188593</v>
      </c>
      <c r="K34" t="s">
        <v>218</v>
      </c>
      <c r="L34" s="33">
        <v>0.122</v>
      </c>
      <c r="M34" s="92">
        <f t="shared" si="6"/>
        <v>1604.7845220120309</v>
      </c>
      <c r="N34" s="93">
        <f t="shared" si="7"/>
        <v>44141.693613419535</v>
      </c>
    </row>
    <row r="35" spans="1:14">
      <c r="D35" s="82">
        <v>0.18</v>
      </c>
      <c r="E35">
        <v>43846.571639672977</v>
      </c>
      <c r="F35" s="33">
        <f>'part-1'!K65</f>
        <v>0.25409031413612565</v>
      </c>
      <c r="G35">
        <f t="shared" si="4"/>
        <v>7917.1286329069571</v>
      </c>
      <c r="H35">
        <f t="shared" si="5"/>
        <v>2011.6657013914437</v>
      </c>
      <c r="I35">
        <f>G35*'part-1'!$B$62</f>
        <v>584.18195707815994</v>
      </c>
      <c r="J35">
        <f>'part-1'!$B$10/'part-2'!I35</f>
        <v>2.1226263238289222</v>
      </c>
      <c r="K35" t="s">
        <v>218</v>
      </c>
      <c r="L35" s="33">
        <v>0.122</v>
      </c>
      <c r="M35" s="92">
        <f t="shared" si="6"/>
        <v>1604.7845220120309</v>
      </c>
      <c r="N35" s="93">
        <f t="shared" si="7"/>
        <v>44253.452819052392</v>
      </c>
    </row>
    <row r="36" spans="1:14">
      <c r="D36" s="82">
        <v>0.19</v>
      </c>
      <c r="E36">
        <v>43846.571639672977</v>
      </c>
      <c r="F36" s="33">
        <f>'part-1'!K65</f>
        <v>0.25409031413612565</v>
      </c>
      <c r="G36">
        <f t="shared" si="4"/>
        <v>8356.9691125128993</v>
      </c>
      <c r="H36">
        <f t="shared" si="5"/>
        <v>2123.4249070243018</v>
      </c>
      <c r="I36">
        <f>G36*'part-1'!$B$62</f>
        <v>616.63651024916874</v>
      </c>
      <c r="J36">
        <f>'part-1'!$B$10/'part-2'!I36</f>
        <v>2.0109091488905584</v>
      </c>
      <c r="K36" t="s">
        <v>218</v>
      </c>
      <c r="L36" s="33">
        <v>0.122</v>
      </c>
      <c r="M36" s="92">
        <f t="shared" si="6"/>
        <v>1604.7845220120309</v>
      </c>
      <c r="N36" s="93">
        <f t="shared" si="7"/>
        <v>44365.21202468525</v>
      </c>
    </row>
    <row r="37" spans="1:14">
      <c r="D37" s="82">
        <v>0.2</v>
      </c>
      <c r="E37">
        <v>43846.571639672977</v>
      </c>
      <c r="F37" s="33">
        <f>'part-1'!K65</f>
        <v>0.25409031413612565</v>
      </c>
      <c r="G37">
        <f t="shared" si="4"/>
        <v>8796.8095921188415</v>
      </c>
      <c r="H37">
        <f t="shared" si="5"/>
        <v>2235.1841126571599</v>
      </c>
      <c r="I37">
        <f>G37*'part-1'!$B$62</f>
        <v>649.09106342017765</v>
      </c>
      <c r="J37">
        <f>'part-1'!$B$10/'part-2'!I37</f>
        <v>1.9103636914460305</v>
      </c>
      <c r="K37" t="s">
        <v>219</v>
      </c>
      <c r="L37" s="33">
        <v>0.1928</v>
      </c>
      <c r="M37" s="92">
        <f t="shared" si="6"/>
        <v>2536.0857036386847</v>
      </c>
      <c r="N37" s="93">
        <f t="shared" si="7"/>
        <v>43545.670048691449</v>
      </c>
    </row>
    <row r="41" spans="1:14">
      <c r="A41" s="2" t="s">
        <v>262</v>
      </c>
    </row>
    <row r="42" spans="1:14">
      <c r="A42" s="44" t="s">
        <v>141</v>
      </c>
      <c r="B42" s="33">
        <f>D32</f>
        <v>0.15</v>
      </c>
    </row>
    <row r="43" spans="1:14">
      <c r="A43" s="44" t="s">
        <v>140</v>
      </c>
      <c r="B43" s="33">
        <f>B42/(1-B42)</f>
        <v>0.17647058823529413</v>
      </c>
    </row>
    <row r="44" spans="1:14">
      <c r="A44" s="44" t="s">
        <v>142</v>
      </c>
      <c r="B44" s="33">
        <f>1-B42</f>
        <v>0.85</v>
      </c>
    </row>
  </sheetData>
  <mergeCells count="3">
    <mergeCell ref="E23:M23"/>
    <mergeCell ref="E24:M24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7259-6B82-4219-9376-28A4EF017C90}">
  <dimension ref="A1:L46"/>
  <sheetViews>
    <sheetView zoomScale="74" workbookViewId="0">
      <selection activeCell="N7" sqref="N7"/>
    </sheetView>
  </sheetViews>
  <sheetFormatPr defaultRowHeight="14.4"/>
  <cols>
    <col min="1" max="1" width="23.21875" customWidth="1"/>
    <col min="6" max="6" width="21.77734375" customWidth="1"/>
    <col min="11" max="11" width="15.44140625" bestFit="1" customWidth="1"/>
  </cols>
  <sheetData>
    <row r="1" spans="1:12" ht="28.8">
      <c r="A1" s="30" t="s">
        <v>5</v>
      </c>
      <c r="B1" s="21" t="s">
        <v>43</v>
      </c>
      <c r="C1" s="15"/>
      <c r="F1" s="31" t="s">
        <v>45</v>
      </c>
      <c r="G1" s="5" t="s">
        <v>6</v>
      </c>
    </row>
    <row r="2" spans="1:12">
      <c r="A2" s="22"/>
      <c r="B2" s="23">
        <v>43525</v>
      </c>
      <c r="C2" s="23">
        <v>43160</v>
      </c>
      <c r="F2" s="6"/>
      <c r="G2" s="8">
        <v>43525</v>
      </c>
      <c r="H2" s="8">
        <v>43160</v>
      </c>
      <c r="K2" s="32" t="s">
        <v>72</v>
      </c>
      <c r="L2" s="33">
        <f>G30/G27</f>
        <v>0.25409031413612565</v>
      </c>
    </row>
    <row r="3" spans="1:12">
      <c r="A3" s="16"/>
      <c r="B3" s="16"/>
      <c r="C3" s="16"/>
      <c r="F3" s="121"/>
      <c r="G3" s="121"/>
      <c r="H3" s="121"/>
    </row>
    <row r="4" spans="1:12">
      <c r="A4" s="24"/>
      <c r="B4" s="25" t="s">
        <v>7</v>
      </c>
      <c r="C4" s="25" t="s">
        <v>7</v>
      </c>
      <c r="F4" s="9"/>
      <c r="G4" s="10" t="s">
        <v>7</v>
      </c>
      <c r="H4" s="10" t="s">
        <v>7</v>
      </c>
      <c r="L4" s="3"/>
    </row>
    <row r="5" spans="1:12">
      <c r="A5" s="16"/>
      <c r="B5" s="16"/>
      <c r="C5" s="16"/>
      <c r="F5" s="121"/>
      <c r="G5" s="121"/>
      <c r="H5" s="121"/>
    </row>
    <row r="6" spans="1:12">
      <c r="A6" s="22" t="s">
        <v>8</v>
      </c>
      <c r="B6" s="26"/>
      <c r="C6" s="26"/>
      <c r="F6" s="11" t="s">
        <v>46</v>
      </c>
      <c r="G6" s="7"/>
      <c r="H6" s="7"/>
    </row>
    <row r="7" spans="1:12" ht="19.2">
      <c r="A7" s="22" t="s">
        <v>9</v>
      </c>
      <c r="B7" s="26"/>
      <c r="C7" s="26"/>
      <c r="F7" s="6" t="s">
        <v>47</v>
      </c>
      <c r="G7" s="20">
        <v>7510.7</v>
      </c>
      <c r="H7" s="20">
        <v>7519.6</v>
      </c>
      <c r="K7" t="s">
        <v>73</v>
      </c>
      <c r="L7" s="1">
        <f>G28</f>
        <v>1222.4000000000001</v>
      </c>
    </row>
    <row r="8" spans="1:12" ht="19.2">
      <c r="A8" s="24" t="s">
        <v>10</v>
      </c>
      <c r="B8" s="25">
        <v>315.8</v>
      </c>
      <c r="C8" s="25">
        <v>210.5</v>
      </c>
      <c r="F8" s="9" t="s">
        <v>48</v>
      </c>
      <c r="G8" s="10">
        <v>0</v>
      </c>
      <c r="H8" s="10">
        <v>211.2</v>
      </c>
      <c r="K8" t="s">
        <v>74</v>
      </c>
      <c r="L8" s="1">
        <f>L7+G19</f>
        <v>1240</v>
      </c>
    </row>
    <row r="9" spans="1:12">
      <c r="A9" s="16" t="s">
        <v>11</v>
      </c>
      <c r="B9" s="27">
        <v>315.8</v>
      </c>
      <c r="C9" s="27">
        <v>210.5</v>
      </c>
      <c r="F9" s="6" t="s">
        <v>49</v>
      </c>
      <c r="G9" s="20">
        <v>7510.7</v>
      </c>
      <c r="H9" s="20">
        <v>7308.4</v>
      </c>
    </row>
    <row r="10" spans="1:12">
      <c r="A10" s="24" t="s">
        <v>12</v>
      </c>
      <c r="B10" s="28">
        <v>6122.4</v>
      </c>
      <c r="C10" s="28">
        <v>5969.7</v>
      </c>
      <c r="F10" s="9" t="s">
        <v>50</v>
      </c>
      <c r="G10" s="10">
        <v>70.599999999999994</v>
      </c>
      <c r="H10" s="10">
        <v>147.69999999999999</v>
      </c>
    </row>
    <row r="11" spans="1:12">
      <c r="A11" s="16" t="s">
        <v>13</v>
      </c>
      <c r="B11" s="29">
        <v>6122.4</v>
      </c>
      <c r="C11" s="29">
        <v>5969.7</v>
      </c>
      <c r="F11" s="6" t="s">
        <v>51</v>
      </c>
      <c r="G11" s="20">
        <v>7581.3</v>
      </c>
      <c r="H11" s="20">
        <v>7456.1</v>
      </c>
    </row>
    <row r="12" spans="1:12">
      <c r="A12" s="16" t="s">
        <v>14</v>
      </c>
      <c r="B12" s="29">
        <v>6438.2</v>
      </c>
      <c r="C12" s="29">
        <v>6180.2</v>
      </c>
      <c r="F12" s="9" t="s">
        <v>52</v>
      </c>
      <c r="G12" s="10">
        <v>186.5</v>
      </c>
      <c r="H12" s="10">
        <v>140.4</v>
      </c>
    </row>
    <row r="13" spans="1:12">
      <c r="A13" s="22" t="s">
        <v>15</v>
      </c>
      <c r="B13" s="26"/>
      <c r="C13" s="26"/>
      <c r="F13" s="4" t="s">
        <v>53</v>
      </c>
      <c r="G13" s="14">
        <v>7767.8</v>
      </c>
      <c r="H13" s="14">
        <v>7596.5</v>
      </c>
    </row>
    <row r="14" spans="1:12">
      <c r="A14" s="24" t="s">
        <v>16</v>
      </c>
      <c r="B14" s="28">
        <v>1133.7</v>
      </c>
      <c r="C14" s="28">
        <v>1102.7</v>
      </c>
      <c r="F14" s="11" t="s">
        <v>54</v>
      </c>
      <c r="G14" s="7"/>
      <c r="H14" s="7"/>
    </row>
    <row r="15" spans="1:12">
      <c r="A15" s="24" t="s">
        <v>17</v>
      </c>
      <c r="B15" s="25">
        <v>68</v>
      </c>
      <c r="C15" s="25">
        <v>67.7</v>
      </c>
      <c r="F15" s="9" t="s">
        <v>55</v>
      </c>
      <c r="G15" s="13">
        <v>4200.2</v>
      </c>
      <c r="H15" s="13">
        <v>3880.2</v>
      </c>
    </row>
    <row r="16" spans="1:12">
      <c r="A16" s="16" t="s">
        <v>18</v>
      </c>
      <c r="B16" s="29">
        <v>1201.7</v>
      </c>
      <c r="C16" s="29">
        <v>1170.4000000000001</v>
      </c>
      <c r="F16" s="9" t="s">
        <v>56</v>
      </c>
      <c r="G16" s="10">
        <v>61.9</v>
      </c>
      <c r="H16" s="10">
        <v>308</v>
      </c>
    </row>
    <row r="17" spans="1:8" ht="19.2">
      <c r="A17" s="22" t="s">
        <v>19</v>
      </c>
      <c r="B17" s="26"/>
      <c r="C17" s="26"/>
      <c r="F17" s="9" t="s">
        <v>57</v>
      </c>
      <c r="G17" s="10">
        <v>-52.2</v>
      </c>
      <c r="H17" s="10">
        <v>-89.5</v>
      </c>
    </row>
    <row r="18" spans="1:8">
      <c r="A18" s="24" t="s">
        <v>20</v>
      </c>
      <c r="B18" s="25">
        <v>0.2</v>
      </c>
      <c r="C18" s="25">
        <v>1.6</v>
      </c>
      <c r="F18" s="9" t="s">
        <v>58</v>
      </c>
      <c r="G18" s="13">
        <v>1178.5</v>
      </c>
      <c r="H18" s="13">
        <v>1061.9000000000001</v>
      </c>
    </row>
    <row r="19" spans="1:8">
      <c r="A19" s="24" t="s">
        <v>21</v>
      </c>
      <c r="B19" s="25">
        <v>894.9</v>
      </c>
      <c r="C19" s="25">
        <v>892.2</v>
      </c>
      <c r="F19" s="9" t="s">
        <v>59</v>
      </c>
      <c r="G19" s="10">
        <v>17.600000000000001</v>
      </c>
      <c r="H19" s="10">
        <v>43.3</v>
      </c>
    </row>
    <row r="20" spans="1:8" ht="19.2">
      <c r="A20" s="24" t="s">
        <v>22</v>
      </c>
      <c r="B20" s="25">
        <v>507.4</v>
      </c>
      <c r="C20" s="25">
        <v>562.70000000000005</v>
      </c>
      <c r="F20" s="9" t="s">
        <v>60</v>
      </c>
      <c r="G20" s="10">
        <v>219.3</v>
      </c>
      <c r="H20" s="10">
        <v>218.3</v>
      </c>
    </row>
    <row r="21" spans="1:8">
      <c r="A21" s="24" t="s">
        <v>23</v>
      </c>
      <c r="B21" s="25">
        <v>0.8</v>
      </c>
      <c r="C21" s="25">
        <v>2.5</v>
      </c>
      <c r="F21" s="9" t="s">
        <v>61</v>
      </c>
      <c r="G21" s="10">
        <v>920.1</v>
      </c>
      <c r="H21" s="10">
        <v>963.6</v>
      </c>
    </row>
    <row r="22" spans="1:8">
      <c r="A22" s="16" t="s">
        <v>24</v>
      </c>
      <c r="B22" s="29">
        <v>1403.3</v>
      </c>
      <c r="C22" s="29">
        <v>1459</v>
      </c>
      <c r="F22" s="4" t="s">
        <v>62</v>
      </c>
      <c r="G22" s="14">
        <v>6545.4</v>
      </c>
      <c r="H22" s="14">
        <v>6385.8</v>
      </c>
    </row>
    <row r="23" spans="1:8">
      <c r="A23" s="16" t="s">
        <v>25</v>
      </c>
      <c r="B23" s="29">
        <v>9043.2000000000007</v>
      </c>
      <c r="C23" s="29">
        <v>8809.6</v>
      </c>
      <c r="F23" s="6"/>
      <c r="G23" s="8">
        <v>43525</v>
      </c>
      <c r="H23" s="8">
        <v>43160</v>
      </c>
    </row>
    <row r="24" spans="1:8">
      <c r="A24" s="22" t="s">
        <v>3</v>
      </c>
      <c r="B24" s="26"/>
      <c r="C24" s="26"/>
      <c r="F24" s="121"/>
      <c r="G24" s="121"/>
      <c r="H24" s="121"/>
    </row>
    <row r="25" spans="1:8">
      <c r="A25" s="22" t="s">
        <v>26</v>
      </c>
      <c r="B25" s="26"/>
      <c r="C25" s="26"/>
      <c r="F25" s="9"/>
      <c r="G25" s="10" t="s">
        <v>7</v>
      </c>
      <c r="H25" s="10" t="s">
        <v>7</v>
      </c>
    </row>
    <row r="26" spans="1:8">
      <c r="A26" s="24" t="s">
        <v>27</v>
      </c>
      <c r="B26" s="28">
        <v>1708.7</v>
      </c>
      <c r="C26" s="28">
        <v>1464.4</v>
      </c>
      <c r="F26" s="121"/>
      <c r="G26" s="121"/>
      <c r="H26" s="121"/>
    </row>
    <row r="27" spans="1:8" ht="19.2">
      <c r="A27" s="24" t="s">
        <v>28</v>
      </c>
      <c r="B27" s="25">
        <v>0</v>
      </c>
      <c r="C27" s="25">
        <v>0.4</v>
      </c>
      <c r="F27" s="4" t="s">
        <v>63</v>
      </c>
      <c r="G27" s="14">
        <v>1222.4000000000001</v>
      </c>
      <c r="H27" s="14">
        <v>1210.7</v>
      </c>
    </row>
    <row r="28" spans="1:8">
      <c r="A28" s="24" t="s">
        <v>29</v>
      </c>
      <c r="B28" s="25">
        <v>90.7</v>
      </c>
      <c r="C28" s="25">
        <v>92.2</v>
      </c>
      <c r="F28" s="6" t="s">
        <v>64</v>
      </c>
      <c r="G28" s="20">
        <v>1222.4000000000001</v>
      </c>
      <c r="H28" s="20">
        <v>1210.7</v>
      </c>
    </row>
    <row r="29" spans="1:8" ht="19.2" customHeight="1">
      <c r="A29" s="24" t="s">
        <v>1</v>
      </c>
      <c r="B29" s="25">
        <v>87.2</v>
      </c>
      <c r="C29" s="25">
        <v>82.2</v>
      </c>
      <c r="F29" s="11" t="s">
        <v>65</v>
      </c>
      <c r="G29" s="7"/>
      <c r="H29" s="7"/>
    </row>
    <row r="30" spans="1:8">
      <c r="A30" s="16" t="s">
        <v>0</v>
      </c>
      <c r="B30" s="29">
        <v>1886.6</v>
      </c>
      <c r="C30" s="29">
        <v>1639.2</v>
      </c>
      <c r="F30" s="9" t="s">
        <v>66</v>
      </c>
      <c r="G30" s="10">
        <v>310.60000000000002</v>
      </c>
      <c r="H30" s="10">
        <v>401.6</v>
      </c>
    </row>
    <row r="31" spans="1:8">
      <c r="A31" s="24" t="s">
        <v>30</v>
      </c>
      <c r="B31" s="28">
        <v>4602.3999999999996</v>
      </c>
      <c r="C31" s="28">
        <v>4652.8999999999996</v>
      </c>
      <c r="F31" s="9" t="s">
        <v>67</v>
      </c>
      <c r="G31" s="10">
        <v>98</v>
      </c>
      <c r="H31" s="10">
        <v>-70</v>
      </c>
    </row>
    <row r="32" spans="1:8">
      <c r="A32" s="24" t="s">
        <v>31</v>
      </c>
      <c r="B32" s="25">
        <v>29.6</v>
      </c>
      <c r="C32" s="25">
        <v>124.6</v>
      </c>
      <c r="F32" s="6" t="s">
        <v>68</v>
      </c>
      <c r="G32" s="7">
        <v>408.6</v>
      </c>
      <c r="H32" s="7">
        <v>331.6</v>
      </c>
    </row>
    <row r="33" spans="1:12" ht="19.2">
      <c r="A33" s="24" t="s">
        <v>32</v>
      </c>
      <c r="B33" s="25">
        <v>5.8</v>
      </c>
      <c r="C33" s="25">
        <v>4.8</v>
      </c>
      <c r="F33" s="6" t="s">
        <v>69</v>
      </c>
      <c r="G33" s="7">
        <v>813.8</v>
      </c>
      <c r="H33" s="7">
        <v>879.1</v>
      </c>
      <c r="L33" s="91"/>
    </row>
    <row r="34" spans="1:12" ht="19.2">
      <c r="A34" s="24" t="s">
        <v>33</v>
      </c>
      <c r="B34" s="25">
        <v>106.7</v>
      </c>
      <c r="C34" s="25">
        <v>48.1</v>
      </c>
      <c r="F34" s="6" t="s">
        <v>70</v>
      </c>
      <c r="G34" s="7">
        <v>813.8</v>
      </c>
      <c r="H34" s="7">
        <v>879.1</v>
      </c>
    </row>
    <row r="35" spans="1:12">
      <c r="A35" s="16" t="s">
        <v>34</v>
      </c>
      <c r="B35" s="29">
        <v>6631.1</v>
      </c>
      <c r="C35" s="29">
        <v>6469.6</v>
      </c>
      <c r="F35" s="4" t="s">
        <v>71</v>
      </c>
      <c r="G35" s="12">
        <v>813.8</v>
      </c>
      <c r="H35" s="12">
        <v>879.1</v>
      </c>
    </row>
    <row r="36" spans="1:12">
      <c r="A36" s="22" t="s">
        <v>35</v>
      </c>
      <c r="B36" s="26"/>
      <c r="C36" s="26"/>
    </row>
    <row r="37" spans="1:12">
      <c r="A37" s="24" t="s">
        <v>36</v>
      </c>
      <c r="B37" s="25">
        <v>1</v>
      </c>
      <c r="C37" s="25">
        <v>0.9</v>
      </c>
      <c r="F37" s="45" t="s">
        <v>159</v>
      </c>
    </row>
    <row r="38" spans="1:12">
      <c r="A38" s="24" t="s">
        <v>37</v>
      </c>
      <c r="B38" s="28">
        <v>1055.0999999999999</v>
      </c>
      <c r="C38" s="25">
        <v>924.2</v>
      </c>
      <c r="F38" t="s">
        <v>160</v>
      </c>
      <c r="G38">
        <v>2.58</v>
      </c>
      <c r="H38">
        <v>4.18</v>
      </c>
    </row>
    <row r="39" spans="1:12">
      <c r="A39" s="24" t="s">
        <v>38</v>
      </c>
      <c r="B39" s="25">
        <v>809</v>
      </c>
      <c r="C39" s="25">
        <v>925</v>
      </c>
      <c r="F39" s="32" t="s">
        <v>161</v>
      </c>
      <c r="G39">
        <v>2.58</v>
      </c>
      <c r="H39">
        <v>4.18</v>
      </c>
    </row>
    <row r="40" spans="1:12">
      <c r="A40" s="24" t="s">
        <v>39</v>
      </c>
      <c r="B40" s="25">
        <v>138.19999999999999</v>
      </c>
      <c r="C40" s="25">
        <v>105.4</v>
      </c>
    </row>
    <row r="41" spans="1:12">
      <c r="A41" s="24" t="s">
        <v>40</v>
      </c>
      <c r="B41" s="25">
        <v>11</v>
      </c>
      <c r="C41" s="25">
        <v>12.9</v>
      </c>
      <c r="F41" s="22" t="s">
        <v>4</v>
      </c>
      <c r="G41" s="3" t="s">
        <v>44</v>
      </c>
    </row>
    <row r="42" spans="1:12">
      <c r="A42" s="24" t="s">
        <v>41</v>
      </c>
      <c r="B42" s="25">
        <v>397.8</v>
      </c>
      <c r="C42" s="25">
        <v>371.6</v>
      </c>
    </row>
    <row r="43" spans="1:12">
      <c r="A43" s="16" t="s">
        <v>42</v>
      </c>
      <c r="B43" s="29">
        <v>2412.1</v>
      </c>
      <c r="C43" s="29">
        <v>2340</v>
      </c>
    </row>
    <row r="44" spans="1:12">
      <c r="A44" s="16" t="s">
        <v>2</v>
      </c>
      <c r="B44" s="29">
        <v>9043.2000000000007</v>
      </c>
      <c r="C44" s="29">
        <v>8809.6</v>
      </c>
    </row>
    <row r="46" spans="1:12">
      <c r="A46" t="s">
        <v>4</v>
      </c>
      <c r="B46" s="3" t="s">
        <v>44</v>
      </c>
    </row>
  </sheetData>
  <mergeCells count="4">
    <mergeCell ref="F3:H3"/>
    <mergeCell ref="F5:H5"/>
    <mergeCell ref="F24:H24"/>
    <mergeCell ref="F26:H26"/>
  </mergeCells>
  <hyperlinks>
    <hyperlink ref="G41" r:id="rId1" xr:uid="{1D5CE0C7-E72C-4FDC-932D-C4224F640410}"/>
    <hyperlink ref="B46" r:id="rId2" xr:uid="{24432A56-A396-47BF-956A-BE8FA575EC34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28C5-A0EF-4AB1-8FDD-311190B3E473}">
  <dimension ref="A1:U158"/>
  <sheetViews>
    <sheetView tabSelected="1" workbookViewId="0">
      <selection activeCell="L23" sqref="L23"/>
    </sheetView>
  </sheetViews>
  <sheetFormatPr defaultRowHeight="14.4"/>
  <cols>
    <col min="1" max="1" width="10.33203125" bestFit="1" customWidth="1"/>
    <col min="8" max="8" width="17.5546875" bestFit="1" customWidth="1"/>
    <col min="9" max="9" width="15.109375" bestFit="1" customWidth="1"/>
    <col min="13" max="13" width="17.44140625" bestFit="1" customWidth="1"/>
    <col min="14" max="14" width="36.44140625" customWidth="1"/>
  </cols>
  <sheetData>
    <row r="1" spans="1:14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M1" t="s">
        <v>85</v>
      </c>
      <c r="N1" s="3" t="s">
        <v>86</v>
      </c>
    </row>
    <row r="2" spans="1:14">
      <c r="A2" s="34">
        <v>42457</v>
      </c>
      <c r="B2">
        <v>113.333</v>
      </c>
      <c r="C2">
        <v>119.62200199999999</v>
      </c>
      <c r="D2">
        <v>106.82199900000001</v>
      </c>
      <c r="E2">
        <v>116.444</v>
      </c>
      <c r="F2">
        <v>109.58712800000001</v>
      </c>
      <c r="G2">
        <v>2394534</v>
      </c>
      <c r="I2">
        <v>25269.640630000002</v>
      </c>
      <c r="M2" t="s">
        <v>87</v>
      </c>
      <c r="N2" s="3" t="s">
        <v>88</v>
      </c>
    </row>
    <row r="3" spans="1:14">
      <c r="A3" s="34">
        <v>42464</v>
      </c>
      <c r="B3">
        <v>116.667</v>
      </c>
      <c r="C3">
        <v>118.53299699999999</v>
      </c>
      <c r="D3">
        <v>107.155998</v>
      </c>
      <c r="E3">
        <v>108.356003</v>
      </c>
      <c r="F3">
        <v>101.975388</v>
      </c>
      <c r="G3">
        <v>1448276</v>
      </c>
      <c r="H3">
        <f>LN(F3/F2)</f>
        <v>-7.1988432310692171E-2</v>
      </c>
      <c r="I3">
        <v>24673.839840000001</v>
      </c>
      <c r="J3">
        <f>LN(I3/I2)</f>
        <v>-2.3860133503055891E-2</v>
      </c>
    </row>
    <row r="4" spans="1:14">
      <c r="A4" s="34">
        <v>42471</v>
      </c>
      <c r="B4">
        <v>108.889</v>
      </c>
      <c r="C4">
        <v>115.111</v>
      </c>
      <c r="D4">
        <v>107.844002</v>
      </c>
      <c r="E4">
        <v>114.511002</v>
      </c>
      <c r="F4">
        <v>107.76795199999999</v>
      </c>
      <c r="G4">
        <v>960785</v>
      </c>
      <c r="H4">
        <f t="shared" ref="H4:H67" si="0">LN(F4/F3)</f>
        <v>5.5248832944420748E-2</v>
      </c>
      <c r="I4">
        <v>25626.75</v>
      </c>
      <c r="J4">
        <f t="shared" ref="J4:J67" si="1">LN(I4/I3)</f>
        <v>3.7893161224657392E-2</v>
      </c>
    </row>
    <row r="5" spans="1:14">
      <c r="A5" s="34">
        <v>42478</v>
      </c>
      <c r="B5">
        <v>115.421997</v>
      </c>
      <c r="C5">
        <v>123.733002</v>
      </c>
      <c r="D5">
        <v>113.111</v>
      </c>
      <c r="E5">
        <v>121.77800000000001</v>
      </c>
      <c r="F5">
        <v>114.607033</v>
      </c>
      <c r="G5">
        <v>1879298</v>
      </c>
      <c r="H5">
        <f t="shared" si="0"/>
        <v>6.1528849385191632E-2</v>
      </c>
      <c r="I5">
        <v>25838.140630000002</v>
      </c>
      <c r="J5">
        <f t="shared" si="1"/>
        <v>8.2149914723652906E-3</v>
      </c>
    </row>
    <row r="6" spans="1:14">
      <c r="A6" s="34">
        <v>42485</v>
      </c>
      <c r="B6">
        <v>120</v>
      </c>
      <c r="C6">
        <v>120</v>
      </c>
      <c r="D6">
        <v>111.556</v>
      </c>
      <c r="E6">
        <v>112.333</v>
      </c>
      <c r="F6">
        <v>105.71820099999999</v>
      </c>
      <c r="G6">
        <v>1845529</v>
      </c>
      <c r="H6">
        <f t="shared" si="0"/>
        <v>-8.0732099436572044E-2</v>
      </c>
      <c r="I6">
        <v>25606.619139999999</v>
      </c>
      <c r="J6">
        <f t="shared" si="1"/>
        <v>-9.0008410611749287E-3</v>
      </c>
    </row>
    <row r="7" spans="1:14">
      <c r="A7" s="34">
        <v>42492</v>
      </c>
      <c r="B7">
        <v>111.111</v>
      </c>
      <c r="C7">
        <v>117.91100299999999</v>
      </c>
      <c r="D7">
        <v>110.866997</v>
      </c>
      <c r="E7">
        <v>114.155998</v>
      </c>
      <c r="F7">
        <v>107.433853</v>
      </c>
      <c r="G7">
        <v>1223142</v>
      </c>
      <c r="H7">
        <f t="shared" si="0"/>
        <v>1.6098264306313149E-2</v>
      </c>
      <c r="I7">
        <v>25228.5</v>
      </c>
      <c r="J7">
        <f t="shared" si="1"/>
        <v>-1.4876570367390107E-2</v>
      </c>
      <c r="M7" t="s">
        <v>89</v>
      </c>
    </row>
    <row r="8" spans="1:14" ht="15" thickBot="1">
      <c r="A8" s="34">
        <v>42499</v>
      </c>
      <c r="B8">
        <v>115.067001</v>
      </c>
      <c r="C8">
        <v>119.46700300000001</v>
      </c>
      <c r="D8">
        <v>110.333</v>
      </c>
      <c r="E8">
        <v>116.889</v>
      </c>
      <c r="F8">
        <v>110.00592</v>
      </c>
      <c r="G8">
        <v>1247774</v>
      </c>
      <c r="H8">
        <f t="shared" si="0"/>
        <v>2.3658845276220111E-2</v>
      </c>
      <c r="I8">
        <v>25489.570309999999</v>
      </c>
      <c r="J8">
        <f t="shared" si="1"/>
        <v>1.0295053193578195E-2</v>
      </c>
    </row>
    <row r="9" spans="1:14">
      <c r="A9" s="34">
        <v>42506</v>
      </c>
      <c r="B9">
        <v>116.400002</v>
      </c>
      <c r="C9">
        <v>131.733002</v>
      </c>
      <c r="D9">
        <v>116.400002</v>
      </c>
      <c r="E9">
        <v>119.022003</v>
      </c>
      <c r="F9">
        <v>112.013313</v>
      </c>
      <c r="G9">
        <v>7696906</v>
      </c>
      <c r="H9">
        <f t="shared" si="0"/>
        <v>1.8083547776423434E-2</v>
      </c>
      <c r="I9">
        <v>25301.900389999999</v>
      </c>
      <c r="J9">
        <f t="shared" si="1"/>
        <v>-7.38985390524726E-3</v>
      </c>
      <c r="M9" s="38" t="s">
        <v>90</v>
      </c>
      <c r="N9" s="38"/>
    </row>
    <row r="10" spans="1:14">
      <c r="A10" s="34">
        <v>42513</v>
      </c>
      <c r="B10">
        <v>120.53299699999999</v>
      </c>
      <c r="C10">
        <v>124.578003</v>
      </c>
      <c r="D10">
        <v>113.511002</v>
      </c>
      <c r="E10">
        <v>123.956001</v>
      </c>
      <c r="F10">
        <v>116.65677599999999</v>
      </c>
      <c r="G10">
        <v>2339494</v>
      </c>
      <c r="H10">
        <f t="shared" si="0"/>
        <v>4.0618354776196033E-2</v>
      </c>
      <c r="I10">
        <v>26653.599610000001</v>
      </c>
      <c r="J10">
        <f t="shared" si="1"/>
        <v>5.2044704142580375E-2</v>
      </c>
      <c r="M10" s="35" t="s">
        <v>91</v>
      </c>
      <c r="N10" s="35">
        <v>0.42197133624276245</v>
      </c>
    </row>
    <row r="11" spans="1:14">
      <c r="A11" s="34">
        <v>42520</v>
      </c>
      <c r="B11">
        <v>124.043999</v>
      </c>
      <c r="C11">
        <v>133.199997</v>
      </c>
      <c r="D11">
        <v>122.421997</v>
      </c>
      <c r="E11">
        <v>122.866997</v>
      </c>
      <c r="F11">
        <v>115.631889</v>
      </c>
      <c r="G11">
        <v>2819655</v>
      </c>
      <c r="H11">
        <f t="shared" si="0"/>
        <v>-8.824310480427441E-3</v>
      </c>
      <c r="I11">
        <v>26843.029299999998</v>
      </c>
      <c r="J11">
        <f t="shared" si="1"/>
        <v>7.0819595769970401E-3</v>
      </c>
      <c r="M11" s="35" t="s">
        <v>92</v>
      </c>
      <c r="N11" s="35">
        <v>0.1780598086105025</v>
      </c>
    </row>
    <row r="12" spans="1:14">
      <c r="A12" s="34">
        <v>42527</v>
      </c>
      <c r="B12">
        <v>124</v>
      </c>
      <c r="C12">
        <v>130.60000600000001</v>
      </c>
      <c r="D12">
        <v>120.889</v>
      </c>
      <c r="E12">
        <v>128.17799400000001</v>
      </c>
      <c r="F12">
        <v>120.630157</v>
      </c>
      <c r="G12">
        <v>2125275</v>
      </c>
      <c r="H12">
        <f t="shared" si="0"/>
        <v>4.2317536478621486E-2</v>
      </c>
      <c r="I12">
        <v>26635.75</v>
      </c>
      <c r="J12">
        <f t="shared" si="1"/>
        <v>-7.7518724507020216E-3</v>
      </c>
      <c r="M12" s="35" t="s">
        <v>93</v>
      </c>
      <c r="N12" s="35">
        <v>0.17272253464044082</v>
      </c>
    </row>
    <row r="13" spans="1:14">
      <c r="A13" s="34">
        <v>42534</v>
      </c>
      <c r="B13">
        <v>126.667</v>
      </c>
      <c r="C13">
        <v>132.44399999999999</v>
      </c>
      <c r="D13">
        <v>124.956001</v>
      </c>
      <c r="E13">
        <v>129.35600299999999</v>
      </c>
      <c r="F13">
        <v>121.738792</v>
      </c>
      <c r="G13">
        <v>1880258</v>
      </c>
      <c r="H13">
        <f t="shared" si="0"/>
        <v>9.1483891533801851E-3</v>
      </c>
      <c r="I13">
        <v>26625.910159999999</v>
      </c>
      <c r="J13">
        <f t="shared" si="1"/>
        <v>-3.6949055220536871E-4</v>
      </c>
      <c r="M13" s="35" t="s">
        <v>94</v>
      </c>
      <c r="N13" s="35">
        <v>3.9352669238406454E-2</v>
      </c>
    </row>
    <row r="14" spans="1:14" ht="15" thickBot="1">
      <c r="A14" s="34">
        <v>42541</v>
      </c>
      <c r="B14">
        <v>128.44399999999999</v>
      </c>
      <c r="C14">
        <v>136.71099899999999</v>
      </c>
      <c r="D14">
        <v>117.578003</v>
      </c>
      <c r="E14">
        <v>122.77800000000001</v>
      </c>
      <c r="F14">
        <v>115.548141</v>
      </c>
      <c r="G14">
        <v>5623311</v>
      </c>
      <c r="H14">
        <f t="shared" si="0"/>
        <v>-5.2190451912783986E-2</v>
      </c>
      <c r="I14">
        <v>26397.710940000001</v>
      </c>
      <c r="J14">
        <f t="shared" si="1"/>
        <v>-8.6075082836257442E-3</v>
      </c>
      <c r="M14" s="36" t="s">
        <v>95</v>
      </c>
      <c r="N14" s="36">
        <v>156</v>
      </c>
    </row>
    <row r="15" spans="1:14">
      <c r="A15" s="34">
        <v>42548</v>
      </c>
      <c r="B15">
        <v>122.643997</v>
      </c>
      <c r="C15">
        <v>130.86700400000001</v>
      </c>
      <c r="D15">
        <v>120.022003</v>
      </c>
      <c r="E15">
        <v>127.733002</v>
      </c>
      <c r="F15">
        <v>120.211365</v>
      </c>
      <c r="G15">
        <v>3036129</v>
      </c>
      <c r="H15">
        <f t="shared" si="0"/>
        <v>3.9564320062721516E-2</v>
      </c>
      <c r="I15">
        <v>27144.910159999999</v>
      </c>
      <c r="J15">
        <f t="shared" si="1"/>
        <v>2.791225814365236E-2</v>
      </c>
    </row>
    <row r="16" spans="1:14" ht="15" thickBot="1">
      <c r="A16" s="34">
        <v>42555</v>
      </c>
      <c r="B16">
        <v>128.88900799999999</v>
      </c>
      <c r="C16">
        <v>130.71099899999999</v>
      </c>
      <c r="D16">
        <v>121.82199900000001</v>
      </c>
      <c r="E16">
        <v>123.511002</v>
      </c>
      <c r="F16">
        <v>116.237984</v>
      </c>
      <c r="G16">
        <v>2080081</v>
      </c>
      <c r="H16">
        <f t="shared" si="0"/>
        <v>-3.3611892695982165E-2</v>
      </c>
      <c r="I16">
        <v>27126.900389999999</v>
      </c>
      <c r="J16">
        <f t="shared" si="1"/>
        <v>-6.6368785115390402E-4</v>
      </c>
      <c r="M16" t="s">
        <v>96</v>
      </c>
    </row>
    <row r="17" spans="1:21">
      <c r="A17" s="34">
        <v>42562</v>
      </c>
      <c r="B17">
        <v>124.24400300000001</v>
      </c>
      <c r="C17">
        <v>136.955994</v>
      </c>
      <c r="D17">
        <v>123.067001</v>
      </c>
      <c r="E17">
        <v>134.86700400000001</v>
      </c>
      <c r="F17">
        <v>126.92525500000001</v>
      </c>
      <c r="G17">
        <v>2707664</v>
      </c>
      <c r="H17">
        <f t="shared" si="0"/>
        <v>8.7958694207671884E-2</v>
      </c>
      <c r="I17">
        <v>27836.5</v>
      </c>
      <c r="J17">
        <f t="shared" si="1"/>
        <v>2.5822239304861397E-2</v>
      </c>
      <c r="M17" s="37"/>
      <c r="N17" s="37" t="s">
        <v>101</v>
      </c>
      <c r="O17" s="37" t="s">
        <v>102</v>
      </c>
      <c r="P17" s="37" t="s">
        <v>103</v>
      </c>
      <c r="Q17" s="37" t="s">
        <v>104</v>
      </c>
      <c r="R17" s="37" t="s">
        <v>105</v>
      </c>
    </row>
    <row r="18" spans="1:21">
      <c r="A18" s="34">
        <v>42569</v>
      </c>
      <c r="B18">
        <v>134.88900799999999</v>
      </c>
      <c r="C18">
        <v>141.733002</v>
      </c>
      <c r="D18">
        <v>131.11099200000001</v>
      </c>
      <c r="E18">
        <v>139.75599700000001</v>
      </c>
      <c r="F18">
        <v>131.52636699999999</v>
      </c>
      <c r="G18">
        <v>3905412</v>
      </c>
      <c r="H18">
        <f t="shared" si="0"/>
        <v>3.5608971132269615E-2</v>
      </c>
      <c r="I18">
        <v>27803.240229999999</v>
      </c>
      <c r="J18">
        <f t="shared" si="1"/>
        <v>-1.1955402316428611E-3</v>
      </c>
      <c r="M18" s="35" t="s">
        <v>97</v>
      </c>
      <c r="N18" s="35">
        <v>1</v>
      </c>
      <c r="O18" s="35">
        <v>5.1664805230287908E-2</v>
      </c>
      <c r="P18" s="35">
        <v>5.1664805230287908E-2</v>
      </c>
      <c r="Q18" s="35">
        <v>33.361564275937859</v>
      </c>
      <c r="R18" s="35">
        <v>4.1007424809323941E-8</v>
      </c>
    </row>
    <row r="19" spans="1:21">
      <c r="A19" s="34">
        <v>42576</v>
      </c>
      <c r="B19">
        <v>140.44399999999999</v>
      </c>
      <c r="C19">
        <v>147.91099500000001</v>
      </c>
      <c r="D19">
        <v>139.82200599999999</v>
      </c>
      <c r="E19">
        <v>146.86700400000001</v>
      </c>
      <c r="F19">
        <v>138.218658</v>
      </c>
      <c r="G19">
        <v>2051149</v>
      </c>
      <c r="H19">
        <f t="shared" si="0"/>
        <v>4.9629568432624539E-2</v>
      </c>
      <c r="I19">
        <v>28051.859380000002</v>
      </c>
      <c r="J19">
        <f t="shared" si="1"/>
        <v>8.9023488882380049E-3</v>
      </c>
      <c r="M19" s="35" t="s">
        <v>98</v>
      </c>
      <c r="N19" s="35">
        <v>154</v>
      </c>
      <c r="O19" s="35">
        <v>0.23848941673286297</v>
      </c>
      <c r="P19" s="35">
        <v>1.5486325761874219E-3</v>
      </c>
      <c r="Q19" s="35"/>
      <c r="R19" s="35"/>
    </row>
    <row r="20" spans="1:21" ht="15" thickBot="1">
      <c r="A20" s="34">
        <v>42583</v>
      </c>
      <c r="B20">
        <v>147.578003</v>
      </c>
      <c r="C20">
        <v>159.35600299999999</v>
      </c>
      <c r="D20">
        <v>145.71099899999999</v>
      </c>
      <c r="E20">
        <v>155.955994</v>
      </c>
      <c r="F20">
        <v>146.77243000000001</v>
      </c>
      <c r="G20">
        <v>3942888</v>
      </c>
      <c r="H20">
        <f t="shared" si="0"/>
        <v>6.0046382546246446E-2</v>
      </c>
      <c r="I20">
        <v>28078.349610000001</v>
      </c>
      <c r="J20">
        <f t="shared" si="1"/>
        <v>9.438850288777009E-4</v>
      </c>
      <c r="M20" s="36" t="s">
        <v>99</v>
      </c>
      <c r="N20" s="36">
        <v>155</v>
      </c>
      <c r="O20" s="36">
        <v>0.29015422196315088</v>
      </c>
      <c r="P20" s="36"/>
      <c r="Q20" s="36"/>
      <c r="R20" s="36"/>
    </row>
    <row r="21" spans="1:21" ht="15" thickBot="1">
      <c r="A21" s="34">
        <v>42590</v>
      </c>
      <c r="B21">
        <v>157.733002</v>
      </c>
      <c r="C21">
        <v>157.77799999999999</v>
      </c>
      <c r="D21">
        <v>137.86700400000001</v>
      </c>
      <c r="E21">
        <v>141.68899500000001</v>
      </c>
      <c r="F21">
        <v>133.345551</v>
      </c>
      <c r="G21">
        <v>6074323</v>
      </c>
      <c r="H21">
        <f t="shared" si="0"/>
        <v>-9.5939405261178071E-2</v>
      </c>
      <c r="I21">
        <v>28152.400389999999</v>
      </c>
      <c r="J21">
        <f t="shared" si="1"/>
        <v>2.6338194958291051E-3</v>
      </c>
    </row>
    <row r="22" spans="1:21">
      <c r="A22" s="34">
        <v>42597</v>
      </c>
      <c r="B22">
        <v>141.68899500000001</v>
      </c>
      <c r="C22">
        <v>151.55600000000001</v>
      </c>
      <c r="D22">
        <v>141.48899800000001</v>
      </c>
      <c r="E22">
        <v>147.55600000000001</v>
      </c>
      <c r="F22">
        <v>138.86708100000001</v>
      </c>
      <c r="G22">
        <v>2745386</v>
      </c>
      <c r="H22">
        <f t="shared" si="0"/>
        <v>4.0573337089827993E-2</v>
      </c>
      <c r="I22">
        <v>28077</v>
      </c>
      <c r="J22">
        <f t="shared" si="1"/>
        <v>-2.6818865102679972E-3</v>
      </c>
      <c r="M22" s="37"/>
      <c r="N22" s="37" t="s">
        <v>106</v>
      </c>
      <c r="O22" s="37" t="s">
        <v>94</v>
      </c>
      <c r="P22" s="37" t="s">
        <v>107</v>
      </c>
      <c r="Q22" s="37" t="s">
        <v>108</v>
      </c>
      <c r="R22" s="37" t="s">
        <v>109</v>
      </c>
      <c r="S22" s="37" t="s">
        <v>110</v>
      </c>
      <c r="T22" s="37" t="s">
        <v>111</v>
      </c>
      <c r="U22" s="37" t="s">
        <v>112</v>
      </c>
    </row>
    <row r="23" spans="1:21">
      <c r="A23" s="34">
        <v>42604</v>
      </c>
      <c r="B23">
        <v>147.55600000000001</v>
      </c>
      <c r="C23">
        <v>149.11099200000001</v>
      </c>
      <c r="D23">
        <v>141.55600000000001</v>
      </c>
      <c r="E23">
        <v>143.199997</v>
      </c>
      <c r="F23">
        <v>134.767563</v>
      </c>
      <c r="G23">
        <v>2283965</v>
      </c>
      <c r="H23">
        <f t="shared" si="0"/>
        <v>-2.9965684873470188E-2</v>
      </c>
      <c r="I23">
        <v>27782.25</v>
      </c>
      <c r="J23">
        <f t="shared" si="1"/>
        <v>-1.0553408276311113E-2</v>
      </c>
      <c r="M23" s="35" t="s">
        <v>100</v>
      </c>
      <c r="N23" s="35">
        <v>-1.6516985770156877E-3</v>
      </c>
      <c r="O23" s="35">
        <v>3.1965888881721402E-3</v>
      </c>
      <c r="P23" s="35">
        <v>-0.51670660031611226</v>
      </c>
      <c r="Q23" s="35">
        <v>0.60610222019511983</v>
      </c>
      <c r="R23" s="35">
        <v>-7.9665217526843357E-3</v>
      </c>
      <c r="S23" s="35">
        <v>4.6631245986529599E-3</v>
      </c>
      <c r="T23" s="35">
        <v>-7.9665217526843357E-3</v>
      </c>
      <c r="U23" s="35">
        <v>4.6631245986529599E-3</v>
      </c>
    </row>
    <row r="24" spans="1:21" ht="15" thickBot="1">
      <c r="A24" s="34">
        <v>42611</v>
      </c>
      <c r="B24">
        <v>143.55600000000001</v>
      </c>
      <c r="C24">
        <v>146.60000600000001</v>
      </c>
      <c r="D24">
        <v>141.77799999999999</v>
      </c>
      <c r="E24">
        <v>142.533005</v>
      </c>
      <c r="F24">
        <v>134.139847</v>
      </c>
      <c r="G24">
        <v>1580153</v>
      </c>
      <c r="H24">
        <f t="shared" si="0"/>
        <v>-4.6686488866621249E-3</v>
      </c>
      <c r="I24">
        <v>28532.109380000002</v>
      </c>
      <c r="J24">
        <f t="shared" si="1"/>
        <v>2.6632770431880264E-2</v>
      </c>
      <c r="M24" s="36" t="s">
        <v>259</v>
      </c>
      <c r="N24" s="122">
        <v>1.1423379782838905</v>
      </c>
      <c r="O24" s="36">
        <v>0.19777500888164398</v>
      </c>
      <c r="P24" s="36">
        <v>5.775947045804501</v>
      </c>
      <c r="Q24" s="36">
        <v>4.1007424809325662E-8</v>
      </c>
      <c r="R24" s="36">
        <v>0.75163581002101232</v>
      </c>
      <c r="S24" s="36">
        <v>1.5330401465467687</v>
      </c>
      <c r="T24" s="36">
        <v>0.75163581002101232</v>
      </c>
      <c r="U24" s="36">
        <v>1.5330401465467687</v>
      </c>
    </row>
    <row r="25" spans="1:21">
      <c r="A25" s="34">
        <v>42618</v>
      </c>
      <c r="B25">
        <v>142.533005</v>
      </c>
      <c r="C25">
        <v>152.44399999999999</v>
      </c>
      <c r="D25">
        <v>142.533005</v>
      </c>
      <c r="E25">
        <v>146.28900100000001</v>
      </c>
      <c r="F25">
        <v>137.67469800000001</v>
      </c>
      <c r="G25">
        <v>3334229</v>
      </c>
      <c r="H25">
        <f t="shared" si="0"/>
        <v>2.6010751502754725E-2</v>
      </c>
      <c r="I25">
        <v>28797.25</v>
      </c>
      <c r="J25">
        <f t="shared" si="1"/>
        <v>9.2497984729019919E-3</v>
      </c>
    </row>
    <row r="26" spans="1:21">
      <c r="A26" s="34">
        <v>42625</v>
      </c>
      <c r="B26">
        <v>145.64399700000001</v>
      </c>
      <c r="C26">
        <v>145.64399700000001</v>
      </c>
      <c r="D26">
        <v>137.28900100000001</v>
      </c>
      <c r="E26">
        <v>141.578003</v>
      </c>
      <c r="F26">
        <v>133.24110400000001</v>
      </c>
      <c r="G26">
        <v>2400681</v>
      </c>
      <c r="H26">
        <f t="shared" si="0"/>
        <v>-3.2733342483109752E-2</v>
      </c>
      <c r="I26">
        <v>28599.029299999998</v>
      </c>
      <c r="J26">
        <f t="shared" si="1"/>
        <v>-6.9071197813277835E-3</v>
      </c>
    </row>
    <row r="27" spans="1:21">
      <c r="A27" s="34">
        <v>42632</v>
      </c>
      <c r="B27">
        <v>142.31100499999999</v>
      </c>
      <c r="C27">
        <v>145.55600000000001</v>
      </c>
      <c r="D27">
        <v>140.88900799999999</v>
      </c>
      <c r="E27">
        <v>141.71099899999999</v>
      </c>
      <c r="F27">
        <v>133.36625699999999</v>
      </c>
      <c r="G27">
        <v>2460283</v>
      </c>
      <c r="H27">
        <f t="shared" si="0"/>
        <v>9.3885636708290439E-4</v>
      </c>
      <c r="I27">
        <v>28668.220700000002</v>
      </c>
      <c r="J27">
        <f t="shared" si="1"/>
        <v>2.4164398908078427E-3</v>
      </c>
    </row>
    <row r="28" spans="1:21">
      <c r="A28" s="34">
        <v>42639</v>
      </c>
      <c r="B28">
        <v>141.33299299999999</v>
      </c>
      <c r="C28">
        <v>142.08900499999999</v>
      </c>
      <c r="D28">
        <v>127.733002</v>
      </c>
      <c r="E28">
        <v>141.17799400000001</v>
      </c>
      <c r="F28">
        <v>132.86463900000001</v>
      </c>
      <c r="G28">
        <v>1456450</v>
      </c>
      <c r="H28">
        <f t="shared" si="0"/>
        <v>-3.7682973773552233E-3</v>
      </c>
      <c r="I28">
        <v>27865.960940000001</v>
      </c>
      <c r="J28">
        <f t="shared" si="1"/>
        <v>-2.8383310598937464E-2</v>
      </c>
    </row>
    <row r="29" spans="1:21">
      <c r="A29" s="34">
        <v>42646</v>
      </c>
      <c r="B29">
        <v>142.22200000000001</v>
      </c>
      <c r="C29">
        <v>150.17799400000001</v>
      </c>
      <c r="D29">
        <v>142.22200000000001</v>
      </c>
      <c r="E29">
        <v>146.28900100000001</v>
      </c>
      <c r="F29">
        <v>137.67469800000001</v>
      </c>
      <c r="G29">
        <v>2470829</v>
      </c>
      <c r="H29">
        <f t="shared" si="0"/>
        <v>3.5562783493382016E-2</v>
      </c>
      <c r="I29">
        <v>28061.140630000002</v>
      </c>
      <c r="J29">
        <f t="shared" si="1"/>
        <v>6.9798175451550471E-3</v>
      </c>
    </row>
    <row r="30" spans="1:21">
      <c r="A30" s="34">
        <v>42653</v>
      </c>
      <c r="B30">
        <v>146.28900100000001</v>
      </c>
      <c r="C30">
        <v>148.15600599999999</v>
      </c>
      <c r="D30">
        <v>140.533005</v>
      </c>
      <c r="E30">
        <v>146.82200599999999</v>
      </c>
      <c r="F30">
        <v>138.1763</v>
      </c>
      <c r="G30">
        <v>686724</v>
      </c>
      <c r="H30">
        <f t="shared" si="0"/>
        <v>3.6367644597116908E-3</v>
      </c>
      <c r="I30">
        <v>27673.599610000001</v>
      </c>
      <c r="J30">
        <f t="shared" si="1"/>
        <v>-1.3906847477663712E-2</v>
      </c>
    </row>
    <row r="31" spans="1:21">
      <c r="A31" s="34">
        <v>42660</v>
      </c>
      <c r="B31">
        <v>148</v>
      </c>
      <c r="C31">
        <v>149.800003</v>
      </c>
      <c r="D31">
        <v>142.31100499999999</v>
      </c>
      <c r="E31">
        <v>148.55600000000001</v>
      </c>
      <c r="F31">
        <v>139.80818199999999</v>
      </c>
      <c r="G31">
        <v>1696170</v>
      </c>
      <c r="H31">
        <f t="shared" si="0"/>
        <v>1.1740948519450251E-2</v>
      </c>
      <c r="I31">
        <v>28077.179690000001</v>
      </c>
      <c r="J31">
        <f t="shared" si="1"/>
        <v>1.4478259673289934E-2</v>
      </c>
    </row>
    <row r="32" spans="1:21">
      <c r="A32" s="34">
        <v>42667</v>
      </c>
      <c r="B32">
        <v>148.55600000000001</v>
      </c>
      <c r="C32">
        <v>149.55600000000001</v>
      </c>
      <c r="D32">
        <v>143.17799400000001</v>
      </c>
      <c r="E32">
        <v>147.15600599999999</v>
      </c>
      <c r="F32">
        <v>138.49063100000001</v>
      </c>
      <c r="G32">
        <v>1175670</v>
      </c>
      <c r="H32">
        <f t="shared" si="0"/>
        <v>-9.4686774235845407E-3</v>
      </c>
      <c r="I32">
        <v>27941.509770000001</v>
      </c>
      <c r="J32">
        <f t="shared" si="1"/>
        <v>-4.8437472052179865E-3</v>
      </c>
    </row>
    <row r="33" spans="1:10">
      <c r="A33" s="34">
        <v>42674</v>
      </c>
      <c r="B33">
        <v>147.15600599999999</v>
      </c>
      <c r="C33">
        <v>147.17799400000001</v>
      </c>
      <c r="D33">
        <v>133.33299299999999</v>
      </c>
      <c r="E33">
        <v>134.44399999999999</v>
      </c>
      <c r="F33">
        <v>126.527176</v>
      </c>
      <c r="G33">
        <v>1054981</v>
      </c>
      <c r="H33">
        <f t="shared" si="0"/>
        <v>-9.0345561995466908E-2</v>
      </c>
      <c r="I33">
        <v>27274.150389999999</v>
      </c>
      <c r="J33">
        <f t="shared" si="1"/>
        <v>-2.4174007054688324E-2</v>
      </c>
    </row>
    <row r="34" spans="1:10">
      <c r="A34" s="34">
        <v>42681</v>
      </c>
      <c r="B34">
        <v>134.44399999999999</v>
      </c>
      <c r="C34">
        <v>149.067001</v>
      </c>
      <c r="D34">
        <v>124.710999</v>
      </c>
      <c r="E34">
        <v>134.31100499999999</v>
      </c>
      <c r="F34">
        <v>126.402023</v>
      </c>
      <c r="G34">
        <v>4337768</v>
      </c>
      <c r="H34">
        <f t="shared" si="0"/>
        <v>-9.8962880291416353E-4</v>
      </c>
      <c r="I34">
        <v>26818.820309999999</v>
      </c>
      <c r="J34">
        <f t="shared" si="1"/>
        <v>-1.6835490035587035E-2</v>
      </c>
    </row>
    <row r="35" spans="1:10">
      <c r="A35" s="34">
        <v>42688</v>
      </c>
      <c r="B35">
        <v>134.31100499999999</v>
      </c>
      <c r="C35">
        <v>136.44399999999999</v>
      </c>
      <c r="D35">
        <v>123.556</v>
      </c>
      <c r="E35">
        <v>129.24400299999999</v>
      </c>
      <c r="F35">
        <v>121.63339999999999</v>
      </c>
      <c r="G35">
        <v>2984369</v>
      </c>
      <c r="H35">
        <f t="shared" si="0"/>
        <v>-3.8455883462007255E-2</v>
      </c>
      <c r="I35">
        <v>26150.240229999999</v>
      </c>
      <c r="J35">
        <f t="shared" si="1"/>
        <v>-2.5245514343116792E-2</v>
      </c>
    </row>
    <row r="36" spans="1:10">
      <c r="A36" s="34">
        <v>42695</v>
      </c>
      <c r="B36">
        <v>129.77799999999999</v>
      </c>
      <c r="C36">
        <v>134.955994</v>
      </c>
      <c r="D36">
        <v>124.17800099999999</v>
      </c>
      <c r="E36">
        <v>134.31100499999999</v>
      </c>
      <c r="F36">
        <v>126.402023</v>
      </c>
      <c r="G36">
        <v>1350587</v>
      </c>
      <c r="H36">
        <f t="shared" si="0"/>
        <v>3.8455883462007262E-2</v>
      </c>
      <c r="I36">
        <v>26316.339840000001</v>
      </c>
      <c r="J36">
        <f t="shared" si="1"/>
        <v>6.331655872644391E-3</v>
      </c>
    </row>
    <row r="37" spans="1:10">
      <c r="A37" s="34">
        <v>42702</v>
      </c>
      <c r="B37">
        <v>133.77799999999999</v>
      </c>
      <c r="C37">
        <v>140.11099200000001</v>
      </c>
      <c r="D37">
        <v>132.17799400000001</v>
      </c>
      <c r="E37">
        <v>135.86700400000001</v>
      </c>
      <c r="F37">
        <v>127.866394</v>
      </c>
      <c r="G37">
        <v>1311477</v>
      </c>
      <c r="H37">
        <f t="shared" si="0"/>
        <v>1.1518435577767794E-2</v>
      </c>
      <c r="I37">
        <v>26230.660159999999</v>
      </c>
      <c r="J37">
        <f t="shared" si="1"/>
        <v>-3.2610712668905088E-3</v>
      </c>
    </row>
    <row r="38" spans="1:10">
      <c r="A38" s="34">
        <v>42709</v>
      </c>
      <c r="B38">
        <v>135.64399700000001</v>
      </c>
      <c r="C38">
        <v>147.77799999999999</v>
      </c>
      <c r="D38">
        <v>133.86700400000001</v>
      </c>
      <c r="E38">
        <v>143.199997</v>
      </c>
      <c r="F38">
        <v>134.767563</v>
      </c>
      <c r="G38">
        <v>1541325</v>
      </c>
      <c r="H38">
        <f t="shared" si="0"/>
        <v>5.2565617048943337E-2</v>
      </c>
      <c r="I38">
        <v>26747.179690000001</v>
      </c>
      <c r="J38">
        <f t="shared" si="1"/>
        <v>1.950007394395525E-2</v>
      </c>
    </row>
    <row r="39" spans="1:10">
      <c r="A39" s="34">
        <v>42716</v>
      </c>
      <c r="B39">
        <v>143.15600599999999</v>
      </c>
      <c r="C39">
        <v>146.932999</v>
      </c>
      <c r="D39">
        <v>140.22200000000001</v>
      </c>
      <c r="E39">
        <v>143.64399700000001</v>
      </c>
      <c r="F39">
        <v>135.18542500000001</v>
      </c>
      <c r="G39">
        <v>1245330</v>
      </c>
      <c r="H39">
        <f t="shared" si="0"/>
        <v>3.0958155850082996E-3</v>
      </c>
      <c r="I39">
        <v>26489.560549999998</v>
      </c>
      <c r="J39">
        <f t="shared" si="1"/>
        <v>-9.6783217667216412E-3</v>
      </c>
    </row>
    <row r="40" spans="1:10">
      <c r="A40" s="34">
        <v>42723</v>
      </c>
      <c r="B40">
        <v>143.88900799999999</v>
      </c>
      <c r="C40">
        <v>144.955994</v>
      </c>
      <c r="D40">
        <v>136.86700400000001</v>
      </c>
      <c r="E40">
        <v>137.66700700000001</v>
      </c>
      <c r="F40">
        <v>129.56040999999999</v>
      </c>
      <c r="G40">
        <v>2527955</v>
      </c>
      <c r="H40">
        <f t="shared" si="0"/>
        <v>-4.2500095688154195E-2</v>
      </c>
      <c r="I40">
        <v>26040.699219999999</v>
      </c>
      <c r="J40">
        <f t="shared" si="1"/>
        <v>-1.7090045121022242E-2</v>
      </c>
    </row>
    <row r="41" spans="1:10">
      <c r="A41" s="34">
        <v>42730</v>
      </c>
      <c r="B41">
        <v>137.067001</v>
      </c>
      <c r="C41">
        <v>146.44399999999999</v>
      </c>
      <c r="D41">
        <v>134.55600000000001</v>
      </c>
      <c r="E41">
        <v>144.77799999999999</v>
      </c>
      <c r="F41">
        <v>136.252655</v>
      </c>
      <c r="G41">
        <v>1397905</v>
      </c>
      <c r="H41">
        <f t="shared" si="0"/>
        <v>5.0363660736948063E-2</v>
      </c>
      <c r="I41">
        <v>26626.460940000001</v>
      </c>
      <c r="J41">
        <f t="shared" si="1"/>
        <v>2.224482476376799E-2</v>
      </c>
    </row>
    <row r="42" spans="1:10">
      <c r="A42" s="34">
        <v>42737</v>
      </c>
      <c r="B42">
        <v>144.77799999999999</v>
      </c>
      <c r="C42">
        <v>150.22200000000001</v>
      </c>
      <c r="D42">
        <v>141.66700700000001</v>
      </c>
      <c r="E42">
        <v>147.378006</v>
      </c>
      <c r="F42">
        <v>138.69955400000001</v>
      </c>
      <c r="G42">
        <v>1315740</v>
      </c>
      <c r="H42">
        <f t="shared" si="0"/>
        <v>1.7799192150405093E-2</v>
      </c>
      <c r="I42">
        <v>26759.230469999999</v>
      </c>
      <c r="J42">
        <f t="shared" si="1"/>
        <v>4.9739846099403481E-3</v>
      </c>
    </row>
    <row r="43" spans="1:10">
      <c r="A43" s="34">
        <v>42744</v>
      </c>
      <c r="B43">
        <v>148.88900799999999</v>
      </c>
      <c r="C43">
        <v>148.88900799999999</v>
      </c>
      <c r="D43">
        <v>144.466995</v>
      </c>
      <c r="E43">
        <v>145.08900499999999</v>
      </c>
      <c r="F43">
        <v>136.54534899999999</v>
      </c>
      <c r="G43">
        <v>1049383</v>
      </c>
      <c r="H43">
        <f t="shared" si="0"/>
        <v>-1.5653325186399947E-2</v>
      </c>
      <c r="I43">
        <v>27238.060549999998</v>
      </c>
      <c r="J43">
        <f t="shared" si="1"/>
        <v>1.7735802021490204E-2</v>
      </c>
    </row>
    <row r="44" spans="1:10">
      <c r="A44" s="34">
        <v>42751</v>
      </c>
      <c r="B44">
        <v>146.199997</v>
      </c>
      <c r="C44">
        <v>150.266998</v>
      </c>
      <c r="D44">
        <v>142.66700700000001</v>
      </c>
      <c r="E44">
        <v>145.067001</v>
      </c>
      <c r="F44">
        <v>136.524643</v>
      </c>
      <c r="G44">
        <v>18027117</v>
      </c>
      <c r="H44">
        <f t="shared" si="0"/>
        <v>-1.5165342693288251E-4</v>
      </c>
      <c r="I44">
        <v>27034.5</v>
      </c>
      <c r="J44">
        <f t="shared" si="1"/>
        <v>-7.5014520227454258E-3</v>
      </c>
    </row>
    <row r="45" spans="1:10">
      <c r="A45" s="34">
        <v>42758</v>
      </c>
      <c r="B45">
        <v>146.66700700000001</v>
      </c>
      <c r="C45">
        <v>153.33299299999999</v>
      </c>
      <c r="D45">
        <v>142.733002</v>
      </c>
      <c r="E45">
        <v>152.91099500000001</v>
      </c>
      <c r="F45">
        <v>143.90673799999999</v>
      </c>
      <c r="G45">
        <v>2340273</v>
      </c>
      <c r="H45">
        <f t="shared" si="0"/>
        <v>5.2660303851461324E-2</v>
      </c>
      <c r="I45">
        <v>27882.460940000001</v>
      </c>
      <c r="J45">
        <f t="shared" si="1"/>
        <v>3.0884022888053843E-2</v>
      </c>
    </row>
    <row r="46" spans="1:10">
      <c r="A46" s="34">
        <v>42765</v>
      </c>
      <c r="B46">
        <v>152.800003</v>
      </c>
      <c r="C46">
        <v>154.88900799999999</v>
      </c>
      <c r="D46">
        <v>144.733002</v>
      </c>
      <c r="E46">
        <v>151.199997</v>
      </c>
      <c r="F46">
        <v>142.296494</v>
      </c>
      <c r="G46">
        <v>1919944</v>
      </c>
      <c r="H46">
        <f t="shared" si="0"/>
        <v>-1.1252570276826265E-2</v>
      </c>
      <c r="I46">
        <v>28240.519530000001</v>
      </c>
      <c r="J46">
        <f t="shared" si="1"/>
        <v>1.2759958403607413E-2</v>
      </c>
    </row>
    <row r="47" spans="1:10">
      <c r="A47" s="34">
        <v>42772</v>
      </c>
      <c r="B47">
        <v>149.51100199999999</v>
      </c>
      <c r="C47">
        <v>159.421997</v>
      </c>
      <c r="D47">
        <v>148.75599700000001</v>
      </c>
      <c r="E47">
        <v>158</v>
      </c>
      <c r="F47">
        <v>148.69605999999999</v>
      </c>
      <c r="G47">
        <v>2549004</v>
      </c>
      <c r="H47">
        <f t="shared" si="0"/>
        <v>4.3991490110059733E-2</v>
      </c>
      <c r="I47">
        <v>28334.25</v>
      </c>
      <c r="J47">
        <f t="shared" si="1"/>
        <v>3.3135108295444088E-3</v>
      </c>
    </row>
    <row r="48" spans="1:10">
      <c r="A48" s="34">
        <v>42779</v>
      </c>
      <c r="B48">
        <v>159.11099200000001</v>
      </c>
      <c r="C48">
        <v>159.51100199999999</v>
      </c>
      <c r="D48">
        <v>150.64399700000001</v>
      </c>
      <c r="E48">
        <v>155.33299299999999</v>
      </c>
      <c r="F48">
        <v>146.186127</v>
      </c>
      <c r="G48">
        <v>2666963</v>
      </c>
      <c r="H48">
        <f t="shared" si="0"/>
        <v>-1.7023704561389918E-2</v>
      </c>
      <c r="I48">
        <v>28468.75</v>
      </c>
      <c r="J48">
        <f t="shared" si="1"/>
        <v>4.7356742201936051E-3</v>
      </c>
    </row>
    <row r="49" spans="1:10">
      <c r="A49" s="34">
        <v>42786</v>
      </c>
      <c r="B49">
        <v>156.199997</v>
      </c>
      <c r="C49">
        <v>157.733002</v>
      </c>
      <c r="D49">
        <v>153.578003</v>
      </c>
      <c r="E49">
        <v>155.266998</v>
      </c>
      <c r="F49">
        <v>146.12399300000001</v>
      </c>
      <c r="G49">
        <v>1007925</v>
      </c>
      <c r="H49">
        <f t="shared" si="0"/>
        <v>-4.2512384405836743E-4</v>
      </c>
      <c r="I49">
        <v>28892.970700000002</v>
      </c>
      <c r="J49">
        <f t="shared" si="1"/>
        <v>1.4791342699634029E-2</v>
      </c>
    </row>
    <row r="50" spans="1:10">
      <c r="A50" s="34">
        <v>42793</v>
      </c>
      <c r="B50">
        <v>155.55600000000001</v>
      </c>
      <c r="C50">
        <v>164.17799400000001</v>
      </c>
      <c r="D50">
        <v>152.86700400000001</v>
      </c>
      <c r="E50">
        <v>157.421997</v>
      </c>
      <c r="F50">
        <v>148.15209999999999</v>
      </c>
      <c r="G50">
        <v>1931266</v>
      </c>
      <c r="H50">
        <f t="shared" si="0"/>
        <v>1.3783920333576833E-2</v>
      </c>
      <c r="I50">
        <v>28832.449219999999</v>
      </c>
      <c r="J50">
        <f t="shared" si="1"/>
        <v>-2.0968752504313785E-3</v>
      </c>
    </row>
    <row r="51" spans="1:10">
      <c r="A51" s="34">
        <v>42800</v>
      </c>
      <c r="B51">
        <v>157.75599700000001</v>
      </c>
      <c r="C51">
        <v>160.88900799999999</v>
      </c>
      <c r="D51">
        <v>155.66700700000001</v>
      </c>
      <c r="E51">
        <v>157.84399400000001</v>
      </c>
      <c r="F51">
        <v>148.54925499999999</v>
      </c>
      <c r="G51">
        <v>1050871</v>
      </c>
      <c r="H51">
        <f t="shared" si="0"/>
        <v>2.6771380076983679E-3</v>
      </c>
      <c r="I51">
        <v>28946.230469999999</v>
      </c>
      <c r="J51">
        <f t="shared" si="1"/>
        <v>3.9385253415789856E-3</v>
      </c>
    </row>
    <row r="52" spans="1:10">
      <c r="A52" s="34">
        <v>42807</v>
      </c>
      <c r="B52">
        <v>157.84399400000001</v>
      </c>
      <c r="C52">
        <v>164.22200000000001</v>
      </c>
      <c r="D52">
        <v>157.84399400000001</v>
      </c>
      <c r="E52">
        <v>162.75599700000001</v>
      </c>
      <c r="F52">
        <v>153.172012</v>
      </c>
      <c r="G52">
        <v>1063597</v>
      </c>
      <c r="H52">
        <f t="shared" si="0"/>
        <v>3.0644964572104503E-2</v>
      </c>
      <c r="I52">
        <v>29648.990229999999</v>
      </c>
      <c r="J52">
        <f t="shared" si="1"/>
        <v>2.3988081289013842E-2</v>
      </c>
    </row>
    <row r="53" spans="1:10">
      <c r="A53" s="34">
        <v>42814</v>
      </c>
      <c r="B53">
        <v>163.55600000000001</v>
      </c>
      <c r="C53">
        <v>165.77799999999999</v>
      </c>
      <c r="D53">
        <v>157.55600000000001</v>
      </c>
      <c r="E53">
        <v>162.621994</v>
      </c>
      <c r="F53">
        <v>153.04589799999999</v>
      </c>
      <c r="G53">
        <v>1042288</v>
      </c>
      <c r="H53">
        <f t="shared" si="0"/>
        <v>-8.2368798827147564E-4</v>
      </c>
      <c r="I53">
        <v>29421.400389999999</v>
      </c>
      <c r="J53">
        <f t="shared" si="1"/>
        <v>-7.7057545675575873E-3</v>
      </c>
    </row>
    <row r="54" spans="1:10">
      <c r="A54" s="34">
        <v>42821</v>
      </c>
      <c r="B54">
        <v>163.55600000000001</v>
      </c>
      <c r="C54">
        <v>171.55600000000001</v>
      </c>
      <c r="D54">
        <v>162.15600599999999</v>
      </c>
      <c r="E54">
        <v>165.68899500000001</v>
      </c>
      <c r="F54">
        <v>155.93228099999999</v>
      </c>
      <c r="G54">
        <v>5650171</v>
      </c>
      <c r="H54">
        <f t="shared" si="0"/>
        <v>1.8683953515221337E-2</v>
      </c>
      <c r="I54">
        <v>29620.5</v>
      </c>
      <c r="J54">
        <f t="shared" si="1"/>
        <v>6.7443752108671817E-3</v>
      </c>
    </row>
    <row r="55" spans="1:10">
      <c r="A55" s="34">
        <v>42828</v>
      </c>
      <c r="B55">
        <v>164.44399999999999</v>
      </c>
      <c r="C55">
        <v>171.11099200000001</v>
      </c>
      <c r="D55">
        <v>164.44399999999999</v>
      </c>
      <c r="E55">
        <v>168.24400299999999</v>
      </c>
      <c r="F55">
        <v>158.33685299999999</v>
      </c>
      <c r="G55">
        <v>941815</v>
      </c>
      <c r="H55">
        <f t="shared" si="0"/>
        <v>1.5302927744464907E-2</v>
      </c>
      <c r="I55">
        <v>29706.609380000002</v>
      </c>
      <c r="J55">
        <f t="shared" si="1"/>
        <v>2.9028699145368275E-3</v>
      </c>
    </row>
    <row r="56" spans="1:10">
      <c r="A56" s="34">
        <v>42835</v>
      </c>
      <c r="B56">
        <v>166.77799999999999</v>
      </c>
      <c r="C56">
        <v>170.51100199999999</v>
      </c>
      <c r="D56">
        <v>165.60000600000001</v>
      </c>
      <c r="E56">
        <v>167.266998</v>
      </c>
      <c r="F56">
        <v>157.417374</v>
      </c>
      <c r="G56">
        <v>610909</v>
      </c>
      <c r="H56">
        <f t="shared" si="0"/>
        <v>-5.8240335069883872E-3</v>
      </c>
      <c r="I56">
        <v>29461.449219999999</v>
      </c>
      <c r="J56">
        <f t="shared" si="1"/>
        <v>-8.2869564695142259E-3</v>
      </c>
    </row>
    <row r="57" spans="1:10">
      <c r="A57" s="34">
        <v>42842</v>
      </c>
      <c r="B57">
        <v>168</v>
      </c>
      <c r="C57">
        <v>171.02200300000001</v>
      </c>
      <c r="D57">
        <v>164.533005</v>
      </c>
      <c r="E57">
        <v>168.266998</v>
      </c>
      <c r="F57">
        <v>158.35848999999999</v>
      </c>
      <c r="G57">
        <v>2228293</v>
      </c>
      <c r="H57">
        <f t="shared" si="0"/>
        <v>5.9606758701422902E-3</v>
      </c>
      <c r="I57">
        <v>29365.300780000001</v>
      </c>
      <c r="J57">
        <f t="shared" si="1"/>
        <v>-3.268870900272365E-3</v>
      </c>
    </row>
    <row r="58" spans="1:10">
      <c r="A58" s="34">
        <v>42849</v>
      </c>
      <c r="B58">
        <v>170.39999399999999</v>
      </c>
      <c r="C58">
        <v>179.68899500000001</v>
      </c>
      <c r="D58">
        <v>168.88900799999999</v>
      </c>
      <c r="E58">
        <v>178.11099200000001</v>
      </c>
      <c r="F58">
        <v>167.62283300000001</v>
      </c>
      <c r="G58">
        <v>1546100</v>
      </c>
      <c r="H58">
        <f t="shared" si="0"/>
        <v>5.6855026896060333E-2</v>
      </c>
      <c r="I58">
        <v>29918.400389999999</v>
      </c>
      <c r="J58">
        <f t="shared" si="1"/>
        <v>1.8659957047927792E-2</v>
      </c>
    </row>
    <row r="59" spans="1:10">
      <c r="A59" s="34">
        <v>42856</v>
      </c>
      <c r="B59">
        <v>178.11099200000001</v>
      </c>
      <c r="C59">
        <v>182.17799400000001</v>
      </c>
      <c r="D59">
        <v>174.64399700000001</v>
      </c>
      <c r="E59">
        <v>175.64399700000001</v>
      </c>
      <c r="F59">
        <v>165.30110199999999</v>
      </c>
      <c r="G59">
        <v>2114560</v>
      </c>
      <c r="H59">
        <f t="shared" si="0"/>
        <v>-1.3947742380935754E-2</v>
      </c>
      <c r="I59">
        <v>29858.800780000001</v>
      </c>
      <c r="J59">
        <f t="shared" si="1"/>
        <v>-1.9940588914219878E-3</v>
      </c>
    </row>
    <row r="60" spans="1:10">
      <c r="A60" s="34">
        <v>42863</v>
      </c>
      <c r="B60">
        <v>179.91099500000001</v>
      </c>
      <c r="C60">
        <v>184.75599700000001</v>
      </c>
      <c r="D60">
        <v>175.932999</v>
      </c>
      <c r="E60">
        <v>183.733002</v>
      </c>
      <c r="F60">
        <v>172.91377299999999</v>
      </c>
      <c r="G60">
        <v>9489712</v>
      </c>
      <c r="H60">
        <f t="shared" si="0"/>
        <v>4.5024376807521409E-2</v>
      </c>
      <c r="I60">
        <v>30188.150389999999</v>
      </c>
      <c r="J60">
        <f t="shared" si="1"/>
        <v>1.0969846306459849E-2</v>
      </c>
    </row>
    <row r="61" spans="1:10">
      <c r="A61" s="34">
        <v>42870</v>
      </c>
      <c r="B61">
        <v>184.68899500000001</v>
      </c>
      <c r="C61">
        <v>190.66700700000001</v>
      </c>
      <c r="D61">
        <v>178.66700700000001</v>
      </c>
      <c r="E61">
        <v>187.77799999999999</v>
      </c>
      <c r="F61">
        <v>176.72056599999999</v>
      </c>
      <c r="G61">
        <v>1425951</v>
      </c>
      <c r="H61">
        <f t="shared" si="0"/>
        <v>2.1776713634488208E-2</v>
      </c>
      <c r="I61">
        <v>30464.91992</v>
      </c>
      <c r="J61">
        <f t="shared" si="1"/>
        <v>9.1263789157644392E-3</v>
      </c>
    </row>
    <row r="62" spans="1:10">
      <c r="A62" s="34">
        <v>42877</v>
      </c>
      <c r="B62">
        <v>195.55600000000001</v>
      </c>
      <c r="C62">
        <v>200.66700700000001</v>
      </c>
      <c r="D62">
        <v>185.86700400000001</v>
      </c>
      <c r="E62">
        <v>198.66700700000001</v>
      </c>
      <c r="F62">
        <v>186.968369</v>
      </c>
      <c r="G62">
        <v>3028117</v>
      </c>
      <c r="H62">
        <f t="shared" si="0"/>
        <v>5.6369690901104323E-2</v>
      </c>
      <c r="I62">
        <v>31028.210940000001</v>
      </c>
      <c r="J62">
        <f t="shared" si="1"/>
        <v>1.8320965874359555E-2</v>
      </c>
    </row>
    <row r="63" spans="1:10">
      <c r="A63" s="34">
        <v>42884</v>
      </c>
      <c r="B63">
        <v>199.466995</v>
      </c>
      <c r="C63">
        <v>203.51100199999999</v>
      </c>
      <c r="D63">
        <v>194.955994</v>
      </c>
      <c r="E63">
        <v>201.466995</v>
      </c>
      <c r="F63">
        <v>189.60346999999999</v>
      </c>
      <c r="G63">
        <v>1489628</v>
      </c>
      <c r="H63">
        <f t="shared" si="0"/>
        <v>1.3995438526674427E-2</v>
      </c>
      <c r="I63">
        <v>31273.289059999999</v>
      </c>
      <c r="J63">
        <f t="shared" si="1"/>
        <v>7.8675275604047027E-3</v>
      </c>
    </row>
    <row r="64" spans="1:10">
      <c r="A64" s="34">
        <v>42891</v>
      </c>
      <c r="B64">
        <v>202.22200000000001</v>
      </c>
      <c r="C64">
        <v>206.22200000000001</v>
      </c>
      <c r="D64">
        <v>201.55600000000001</v>
      </c>
      <c r="E64">
        <v>204.199997</v>
      </c>
      <c r="F64">
        <v>192.17555200000001</v>
      </c>
      <c r="G64">
        <v>3271750</v>
      </c>
      <c r="H64">
        <f t="shared" si="0"/>
        <v>1.3474396271802833E-2</v>
      </c>
      <c r="I64">
        <v>31262.060549999998</v>
      </c>
      <c r="J64">
        <f t="shared" si="1"/>
        <v>-3.5910921393086009E-4</v>
      </c>
    </row>
    <row r="65" spans="1:10">
      <c r="A65" s="34">
        <v>42898</v>
      </c>
      <c r="B65">
        <v>205.35600299999999</v>
      </c>
      <c r="C65">
        <v>215.955994</v>
      </c>
      <c r="D65">
        <v>205.33299299999999</v>
      </c>
      <c r="E65">
        <v>210.88900799999999</v>
      </c>
      <c r="F65">
        <v>198.47065699999999</v>
      </c>
      <c r="G65">
        <v>1715859</v>
      </c>
      <c r="H65">
        <f t="shared" si="0"/>
        <v>3.2231977909652543E-2</v>
      </c>
      <c r="I65">
        <v>31056.400389999999</v>
      </c>
      <c r="J65">
        <f t="shared" si="1"/>
        <v>-6.6003204673602666E-3</v>
      </c>
    </row>
    <row r="66" spans="1:10">
      <c r="A66" s="34">
        <v>42905</v>
      </c>
      <c r="B66">
        <v>212.067001</v>
      </c>
      <c r="C66">
        <v>219.044006</v>
      </c>
      <c r="D66">
        <v>204.88900799999999</v>
      </c>
      <c r="E66">
        <v>205.44399999999999</v>
      </c>
      <c r="F66">
        <v>193.34631300000001</v>
      </c>
      <c r="G66">
        <v>1107480</v>
      </c>
      <c r="H66">
        <f t="shared" si="0"/>
        <v>-2.6158316696948802E-2</v>
      </c>
      <c r="I66">
        <v>31138.210940000001</v>
      </c>
      <c r="J66">
        <f t="shared" si="1"/>
        <v>2.6307937435500551E-3</v>
      </c>
    </row>
    <row r="67" spans="1:10">
      <c r="A67" s="34">
        <v>42912</v>
      </c>
      <c r="B67">
        <v>205.44399999999999</v>
      </c>
      <c r="C67">
        <v>210.17799400000001</v>
      </c>
      <c r="D67">
        <v>198.578003</v>
      </c>
      <c r="E67">
        <v>204.39999399999999</v>
      </c>
      <c r="F67">
        <v>192.36376999999999</v>
      </c>
      <c r="G67">
        <v>1837126</v>
      </c>
      <c r="H67">
        <f t="shared" si="0"/>
        <v>-5.0947339391451954E-3</v>
      </c>
      <c r="I67">
        <v>30921.609380000002</v>
      </c>
      <c r="J67">
        <f t="shared" si="1"/>
        <v>-6.9804404332126993E-3</v>
      </c>
    </row>
    <row r="68" spans="1:10">
      <c r="A68" s="34">
        <v>42919</v>
      </c>
      <c r="B68">
        <v>204.44399999999999</v>
      </c>
      <c r="C68">
        <v>218.66700700000001</v>
      </c>
      <c r="D68">
        <v>201.66700700000001</v>
      </c>
      <c r="E68">
        <v>207.966995</v>
      </c>
      <c r="F68">
        <v>195.72073399999999</v>
      </c>
      <c r="G68">
        <v>2633844</v>
      </c>
      <c r="H68">
        <f t="shared" ref="H68:H131" si="2">LN(F68/F67)</f>
        <v>1.7300601782785113E-2</v>
      </c>
      <c r="I68">
        <v>31360.630860000001</v>
      </c>
      <c r="J68">
        <f t="shared" ref="J68:J131" si="3">LN(I68/I67)</f>
        <v>1.4098039818424547E-2</v>
      </c>
    </row>
    <row r="69" spans="1:10">
      <c r="A69" s="34">
        <v>42926</v>
      </c>
      <c r="B69">
        <v>210</v>
      </c>
      <c r="C69">
        <v>216.66700700000001</v>
      </c>
      <c r="D69">
        <v>202.432999</v>
      </c>
      <c r="E69">
        <v>212.033005</v>
      </c>
      <c r="F69">
        <v>199.547302</v>
      </c>
      <c r="G69">
        <v>2447219</v>
      </c>
      <c r="H69">
        <f t="shared" si="2"/>
        <v>1.9362494313036435E-2</v>
      </c>
      <c r="I69">
        <v>32020.75</v>
      </c>
      <c r="J69">
        <f t="shared" si="3"/>
        <v>2.0830818165917139E-2</v>
      </c>
    </row>
    <row r="70" spans="1:10">
      <c r="A70" s="34">
        <v>42933</v>
      </c>
      <c r="B70">
        <v>213.33299299999999</v>
      </c>
      <c r="C70">
        <v>219.10000600000001</v>
      </c>
      <c r="D70">
        <v>210</v>
      </c>
      <c r="E70">
        <v>215.567001</v>
      </c>
      <c r="F70">
        <v>202.873199</v>
      </c>
      <c r="G70">
        <v>4898505</v>
      </c>
      <c r="H70">
        <f t="shared" si="2"/>
        <v>1.6529837425403048E-2</v>
      </c>
      <c r="I70">
        <v>32028.890630000002</v>
      </c>
      <c r="J70">
        <f t="shared" si="3"/>
        <v>2.5419752441274305E-4</v>
      </c>
    </row>
    <row r="71" spans="1:10">
      <c r="A71" s="34">
        <v>42940</v>
      </c>
      <c r="B71">
        <v>218.533005</v>
      </c>
      <c r="C71">
        <v>218.533005</v>
      </c>
      <c r="D71">
        <v>211.10000600000001</v>
      </c>
      <c r="E71">
        <v>215.966995</v>
      </c>
      <c r="F71">
        <v>203.249664</v>
      </c>
      <c r="G71">
        <v>766029</v>
      </c>
      <c r="H71">
        <f t="shared" si="2"/>
        <v>1.8539468822250957E-3</v>
      </c>
      <c r="I71">
        <v>32309.880860000001</v>
      </c>
      <c r="J71">
        <f t="shared" si="3"/>
        <v>8.7347647469451558E-3</v>
      </c>
    </row>
    <row r="72" spans="1:10">
      <c r="A72" s="34">
        <v>42947</v>
      </c>
      <c r="B72">
        <v>217.36700400000001</v>
      </c>
      <c r="C72">
        <v>230</v>
      </c>
      <c r="D72">
        <v>215.33299299999999</v>
      </c>
      <c r="E72">
        <v>224.067001</v>
      </c>
      <c r="F72">
        <v>210.872681</v>
      </c>
      <c r="G72">
        <v>869057</v>
      </c>
      <c r="H72">
        <f t="shared" si="2"/>
        <v>3.6819448479483562E-2</v>
      </c>
      <c r="I72">
        <v>32325.410159999999</v>
      </c>
      <c r="J72">
        <f t="shared" si="3"/>
        <v>4.8052078218386527E-4</v>
      </c>
    </row>
    <row r="73" spans="1:10">
      <c r="A73" s="34">
        <v>42954</v>
      </c>
      <c r="B73">
        <v>224.10000600000001</v>
      </c>
      <c r="C73">
        <v>229.10000600000001</v>
      </c>
      <c r="D73">
        <v>202.16700700000001</v>
      </c>
      <c r="E73">
        <v>215.89999399999999</v>
      </c>
      <c r="F73">
        <v>203.18656899999999</v>
      </c>
      <c r="G73">
        <v>1792949</v>
      </c>
      <c r="H73">
        <f t="shared" si="2"/>
        <v>-3.7129927690655824E-2</v>
      </c>
      <c r="I73">
        <v>31213.589840000001</v>
      </c>
      <c r="J73">
        <f t="shared" si="3"/>
        <v>-3.5000041432060459E-2</v>
      </c>
    </row>
    <row r="74" spans="1:10">
      <c r="A74" s="34">
        <v>42961</v>
      </c>
      <c r="B74">
        <v>219.932999</v>
      </c>
      <c r="C74">
        <v>225.932999</v>
      </c>
      <c r="D74">
        <v>210.966995</v>
      </c>
      <c r="E74">
        <v>216.966995</v>
      </c>
      <c r="F74">
        <v>204.19078099999999</v>
      </c>
      <c r="G74">
        <v>779257</v>
      </c>
      <c r="H74">
        <f t="shared" si="2"/>
        <v>4.9301417177732842E-3</v>
      </c>
      <c r="I74">
        <v>31524.679690000001</v>
      </c>
      <c r="J74">
        <f t="shared" si="3"/>
        <v>9.9171495153800426E-3</v>
      </c>
    </row>
    <row r="75" spans="1:10">
      <c r="A75" s="34">
        <v>42968</v>
      </c>
      <c r="B75">
        <v>216.966995</v>
      </c>
      <c r="C75">
        <v>217.89999399999999</v>
      </c>
      <c r="D75">
        <v>203.33299299999999</v>
      </c>
      <c r="E75">
        <v>206.800003</v>
      </c>
      <c r="F75">
        <v>195.831863</v>
      </c>
      <c r="G75">
        <v>1299003</v>
      </c>
      <c r="H75">
        <f t="shared" si="2"/>
        <v>-4.1798308559710874E-2</v>
      </c>
      <c r="I75">
        <v>31596.060549999998</v>
      </c>
      <c r="J75">
        <f t="shared" si="3"/>
        <v>2.2617253903256659E-3</v>
      </c>
    </row>
    <row r="76" spans="1:10">
      <c r="A76" s="34">
        <v>42975</v>
      </c>
      <c r="B76">
        <v>208.33299299999999</v>
      </c>
      <c r="C76">
        <v>213.932999</v>
      </c>
      <c r="D76">
        <v>201.60000600000001</v>
      </c>
      <c r="E76">
        <v>213.10000600000001</v>
      </c>
      <c r="F76">
        <v>201.79771400000001</v>
      </c>
      <c r="G76">
        <v>3400021</v>
      </c>
      <c r="H76">
        <f t="shared" si="2"/>
        <v>3.0009330570861747E-2</v>
      </c>
      <c r="I76">
        <v>31892.230469999999</v>
      </c>
      <c r="J76">
        <f t="shared" si="3"/>
        <v>9.3299745091786398E-3</v>
      </c>
    </row>
    <row r="77" spans="1:10">
      <c r="A77" s="34">
        <v>42982</v>
      </c>
      <c r="B77">
        <v>214.60000600000001</v>
      </c>
      <c r="C77">
        <v>222.63299599999999</v>
      </c>
      <c r="D77">
        <v>206.466995</v>
      </c>
      <c r="E77">
        <v>218.86700400000001</v>
      </c>
      <c r="F77">
        <v>207.25885</v>
      </c>
      <c r="G77">
        <v>2261079</v>
      </c>
      <c r="H77">
        <f t="shared" si="2"/>
        <v>2.6702715346587209E-2</v>
      </c>
      <c r="I77">
        <v>31687.519530000001</v>
      </c>
      <c r="J77">
        <f t="shared" si="3"/>
        <v>-6.4395235087624575E-3</v>
      </c>
    </row>
    <row r="78" spans="1:10">
      <c r="A78" s="34">
        <v>42989</v>
      </c>
      <c r="B78">
        <v>219.966995</v>
      </c>
      <c r="C78">
        <v>226.533005</v>
      </c>
      <c r="D78">
        <v>218</v>
      </c>
      <c r="E78">
        <v>221.60000600000001</v>
      </c>
      <c r="F78">
        <v>209.84690900000001</v>
      </c>
      <c r="G78">
        <v>1039829</v>
      </c>
      <c r="H78">
        <f t="shared" si="2"/>
        <v>1.2409764948017927E-2</v>
      </c>
      <c r="I78">
        <v>32272.609380000002</v>
      </c>
      <c r="J78">
        <f t="shared" si="3"/>
        <v>1.8295965973715474E-2</v>
      </c>
    </row>
    <row r="79" spans="1:10">
      <c r="A79" s="34">
        <v>42996</v>
      </c>
      <c r="B79">
        <v>223.10000600000001</v>
      </c>
      <c r="C79">
        <v>232.800003</v>
      </c>
      <c r="D79">
        <v>221.13299599999999</v>
      </c>
      <c r="E79">
        <v>223.266998</v>
      </c>
      <c r="F79">
        <v>211.425476</v>
      </c>
      <c r="G79">
        <v>2067729</v>
      </c>
      <c r="H79">
        <f t="shared" si="2"/>
        <v>7.4943169527540519E-3</v>
      </c>
      <c r="I79">
        <v>31922.439450000002</v>
      </c>
      <c r="J79">
        <f t="shared" si="3"/>
        <v>-1.0909670122655334E-2</v>
      </c>
    </row>
    <row r="80" spans="1:10">
      <c r="A80" s="34">
        <v>43003</v>
      </c>
      <c r="B80">
        <v>223.33299299999999</v>
      </c>
      <c r="C80">
        <v>229.89999399999999</v>
      </c>
      <c r="D80">
        <v>220.33299299999999</v>
      </c>
      <c r="E80">
        <v>224.199997</v>
      </c>
      <c r="F80">
        <v>212.30898999999999</v>
      </c>
      <c r="G80">
        <v>1140485</v>
      </c>
      <c r="H80">
        <f t="shared" si="2"/>
        <v>4.1701364946862066E-3</v>
      </c>
      <c r="I80">
        <v>31283.720700000002</v>
      </c>
      <c r="J80">
        <f t="shared" si="3"/>
        <v>-2.021133672058148E-2</v>
      </c>
    </row>
    <row r="81" spans="1:10">
      <c r="A81" s="34">
        <v>43010</v>
      </c>
      <c r="B81">
        <v>224.199997</v>
      </c>
      <c r="C81">
        <v>230.86700400000001</v>
      </c>
      <c r="D81">
        <v>222.466995</v>
      </c>
      <c r="E81">
        <v>227.567001</v>
      </c>
      <c r="F81">
        <v>215.497421</v>
      </c>
      <c r="G81">
        <v>1230879</v>
      </c>
      <c r="H81">
        <f t="shared" si="2"/>
        <v>1.4906228404970474E-2</v>
      </c>
      <c r="I81">
        <v>31814.220700000002</v>
      </c>
      <c r="J81">
        <f t="shared" si="3"/>
        <v>1.6815524836514988E-2</v>
      </c>
    </row>
    <row r="82" spans="1:10">
      <c r="A82" s="34">
        <v>43017</v>
      </c>
      <c r="B82">
        <v>227.932999</v>
      </c>
      <c r="C82">
        <v>241</v>
      </c>
      <c r="D82">
        <v>225.733002</v>
      </c>
      <c r="E82">
        <v>236.699997</v>
      </c>
      <c r="F82">
        <v>224.146027</v>
      </c>
      <c r="G82">
        <v>1487316</v>
      </c>
      <c r="H82">
        <f t="shared" si="2"/>
        <v>3.934880375167496E-2</v>
      </c>
      <c r="I82">
        <v>32432.689450000002</v>
      </c>
      <c r="J82">
        <f t="shared" si="3"/>
        <v>1.9253466159233516E-2</v>
      </c>
    </row>
    <row r="83" spans="1:10">
      <c r="A83" s="34">
        <v>43024</v>
      </c>
      <c r="B83">
        <v>234.199997</v>
      </c>
      <c r="C83">
        <v>240.39999399999999</v>
      </c>
      <c r="D83">
        <v>233.033005</v>
      </c>
      <c r="E83">
        <v>237</v>
      </c>
      <c r="F83">
        <v>224.430115</v>
      </c>
      <c r="G83">
        <v>426080</v>
      </c>
      <c r="H83">
        <f t="shared" si="2"/>
        <v>1.2666212550416409E-3</v>
      </c>
      <c r="I83">
        <v>32389.960940000001</v>
      </c>
      <c r="J83">
        <f t="shared" si="3"/>
        <v>-1.3183205540449232E-3</v>
      </c>
    </row>
    <row r="84" spans="1:10">
      <c r="A84" s="34">
        <v>43031</v>
      </c>
      <c r="B84">
        <v>236.733002</v>
      </c>
      <c r="C84">
        <v>242.300003</v>
      </c>
      <c r="D84">
        <v>235.86700400000001</v>
      </c>
      <c r="E84">
        <v>238.36700400000001</v>
      </c>
      <c r="F84">
        <v>225.72460899999999</v>
      </c>
      <c r="G84">
        <v>824911</v>
      </c>
      <c r="H84">
        <f t="shared" si="2"/>
        <v>5.7513450342795338E-3</v>
      </c>
      <c r="I84">
        <v>33157.21875</v>
      </c>
      <c r="J84">
        <f t="shared" si="3"/>
        <v>2.3411925851804908E-2</v>
      </c>
    </row>
    <row r="85" spans="1:10">
      <c r="A85" s="34">
        <v>43038</v>
      </c>
      <c r="B85">
        <v>238.33299299999999</v>
      </c>
      <c r="C85">
        <v>248</v>
      </c>
      <c r="D85">
        <v>238.33299299999999</v>
      </c>
      <c r="E85">
        <v>243.16700700000001</v>
      </c>
      <c r="F85">
        <v>230.27003500000001</v>
      </c>
      <c r="G85">
        <v>1646307</v>
      </c>
      <c r="H85">
        <f t="shared" si="2"/>
        <v>1.9936973469213963E-2</v>
      </c>
      <c r="I85">
        <v>33685.558590000001</v>
      </c>
      <c r="J85">
        <f t="shared" si="3"/>
        <v>1.5808763920537341E-2</v>
      </c>
    </row>
    <row r="86" spans="1:10">
      <c r="A86" s="34">
        <v>43045</v>
      </c>
      <c r="B86">
        <v>242.66700700000001</v>
      </c>
      <c r="C86">
        <v>248.86700400000001</v>
      </c>
      <c r="D86">
        <v>234.233002</v>
      </c>
      <c r="E86">
        <v>236.86700400000001</v>
      </c>
      <c r="F86">
        <v>224.304169</v>
      </c>
      <c r="G86">
        <v>1008936</v>
      </c>
      <c r="H86">
        <f t="shared" si="2"/>
        <v>-2.6249657397346169E-2</v>
      </c>
      <c r="I86">
        <v>33314.558590000001</v>
      </c>
      <c r="J86">
        <f t="shared" si="3"/>
        <v>-1.1074720687646703E-2</v>
      </c>
    </row>
    <row r="87" spans="1:10">
      <c r="A87" s="34">
        <v>43052</v>
      </c>
      <c r="B87">
        <v>236.66700700000001</v>
      </c>
      <c r="C87">
        <v>243.60000600000001</v>
      </c>
      <c r="D87">
        <v>231</v>
      </c>
      <c r="E87">
        <v>240.13299599999999</v>
      </c>
      <c r="F87">
        <v>227.396942</v>
      </c>
      <c r="G87">
        <v>808192</v>
      </c>
      <c r="H87">
        <f t="shared" si="2"/>
        <v>1.3694105489055985E-2</v>
      </c>
      <c r="I87">
        <v>33342.800779999998</v>
      </c>
      <c r="J87">
        <f t="shared" si="3"/>
        <v>8.4738405352043013E-4</v>
      </c>
    </row>
    <row r="88" spans="1:10">
      <c r="A88" s="34">
        <v>43059</v>
      </c>
      <c r="B88">
        <v>240</v>
      </c>
      <c r="C88">
        <v>241.13299599999999</v>
      </c>
      <c r="D88">
        <v>227.199997</v>
      </c>
      <c r="E88">
        <v>230.5</v>
      </c>
      <c r="F88">
        <v>218.27487199999999</v>
      </c>
      <c r="G88">
        <v>912740</v>
      </c>
      <c r="H88">
        <f t="shared" si="2"/>
        <v>-4.0941984276228409E-2</v>
      </c>
      <c r="I88">
        <v>33679.238279999998</v>
      </c>
      <c r="J88">
        <f t="shared" si="3"/>
        <v>1.0039692335851391E-2</v>
      </c>
    </row>
    <row r="89" spans="1:10">
      <c r="A89" s="34">
        <v>43066</v>
      </c>
      <c r="B89">
        <v>233.39999399999999</v>
      </c>
      <c r="C89">
        <v>245.33299299999999</v>
      </c>
      <c r="D89">
        <v>231.5</v>
      </c>
      <c r="E89">
        <v>238.66700700000001</v>
      </c>
      <c r="F89">
        <v>226.008713</v>
      </c>
      <c r="G89">
        <v>7071533</v>
      </c>
      <c r="H89">
        <f t="shared" si="2"/>
        <v>3.4818402345998235E-2</v>
      </c>
      <c r="I89">
        <v>32832.941409999999</v>
      </c>
      <c r="J89">
        <f t="shared" si="3"/>
        <v>-2.5449250041401961E-2</v>
      </c>
    </row>
    <row r="90" spans="1:10">
      <c r="A90" s="34">
        <v>43073</v>
      </c>
      <c r="B90">
        <v>239.39999399999999</v>
      </c>
      <c r="C90">
        <v>250.89999399999999</v>
      </c>
      <c r="D90">
        <v>234.800003</v>
      </c>
      <c r="E90">
        <v>248.033005</v>
      </c>
      <c r="F90">
        <v>234.87796</v>
      </c>
      <c r="G90">
        <v>14474368</v>
      </c>
      <c r="H90">
        <f t="shared" si="2"/>
        <v>3.8492508475850423E-2</v>
      </c>
      <c r="I90">
        <v>33250.300779999998</v>
      </c>
      <c r="J90">
        <f t="shared" si="3"/>
        <v>1.2631490388564927E-2</v>
      </c>
    </row>
    <row r="91" spans="1:10">
      <c r="A91" s="34">
        <v>43080</v>
      </c>
      <c r="B91">
        <v>248.733002</v>
      </c>
      <c r="C91">
        <v>257.233002</v>
      </c>
      <c r="D91">
        <v>243.733002</v>
      </c>
      <c r="E91">
        <v>250.83299299999999</v>
      </c>
      <c r="F91">
        <v>237.529449</v>
      </c>
      <c r="G91">
        <v>4631793</v>
      </c>
      <c r="H91">
        <f t="shared" si="2"/>
        <v>1.1225551474997257E-2</v>
      </c>
      <c r="I91">
        <v>33462.96875</v>
      </c>
      <c r="J91">
        <f t="shared" si="3"/>
        <v>6.3756038905257335E-3</v>
      </c>
    </row>
    <row r="92" spans="1:10">
      <c r="A92" s="34">
        <v>43087</v>
      </c>
      <c r="B92">
        <v>251.33299299999999</v>
      </c>
      <c r="C92">
        <v>263.33300800000001</v>
      </c>
      <c r="D92">
        <v>245.033005</v>
      </c>
      <c r="E92">
        <v>250.766998</v>
      </c>
      <c r="F92">
        <v>237.466949</v>
      </c>
      <c r="G92">
        <v>68484404</v>
      </c>
      <c r="H92">
        <f t="shared" si="2"/>
        <v>-2.6315989183860991E-4</v>
      </c>
      <c r="I92">
        <v>33940.300779999998</v>
      </c>
      <c r="J92">
        <f t="shared" si="3"/>
        <v>1.4163704909905817E-2</v>
      </c>
    </row>
    <row r="93" spans="1:10">
      <c r="A93" s="34">
        <v>43094</v>
      </c>
      <c r="B93">
        <v>250.766998</v>
      </c>
      <c r="C93">
        <v>253.766998</v>
      </c>
      <c r="D93">
        <v>242.567001</v>
      </c>
      <c r="E93">
        <v>252.533005</v>
      </c>
      <c r="F93">
        <v>239.139297</v>
      </c>
      <c r="G93">
        <v>1004528</v>
      </c>
      <c r="H93">
        <f t="shared" si="2"/>
        <v>7.017763101030661E-3</v>
      </c>
      <c r="I93">
        <v>34056.828130000002</v>
      </c>
      <c r="J93">
        <f t="shared" si="3"/>
        <v>3.4274230674358132E-3</v>
      </c>
    </row>
    <row r="94" spans="1:10">
      <c r="A94" s="34">
        <v>43101</v>
      </c>
      <c r="B94">
        <v>256.60000600000001</v>
      </c>
      <c r="C94">
        <v>256.60000600000001</v>
      </c>
      <c r="D94">
        <v>247.5</v>
      </c>
      <c r="E94">
        <v>254.033005</v>
      </c>
      <c r="F94">
        <v>240.55973800000001</v>
      </c>
      <c r="G94">
        <v>1063425</v>
      </c>
      <c r="H94">
        <f t="shared" si="2"/>
        <v>5.9222347677873469E-3</v>
      </c>
      <c r="I94">
        <v>34153.851560000003</v>
      </c>
      <c r="J94">
        <f t="shared" si="3"/>
        <v>2.8448183151110729E-3</v>
      </c>
    </row>
    <row r="95" spans="1:10">
      <c r="A95" s="34">
        <v>43108</v>
      </c>
      <c r="B95">
        <v>256.66699199999999</v>
      </c>
      <c r="C95">
        <v>259.86700400000001</v>
      </c>
      <c r="D95">
        <v>251.966995</v>
      </c>
      <c r="E95">
        <v>256.60000600000001</v>
      </c>
      <c r="F95">
        <v>242.990601</v>
      </c>
      <c r="G95">
        <v>1671397</v>
      </c>
      <c r="H95">
        <f t="shared" si="2"/>
        <v>1.0054314025844143E-2</v>
      </c>
      <c r="I95">
        <v>34592.390630000002</v>
      </c>
      <c r="J95">
        <f t="shared" si="3"/>
        <v>1.2758370629448897E-2</v>
      </c>
    </row>
    <row r="96" spans="1:10">
      <c r="A96" s="34">
        <v>43115</v>
      </c>
      <c r="B96">
        <v>258.66699199999999</v>
      </c>
      <c r="C96">
        <v>259.43301400000001</v>
      </c>
      <c r="D96">
        <v>247.10000600000001</v>
      </c>
      <c r="E96">
        <v>254.33299299999999</v>
      </c>
      <c r="F96">
        <v>240.84381099999999</v>
      </c>
      <c r="G96">
        <v>570426</v>
      </c>
      <c r="H96">
        <f t="shared" si="2"/>
        <v>-8.8741273256735375E-3</v>
      </c>
      <c r="I96">
        <v>35511.578130000002</v>
      </c>
      <c r="J96">
        <f t="shared" si="3"/>
        <v>2.6225053926441158E-2</v>
      </c>
    </row>
    <row r="97" spans="1:10">
      <c r="A97" s="34">
        <v>43122</v>
      </c>
      <c r="B97">
        <v>256</v>
      </c>
      <c r="C97">
        <v>258.96701000000002</v>
      </c>
      <c r="D97">
        <v>246.300003</v>
      </c>
      <c r="E97">
        <v>247.83299299999999</v>
      </c>
      <c r="F97">
        <v>234.688568</v>
      </c>
      <c r="G97">
        <v>1775864</v>
      </c>
      <c r="H97">
        <f t="shared" si="2"/>
        <v>-2.5889243574020778E-2</v>
      </c>
      <c r="I97">
        <v>36050.441409999999</v>
      </c>
      <c r="J97">
        <f t="shared" si="3"/>
        <v>1.5060320223944103E-2</v>
      </c>
    </row>
    <row r="98" spans="1:10">
      <c r="A98" s="34">
        <v>43129</v>
      </c>
      <c r="B98">
        <v>249.89999399999999</v>
      </c>
      <c r="C98">
        <v>249.89999399999999</v>
      </c>
      <c r="D98">
        <v>233</v>
      </c>
      <c r="E98">
        <v>234.36700400000001</v>
      </c>
      <c r="F98">
        <v>221.936768</v>
      </c>
      <c r="G98">
        <v>1042025</v>
      </c>
      <c r="H98">
        <f t="shared" si="2"/>
        <v>-5.5866880208440571E-2</v>
      </c>
      <c r="I98">
        <v>35066.75</v>
      </c>
      <c r="J98">
        <f t="shared" si="3"/>
        <v>-2.766571998026629E-2</v>
      </c>
    </row>
    <row r="99" spans="1:10">
      <c r="A99" s="34">
        <v>43136</v>
      </c>
      <c r="B99">
        <v>230</v>
      </c>
      <c r="C99">
        <v>246.233002</v>
      </c>
      <c r="D99">
        <v>224</v>
      </c>
      <c r="E99">
        <v>239.66700700000001</v>
      </c>
      <c r="F99">
        <v>226.95567299999999</v>
      </c>
      <c r="G99">
        <v>876062</v>
      </c>
      <c r="H99">
        <f t="shared" si="2"/>
        <v>2.2362212813354085E-2</v>
      </c>
      <c r="I99">
        <v>34005.761720000002</v>
      </c>
      <c r="J99">
        <f t="shared" si="3"/>
        <v>-3.0723415446551584E-2</v>
      </c>
    </row>
    <row r="100" spans="1:10">
      <c r="A100" s="34">
        <v>43143</v>
      </c>
      <c r="B100">
        <v>243.33299299999999</v>
      </c>
      <c r="C100">
        <v>247.83299299999999</v>
      </c>
      <c r="D100">
        <v>213.33299299999999</v>
      </c>
      <c r="E100">
        <v>217.33299299999999</v>
      </c>
      <c r="F100">
        <v>205.806183</v>
      </c>
      <c r="G100">
        <v>5502433</v>
      </c>
      <c r="H100">
        <f t="shared" si="2"/>
        <v>-9.781985860494595E-2</v>
      </c>
      <c r="I100">
        <v>34010.761720000002</v>
      </c>
      <c r="J100">
        <f t="shared" si="3"/>
        <v>1.4702309839227513E-4</v>
      </c>
    </row>
    <row r="101" spans="1:10">
      <c r="A101" s="34">
        <v>43150</v>
      </c>
      <c r="B101">
        <v>217.33299299999999</v>
      </c>
      <c r="C101">
        <v>222.63299599999999</v>
      </c>
      <c r="D101">
        <v>203.86700400000001</v>
      </c>
      <c r="E101">
        <v>212.432999</v>
      </c>
      <c r="F101">
        <v>201.166077</v>
      </c>
      <c r="G101">
        <v>7239744</v>
      </c>
      <c r="H101">
        <f t="shared" si="2"/>
        <v>-2.2804046049708957E-2</v>
      </c>
      <c r="I101">
        <v>34142.148439999997</v>
      </c>
      <c r="J101">
        <f t="shared" si="3"/>
        <v>3.855649962948072E-3</v>
      </c>
    </row>
    <row r="102" spans="1:10">
      <c r="A102" s="34">
        <v>43157</v>
      </c>
      <c r="B102">
        <v>213.36700400000001</v>
      </c>
      <c r="C102">
        <v>224</v>
      </c>
      <c r="D102">
        <v>211.13299599999999</v>
      </c>
      <c r="E102">
        <v>213.233002</v>
      </c>
      <c r="F102">
        <v>201.92366000000001</v>
      </c>
      <c r="G102">
        <v>4492261</v>
      </c>
      <c r="H102">
        <f t="shared" si="2"/>
        <v>3.7588845483510595E-3</v>
      </c>
      <c r="I102">
        <v>34046.941409999999</v>
      </c>
      <c r="J102">
        <f t="shared" si="3"/>
        <v>-2.7924435441526161E-3</v>
      </c>
    </row>
    <row r="103" spans="1:10">
      <c r="A103" s="34">
        <v>43164</v>
      </c>
      <c r="B103">
        <v>213.33299299999999</v>
      </c>
      <c r="C103">
        <v>213.33299299999999</v>
      </c>
      <c r="D103">
        <v>201.233002</v>
      </c>
      <c r="E103">
        <v>211.10000600000001</v>
      </c>
      <c r="F103">
        <v>199.90379300000001</v>
      </c>
      <c r="G103">
        <v>2850838</v>
      </c>
      <c r="H103">
        <f t="shared" si="2"/>
        <v>-1.0053489365481141E-2</v>
      </c>
      <c r="I103">
        <v>33307.140630000002</v>
      </c>
      <c r="J103">
        <f t="shared" si="3"/>
        <v>-2.1968394796977379E-2</v>
      </c>
    </row>
    <row r="104" spans="1:10">
      <c r="A104" s="34">
        <v>43171</v>
      </c>
      <c r="B104">
        <v>213.33299299999999</v>
      </c>
      <c r="C104">
        <v>215.266998</v>
      </c>
      <c r="D104">
        <v>204.466995</v>
      </c>
      <c r="E104">
        <v>205.199997</v>
      </c>
      <c r="F104">
        <v>194.316711</v>
      </c>
      <c r="G104">
        <v>1186672</v>
      </c>
      <c r="H104">
        <f t="shared" si="2"/>
        <v>-2.8346856952492932E-2</v>
      </c>
      <c r="I104">
        <v>33176</v>
      </c>
      <c r="J104">
        <f t="shared" si="3"/>
        <v>-3.9450843881102564E-3</v>
      </c>
    </row>
    <row r="105" spans="1:10">
      <c r="A105" s="34">
        <v>43178</v>
      </c>
      <c r="B105">
        <v>206.766998</v>
      </c>
      <c r="C105">
        <v>209.13299599999999</v>
      </c>
      <c r="D105">
        <v>200.66700700000001</v>
      </c>
      <c r="E105">
        <v>204</v>
      </c>
      <c r="F105">
        <v>193.18035900000001</v>
      </c>
      <c r="G105">
        <v>1409774</v>
      </c>
      <c r="H105">
        <f t="shared" si="2"/>
        <v>-5.8651037412369208E-3</v>
      </c>
      <c r="I105">
        <v>32596.539059999999</v>
      </c>
      <c r="J105">
        <f t="shared" si="3"/>
        <v>-1.762060401087474E-2</v>
      </c>
    </row>
    <row r="106" spans="1:10">
      <c r="A106" s="34">
        <v>43185</v>
      </c>
      <c r="B106">
        <v>205.66700700000001</v>
      </c>
      <c r="C106">
        <v>213.83299299999999</v>
      </c>
      <c r="D106">
        <v>204.13299599999999</v>
      </c>
      <c r="E106">
        <v>207.83299299999999</v>
      </c>
      <c r="F106">
        <v>196.810059</v>
      </c>
      <c r="G106">
        <v>2006359</v>
      </c>
      <c r="H106">
        <f t="shared" si="2"/>
        <v>1.8614840996961372E-2</v>
      </c>
      <c r="I106">
        <v>32968.679689999997</v>
      </c>
      <c r="J106">
        <f t="shared" si="3"/>
        <v>1.1351891549368203E-2</v>
      </c>
    </row>
    <row r="107" spans="1:10">
      <c r="A107" s="34">
        <v>43192</v>
      </c>
      <c r="B107">
        <v>212.533005</v>
      </c>
      <c r="C107">
        <v>231.199997</v>
      </c>
      <c r="D107">
        <v>208.66700700000001</v>
      </c>
      <c r="E107">
        <v>229.233002</v>
      </c>
      <c r="F107">
        <v>217.075073</v>
      </c>
      <c r="G107">
        <v>1727064</v>
      </c>
      <c r="H107">
        <f t="shared" si="2"/>
        <v>9.8004156119137112E-2</v>
      </c>
      <c r="I107">
        <v>33626.96875</v>
      </c>
      <c r="J107">
        <f t="shared" si="3"/>
        <v>1.9770375911307789E-2</v>
      </c>
    </row>
    <row r="108" spans="1:10">
      <c r="A108" s="34">
        <v>43199</v>
      </c>
      <c r="B108">
        <v>230.533005</v>
      </c>
      <c r="C108">
        <v>235.533005</v>
      </c>
      <c r="D108">
        <v>224.567001</v>
      </c>
      <c r="E108">
        <v>225.766998</v>
      </c>
      <c r="F108">
        <v>213.79289199999999</v>
      </c>
      <c r="G108">
        <v>1322844</v>
      </c>
      <c r="H108">
        <f t="shared" si="2"/>
        <v>-1.5235500221991546E-2</v>
      </c>
      <c r="I108">
        <v>34192.648439999997</v>
      </c>
      <c r="J108">
        <f t="shared" si="3"/>
        <v>1.6682276673181388E-2</v>
      </c>
    </row>
    <row r="109" spans="1:10">
      <c r="A109" s="34">
        <v>43206</v>
      </c>
      <c r="B109">
        <v>224</v>
      </c>
      <c r="C109">
        <v>234.466995</v>
      </c>
      <c r="D109">
        <v>223.199997</v>
      </c>
      <c r="E109">
        <v>233.39999399999999</v>
      </c>
      <c r="F109">
        <v>221.02104199999999</v>
      </c>
      <c r="G109">
        <v>637745</v>
      </c>
      <c r="H109">
        <f t="shared" si="2"/>
        <v>3.3250157641035873E-2</v>
      </c>
      <c r="I109">
        <v>34415.578130000002</v>
      </c>
      <c r="J109">
        <f t="shared" si="3"/>
        <v>6.498651421768629E-3</v>
      </c>
    </row>
    <row r="110" spans="1:10">
      <c r="A110" s="34">
        <v>43213</v>
      </c>
      <c r="B110">
        <v>234</v>
      </c>
      <c r="C110">
        <v>239.39999399999999</v>
      </c>
      <c r="D110">
        <v>233.66700700000001</v>
      </c>
      <c r="E110">
        <v>235.966995</v>
      </c>
      <c r="F110">
        <v>223.45190400000001</v>
      </c>
      <c r="G110">
        <v>2714056</v>
      </c>
      <c r="H110">
        <f t="shared" si="2"/>
        <v>1.0938286610066737E-2</v>
      </c>
      <c r="I110">
        <v>34969.699220000002</v>
      </c>
      <c r="J110">
        <f t="shared" si="3"/>
        <v>1.5972635462817728E-2</v>
      </c>
    </row>
    <row r="111" spans="1:10">
      <c r="A111" s="34">
        <v>43220</v>
      </c>
      <c r="B111">
        <v>236</v>
      </c>
      <c r="C111">
        <v>237.699997</v>
      </c>
      <c r="D111">
        <v>222.66700700000001</v>
      </c>
      <c r="E111">
        <v>223.233002</v>
      </c>
      <c r="F111">
        <v>211.39328</v>
      </c>
      <c r="G111">
        <v>1853753</v>
      </c>
      <c r="H111">
        <f t="shared" si="2"/>
        <v>-5.5475911413648847E-2</v>
      </c>
      <c r="I111">
        <v>34915.378909999999</v>
      </c>
      <c r="J111">
        <f t="shared" si="3"/>
        <v>-1.5545613568160067E-3</v>
      </c>
    </row>
    <row r="112" spans="1:10">
      <c r="A112" s="34">
        <v>43227</v>
      </c>
      <c r="B112">
        <v>226.5</v>
      </c>
      <c r="C112">
        <v>230.533005</v>
      </c>
      <c r="D112">
        <v>219.699997</v>
      </c>
      <c r="E112">
        <v>226.10000600000001</v>
      </c>
      <c r="F112">
        <v>214.108215</v>
      </c>
      <c r="G112">
        <v>471099</v>
      </c>
      <c r="H112">
        <f t="shared" si="2"/>
        <v>1.2761279928713015E-2</v>
      </c>
      <c r="I112">
        <v>35535.789060000003</v>
      </c>
      <c r="J112">
        <f t="shared" si="3"/>
        <v>1.7612942587346952E-2</v>
      </c>
    </row>
    <row r="113" spans="1:10">
      <c r="A113" s="34">
        <v>43234</v>
      </c>
      <c r="B113">
        <v>227.33299299999999</v>
      </c>
      <c r="C113">
        <v>229.199997</v>
      </c>
      <c r="D113">
        <v>214.766998</v>
      </c>
      <c r="E113">
        <v>216.800003</v>
      </c>
      <c r="F113">
        <v>205.30148299999999</v>
      </c>
      <c r="G113">
        <v>503242</v>
      </c>
      <c r="H113">
        <f t="shared" si="2"/>
        <v>-4.2002017206074778E-2</v>
      </c>
      <c r="I113">
        <v>34848.300779999998</v>
      </c>
      <c r="J113">
        <f t="shared" si="3"/>
        <v>-1.9535953270531706E-2</v>
      </c>
    </row>
    <row r="114" spans="1:10">
      <c r="A114" s="34">
        <v>43241</v>
      </c>
      <c r="B114">
        <v>217.533005</v>
      </c>
      <c r="C114">
        <v>227.16700700000001</v>
      </c>
      <c r="D114">
        <v>196.699997</v>
      </c>
      <c r="E114">
        <v>207.733002</v>
      </c>
      <c r="F114">
        <v>196.715363</v>
      </c>
      <c r="G114">
        <v>2653241</v>
      </c>
      <c r="H114">
        <f t="shared" si="2"/>
        <v>-4.2721721517740993E-2</v>
      </c>
      <c r="I114">
        <v>34924.871090000001</v>
      </c>
      <c r="J114">
        <f t="shared" si="3"/>
        <v>2.1948361723103109E-3</v>
      </c>
    </row>
    <row r="115" spans="1:10">
      <c r="A115" s="34">
        <v>43248</v>
      </c>
      <c r="B115">
        <v>209.932999</v>
      </c>
      <c r="C115">
        <v>216.533005</v>
      </c>
      <c r="D115">
        <v>203.533005</v>
      </c>
      <c r="E115">
        <v>204.466995</v>
      </c>
      <c r="F115">
        <v>193.622589</v>
      </c>
      <c r="G115">
        <v>639873</v>
      </c>
      <c r="H115">
        <f t="shared" si="2"/>
        <v>-1.584697930126009E-2</v>
      </c>
      <c r="I115">
        <v>35227.261720000002</v>
      </c>
      <c r="J115">
        <f t="shared" si="3"/>
        <v>8.6210494465075536E-3</v>
      </c>
    </row>
    <row r="116" spans="1:10">
      <c r="A116" s="34">
        <v>43255</v>
      </c>
      <c r="B116">
        <v>204.733002</v>
      </c>
      <c r="C116">
        <v>210.766998</v>
      </c>
      <c r="D116">
        <v>203.33299299999999</v>
      </c>
      <c r="E116">
        <v>206.567001</v>
      </c>
      <c r="F116">
        <v>195.61120600000001</v>
      </c>
      <c r="G116">
        <v>1992522</v>
      </c>
      <c r="H116">
        <f t="shared" si="2"/>
        <v>1.0218199593180809E-2</v>
      </c>
      <c r="I116">
        <v>35443.671880000002</v>
      </c>
      <c r="J116">
        <f t="shared" si="3"/>
        <v>6.1244651915837479E-3</v>
      </c>
    </row>
    <row r="117" spans="1:10">
      <c r="A117" s="34">
        <v>43262</v>
      </c>
      <c r="B117">
        <v>206.733002</v>
      </c>
      <c r="C117">
        <v>211.16700700000001</v>
      </c>
      <c r="D117">
        <v>203.33299299999999</v>
      </c>
      <c r="E117">
        <v>205.199997</v>
      </c>
      <c r="F117">
        <v>194.316711</v>
      </c>
      <c r="G117">
        <v>739796</v>
      </c>
      <c r="H117">
        <f t="shared" si="2"/>
        <v>-6.6396874871417193E-3</v>
      </c>
      <c r="I117">
        <v>35622.140630000002</v>
      </c>
      <c r="J117">
        <f t="shared" si="3"/>
        <v>5.0226436279723861E-3</v>
      </c>
    </row>
    <row r="118" spans="1:10">
      <c r="A118" s="34">
        <v>43269</v>
      </c>
      <c r="B118">
        <v>204.733002</v>
      </c>
      <c r="C118">
        <v>208.60000600000001</v>
      </c>
      <c r="D118">
        <v>198</v>
      </c>
      <c r="E118">
        <v>202</v>
      </c>
      <c r="F118">
        <v>191.28642300000001</v>
      </c>
      <c r="G118">
        <v>1795913</v>
      </c>
      <c r="H118">
        <f t="shared" si="2"/>
        <v>-1.5717457228361889E-2</v>
      </c>
      <c r="I118">
        <v>35689.601560000003</v>
      </c>
      <c r="J118">
        <f t="shared" si="3"/>
        <v>1.8920011782698281E-3</v>
      </c>
    </row>
    <row r="119" spans="1:10">
      <c r="A119" s="34">
        <v>43276</v>
      </c>
      <c r="B119">
        <v>203.266998</v>
      </c>
      <c r="C119">
        <v>203.266998</v>
      </c>
      <c r="D119">
        <v>183</v>
      </c>
      <c r="E119">
        <v>189.5</v>
      </c>
      <c r="F119">
        <v>179.44940199999999</v>
      </c>
      <c r="G119">
        <v>1658778</v>
      </c>
      <c r="H119">
        <f t="shared" si="2"/>
        <v>-6.387861644923562E-2</v>
      </c>
      <c r="I119">
        <v>35423.480470000002</v>
      </c>
      <c r="J119">
        <f t="shared" si="3"/>
        <v>-7.484483155232151E-3</v>
      </c>
    </row>
    <row r="120" spans="1:10">
      <c r="A120" s="34">
        <v>43283</v>
      </c>
      <c r="B120">
        <v>190.33299299999999</v>
      </c>
      <c r="C120">
        <v>204.533005</v>
      </c>
      <c r="D120">
        <v>188.89999399999999</v>
      </c>
      <c r="E120">
        <v>199.199997</v>
      </c>
      <c r="F120">
        <v>188.63493299999999</v>
      </c>
      <c r="G120">
        <v>993504</v>
      </c>
      <c r="H120">
        <f t="shared" si="2"/>
        <v>4.9920290557788904E-2</v>
      </c>
      <c r="I120">
        <v>35657.859380000002</v>
      </c>
      <c r="J120">
        <f t="shared" si="3"/>
        <v>6.5946916566683141E-3</v>
      </c>
    </row>
    <row r="121" spans="1:10">
      <c r="A121" s="34">
        <v>43290</v>
      </c>
      <c r="B121">
        <v>200</v>
      </c>
      <c r="C121">
        <v>205.33299299999999</v>
      </c>
      <c r="D121">
        <v>191</v>
      </c>
      <c r="E121">
        <v>192.266998</v>
      </c>
      <c r="F121">
        <v>182.06964099999999</v>
      </c>
      <c r="G121">
        <v>1000150</v>
      </c>
      <c r="H121">
        <f t="shared" si="2"/>
        <v>-3.5424318996453395E-2</v>
      </c>
      <c r="I121">
        <v>36541.628909999999</v>
      </c>
      <c r="J121">
        <f t="shared" si="3"/>
        <v>2.4482546744260331E-2</v>
      </c>
    </row>
    <row r="122" spans="1:10">
      <c r="A122" s="34">
        <v>43297</v>
      </c>
      <c r="B122">
        <v>196</v>
      </c>
      <c r="C122">
        <v>200</v>
      </c>
      <c r="D122">
        <v>186.699997</v>
      </c>
      <c r="E122">
        <v>198.86700400000001</v>
      </c>
      <c r="F122">
        <v>188.31961100000001</v>
      </c>
      <c r="G122">
        <v>747084</v>
      </c>
      <c r="H122">
        <f t="shared" si="2"/>
        <v>3.3751321132038298E-2</v>
      </c>
      <c r="I122">
        <v>36496.371090000001</v>
      </c>
      <c r="J122">
        <f t="shared" si="3"/>
        <v>-1.2392953200373693E-3</v>
      </c>
    </row>
    <row r="123" spans="1:10">
      <c r="A123" s="34">
        <v>43304</v>
      </c>
      <c r="B123">
        <v>199.33299299999999</v>
      </c>
      <c r="C123">
        <v>213.33299299999999</v>
      </c>
      <c r="D123">
        <v>191.932999</v>
      </c>
      <c r="E123">
        <v>211.83299299999999</v>
      </c>
      <c r="F123">
        <v>200.597916</v>
      </c>
      <c r="G123">
        <v>1137615</v>
      </c>
      <c r="H123">
        <f t="shared" si="2"/>
        <v>6.3161908763503319E-2</v>
      </c>
      <c r="I123">
        <v>37336.851560000003</v>
      </c>
      <c r="J123">
        <f t="shared" si="3"/>
        <v>2.2767982947177714E-2</v>
      </c>
    </row>
    <row r="124" spans="1:10">
      <c r="A124" s="34">
        <v>43311</v>
      </c>
      <c r="B124">
        <v>214.66700700000001</v>
      </c>
      <c r="C124">
        <v>218.16700700000001</v>
      </c>
      <c r="D124">
        <v>201.36700400000001</v>
      </c>
      <c r="E124">
        <v>205.466995</v>
      </c>
      <c r="F124">
        <v>194.56956500000001</v>
      </c>
      <c r="G124">
        <v>1068837</v>
      </c>
      <c r="H124">
        <f t="shared" si="2"/>
        <v>-3.0512726858820033E-2</v>
      </c>
      <c r="I124">
        <v>37556.160159999999</v>
      </c>
      <c r="J124">
        <f t="shared" si="3"/>
        <v>5.8566005509951237E-3</v>
      </c>
    </row>
    <row r="125" spans="1:10">
      <c r="A125" s="34">
        <v>43318</v>
      </c>
      <c r="B125">
        <v>205.33299299999999</v>
      </c>
      <c r="C125">
        <v>212</v>
      </c>
      <c r="D125">
        <v>197.932999</v>
      </c>
      <c r="E125">
        <v>200.83299299999999</v>
      </c>
      <c r="F125">
        <v>190.18133499999999</v>
      </c>
      <c r="G125">
        <v>2834421</v>
      </c>
      <c r="H125">
        <f t="shared" si="2"/>
        <v>-2.2811748029311033E-2</v>
      </c>
      <c r="I125">
        <v>37869.230470000002</v>
      </c>
      <c r="J125">
        <f t="shared" si="3"/>
        <v>8.301504448808077E-3</v>
      </c>
    </row>
    <row r="126" spans="1:10">
      <c r="A126" s="34">
        <v>43325</v>
      </c>
      <c r="B126">
        <v>200.66700700000001</v>
      </c>
      <c r="C126">
        <v>208.60000600000001</v>
      </c>
      <c r="D126">
        <v>193.66700700000001</v>
      </c>
      <c r="E126">
        <v>207.5</v>
      </c>
      <c r="F126">
        <v>197.95721399999999</v>
      </c>
      <c r="G126">
        <v>1046625</v>
      </c>
      <c r="H126">
        <f t="shared" si="2"/>
        <v>4.0072904682199505E-2</v>
      </c>
      <c r="I126">
        <v>37947.878909999999</v>
      </c>
      <c r="J126">
        <f t="shared" si="3"/>
        <v>2.0746891791026986E-3</v>
      </c>
    </row>
    <row r="127" spans="1:10">
      <c r="A127" s="34">
        <v>43332</v>
      </c>
      <c r="B127">
        <v>209.300003</v>
      </c>
      <c r="C127">
        <v>212.10000600000001</v>
      </c>
      <c r="D127">
        <v>198.63299599999999</v>
      </c>
      <c r="E127">
        <v>200.63299599999999</v>
      </c>
      <c r="F127">
        <v>191.40602100000001</v>
      </c>
      <c r="G127">
        <v>765045</v>
      </c>
      <c r="H127">
        <f t="shared" si="2"/>
        <v>-3.3653980230117481E-2</v>
      </c>
      <c r="I127">
        <v>38251.800779999998</v>
      </c>
      <c r="J127">
        <f t="shared" si="3"/>
        <v>7.9770278000046643E-3</v>
      </c>
    </row>
    <row r="128" spans="1:10">
      <c r="A128" s="34">
        <v>43339</v>
      </c>
      <c r="B128">
        <v>200.800003</v>
      </c>
      <c r="C128">
        <v>208.5</v>
      </c>
      <c r="D128">
        <v>200.800003</v>
      </c>
      <c r="E128">
        <v>203.16700700000001</v>
      </c>
      <c r="F128">
        <v>193.82350199999999</v>
      </c>
      <c r="G128">
        <v>832879</v>
      </c>
      <c r="H128">
        <f t="shared" si="2"/>
        <v>1.2551025249655587E-2</v>
      </c>
      <c r="I128">
        <v>38645.070310000003</v>
      </c>
      <c r="J128">
        <f t="shared" si="3"/>
        <v>1.0228581558689729E-2</v>
      </c>
    </row>
    <row r="129" spans="1:10">
      <c r="A129" s="34">
        <v>43346</v>
      </c>
      <c r="B129">
        <v>203.39999399999999</v>
      </c>
      <c r="C129">
        <v>205.5</v>
      </c>
      <c r="D129">
        <v>190</v>
      </c>
      <c r="E129">
        <v>202.33299299999999</v>
      </c>
      <c r="F129">
        <v>193.02784700000001</v>
      </c>
      <c r="G129">
        <v>1641485</v>
      </c>
      <c r="H129">
        <f t="shared" si="2"/>
        <v>-4.1134979830747299E-3</v>
      </c>
      <c r="I129">
        <v>38389.820310000003</v>
      </c>
      <c r="J129">
        <f t="shared" si="3"/>
        <v>-6.6268915829786942E-3</v>
      </c>
    </row>
    <row r="130" spans="1:10">
      <c r="A130" s="34">
        <v>43353</v>
      </c>
      <c r="B130">
        <v>205.86700400000001</v>
      </c>
      <c r="C130">
        <v>206</v>
      </c>
      <c r="D130">
        <v>188.66700700000001</v>
      </c>
      <c r="E130">
        <v>192.033005</v>
      </c>
      <c r="F130">
        <v>183.20155299999999</v>
      </c>
      <c r="G130">
        <v>2446120</v>
      </c>
      <c r="H130">
        <f t="shared" si="2"/>
        <v>-5.2247534192567675E-2</v>
      </c>
      <c r="I130">
        <v>38090.640630000002</v>
      </c>
      <c r="J130">
        <f t="shared" si="3"/>
        <v>-7.8237291565813084E-3</v>
      </c>
    </row>
    <row r="131" spans="1:10">
      <c r="A131" s="34">
        <v>43360</v>
      </c>
      <c r="B131">
        <v>191.86700400000001</v>
      </c>
      <c r="C131">
        <v>196.800003</v>
      </c>
      <c r="D131">
        <v>183.33299299999999</v>
      </c>
      <c r="E131">
        <v>184.16700700000001</v>
      </c>
      <c r="F131">
        <v>175.69729599999999</v>
      </c>
      <c r="G131">
        <v>2676764</v>
      </c>
      <c r="H131">
        <f t="shared" si="2"/>
        <v>-4.1824324072804321E-2</v>
      </c>
      <c r="I131">
        <v>36841.601560000003</v>
      </c>
      <c r="J131">
        <f t="shared" si="3"/>
        <v>-3.334091535852407E-2</v>
      </c>
    </row>
    <row r="132" spans="1:10">
      <c r="A132" s="34">
        <v>43367</v>
      </c>
      <c r="B132">
        <v>183.33299299999999</v>
      </c>
      <c r="C132">
        <v>184.66700700000001</v>
      </c>
      <c r="D132">
        <v>163</v>
      </c>
      <c r="E132">
        <v>171.199997</v>
      </c>
      <c r="F132">
        <v>163.32662999999999</v>
      </c>
      <c r="G132">
        <v>6212807</v>
      </c>
      <c r="H132">
        <f t="shared" ref="H132:H158" si="4">LN(F132/F131)</f>
        <v>-7.3010544427492427E-2</v>
      </c>
      <c r="I132">
        <v>36227.140630000002</v>
      </c>
      <c r="J132">
        <f t="shared" ref="J132:J158" si="5">LN(I132/I131)</f>
        <v>-1.6819104764201981E-2</v>
      </c>
    </row>
    <row r="133" spans="1:10">
      <c r="A133" s="34">
        <v>43374</v>
      </c>
      <c r="B133">
        <v>171.13299599999999</v>
      </c>
      <c r="C133">
        <v>171.13299599999999</v>
      </c>
      <c r="D133">
        <v>158.13299599999999</v>
      </c>
      <c r="E133">
        <v>160.5</v>
      </c>
      <c r="F133">
        <v>153.11871300000001</v>
      </c>
      <c r="G133">
        <v>1593422</v>
      </c>
      <c r="H133">
        <f t="shared" si="4"/>
        <v>-6.4538538281131957E-2</v>
      </c>
      <c r="I133">
        <v>34376.988279999998</v>
      </c>
      <c r="J133">
        <f t="shared" si="5"/>
        <v>-5.2421183889699477E-2</v>
      </c>
    </row>
    <row r="134" spans="1:10">
      <c r="A134" s="34">
        <v>43381</v>
      </c>
      <c r="B134">
        <v>160.66700700000001</v>
      </c>
      <c r="C134">
        <v>163.16700700000001</v>
      </c>
      <c r="D134">
        <v>147.033005</v>
      </c>
      <c r="E134">
        <v>159.10000600000001</v>
      </c>
      <c r="F134">
        <v>151.78311199999999</v>
      </c>
      <c r="G134">
        <v>2166523</v>
      </c>
      <c r="H134">
        <f t="shared" si="4"/>
        <v>-8.7609153712045872E-3</v>
      </c>
      <c r="I134">
        <v>34733.578130000002</v>
      </c>
      <c r="J134">
        <f t="shared" si="5"/>
        <v>1.0319493328252579E-2</v>
      </c>
    </row>
    <row r="135" spans="1:10">
      <c r="A135" s="34">
        <v>43388</v>
      </c>
      <c r="B135">
        <v>160.766998</v>
      </c>
      <c r="C135">
        <v>174.266998</v>
      </c>
      <c r="D135">
        <v>156.300003</v>
      </c>
      <c r="E135">
        <v>170.13299599999999</v>
      </c>
      <c r="F135">
        <v>162.30870100000001</v>
      </c>
      <c r="G135">
        <v>1530737</v>
      </c>
      <c r="H135">
        <f t="shared" si="4"/>
        <v>6.7047476555505345E-2</v>
      </c>
      <c r="I135">
        <v>34315.628909999999</v>
      </c>
      <c r="J135">
        <f t="shared" si="5"/>
        <v>-1.2105984768797796E-2</v>
      </c>
    </row>
    <row r="136" spans="1:10">
      <c r="A136" s="34">
        <v>43395</v>
      </c>
      <c r="B136">
        <v>171.33299299999999</v>
      </c>
      <c r="C136">
        <v>176.60000600000001</v>
      </c>
      <c r="D136">
        <v>149.66700700000001</v>
      </c>
      <c r="E136">
        <v>150.83299299999999</v>
      </c>
      <c r="F136">
        <v>143.896286</v>
      </c>
      <c r="G136">
        <v>3299410</v>
      </c>
      <c r="H136">
        <f t="shared" si="4"/>
        <v>-0.12040727971095157</v>
      </c>
      <c r="I136">
        <v>33349.308590000001</v>
      </c>
      <c r="J136">
        <f t="shared" si="5"/>
        <v>-2.8563863533508226E-2</v>
      </c>
    </row>
    <row r="137" spans="1:10">
      <c r="A137" s="34">
        <v>43402</v>
      </c>
      <c r="B137">
        <v>155.66700700000001</v>
      </c>
      <c r="C137">
        <v>178.64999399999999</v>
      </c>
      <c r="D137">
        <v>146.766998</v>
      </c>
      <c r="E137">
        <v>172.800003</v>
      </c>
      <c r="F137">
        <v>164.85304300000001</v>
      </c>
      <c r="G137">
        <v>3987447</v>
      </c>
      <c r="H137">
        <f t="shared" si="4"/>
        <v>0.13596162458245331</v>
      </c>
      <c r="I137">
        <v>35011.648439999997</v>
      </c>
      <c r="J137">
        <f t="shared" si="5"/>
        <v>4.8643778478332976E-2</v>
      </c>
    </row>
    <row r="138" spans="1:10">
      <c r="A138" s="34">
        <v>43409</v>
      </c>
      <c r="B138">
        <v>176.800003</v>
      </c>
      <c r="C138">
        <v>177.300003</v>
      </c>
      <c r="D138">
        <v>168.449997</v>
      </c>
      <c r="E138">
        <v>170.699997</v>
      </c>
      <c r="F138">
        <v>162.849625</v>
      </c>
      <c r="G138">
        <v>969537</v>
      </c>
      <c r="H138">
        <f t="shared" si="4"/>
        <v>-1.2227199565694052E-2</v>
      </c>
      <c r="I138">
        <v>35158.550779999998</v>
      </c>
      <c r="J138">
        <f t="shared" si="5"/>
        <v>4.1870354152677347E-3</v>
      </c>
    </row>
    <row r="139" spans="1:10">
      <c r="A139" s="34">
        <v>43416</v>
      </c>
      <c r="B139">
        <v>172.89999399999999</v>
      </c>
      <c r="C139">
        <v>173.699997</v>
      </c>
      <c r="D139">
        <v>140.800003</v>
      </c>
      <c r="E139">
        <v>149.14999399999999</v>
      </c>
      <c r="F139">
        <v>142.290695</v>
      </c>
      <c r="G139">
        <v>11819752</v>
      </c>
      <c r="H139">
        <f t="shared" si="4"/>
        <v>-0.13495511605031144</v>
      </c>
      <c r="I139">
        <v>35457.160159999999</v>
      </c>
      <c r="J139">
        <f t="shared" si="5"/>
        <v>8.4573576023372326E-3</v>
      </c>
    </row>
    <row r="140" spans="1:10">
      <c r="A140" s="34">
        <v>43423</v>
      </c>
      <c r="B140">
        <v>149.550003</v>
      </c>
      <c r="C140">
        <v>157.5</v>
      </c>
      <c r="D140">
        <v>147.85000600000001</v>
      </c>
      <c r="E140">
        <v>156.199997</v>
      </c>
      <c r="F140">
        <v>149.01646400000001</v>
      </c>
      <c r="G140">
        <v>1785700</v>
      </c>
      <c r="H140">
        <f t="shared" si="4"/>
        <v>4.6184683548746212E-2</v>
      </c>
      <c r="I140">
        <v>34981.019529999998</v>
      </c>
      <c r="J140">
        <f t="shared" si="5"/>
        <v>-1.3519596459434664E-2</v>
      </c>
    </row>
    <row r="141" spans="1:10">
      <c r="A141" s="34">
        <v>43430</v>
      </c>
      <c r="B141">
        <v>157</v>
      </c>
      <c r="C141">
        <v>164.5</v>
      </c>
      <c r="D141">
        <v>151.699997</v>
      </c>
      <c r="E141">
        <v>155.64999399999999</v>
      </c>
      <c r="F141">
        <v>148.49176</v>
      </c>
      <c r="G141">
        <v>1963873</v>
      </c>
      <c r="H141">
        <f t="shared" si="4"/>
        <v>-3.5273279977118713E-3</v>
      </c>
      <c r="I141">
        <v>36194.300779999998</v>
      </c>
      <c r="J141">
        <f t="shared" si="5"/>
        <v>3.4096054171449321E-2</v>
      </c>
    </row>
    <row r="142" spans="1:10">
      <c r="A142" s="34">
        <v>43437</v>
      </c>
      <c r="B142">
        <v>156.949997</v>
      </c>
      <c r="C142">
        <v>168.64999399999999</v>
      </c>
      <c r="D142">
        <v>153</v>
      </c>
      <c r="E142">
        <v>154.75</v>
      </c>
      <c r="F142">
        <v>147.633163</v>
      </c>
      <c r="G142">
        <v>2749857</v>
      </c>
      <c r="H142">
        <f t="shared" si="4"/>
        <v>-5.7988999866745465E-3</v>
      </c>
      <c r="I142">
        <v>35673.25</v>
      </c>
      <c r="J142">
        <f t="shared" si="5"/>
        <v>-1.4500561220282723E-2</v>
      </c>
    </row>
    <row r="143" spans="1:10">
      <c r="A143" s="34">
        <v>43444</v>
      </c>
      <c r="B143">
        <v>151.5</v>
      </c>
      <c r="C143">
        <v>179.300003</v>
      </c>
      <c r="D143">
        <v>147.14999399999999</v>
      </c>
      <c r="E143">
        <v>166.449997</v>
      </c>
      <c r="F143">
        <v>158.79508999999999</v>
      </c>
      <c r="G143">
        <v>3474995</v>
      </c>
      <c r="H143">
        <f t="shared" si="4"/>
        <v>7.2884060438491272E-2</v>
      </c>
      <c r="I143">
        <v>35962.929689999997</v>
      </c>
      <c r="J143">
        <f t="shared" si="5"/>
        <v>8.0875688853838494E-3</v>
      </c>
    </row>
    <row r="144" spans="1:10">
      <c r="A144" s="34">
        <v>43451</v>
      </c>
      <c r="B144">
        <v>167.89999399999999</v>
      </c>
      <c r="C144">
        <v>175.5</v>
      </c>
      <c r="D144">
        <v>163.75</v>
      </c>
      <c r="E144">
        <v>168.75</v>
      </c>
      <c r="F144">
        <v>160.989304</v>
      </c>
      <c r="G144">
        <v>1333051</v>
      </c>
      <c r="H144">
        <f t="shared" si="4"/>
        <v>1.372329905541152E-2</v>
      </c>
      <c r="I144">
        <v>35742.070310000003</v>
      </c>
      <c r="J144">
        <f t="shared" si="5"/>
        <v>-6.1602420595843425E-3</v>
      </c>
    </row>
    <row r="145" spans="1:10">
      <c r="A145" s="34">
        <v>43458</v>
      </c>
      <c r="B145">
        <v>170</v>
      </c>
      <c r="C145">
        <v>170.25</v>
      </c>
      <c r="D145">
        <v>159.10000600000001</v>
      </c>
      <c r="E145">
        <v>162.89999399999999</v>
      </c>
      <c r="F145">
        <v>155.40834000000001</v>
      </c>
      <c r="G145">
        <v>1025080</v>
      </c>
      <c r="H145">
        <f t="shared" si="4"/>
        <v>-3.5281823547824484E-2</v>
      </c>
      <c r="I145">
        <v>36076.71875</v>
      </c>
      <c r="J145">
        <f t="shared" si="5"/>
        <v>9.3193122964891784E-3</v>
      </c>
    </row>
    <row r="146" spans="1:10">
      <c r="A146" s="34">
        <v>43465</v>
      </c>
      <c r="B146">
        <v>162.800003</v>
      </c>
      <c r="C146">
        <v>167.89999399999999</v>
      </c>
      <c r="D146">
        <v>158</v>
      </c>
      <c r="E146">
        <v>159</v>
      </c>
      <c r="F146">
        <v>151.68769800000001</v>
      </c>
      <c r="G146">
        <v>1137303</v>
      </c>
      <c r="H146">
        <f t="shared" si="4"/>
        <v>-2.4232315645969719E-2</v>
      </c>
      <c r="I146">
        <v>35695.101560000003</v>
      </c>
      <c r="J146">
        <f>LN(I146/I145)</f>
        <v>-1.0634279155855507E-2</v>
      </c>
    </row>
    <row r="147" spans="1:10">
      <c r="A147" s="34">
        <v>43472</v>
      </c>
      <c r="B147">
        <v>160.10000600000001</v>
      </c>
      <c r="C147">
        <v>163.39999399999999</v>
      </c>
      <c r="D147">
        <v>155.449997</v>
      </c>
      <c r="E147">
        <v>160.949997</v>
      </c>
      <c r="F147">
        <v>153.54801900000001</v>
      </c>
      <c r="G147">
        <v>1457832</v>
      </c>
      <c r="H147">
        <f t="shared" si="4"/>
        <v>1.2189556667366232E-2</v>
      </c>
      <c r="I147">
        <v>36009.839840000001</v>
      </c>
      <c r="J147">
        <f t="shared" si="5"/>
        <v>8.7787618306703081E-3</v>
      </c>
    </row>
    <row r="148" spans="1:10">
      <c r="A148" s="34">
        <v>43479</v>
      </c>
      <c r="B148">
        <v>162.60000600000001</v>
      </c>
      <c r="C148">
        <v>164.35000600000001</v>
      </c>
      <c r="D148">
        <v>155.699997</v>
      </c>
      <c r="E148">
        <v>157.449997</v>
      </c>
      <c r="F148">
        <v>150.20898399999999</v>
      </c>
      <c r="G148">
        <v>1026735</v>
      </c>
      <c r="H148">
        <f t="shared" si="4"/>
        <v>-2.1985794345374399E-2</v>
      </c>
      <c r="I148">
        <v>36386.609380000002</v>
      </c>
      <c r="J148">
        <f t="shared" si="5"/>
        <v>1.0408602787103141E-2</v>
      </c>
    </row>
    <row r="149" spans="1:10">
      <c r="A149" s="34">
        <v>43486</v>
      </c>
      <c r="B149">
        <v>159.199997</v>
      </c>
      <c r="C149">
        <v>165.60000600000001</v>
      </c>
      <c r="D149">
        <v>149.89999399999999</v>
      </c>
      <c r="E149">
        <v>150.89999399999999</v>
      </c>
      <c r="F149">
        <v>143.960205</v>
      </c>
      <c r="G149">
        <v>1063022</v>
      </c>
      <c r="H149">
        <f t="shared" si="4"/>
        <v>-4.2490643906679532E-2</v>
      </c>
      <c r="I149">
        <v>36025.539060000003</v>
      </c>
      <c r="J149">
        <f t="shared" si="5"/>
        <v>-9.9727275133617045E-3</v>
      </c>
    </row>
    <row r="150" spans="1:10">
      <c r="A150" s="34">
        <v>43493</v>
      </c>
      <c r="B150">
        <v>151</v>
      </c>
      <c r="C150">
        <v>151.35000600000001</v>
      </c>
      <c r="D150">
        <v>137.5</v>
      </c>
      <c r="E150">
        <v>139.10000600000001</v>
      </c>
      <c r="F150">
        <v>132.70288099999999</v>
      </c>
      <c r="G150">
        <v>4292025</v>
      </c>
      <c r="H150">
        <f t="shared" si="4"/>
        <v>-8.1424255488524125E-2</v>
      </c>
      <c r="I150">
        <v>36469.429689999997</v>
      </c>
      <c r="J150">
        <f t="shared" si="5"/>
        <v>1.2246261642631996E-2</v>
      </c>
    </row>
    <row r="151" spans="1:10">
      <c r="A151" s="34">
        <v>43500</v>
      </c>
      <c r="B151">
        <v>139.5</v>
      </c>
      <c r="C151">
        <v>143.64999399999999</v>
      </c>
      <c r="D151">
        <v>133.800003</v>
      </c>
      <c r="E151">
        <v>135.050003</v>
      </c>
      <c r="F151">
        <v>128.83914200000001</v>
      </c>
      <c r="G151">
        <v>3181503</v>
      </c>
      <c r="H151">
        <f t="shared" si="4"/>
        <v>-2.9547986709675962E-2</v>
      </c>
      <c r="I151">
        <v>36546.480470000002</v>
      </c>
      <c r="J151">
        <f t="shared" si="5"/>
        <v>2.1105210749755811E-3</v>
      </c>
    </row>
    <row r="152" spans="1:10">
      <c r="A152" s="34">
        <v>43507</v>
      </c>
      <c r="B152">
        <v>134.39999399999999</v>
      </c>
      <c r="C152">
        <v>140.800003</v>
      </c>
      <c r="D152">
        <v>127.5</v>
      </c>
      <c r="E152">
        <v>130.60000600000001</v>
      </c>
      <c r="F152">
        <v>124.59380299999999</v>
      </c>
      <c r="G152">
        <v>2976736</v>
      </c>
      <c r="H152">
        <f t="shared" si="4"/>
        <v>-3.3505795054253461E-2</v>
      </c>
      <c r="I152">
        <v>35808.949220000002</v>
      </c>
      <c r="J152">
        <f t="shared" si="5"/>
        <v>-2.0387047609214733E-2</v>
      </c>
    </row>
    <row r="153" spans="1:10">
      <c r="A153" s="34">
        <v>43514</v>
      </c>
      <c r="B153">
        <v>130</v>
      </c>
      <c r="C153">
        <v>145.39999399999999</v>
      </c>
      <c r="D153">
        <v>129.10000600000001</v>
      </c>
      <c r="E153">
        <v>142.85000600000001</v>
      </c>
      <c r="F153">
        <v>136.28042600000001</v>
      </c>
      <c r="G153">
        <v>1565040</v>
      </c>
      <c r="H153">
        <f t="shared" si="4"/>
        <v>8.9655848741078292E-2</v>
      </c>
      <c r="I153">
        <v>35871.480470000002</v>
      </c>
      <c r="J153">
        <f t="shared" si="5"/>
        <v>1.7447235216875422E-3</v>
      </c>
    </row>
    <row r="154" spans="1:10">
      <c r="A154" s="34">
        <v>43521</v>
      </c>
      <c r="B154">
        <v>144.60000600000001</v>
      </c>
      <c r="C154">
        <v>166.699997</v>
      </c>
      <c r="D154">
        <v>143.550003</v>
      </c>
      <c r="E154">
        <v>160.5</v>
      </c>
      <c r="F154">
        <v>153.11871300000001</v>
      </c>
      <c r="G154">
        <v>5257817</v>
      </c>
      <c r="H154">
        <f t="shared" si="4"/>
        <v>0.11649880379179729</v>
      </c>
      <c r="I154">
        <v>36063.808590000001</v>
      </c>
      <c r="J154">
        <f t="shared" si="5"/>
        <v>5.3472664331225142E-3</v>
      </c>
    </row>
    <row r="155" spans="1:10">
      <c r="A155" s="34">
        <v>43528</v>
      </c>
      <c r="B155">
        <v>160.5</v>
      </c>
      <c r="C155">
        <v>169</v>
      </c>
      <c r="D155">
        <v>159.550003</v>
      </c>
      <c r="E155">
        <v>163.39999399999999</v>
      </c>
      <c r="F155">
        <v>155.885345</v>
      </c>
      <c r="G155">
        <v>3458652</v>
      </c>
      <c r="H155">
        <f t="shared" si="4"/>
        <v>1.7907246582558736E-2</v>
      </c>
      <c r="I155">
        <v>36671.429689999997</v>
      </c>
      <c r="J155">
        <f t="shared" si="5"/>
        <v>1.6708138989905291E-2</v>
      </c>
    </row>
    <row r="156" spans="1:10">
      <c r="A156" s="34">
        <v>43535</v>
      </c>
      <c r="B156">
        <v>163.800003</v>
      </c>
      <c r="C156">
        <v>175.5</v>
      </c>
      <c r="D156">
        <v>161.5</v>
      </c>
      <c r="E156">
        <v>165.25</v>
      </c>
      <c r="F156">
        <v>157.65026900000001</v>
      </c>
      <c r="G156">
        <v>2664190</v>
      </c>
      <c r="H156">
        <f t="shared" si="4"/>
        <v>1.1258323221598135E-2</v>
      </c>
      <c r="I156">
        <v>38024.320310000003</v>
      </c>
      <c r="J156">
        <f t="shared" si="5"/>
        <v>3.6227993842089162E-2</v>
      </c>
    </row>
    <row r="157" spans="1:10">
      <c r="A157" s="34">
        <v>43542</v>
      </c>
      <c r="B157">
        <v>166.5</v>
      </c>
      <c r="C157">
        <v>166.550003</v>
      </c>
      <c r="D157">
        <v>145.89999399999999</v>
      </c>
      <c r="E157">
        <v>146.050003</v>
      </c>
      <c r="F157">
        <v>139.33326700000001</v>
      </c>
      <c r="G157">
        <v>10286262</v>
      </c>
      <c r="H157">
        <f t="shared" si="4"/>
        <v>-0.12351042452108527</v>
      </c>
      <c r="I157">
        <v>38164.609380000002</v>
      </c>
      <c r="J157">
        <f t="shared" si="5"/>
        <v>3.6826669995558277E-3</v>
      </c>
    </row>
    <row r="158" spans="1:10">
      <c r="A158" s="34">
        <v>43549</v>
      </c>
      <c r="B158">
        <v>146.050003</v>
      </c>
      <c r="C158">
        <v>146.300003</v>
      </c>
      <c r="D158">
        <v>142.89999399999999</v>
      </c>
      <c r="E158">
        <v>144.35000600000001</v>
      </c>
      <c r="F158">
        <v>137.71144100000001</v>
      </c>
      <c r="G158">
        <v>2933448</v>
      </c>
      <c r="H158">
        <f t="shared" si="4"/>
        <v>-1.1708179077101458E-2</v>
      </c>
      <c r="I158">
        <v>38672.910159999999</v>
      </c>
      <c r="J158">
        <f t="shared" si="5"/>
        <v>1.3230728892647691E-2</v>
      </c>
    </row>
  </sheetData>
  <hyperlinks>
    <hyperlink ref="N1" r:id="rId1" xr:uid="{4E913B16-9498-4C1C-A059-DEEBA0225148}"/>
    <hyperlink ref="N2" r:id="rId2" xr:uid="{099794E8-4E23-412E-9DF5-0084E5B5982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10BA-907C-4CA4-8ABE-8FAF139EFB81}">
  <dimension ref="A1:D43"/>
  <sheetViews>
    <sheetView workbookViewId="0">
      <selection activeCell="J20" sqref="J20"/>
    </sheetView>
  </sheetViews>
  <sheetFormatPr defaultRowHeight="14.4"/>
  <cols>
    <col min="1" max="1" width="23.88671875" bestFit="1" customWidth="1"/>
  </cols>
  <sheetData>
    <row r="1" spans="1:4">
      <c r="A1" t="s">
        <v>162</v>
      </c>
      <c r="B1" t="s">
        <v>255</v>
      </c>
      <c r="C1" t="s">
        <v>256</v>
      </c>
      <c r="D1" t="s">
        <v>163</v>
      </c>
    </row>
    <row r="2" spans="1:4">
      <c r="A2" t="s">
        <v>169</v>
      </c>
      <c r="B2">
        <v>2.3751851093574601</v>
      </c>
      <c r="C2">
        <v>0.48302301659275398</v>
      </c>
      <c r="D2">
        <v>1.8835395387106499</v>
      </c>
    </row>
    <row r="3" spans="1:4">
      <c r="A3" t="s">
        <v>170</v>
      </c>
      <c r="B3">
        <v>2.0681901887001</v>
      </c>
      <c r="C3">
        <v>0.58442410174512904</v>
      </c>
      <c r="D3">
        <v>1.47552619059288</v>
      </c>
    </row>
    <row r="4" spans="1:4">
      <c r="A4" t="s">
        <v>178</v>
      </c>
      <c r="B4">
        <v>3.6915715133535798</v>
      </c>
      <c r="C4">
        <v>0.58054881495992505</v>
      </c>
      <c r="D4">
        <v>3.0938791287105998</v>
      </c>
    </row>
    <row r="5" spans="1:4">
      <c r="A5" t="s">
        <v>179</v>
      </c>
      <c r="B5">
        <v>5.4738348716934402</v>
      </c>
      <c r="C5">
        <v>0.51227535374736</v>
      </c>
      <c r="D5">
        <v>4.9375572373234498</v>
      </c>
    </row>
    <row r="6" spans="1:4">
      <c r="A6" t="s">
        <v>180</v>
      </c>
      <c r="B6">
        <v>1.99602359692994</v>
      </c>
      <c r="C6">
        <v>0.56070069644693599</v>
      </c>
      <c r="D6">
        <v>1.4276745379268501</v>
      </c>
    </row>
    <row r="7" spans="1:4">
      <c r="A7" t="s">
        <v>181</v>
      </c>
      <c r="B7">
        <v>-0.76418902288238899</v>
      </c>
      <c r="C7">
        <v>0.50778690785653302</v>
      </c>
      <c r="D7">
        <v>-1.26588974128342</v>
      </c>
    </row>
    <row r="8" spans="1:4">
      <c r="A8" t="s">
        <v>182</v>
      </c>
      <c r="B8">
        <v>2.8182851749304798</v>
      </c>
      <c r="C8">
        <v>0.47227885789151702</v>
      </c>
      <c r="D8">
        <v>2.33556336479674</v>
      </c>
    </row>
    <row r="9" spans="1:4">
      <c r="A9" t="s">
        <v>183</v>
      </c>
      <c r="B9">
        <v>-5.3345404838770403</v>
      </c>
      <c r="C9">
        <v>0.50185606723378595</v>
      </c>
      <c r="D9">
        <v>-5.8087346977755301</v>
      </c>
    </row>
    <row r="10" spans="1:4">
      <c r="A10" t="s">
        <v>184</v>
      </c>
      <c r="B10">
        <v>-1.6368477373053001</v>
      </c>
      <c r="C10">
        <v>0.52181009355052299</v>
      </c>
      <c r="D10">
        <v>-2.14796286507717</v>
      </c>
    </row>
    <row r="11" spans="1:4">
      <c r="A11" t="s">
        <v>185</v>
      </c>
      <c r="B11">
        <v>5.8935556665112001</v>
      </c>
      <c r="C11">
        <v>0.51016681060758196</v>
      </c>
      <c r="D11">
        <v>5.3573832360256102</v>
      </c>
    </row>
    <row r="12" spans="1:4">
      <c r="A12" t="s">
        <v>186</v>
      </c>
      <c r="B12">
        <v>4.6895389917398704</v>
      </c>
      <c r="C12">
        <v>0.45568049874857902</v>
      </c>
      <c r="D12">
        <v>4.2156848840986498</v>
      </c>
    </row>
    <row r="13" spans="1:4">
      <c r="A13" t="s">
        <v>187</v>
      </c>
      <c r="B13">
        <v>3.6588498397076101</v>
      </c>
      <c r="C13">
        <v>0.50990681234894797</v>
      </c>
      <c r="D13">
        <v>3.13368661577005</v>
      </c>
    </row>
    <row r="14" spans="1:4">
      <c r="A14" t="s">
        <v>188</v>
      </c>
      <c r="B14">
        <v>3.1101149279791498</v>
      </c>
      <c r="C14">
        <v>0.41961635347138598</v>
      </c>
      <c r="D14">
        <v>2.67988344285228</v>
      </c>
    </row>
    <row r="15" spans="1:4">
      <c r="A15" t="s">
        <v>189</v>
      </c>
      <c r="B15">
        <v>0.48316370702294897</v>
      </c>
      <c r="C15">
        <v>0.53522475198490804</v>
      </c>
      <c r="D15">
        <v>-5.18122893833683E-2</v>
      </c>
    </row>
    <row r="16" spans="1:4">
      <c r="A16" t="s">
        <v>190</v>
      </c>
      <c r="B16">
        <v>-9.4778366985792705E-4</v>
      </c>
      <c r="C16">
        <v>0.51289122848743296</v>
      </c>
      <c r="D16">
        <v>-0.51134365944266502</v>
      </c>
    </row>
    <row r="17" spans="1:4">
      <c r="A17" t="s">
        <v>191</v>
      </c>
      <c r="B17">
        <v>5.4227237298007704</v>
      </c>
      <c r="C17">
        <v>0.50774295275399794</v>
      </c>
      <c r="D17">
        <v>4.8913594376198004</v>
      </c>
    </row>
    <row r="18" spans="1:4">
      <c r="A18" t="s">
        <v>192</v>
      </c>
      <c r="B18">
        <v>-0.38607976181553899</v>
      </c>
      <c r="C18">
        <v>0.50183844413900203</v>
      </c>
      <c r="D18">
        <v>-0.883715914531924</v>
      </c>
    </row>
    <row r="19" spans="1:4">
      <c r="A19" t="s">
        <v>193</v>
      </c>
      <c r="B19">
        <v>-0.917083269755259</v>
      </c>
      <c r="C19">
        <v>0.498656468040792</v>
      </c>
      <c r="D19">
        <v>-1.4090632954200799</v>
      </c>
    </row>
    <row r="20" spans="1:4">
      <c r="A20" t="s">
        <v>194</v>
      </c>
      <c r="B20">
        <v>7.6405653697505498</v>
      </c>
      <c r="C20">
        <v>0.47421243622367498</v>
      </c>
      <c r="D20">
        <v>7.1342681081618498</v>
      </c>
    </row>
    <row r="21" spans="1:4">
      <c r="A21" t="s">
        <v>195</v>
      </c>
      <c r="B21">
        <v>0.35721988018821998</v>
      </c>
      <c r="C21">
        <v>0.52340959319718805</v>
      </c>
      <c r="D21">
        <v>-0.16537306844730501</v>
      </c>
    </row>
    <row r="22" spans="1:4">
      <c r="A22" t="s">
        <v>196</v>
      </c>
      <c r="B22">
        <v>3.9259204715798499</v>
      </c>
      <c r="C22">
        <v>0.47951423336931598</v>
      </c>
      <c r="D22">
        <v>3.4307840190768402</v>
      </c>
    </row>
    <row r="23" spans="1:4">
      <c r="A23" t="s">
        <v>197</v>
      </c>
      <c r="B23">
        <v>0.81889891072897103</v>
      </c>
      <c r="C23">
        <v>0.54010440897942502</v>
      </c>
      <c r="D23">
        <v>0.27734859754970898</v>
      </c>
    </row>
    <row r="24" spans="1:4">
      <c r="A24" t="s">
        <v>198</v>
      </c>
      <c r="B24">
        <v>-3.6944250425110798</v>
      </c>
      <c r="C24">
        <v>0.47107099898302501</v>
      </c>
      <c r="D24">
        <v>-4.1469963391156197</v>
      </c>
    </row>
    <row r="25" spans="1:4">
      <c r="A25" t="s">
        <v>199</v>
      </c>
      <c r="B25">
        <v>-4.24487963029424</v>
      </c>
      <c r="C25">
        <v>0.46577393372782</v>
      </c>
      <c r="D25">
        <v>-4.6899354616741302</v>
      </c>
    </row>
    <row r="26" spans="1:4">
      <c r="A26" t="s">
        <v>200</v>
      </c>
      <c r="B26">
        <v>6.7989800692028304</v>
      </c>
      <c r="C26">
        <v>0.50032319754329502</v>
      </c>
      <c r="D26">
        <v>6.2688266579287202</v>
      </c>
    </row>
    <row r="27" spans="1:4">
      <c r="A27" t="s">
        <v>201</v>
      </c>
      <c r="B27">
        <v>-2.6220459085094201</v>
      </c>
      <c r="C27">
        <v>0.53923424957542698</v>
      </c>
      <c r="D27">
        <v>-3.14507746618398</v>
      </c>
    </row>
    <row r="28" spans="1:4">
      <c r="A28" t="s">
        <v>202</v>
      </c>
      <c r="B28">
        <v>-2.5070401385703498</v>
      </c>
      <c r="C28">
        <v>0.52940739603168896</v>
      </c>
      <c r="D28">
        <v>-3.0212131050702999</v>
      </c>
    </row>
    <row r="29" spans="1:4">
      <c r="A29" t="s">
        <v>203</v>
      </c>
      <c r="B29">
        <v>5.5404321994070296</v>
      </c>
      <c r="C29">
        <v>0.55918858031549501</v>
      </c>
      <c r="D29">
        <v>4.9548251757883799</v>
      </c>
    </row>
    <row r="30" spans="1:4">
      <c r="A30" t="s">
        <v>204</v>
      </c>
      <c r="B30">
        <v>3.80928273730163</v>
      </c>
      <c r="C30">
        <v>0.55056743571466604</v>
      </c>
      <c r="D30">
        <v>3.2417300537708198</v>
      </c>
    </row>
    <row r="31" spans="1:4">
      <c r="A31" t="s">
        <v>177</v>
      </c>
      <c r="B31">
        <v>-9.3153890170463196</v>
      </c>
      <c r="C31">
        <v>0.48524474149507202</v>
      </c>
      <c r="D31">
        <v>-9.7558365315752091</v>
      </c>
    </row>
    <row r="32" spans="1:4">
      <c r="A32" t="s">
        <v>174</v>
      </c>
      <c r="B32">
        <v>-4.0798925539589002</v>
      </c>
      <c r="C32">
        <v>0.57084919029677395</v>
      </c>
      <c r="D32">
        <v>-4.6256485263446701</v>
      </c>
    </row>
    <row r="33" spans="1:4">
      <c r="A33" t="s">
        <v>175</v>
      </c>
      <c r="B33">
        <v>3.2140876172778401</v>
      </c>
      <c r="C33">
        <v>0.53423672755073004</v>
      </c>
      <c r="D33">
        <v>2.6663200261971101</v>
      </c>
    </row>
    <row r="34" spans="1:4">
      <c r="A34" t="s">
        <v>176</v>
      </c>
      <c r="B34">
        <v>1.2052436929249</v>
      </c>
      <c r="C34">
        <v>0.51925029858566096</v>
      </c>
      <c r="D34">
        <v>0.68260806658526596</v>
      </c>
    </row>
    <row r="35" spans="1:4">
      <c r="A35" t="s">
        <v>173</v>
      </c>
      <c r="B35">
        <v>-2.6820062653958399</v>
      </c>
      <c r="C35">
        <v>0.59279132606442397</v>
      </c>
      <c r="D35">
        <v>-3.2563342451846302</v>
      </c>
    </row>
    <row r="36" spans="1:4">
      <c r="A36" t="s">
        <v>172</v>
      </c>
      <c r="B36">
        <v>-0.39748438022962901</v>
      </c>
      <c r="C36">
        <v>0.50295324675375697</v>
      </c>
      <c r="D36">
        <v>-0.89617397528717302</v>
      </c>
    </row>
    <row r="37" spans="1:4">
      <c r="A37" t="s">
        <v>171</v>
      </c>
      <c r="B37">
        <v>7.4104625087404203</v>
      </c>
      <c r="C37">
        <v>0.46978606711869397</v>
      </c>
      <c r="D37">
        <v>6.9099756959586101</v>
      </c>
    </row>
    <row r="39" spans="1:4">
      <c r="A39" t="s">
        <v>164</v>
      </c>
      <c r="B39">
        <f>AVERAGE(B2:B37)</f>
        <v>1.2172022160835452</v>
      </c>
      <c r="C39">
        <f t="shared" ref="C39:D39" si="0">AVERAGE(C2:C37)</f>
        <v>0.5134540636703675</v>
      </c>
      <c r="D39">
        <f t="shared" si="0"/>
        <v>0.70048091204576945</v>
      </c>
    </row>
    <row r="40" spans="1:4">
      <c r="A40" t="s">
        <v>165</v>
      </c>
      <c r="B40">
        <f>B39/100</f>
        <v>1.2172022160835452E-2</v>
      </c>
      <c r="C40">
        <f t="shared" ref="C40:D40" si="1">C39/100</f>
        <v>5.134540636703675E-3</v>
      </c>
      <c r="D40">
        <f t="shared" si="1"/>
        <v>7.0048091204576949E-3</v>
      </c>
    </row>
    <row r="41" spans="1:4">
      <c r="A41" t="s">
        <v>166</v>
      </c>
      <c r="B41">
        <f>((1+B40)^36)-1</f>
        <v>0.54580899786712433</v>
      </c>
      <c r="C41">
        <f t="shared" ref="C41:D41" si="2">((1+C40)^36)-1</f>
        <v>0.20246129807846658</v>
      </c>
      <c r="D41">
        <f t="shared" si="2"/>
        <v>0.28568804543075088</v>
      </c>
    </row>
    <row r="42" spans="1:4">
      <c r="A42" t="s">
        <v>167</v>
      </c>
      <c r="B42">
        <f>B41/3</f>
        <v>0.18193633262237477</v>
      </c>
      <c r="C42">
        <f t="shared" ref="C42:D42" si="3">C41/3</f>
        <v>6.7487099359488864E-2</v>
      </c>
      <c r="D42">
        <f t="shared" si="3"/>
        <v>9.5229348476916956E-2</v>
      </c>
    </row>
    <row r="43" spans="1:4">
      <c r="A43" s="47" t="s">
        <v>168</v>
      </c>
      <c r="B43" s="46">
        <f>B42</f>
        <v>0.18193633262237477</v>
      </c>
      <c r="C43" s="46">
        <f t="shared" ref="C43:D43" si="4">C42</f>
        <v>6.7487099359488864E-2</v>
      </c>
      <c r="D43" s="46">
        <f t="shared" si="4"/>
        <v>9.5229348476916956E-2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part-1</vt:lpstr>
      <vt:lpstr>part-2</vt:lpstr>
      <vt:lpstr>financials</vt:lpstr>
      <vt:lpstr>Stock prices</vt:lpstr>
      <vt:lpstr>annualized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reddy pandem</dc:creator>
  <cp:lastModifiedBy>prakash reddy pandem</cp:lastModifiedBy>
  <dcterms:created xsi:type="dcterms:W3CDTF">2015-06-05T18:17:20Z</dcterms:created>
  <dcterms:modified xsi:type="dcterms:W3CDTF">2020-07-26T09:15:25Z</dcterms:modified>
</cp:coreProperties>
</file>