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bhasbasnet/Downloads/"/>
    </mc:Choice>
  </mc:AlternateContent>
  <xr:revisionPtr revIDLastSave="0" documentId="8_{3A733989-910C-6340-A136-2E44B56D1D29}" xr6:coauthVersionLast="47" xr6:coauthVersionMax="47" xr10:uidLastSave="{00000000-0000-0000-0000-000000000000}"/>
  <bookViews>
    <workbookView xWindow="0" yWindow="0" windowWidth="16200" windowHeight="18000" xr2:uid="{337D1ED0-F1A2-C34E-8D69-EA3FF48D3F0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6" i="1" l="1"/>
  <c r="Z27" i="1"/>
  <c r="Z25" i="1"/>
  <c r="Y27" i="1"/>
  <c r="Y26" i="1"/>
  <c r="Y25" i="1"/>
  <c r="X26" i="1"/>
  <c r="X25" i="1"/>
  <c r="X27" i="1"/>
  <c r="Z20" i="1"/>
  <c r="Z17" i="1"/>
  <c r="Z18" i="1"/>
  <c r="Z16" i="1"/>
  <c r="Y18" i="1"/>
  <c r="Y17" i="1"/>
  <c r="Y16" i="1"/>
  <c r="X17" i="1"/>
  <c r="X18" i="1"/>
  <c r="X16" i="1"/>
  <c r="L136" i="1"/>
  <c r="L134" i="1"/>
  <c r="L132" i="1"/>
  <c r="L116" i="1"/>
  <c r="L115" i="1"/>
  <c r="L114" i="1"/>
  <c r="L113" i="1"/>
  <c r="L112" i="1"/>
  <c r="L111" i="1"/>
  <c r="L107" i="1"/>
  <c r="L106" i="1"/>
  <c r="L105" i="1"/>
  <c r="L104" i="1"/>
  <c r="L103" i="1"/>
  <c r="L102" i="1"/>
  <c r="L97" i="1"/>
  <c r="L96" i="1"/>
  <c r="L95" i="1"/>
  <c r="L94" i="1"/>
  <c r="L93" i="1"/>
  <c r="L92" i="1"/>
  <c r="L76" i="1"/>
  <c r="L73" i="1"/>
  <c r="L71" i="1"/>
  <c r="N52" i="1"/>
  <c r="L53" i="1"/>
  <c r="L52" i="1"/>
  <c r="L33" i="1"/>
  <c r="L32" i="1"/>
  <c r="L38" i="1" s="1"/>
  <c r="L18" i="1"/>
  <c r="M13" i="1"/>
  <c r="M14" i="1" s="1"/>
  <c r="C132" i="1"/>
  <c r="B132" i="1"/>
  <c r="C131" i="1"/>
  <c r="B131" i="1"/>
  <c r="B112" i="1"/>
  <c r="C111" i="1"/>
  <c r="C112" i="1" s="1"/>
  <c r="C113" i="1" s="1"/>
  <c r="C115" i="1"/>
  <c r="B115" i="1"/>
  <c r="B111" i="1"/>
  <c r="C102" i="1"/>
  <c r="B102" i="1"/>
  <c r="C88" i="1"/>
  <c r="C89" i="1" s="1"/>
  <c r="C90" i="1" s="1"/>
  <c r="B88" i="1"/>
  <c r="B94" i="1" s="1"/>
  <c r="C82" i="1"/>
  <c r="B82" i="1"/>
  <c r="B73" i="1"/>
  <c r="B74" i="1" s="1"/>
  <c r="C73" i="1"/>
  <c r="C74" i="1" s="1"/>
  <c r="C75" i="1" s="1"/>
  <c r="C76" i="1" s="1"/>
  <c r="C62" i="1"/>
  <c r="B62" i="1"/>
  <c r="B52" i="1"/>
  <c r="B51" i="1"/>
  <c r="B56" i="1" s="1"/>
  <c r="B42" i="1"/>
  <c r="F28" i="1"/>
  <c r="C27" i="1"/>
  <c r="C28" i="1" s="1"/>
  <c r="C29" i="1" s="1"/>
  <c r="B24" i="1"/>
  <c r="F25" i="1" s="1"/>
  <c r="B11" i="1"/>
  <c r="B14" i="1" s="1"/>
  <c r="Z29" i="1" l="1"/>
  <c r="L34" i="1"/>
  <c r="L41" i="1" s="1"/>
  <c r="L19" i="1"/>
  <c r="L22" i="1" s="1"/>
  <c r="B119" i="1"/>
  <c r="B113" i="1"/>
  <c r="B114" i="1"/>
  <c r="B116" i="1" s="1"/>
  <c r="B117" i="1" s="1"/>
  <c r="C114" i="1"/>
  <c r="C116" i="1" s="1"/>
  <c r="C117" i="1" s="1"/>
  <c r="B54" i="1"/>
  <c r="F27" i="1"/>
  <c r="B33" i="1" s="1"/>
  <c r="C30" i="1"/>
  <c r="C31" i="1" s="1"/>
  <c r="B89" i="1"/>
  <c r="B90" i="1" s="1"/>
  <c r="B91" i="1" s="1"/>
  <c r="B92" i="1" s="1"/>
  <c r="C91" i="1"/>
  <c r="C92" i="1" s="1"/>
  <c r="B75" i="1"/>
  <c r="B76" i="1" s="1"/>
</calcChain>
</file>

<file path=xl/sharedStrings.xml><?xml version="1.0" encoding="utf-8"?>
<sst xmlns="http://schemas.openxmlformats.org/spreadsheetml/2006/main" count="263" uniqueCount="152">
  <si>
    <t>Question</t>
  </si>
  <si>
    <t>Cost of Asset</t>
  </si>
  <si>
    <t>Installation Charge</t>
  </si>
  <si>
    <t>Scrap Charge</t>
  </si>
  <si>
    <t>Life</t>
  </si>
  <si>
    <t>Working Capital</t>
  </si>
  <si>
    <t>Year</t>
  </si>
  <si>
    <t>Inflows</t>
  </si>
  <si>
    <t xml:space="preserve">Solution </t>
  </si>
  <si>
    <t>Cost of Asset + Installation Charge + Working Capital</t>
  </si>
  <si>
    <t>Payback Period</t>
  </si>
  <si>
    <t>Initial Cash Outflow/Expected Cash Inflow</t>
  </si>
  <si>
    <t xml:space="preserve">Initial Outflows= </t>
  </si>
  <si>
    <t>Cinflow</t>
  </si>
  <si>
    <t>Ccinflows</t>
  </si>
  <si>
    <t>N</t>
  </si>
  <si>
    <t>Ccn</t>
  </si>
  <si>
    <t>Cn+1</t>
  </si>
  <si>
    <t xml:space="preserve">Payback Period </t>
  </si>
  <si>
    <t>I</t>
  </si>
  <si>
    <t>IRR</t>
  </si>
  <si>
    <t>Pv of Outflow</t>
  </si>
  <si>
    <t>PV of Inflow</t>
  </si>
  <si>
    <t>PI</t>
  </si>
  <si>
    <t xml:space="preserve">&lt;1 </t>
  </si>
  <si>
    <t>Not profitable</t>
  </si>
  <si>
    <t>NPV</t>
  </si>
  <si>
    <t>Profit</t>
  </si>
  <si>
    <t>No of Equity Share</t>
  </si>
  <si>
    <t>Rate of Equity Share</t>
  </si>
  <si>
    <t>Equity Capital</t>
  </si>
  <si>
    <t>Debt</t>
  </si>
  <si>
    <t xml:space="preserve">Rate </t>
  </si>
  <si>
    <t>Tax Rate</t>
  </si>
  <si>
    <t>Case I</t>
  </si>
  <si>
    <t>CaseII</t>
  </si>
  <si>
    <t>Calculation of EPS</t>
  </si>
  <si>
    <t>Case II</t>
  </si>
  <si>
    <t>EBIT</t>
  </si>
  <si>
    <t xml:space="preserve">Interest </t>
  </si>
  <si>
    <t>EBT</t>
  </si>
  <si>
    <t>TAX</t>
  </si>
  <si>
    <t>EAT</t>
  </si>
  <si>
    <t>EPS</t>
  </si>
  <si>
    <t>Indeference Level</t>
  </si>
  <si>
    <t>Interst</t>
  </si>
  <si>
    <t>Tax</t>
  </si>
  <si>
    <t>Pref Share Capital</t>
  </si>
  <si>
    <t>Rate for Pref</t>
  </si>
  <si>
    <t>Solution</t>
  </si>
  <si>
    <t>Interest</t>
  </si>
  <si>
    <t>Pref Dividend</t>
  </si>
  <si>
    <t>EFESH</t>
  </si>
  <si>
    <t>Sales</t>
  </si>
  <si>
    <t>Variable Cost</t>
  </si>
  <si>
    <t>Contribution</t>
  </si>
  <si>
    <t>Fixed Costs</t>
  </si>
  <si>
    <t>Operating Leverage</t>
  </si>
  <si>
    <t>A</t>
  </si>
  <si>
    <t>B</t>
  </si>
  <si>
    <t>OL</t>
  </si>
  <si>
    <t xml:space="preserve">Financial leverage </t>
  </si>
  <si>
    <t>In A ltd</t>
  </si>
  <si>
    <t>irr</t>
  </si>
  <si>
    <t>Ke</t>
  </si>
  <si>
    <t>EPS€</t>
  </si>
  <si>
    <t>Dividend Payout Ratio</t>
  </si>
  <si>
    <t>Dividend Payout Ratio:</t>
  </si>
  <si>
    <t>Dividend Oaid</t>
  </si>
  <si>
    <t>Price per Share</t>
  </si>
  <si>
    <t>DPR</t>
  </si>
  <si>
    <t>b</t>
  </si>
  <si>
    <t>b*r</t>
  </si>
  <si>
    <t>Price as per gordan Model</t>
  </si>
  <si>
    <t>P</t>
  </si>
  <si>
    <t>No of Outstanding Share</t>
  </si>
  <si>
    <t>Expected Dividend</t>
  </si>
  <si>
    <t>Expected Net Income E</t>
  </si>
  <si>
    <t>New Investment I</t>
  </si>
  <si>
    <t>CASE</t>
  </si>
  <si>
    <t>D1</t>
  </si>
  <si>
    <t>P0</t>
  </si>
  <si>
    <t xml:space="preserve">When dividend is </t>
  </si>
  <si>
    <t>paid</t>
  </si>
  <si>
    <t>not paid</t>
  </si>
  <si>
    <t>P/E Ratio</t>
  </si>
  <si>
    <t>Market Price</t>
  </si>
  <si>
    <t>(P1)</t>
  </si>
  <si>
    <t>Amount to be raised by issue of new equity share(A)</t>
  </si>
  <si>
    <t>Number of new Share to be issued</t>
  </si>
  <si>
    <t>Value of firm</t>
  </si>
  <si>
    <t>D0</t>
  </si>
  <si>
    <t>g</t>
  </si>
  <si>
    <t>?</t>
  </si>
  <si>
    <t>In case of irredeemable Debts(When AMT is Given)</t>
  </si>
  <si>
    <t xml:space="preserve">Debenture </t>
  </si>
  <si>
    <t>Rate of Interest</t>
  </si>
  <si>
    <t>Issued at Par</t>
  </si>
  <si>
    <t>Issued at discount</t>
  </si>
  <si>
    <t>Issued at premimum</t>
  </si>
  <si>
    <t xml:space="preserve">Flotation Cost </t>
  </si>
  <si>
    <t>Cost of Debt</t>
  </si>
  <si>
    <t>KD</t>
  </si>
  <si>
    <t>I(1-t)/NP</t>
  </si>
  <si>
    <t>i) When issue at par</t>
  </si>
  <si>
    <t>kd=</t>
  </si>
  <si>
    <t>ii) When issued at Discount</t>
  </si>
  <si>
    <t>Debenture</t>
  </si>
  <si>
    <t>Issued at par</t>
  </si>
  <si>
    <t>Disocunt</t>
  </si>
  <si>
    <t>Premimim</t>
  </si>
  <si>
    <t>Flotaion cost</t>
  </si>
  <si>
    <t>Tax rate</t>
  </si>
  <si>
    <t>Redemable at Par</t>
  </si>
  <si>
    <t>Redemable at Premimum</t>
  </si>
  <si>
    <t>Years</t>
  </si>
  <si>
    <t>Cost of Debts</t>
  </si>
  <si>
    <t>i) When issued at par</t>
  </si>
  <si>
    <t>I=</t>
  </si>
  <si>
    <t>NP=</t>
  </si>
  <si>
    <t>t=</t>
  </si>
  <si>
    <t>RV=</t>
  </si>
  <si>
    <t>N=</t>
  </si>
  <si>
    <t>When issued at discount</t>
  </si>
  <si>
    <t>When issued at premimum</t>
  </si>
  <si>
    <t>Preference Shares</t>
  </si>
  <si>
    <t>Rate of Dividend</t>
  </si>
  <si>
    <t>Issued at Discount</t>
  </si>
  <si>
    <t>Premimum</t>
  </si>
  <si>
    <t>Cost of preference Share Capital</t>
  </si>
  <si>
    <t>Kp=Preference Dividend / Net Proceed</t>
  </si>
  <si>
    <t>PD= Preference Dividend</t>
  </si>
  <si>
    <t>NP= Net Proceeds from issue of Preference Share</t>
  </si>
  <si>
    <t>i)When issued at par</t>
  </si>
  <si>
    <t>Kp =</t>
  </si>
  <si>
    <t>Flotation</t>
  </si>
  <si>
    <t>ii) when issued at discount</t>
  </si>
  <si>
    <t xml:space="preserve">Kp= </t>
  </si>
  <si>
    <t>premimum</t>
  </si>
  <si>
    <t xml:space="preserve">kp= </t>
  </si>
  <si>
    <t>Capital Structure:</t>
  </si>
  <si>
    <t>Sources</t>
  </si>
  <si>
    <t>Book Value</t>
  </si>
  <si>
    <t>Market Value</t>
  </si>
  <si>
    <t>Specific Cost(%)</t>
  </si>
  <si>
    <t>Eq Share Capital</t>
  </si>
  <si>
    <t>Calculation of Weighted Average Cost of capital (Book value weights basis)</t>
  </si>
  <si>
    <t>Specific Cost</t>
  </si>
  <si>
    <t>Weighted Cost</t>
  </si>
  <si>
    <t>WACC or K0</t>
  </si>
  <si>
    <t>Weight</t>
  </si>
  <si>
    <t>Calculation of Weighted Average Cost of capital (Market value weights basis)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</si>
</sst>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%"/>
    <numFmt numFmtId="174" formatCode="0.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2" fontId="0" fillId="0" borderId="0" xfId="0" applyNumberFormat="1"/>
    <xf numFmtId="9" fontId="0" fillId="0" borderId="0" xfId="0" applyNumberFormat="1" applyAlignment="1">
      <alignment horizontal="center"/>
    </xf>
    <xf numFmtId="174" fontId="0" fillId="0" borderId="0" xfId="0" applyNumberFormat="1"/>
    <xf numFmtId="1" fontId="0" fillId="0" borderId="0" xfId="0" applyNumberFormat="1"/>
    <xf numFmtId="0" fontId="0" fillId="2" borderId="0" xfId="0" applyFill="1"/>
    <xf numFmtId="10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87706-6A65-BA4A-B78D-700DB570370D}">
  <dimension ref="A2:Z138"/>
  <sheetViews>
    <sheetView tabSelected="1" topLeftCell="T6" zoomScale="150" zoomScaleNormal="190" workbookViewId="0">
      <selection activeCell="AB29" sqref="AB29"/>
    </sheetView>
  </sheetViews>
  <sheetFormatPr baseColWidth="10" defaultRowHeight="16" x14ac:dyDescent="0.2"/>
  <cols>
    <col min="1" max="1" width="16.33203125" customWidth="1"/>
    <col min="2" max="2" width="12.33203125" customWidth="1"/>
    <col min="3" max="3" width="12.6640625" bestFit="1" customWidth="1"/>
    <col min="9" max="9" width="0.6640625" style="10" customWidth="1"/>
    <col min="10" max="10" width="16.33203125" customWidth="1"/>
    <col min="12" max="12" width="14.6640625" customWidth="1"/>
    <col min="21" max="21" width="1.6640625" style="10" customWidth="1"/>
    <col min="22" max="22" width="15.33203125" customWidth="1"/>
  </cols>
  <sheetData>
    <row r="2" spans="1:26" x14ac:dyDescent="0.2">
      <c r="A2" s="1" t="s">
        <v>0</v>
      </c>
      <c r="B2" s="1"/>
      <c r="C2" t="s">
        <v>6</v>
      </c>
      <c r="D2" t="s">
        <v>7</v>
      </c>
      <c r="J2" t="s">
        <v>0</v>
      </c>
      <c r="V2" t="s">
        <v>0</v>
      </c>
    </row>
    <row r="3" spans="1:26" x14ac:dyDescent="0.2">
      <c r="A3" t="s">
        <v>1</v>
      </c>
      <c r="B3">
        <v>500000</v>
      </c>
      <c r="C3">
        <v>1</v>
      </c>
      <c r="D3">
        <v>200000</v>
      </c>
      <c r="K3" t="s">
        <v>62</v>
      </c>
    </row>
    <row r="4" spans="1:26" x14ac:dyDescent="0.2">
      <c r="A4" t="s">
        <v>2</v>
      </c>
      <c r="B4">
        <v>30000</v>
      </c>
      <c r="C4">
        <v>2</v>
      </c>
      <c r="D4">
        <v>200000</v>
      </c>
      <c r="K4" t="s">
        <v>63</v>
      </c>
      <c r="L4" s="4">
        <v>0.09</v>
      </c>
      <c r="V4" t="s">
        <v>140</v>
      </c>
    </row>
    <row r="5" spans="1:26" x14ac:dyDescent="0.2">
      <c r="A5" t="s">
        <v>3</v>
      </c>
      <c r="B5">
        <v>12000</v>
      </c>
      <c r="C5">
        <v>3</v>
      </c>
      <c r="D5">
        <v>200000</v>
      </c>
      <c r="K5" t="s">
        <v>64</v>
      </c>
      <c r="L5" s="4">
        <v>0.12</v>
      </c>
      <c r="V5" t="s">
        <v>141</v>
      </c>
      <c r="W5" t="s">
        <v>142</v>
      </c>
      <c r="X5" t="s">
        <v>143</v>
      </c>
      <c r="Y5" t="s">
        <v>144</v>
      </c>
    </row>
    <row r="6" spans="1:26" x14ac:dyDescent="0.2">
      <c r="A6" t="s">
        <v>4</v>
      </c>
      <c r="B6">
        <v>5</v>
      </c>
      <c r="C6">
        <v>4</v>
      </c>
      <c r="D6">
        <v>200000</v>
      </c>
      <c r="K6" t="s">
        <v>65</v>
      </c>
      <c r="L6">
        <v>15</v>
      </c>
      <c r="V6" t="s">
        <v>145</v>
      </c>
      <c r="W6">
        <v>4000000</v>
      </c>
      <c r="X6">
        <v>5000000</v>
      </c>
      <c r="Y6" s="2">
        <v>0.17</v>
      </c>
    </row>
    <row r="7" spans="1:26" x14ac:dyDescent="0.2">
      <c r="A7" t="s">
        <v>5</v>
      </c>
      <c r="B7">
        <v>50000</v>
      </c>
      <c r="C7">
        <v>5</v>
      </c>
      <c r="D7">
        <v>200000</v>
      </c>
      <c r="K7" t="s">
        <v>66</v>
      </c>
      <c r="M7" s="2">
        <v>0</v>
      </c>
      <c r="N7" s="2">
        <v>0.2</v>
      </c>
      <c r="O7" s="2">
        <v>0.4</v>
      </c>
      <c r="P7" s="2">
        <v>0.6</v>
      </c>
      <c r="Q7" s="2">
        <v>0.8</v>
      </c>
      <c r="R7" s="2">
        <v>1</v>
      </c>
      <c r="V7" t="s">
        <v>47</v>
      </c>
      <c r="W7">
        <v>1000000</v>
      </c>
      <c r="X7">
        <v>1500000</v>
      </c>
      <c r="Y7" s="2">
        <v>0.09</v>
      </c>
    </row>
    <row r="8" spans="1:26" x14ac:dyDescent="0.2">
      <c r="M8" s="11">
        <v>0.3</v>
      </c>
      <c r="N8" s="11">
        <v>0.4</v>
      </c>
      <c r="O8" s="11">
        <v>0.5</v>
      </c>
      <c r="P8" s="11">
        <v>0.7</v>
      </c>
      <c r="Q8" s="11">
        <v>0.9</v>
      </c>
      <c r="R8" s="11">
        <v>1</v>
      </c>
      <c r="V8" t="s">
        <v>107</v>
      </c>
      <c r="W8">
        <v>3000000</v>
      </c>
      <c r="X8">
        <v>3500000</v>
      </c>
      <c r="Y8" s="2">
        <v>0.08</v>
      </c>
    </row>
    <row r="9" spans="1:26" x14ac:dyDescent="0.2">
      <c r="A9" t="s">
        <v>8</v>
      </c>
      <c r="K9" t="s">
        <v>49</v>
      </c>
    </row>
    <row r="10" spans="1:26" x14ac:dyDescent="0.2">
      <c r="A10" t="s">
        <v>12</v>
      </c>
      <c r="B10" s="1" t="s">
        <v>9</v>
      </c>
      <c r="C10" s="1"/>
      <c r="D10" s="1"/>
      <c r="E10" s="1"/>
      <c r="V10" t="s">
        <v>33</v>
      </c>
      <c r="W10" s="2">
        <v>0.3</v>
      </c>
    </row>
    <row r="11" spans="1:26" x14ac:dyDescent="0.2">
      <c r="B11">
        <f>B3+B4+B7</f>
        <v>580000</v>
      </c>
      <c r="V11" t="s">
        <v>49</v>
      </c>
    </row>
    <row r="12" spans="1:26" x14ac:dyDescent="0.2">
      <c r="K12" t="s">
        <v>67</v>
      </c>
      <c r="M12" s="11">
        <v>0.4</v>
      </c>
    </row>
    <row r="13" spans="1:26" x14ac:dyDescent="0.2">
      <c r="A13" t="s">
        <v>10</v>
      </c>
      <c r="B13" t="s">
        <v>11</v>
      </c>
      <c r="K13" t="s">
        <v>68</v>
      </c>
      <c r="M13">
        <f>L6*M12</f>
        <v>6</v>
      </c>
      <c r="V13" t="s">
        <v>146</v>
      </c>
    </row>
    <row r="14" spans="1:26" x14ac:dyDescent="0.2">
      <c r="B14" t="str">
        <f>ROUND(B11/D3,2)&amp;"Years"</f>
        <v>2.9Years</v>
      </c>
      <c r="K14" t="s">
        <v>69</v>
      </c>
      <c r="M14">
        <f>(M13+(L4/L5)*(L6-M13))/L5</f>
        <v>106.25</v>
      </c>
    </row>
    <row r="15" spans="1:26" x14ac:dyDescent="0.2">
      <c r="V15" t="s">
        <v>141</v>
      </c>
      <c r="W15" t="s">
        <v>142</v>
      </c>
      <c r="X15" t="s">
        <v>150</v>
      </c>
      <c r="Y15" t="s">
        <v>147</v>
      </c>
      <c r="Z15" t="s">
        <v>148</v>
      </c>
    </row>
    <row r="16" spans="1:26" x14ac:dyDescent="0.2">
      <c r="V16" t="s">
        <v>145</v>
      </c>
      <c r="W16">
        <v>4000000</v>
      </c>
      <c r="X16">
        <f>W16/SUM($W$16:$W$18)</f>
        <v>0.5</v>
      </c>
      <c r="Y16" s="2">
        <f>Y6</f>
        <v>0.17</v>
      </c>
      <c r="Z16">
        <f>X16*Y16</f>
        <v>8.5000000000000006E-2</v>
      </c>
    </row>
    <row r="17" spans="1:26" x14ac:dyDescent="0.2">
      <c r="A17" s="1" t="s">
        <v>0</v>
      </c>
      <c r="B17" s="1"/>
      <c r="C17" t="s">
        <v>6</v>
      </c>
      <c r="D17" t="s">
        <v>7</v>
      </c>
      <c r="K17" t="s">
        <v>70</v>
      </c>
      <c r="L17" s="11">
        <v>1</v>
      </c>
      <c r="V17" t="s">
        <v>47</v>
      </c>
      <c r="W17">
        <v>1000000</v>
      </c>
      <c r="X17">
        <f t="shared" ref="X17:X18" si="0">W17/SUM($W$16:$W$18)</f>
        <v>0.125</v>
      </c>
      <c r="Y17" s="2">
        <f>Y7</f>
        <v>0.09</v>
      </c>
      <c r="Z17">
        <f t="shared" ref="Z17:Z18" si="1">X17*Y17</f>
        <v>1.125E-2</v>
      </c>
    </row>
    <row r="18" spans="1:26" x14ac:dyDescent="0.2">
      <c r="A18" t="s">
        <v>1</v>
      </c>
      <c r="B18">
        <v>400000</v>
      </c>
      <c r="C18">
        <v>1</v>
      </c>
      <c r="D18">
        <v>80000</v>
      </c>
      <c r="K18" t="s">
        <v>71</v>
      </c>
      <c r="L18" s="11">
        <f>1-L17</f>
        <v>0</v>
      </c>
      <c r="V18" t="s">
        <v>107</v>
      </c>
      <c r="W18">
        <v>3000000</v>
      </c>
      <c r="X18">
        <f t="shared" si="0"/>
        <v>0.375</v>
      </c>
      <c r="Y18" s="4">
        <f>Y8*(1-W10)</f>
        <v>5.5999999999999994E-2</v>
      </c>
      <c r="Z18">
        <f t="shared" si="1"/>
        <v>2.0999999999999998E-2</v>
      </c>
    </row>
    <row r="19" spans="1:26" x14ac:dyDescent="0.2">
      <c r="A19" t="s">
        <v>2</v>
      </c>
      <c r="C19">
        <v>2</v>
      </c>
      <c r="D19">
        <v>120000</v>
      </c>
      <c r="K19" t="s">
        <v>72</v>
      </c>
      <c r="L19" s="11">
        <f>L18*L4</f>
        <v>0</v>
      </c>
    </row>
    <row r="20" spans="1:26" x14ac:dyDescent="0.2">
      <c r="A20" t="s">
        <v>3</v>
      </c>
      <c r="C20">
        <v>3</v>
      </c>
      <c r="D20">
        <v>140000</v>
      </c>
      <c r="Y20" t="s">
        <v>149</v>
      </c>
      <c r="Z20" s="11">
        <f>SUM(Z16:Z18)</f>
        <v>0.11724999999999999</v>
      </c>
    </row>
    <row r="21" spans="1:26" x14ac:dyDescent="0.2">
      <c r="A21" t="s">
        <v>4</v>
      </c>
      <c r="B21">
        <v>5</v>
      </c>
      <c r="C21">
        <v>4</v>
      </c>
      <c r="D21">
        <v>120000</v>
      </c>
      <c r="K21" t="s">
        <v>73</v>
      </c>
    </row>
    <row r="22" spans="1:26" x14ac:dyDescent="0.2">
      <c r="A22" t="s">
        <v>5</v>
      </c>
      <c r="C22">
        <v>5</v>
      </c>
      <c r="D22">
        <v>180000</v>
      </c>
      <c r="K22" t="s">
        <v>74</v>
      </c>
      <c r="L22">
        <f>L6*(1-L18)/(L5-L19)</f>
        <v>125</v>
      </c>
      <c r="V22" t="s">
        <v>151</v>
      </c>
    </row>
    <row r="23" spans="1:26" x14ac:dyDescent="0.2">
      <c r="K23" t="s">
        <v>43</v>
      </c>
      <c r="M23">
        <v>10</v>
      </c>
      <c r="N23" t="s">
        <v>85</v>
      </c>
      <c r="O23">
        <v>10</v>
      </c>
    </row>
    <row r="24" spans="1:26" x14ac:dyDescent="0.2">
      <c r="A24" t="s">
        <v>12</v>
      </c>
      <c r="B24">
        <f>B18+B19+B22</f>
        <v>400000</v>
      </c>
      <c r="K24" t="s">
        <v>64</v>
      </c>
      <c r="M24" s="2">
        <v>0.1</v>
      </c>
      <c r="V24" t="s">
        <v>141</v>
      </c>
      <c r="W24" t="s">
        <v>143</v>
      </c>
      <c r="X24" t="s">
        <v>150</v>
      </c>
      <c r="Y24" t="s">
        <v>147</v>
      </c>
      <c r="Z24" t="s">
        <v>148</v>
      </c>
    </row>
    <row r="25" spans="1:26" x14ac:dyDescent="0.2">
      <c r="E25" t="s">
        <v>19</v>
      </c>
      <c r="F25">
        <f>B24</f>
        <v>400000</v>
      </c>
      <c r="K25" t="s">
        <v>75</v>
      </c>
      <c r="M25">
        <v>50000</v>
      </c>
      <c r="P25" t="s">
        <v>83</v>
      </c>
      <c r="V25" t="s">
        <v>145</v>
      </c>
      <c r="W25">
        <v>5000000</v>
      </c>
      <c r="X25">
        <f>W25/SUM($W$25:$W$27)</f>
        <v>0.5</v>
      </c>
      <c r="Y25" s="2">
        <f>Y6</f>
        <v>0.17</v>
      </c>
      <c r="Z25" s="11">
        <f>X25*Y25</f>
        <v>8.5000000000000006E-2</v>
      </c>
    </row>
    <row r="26" spans="1:26" x14ac:dyDescent="0.2">
      <c r="A26" t="s">
        <v>6</v>
      </c>
      <c r="B26" t="s">
        <v>13</v>
      </c>
      <c r="C26" t="s">
        <v>14</v>
      </c>
      <c r="E26" t="s">
        <v>15</v>
      </c>
      <c r="F26">
        <v>3</v>
      </c>
      <c r="K26" t="s">
        <v>76</v>
      </c>
      <c r="M26">
        <v>8</v>
      </c>
      <c r="P26" t="s">
        <v>84</v>
      </c>
      <c r="V26" t="s">
        <v>47</v>
      </c>
      <c r="W26">
        <v>1500000</v>
      </c>
      <c r="X26">
        <f>W26/SUM($W$25:$W$27)</f>
        <v>0.15</v>
      </c>
      <c r="Y26" s="2">
        <f>Y7</f>
        <v>0.09</v>
      </c>
      <c r="Z26" s="11">
        <f t="shared" ref="Z26:Z27" si="2">X26*Y26</f>
        <v>1.35E-2</v>
      </c>
    </row>
    <row r="27" spans="1:26" x14ac:dyDescent="0.2">
      <c r="A27">
        <v>1</v>
      </c>
      <c r="B27">
        <v>80000</v>
      </c>
      <c r="C27">
        <f>B27</f>
        <v>80000</v>
      </c>
      <c r="E27" t="s">
        <v>16</v>
      </c>
      <c r="F27">
        <f>C29</f>
        <v>340000</v>
      </c>
      <c r="K27" t="s">
        <v>77</v>
      </c>
      <c r="M27">
        <v>500000</v>
      </c>
      <c r="V27" t="s">
        <v>107</v>
      </c>
      <c r="W27">
        <v>3500000</v>
      </c>
      <c r="X27">
        <f t="shared" ref="X26:X27" si="3">W27/SUM($W$25:$W$27)</f>
        <v>0.35</v>
      </c>
      <c r="Y27" s="3">
        <f>Y18</f>
        <v>5.5999999999999994E-2</v>
      </c>
      <c r="Z27" s="11">
        <f t="shared" si="2"/>
        <v>1.9599999999999996E-2</v>
      </c>
    </row>
    <row r="28" spans="1:26" x14ac:dyDescent="0.2">
      <c r="A28">
        <v>2</v>
      </c>
      <c r="B28">
        <v>120000</v>
      </c>
      <c r="C28">
        <f>B28+C27</f>
        <v>200000</v>
      </c>
      <c r="E28" t="s">
        <v>17</v>
      </c>
      <c r="F28">
        <f>B30</f>
        <v>120000</v>
      </c>
      <c r="K28" t="s">
        <v>78</v>
      </c>
      <c r="M28">
        <v>1000000</v>
      </c>
    </row>
    <row r="29" spans="1:26" x14ac:dyDescent="0.2">
      <c r="A29">
        <v>3</v>
      </c>
      <c r="B29">
        <v>140000</v>
      </c>
      <c r="C29">
        <f t="shared" ref="C29:C31" si="4">B29+C28</f>
        <v>340000</v>
      </c>
      <c r="Y29" t="s">
        <v>149</v>
      </c>
      <c r="Z29" s="11">
        <f>SUM(Z25:Z27)</f>
        <v>0.1181</v>
      </c>
    </row>
    <row r="30" spans="1:26" x14ac:dyDescent="0.2">
      <c r="A30">
        <v>4</v>
      </c>
      <c r="B30">
        <v>120000</v>
      </c>
      <c r="C30">
        <f t="shared" si="4"/>
        <v>460000</v>
      </c>
      <c r="K30" t="s">
        <v>49</v>
      </c>
    </row>
    <row r="31" spans="1:26" x14ac:dyDescent="0.2">
      <c r="A31">
        <v>5</v>
      </c>
      <c r="B31">
        <v>180000</v>
      </c>
      <c r="C31">
        <f t="shared" si="4"/>
        <v>640000</v>
      </c>
      <c r="K31" t="s">
        <v>79</v>
      </c>
      <c r="L31" t="s">
        <v>82</v>
      </c>
      <c r="M31" t="s">
        <v>84</v>
      </c>
    </row>
    <row r="32" spans="1:26" x14ac:dyDescent="0.2">
      <c r="K32" t="s">
        <v>80</v>
      </c>
      <c r="L32">
        <f>IF(M31="paid",M26,0)</f>
        <v>0</v>
      </c>
    </row>
    <row r="33" spans="1:14" x14ac:dyDescent="0.2">
      <c r="A33" t="s">
        <v>18</v>
      </c>
      <c r="B33" t="str">
        <f>ROUND(F26+(F25-F27)/F28,2)&amp;"Years"</f>
        <v>3.5Years</v>
      </c>
      <c r="K33" t="s">
        <v>81</v>
      </c>
      <c r="L33">
        <f>M23*O23</f>
        <v>100</v>
      </c>
    </row>
    <row r="34" spans="1:14" x14ac:dyDescent="0.2">
      <c r="K34" t="s">
        <v>86</v>
      </c>
      <c r="L34">
        <f>L33*(1+M24)-L32</f>
        <v>110.00000000000001</v>
      </c>
    </row>
    <row r="35" spans="1:14" x14ac:dyDescent="0.2">
      <c r="A35">
        <v>0</v>
      </c>
      <c r="B35">
        <v>-400000</v>
      </c>
      <c r="K35" t="s">
        <v>87</v>
      </c>
    </row>
    <row r="36" spans="1:14" x14ac:dyDescent="0.2">
      <c r="A36">
        <v>1</v>
      </c>
      <c r="B36">
        <v>80000</v>
      </c>
    </row>
    <row r="37" spans="1:14" x14ac:dyDescent="0.2">
      <c r="A37">
        <v>2</v>
      </c>
      <c r="B37">
        <v>120000</v>
      </c>
      <c r="K37" t="s">
        <v>88</v>
      </c>
    </row>
    <row r="38" spans="1:14" x14ac:dyDescent="0.2">
      <c r="A38">
        <v>3</v>
      </c>
      <c r="B38">
        <v>130000</v>
      </c>
      <c r="L38">
        <f>M28-(M27-M25*L32)</f>
        <v>500000</v>
      </c>
    </row>
    <row r="39" spans="1:14" x14ac:dyDescent="0.2">
      <c r="A39">
        <v>4</v>
      </c>
      <c r="B39">
        <v>120000</v>
      </c>
    </row>
    <row r="40" spans="1:14" x14ac:dyDescent="0.2">
      <c r="A40">
        <v>5</v>
      </c>
      <c r="B40">
        <v>160000</v>
      </c>
      <c r="K40" t="s">
        <v>89</v>
      </c>
    </row>
    <row r="41" spans="1:14" x14ac:dyDescent="0.2">
      <c r="L41">
        <f>L38/L34</f>
        <v>4545.454545454545</v>
      </c>
    </row>
    <row r="42" spans="1:14" x14ac:dyDescent="0.2">
      <c r="A42" t="s">
        <v>20</v>
      </c>
      <c r="B42" s="4">
        <f>IRR(B35:B40)</f>
        <v>0.14416004803775051</v>
      </c>
    </row>
    <row r="43" spans="1:14" x14ac:dyDescent="0.2">
      <c r="K43" t="s">
        <v>90</v>
      </c>
    </row>
    <row r="44" spans="1:14" x14ac:dyDescent="0.2">
      <c r="A44" s="1" t="s">
        <v>0</v>
      </c>
      <c r="B44" s="1"/>
      <c r="C44" t="s">
        <v>6</v>
      </c>
      <c r="D44" t="s">
        <v>7</v>
      </c>
      <c r="L44">
        <v>5000000</v>
      </c>
    </row>
    <row r="45" spans="1:14" x14ac:dyDescent="0.2">
      <c r="A45" t="s">
        <v>1</v>
      </c>
      <c r="B45">
        <v>400000</v>
      </c>
      <c r="C45">
        <v>1</v>
      </c>
      <c r="D45">
        <v>80000</v>
      </c>
      <c r="E45" s="2">
        <v>0.15</v>
      </c>
    </row>
    <row r="46" spans="1:14" x14ac:dyDescent="0.2">
      <c r="A46" t="s">
        <v>2</v>
      </c>
      <c r="C46">
        <v>2</v>
      </c>
      <c r="D46">
        <v>120000</v>
      </c>
      <c r="E46" s="2">
        <v>0.14000000000000001</v>
      </c>
      <c r="K46" t="s">
        <v>0</v>
      </c>
    </row>
    <row r="47" spans="1:14" x14ac:dyDescent="0.2">
      <c r="A47" t="s">
        <v>3</v>
      </c>
      <c r="C47">
        <v>3</v>
      </c>
      <c r="D47">
        <v>130000</v>
      </c>
      <c r="K47" t="s">
        <v>64</v>
      </c>
      <c r="L47" t="s">
        <v>93</v>
      </c>
    </row>
    <row r="48" spans="1:14" x14ac:dyDescent="0.2">
      <c r="A48" t="s">
        <v>4</v>
      </c>
      <c r="B48">
        <v>5</v>
      </c>
      <c r="C48">
        <v>4</v>
      </c>
      <c r="D48">
        <v>120000</v>
      </c>
      <c r="K48" t="s">
        <v>91</v>
      </c>
      <c r="L48">
        <v>4</v>
      </c>
      <c r="M48" t="s">
        <v>80</v>
      </c>
      <c r="N48">
        <v>11</v>
      </c>
    </row>
    <row r="49" spans="1:14" x14ac:dyDescent="0.2">
      <c r="A49" t="s">
        <v>5</v>
      </c>
      <c r="C49">
        <v>5</v>
      </c>
      <c r="D49">
        <v>160000</v>
      </c>
      <c r="K49" t="s">
        <v>92</v>
      </c>
      <c r="L49" s="2">
        <v>0.08</v>
      </c>
      <c r="N49" s="2">
        <v>0.1</v>
      </c>
    </row>
    <row r="50" spans="1:14" x14ac:dyDescent="0.2">
      <c r="K50" t="s">
        <v>81</v>
      </c>
      <c r="L50">
        <v>30</v>
      </c>
      <c r="N50">
        <v>110</v>
      </c>
    </row>
    <row r="51" spans="1:14" x14ac:dyDescent="0.2">
      <c r="A51" t="s">
        <v>21</v>
      </c>
      <c r="B51">
        <f>B45+B46+B49</f>
        <v>400000</v>
      </c>
    </row>
    <row r="52" spans="1:14" x14ac:dyDescent="0.2">
      <c r="A52" t="s">
        <v>22</v>
      </c>
      <c r="B52" s="6">
        <f>NPV(E45,D45:D49)</f>
        <v>393938.23480196769</v>
      </c>
      <c r="K52" t="s">
        <v>80</v>
      </c>
      <c r="L52" s="6">
        <f>L48*(1+L49)</f>
        <v>4.32</v>
      </c>
      <c r="M52" t="s">
        <v>64</v>
      </c>
      <c r="N52" s="4">
        <f>(N48/N50)+N49</f>
        <v>0.2</v>
      </c>
    </row>
    <row r="53" spans="1:14" x14ac:dyDescent="0.2">
      <c r="K53" t="s">
        <v>64</v>
      </c>
      <c r="L53" s="5">
        <f>(L52/L50)+L49</f>
        <v>0.22400000000000003</v>
      </c>
    </row>
    <row r="54" spans="1:14" x14ac:dyDescent="0.2">
      <c r="A54" t="s">
        <v>23</v>
      </c>
      <c r="B54">
        <f>ROUND(B52/B51,2)</f>
        <v>0.98</v>
      </c>
      <c r="C54" t="s">
        <v>24</v>
      </c>
      <c r="D54" t="s">
        <v>25</v>
      </c>
    </row>
    <row r="55" spans="1:14" x14ac:dyDescent="0.2">
      <c r="J55" t="s">
        <v>0</v>
      </c>
      <c r="K55" t="s">
        <v>94</v>
      </c>
    </row>
    <row r="56" spans="1:14" x14ac:dyDescent="0.2">
      <c r="A56" t="s">
        <v>26</v>
      </c>
      <c r="B56" s="6">
        <f>NPV(E46,D45:D49)-B51</f>
        <v>4406.4587011822732</v>
      </c>
      <c r="D56" t="s">
        <v>27</v>
      </c>
    </row>
    <row r="57" spans="1:14" x14ac:dyDescent="0.2">
      <c r="J57" t="s">
        <v>95</v>
      </c>
      <c r="K57">
        <v>1000000</v>
      </c>
    </row>
    <row r="58" spans="1:14" x14ac:dyDescent="0.2">
      <c r="A58" t="s">
        <v>0</v>
      </c>
      <c r="J58" t="s">
        <v>96</v>
      </c>
      <c r="K58" s="2">
        <v>0.1</v>
      </c>
    </row>
    <row r="60" spans="1:14" x14ac:dyDescent="0.2">
      <c r="A60" t="s">
        <v>28</v>
      </c>
      <c r="B60">
        <v>25000</v>
      </c>
      <c r="C60">
        <v>12500</v>
      </c>
      <c r="J60" t="s">
        <v>97</v>
      </c>
      <c r="K60" s="2">
        <v>0.05</v>
      </c>
    </row>
    <row r="61" spans="1:14" x14ac:dyDescent="0.2">
      <c r="A61" t="s">
        <v>29</v>
      </c>
      <c r="B61">
        <v>100</v>
      </c>
      <c r="C61">
        <v>100</v>
      </c>
      <c r="J61" t="s">
        <v>98</v>
      </c>
      <c r="K61" s="2">
        <v>0.05</v>
      </c>
    </row>
    <row r="62" spans="1:14" x14ac:dyDescent="0.2">
      <c r="A62" t="s">
        <v>30</v>
      </c>
      <c r="B62">
        <f>B60*B61</f>
        <v>2500000</v>
      </c>
      <c r="C62">
        <f>C60*C61</f>
        <v>1250000</v>
      </c>
      <c r="J62" t="s">
        <v>99</v>
      </c>
      <c r="K62" s="2">
        <v>0.15</v>
      </c>
    </row>
    <row r="63" spans="1:14" x14ac:dyDescent="0.2">
      <c r="A63" t="s">
        <v>31</v>
      </c>
      <c r="C63">
        <v>1250000</v>
      </c>
      <c r="J63" t="s">
        <v>100</v>
      </c>
      <c r="K63" s="2">
        <v>0.02</v>
      </c>
    </row>
    <row r="64" spans="1:14" x14ac:dyDescent="0.2">
      <c r="A64" t="s">
        <v>32</v>
      </c>
      <c r="C64" s="2">
        <v>0.15</v>
      </c>
      <c r="J64" t="s">
        <v>33</v>
      </c>
      <c r="K64" s="2">
        <v>0.3</v>
      </c>
    </row>
    <row r="65" spans="1:12" x14ac:dyDescent="0.2">
      <c r="A65" t="s">
        <v>33</v>
      </c>
      <c r="B65" s="7">
        <v>0.3</v>
      </c>
      <c r="C65" s="1"/>
    </row>
    <row r="66" spans="1:12" x14ac:dyDescent="0.2">
      <c r="B66" t="s">
        <v>34</v>
      </c>
      <c r="C66" t="s">
        <v>35</v>
      </c>
      <c r="J66" t="s">
        <v>49</v>
      </c>
    </row>
    <row r="67" spans="1:12" x14ac:dyDescent="0.2">
      <c r="B67">
        <v>250000</v>
      </c>
      <c r="C67">
        <v>250000</v>
      </c>
      <c r="J67" t="s">
        <v>101</v>
      </c>
    </row>
    <row r="68" spans="1:12" x14ac:dyDescent="0.2">
      <c r="J68" t="s">
        <v>102</v>
      </c>
      <c r="K68" t="s">
        <v>103</v>
      </c>
    </row>
    <row r="69" spans="1:12" x14ac:dyDescent="0.2">
      <c r="A69" t="s">
        <v>36</v>
      </c>
    </row>
    <row r="70" spans="1:12" x14ac:dyDescent="0.2">
      <c r="B70" t="s">
        <v>34</v>
      </c>
      <c r="C70" t="s">
        <v>37</v>
      </c>
      <c r="J70" t="s">
        <v>104</v>
      </c>
    </row>
    <row r="71" spans="1:12" x14ac:dyDescent="0.2">
      <c r="A71" t="s">
        <v>38</v>
      </c>
      <c r="B71">
        <v>250000</v>
      </c>
      <c r="C71">
        <v>250000</v>
      </c>
      <c r="K71" t="s">
        <v>105</v>
      </c>
      <c r="L71" s="4">
        <f>(K57*K58)*(1-K64)/(K57-K57*K63)</f>
        <v>7.1428571428571425E-2</v>
      </c>
    </row>
    <row r="72" spans="1:12" x14ac:dyDescent="0.2">
      <c r="A72" t="s">
        <v>39</v>
      </c>
      <c r="C72">
        <v>187500</v>
      </c>
      <c r="J72" t="s">
        <v>106</v>
      </c>
    </row>
    <row r="73" spans="1:12" x14ac:dyDescent="0.2">
      <c r="A73" t="s">
        <v>40</v>
      </c>
      <c r="B73">
        <f>B71-B72</f>
        <v>250000</v>
      </c>
      <c r="C73">
        <f>C71-C72</f>
        <v>62500</v>
      </c>
      <c r="K73" t="s">
        <v>105</v>
      </c>
      <c r="L73" s="11">
        <f>K57*K58*(1-K64)/(K57*(1-K61)-K63*K57)</f>
        <v>7.5268817204301078E-2</v>
      </c>
    </row>
    <row r="74" spans="1:12" x14ac:dyDescent="0.2">
      <c r="A74" t="s">
        <v>41</v>
      </c>
      <c r="B74">
        <f>B73*B65</f>
        <v>75000</v>
      </c>
      <c r="C74">
        <f>C73*B65</f>
        <v>18750</v>
      </c>
    </row>
    <row r="75" spans="1:12" x14ac:dyDescent="0.2">
      <c r="A75" t="s">
        <v>42</v>
      </c>
      <c r="B75">
        <f>B73-B74</f>
        <v>175000</v>
      </c>
      <c r="C75">
        <f>C73-C74</f>
        <v>43750</v>
      </c>
      <c r="J75" t="s">
        <v>99</v>
      </c>
    </row>
    <row r="76" spans="1:12" x14ac:dyDescent="0.2">
      <c r="A76" t="s">
        <v>43</v>
      </c>
      <c r="B76">
        <f>B75/B60</f>
        <v>7</v>
      </c>
      <c r="C76">
        <f>C75/C60</f>
        <v>3.5</v>
      </c>
      <c r="K76" t="s">
        <v>105</v>
      </c>
      <c r="L76" s="11">
        <f>K57*K58*(1-K64)/(K57*(1+K62)-K63*K57*(1+K62))</f>
        <v>6.2111801242236024E-2</v>
      </c>
    </row>
    <row r="78" spans="1:12" x14ac:dyDescent="0.2">
      <c r="A78" t="s">
        <v>0</v>
      </c>
      <c r="J78" t="s">
        <v>0</v>
      </c>
    </row>
    <row r="80" spans="1:12" x14ac:dyDescent="0.2">
      <c r="A80" t="s">
        <v>28</v>
      </c>
      <c r="B80">
        <v>50000</v>
      </c>
      <c r="C80">
        <v>40000</v>
      </c>
      <c r="J80" t="s">
        <v>107</v>
      </c>
      <c r="K80">
        <v>1000000</v>
      </c>
    </row>
    <row r="81" spans="1:15" x14ac:dyDescent="0.2">
      <c r="A81" t="s">
        <v>29</v>
      </c>
      <c r="B81">
        <v>100</v>
      </c>
      <c r="C81">
        <v>100</v>
      </c>
      <c r="J81" t="s">
        <v>96</v>
      </c>
      <c r="K81" s="2">
        <v>0.1</v>
      </c>
    </row>
    <row r="82" spans="1:15" x14ac:dyDescent="0.2">
      <c r="A82" t="s">
        <v>30</v>
      </c>
      <c r="B82">
        <f>B80*B81</f>
        <v>5000000</v>
      </c>
      <c r="C82">
        <f>C80*C81</f>
        <v>4000000</v>
      </c>
      <c r="N82" t="s">
        <v>115</v>
      </c>
    </row>
    <row r="83" spans="1:15" x14ac:dyDescent="0.2">
      <c r="A83" t="s">
        <v>31</v>
      </c>
      <c r="B83">
        <v>1000000</v>
      </c>
      <c r="C83">
        <v>2000000</v>
      </c>
      <c r="J83" t="s">
        <v>108</v>
      </c>
      <c r="L83" t="s">
        <v>113</v>
      </c>
      <c r="N83">
        <v>10</v>
      </c>
    </row>
    <row r="84" spans="1:15" x14ac:dyDescent="0.2">
      <c r="A84" t="s">
        <v>32</v>
      </c>
      <c r="B84" s="2">
        <v>0.12</v>
      </c>
      <c r="C84" s="2">
        <v>0.12</v>
      </c>
      <c r="J84" t="s">
        <v>109</v>
      </c>
      <c r="K84" s="2">
        <v>0.05</v>
      </c>
      <c r="L84" t="s">
        <v>114</v>
      </c>
      <c r="N84">
        <v>10</v>
      </c>
      <c r="O84" s="2">
        <v>0.02</v>
      </c>
    </row>
    <row r="85" spans="1:15" x14ac:dyDescent="0.2">
      <c r="A85" t="s">
        <v>33</v>
      </c>
      <c r="B85" s="7">
        <v>0.3</v>
      </c>
      <c r="C85" s="1"/>
      <c r="J85" t="s">
        <v>110</v>
      </c>
      <c r="K85" s="2">
        <v>0.1</v>
      </c>
      <c r="L85" t="s">
        <v>114</v>
      </c>
      <c r="N85">
        <v>10</v>
      </c>
      <c r="O85" s="2">
        <v>0.05</v>
      </c>
    </row>
    <row r="86" spans="1:15" x14ac:dyDescent="0.2">
      <c r="B86" t="s">
        <v>34</v>
      </c>
      <c r="C86" t="s">
        <v>35</v>
      </c>
      <c r="J86" t="s">
        <v>111</v>
      </c>
      <c r="K86" s="2">
        <v>0.01</v>
      </c>
    </row>
    <row r="87" spans="1:15" x14ac:dyDescent="0.2">
      <c r="A87" t="s">
        <v>38</v>
      </c>
      <c r="B87">
        <v>720000</v>
      </c>
      <c r="C87">
        <v>720000</v>
      </c>
      <c r="J87" t="s">
        <v>112</v>
      </c>
      <c r="K87" s="2">
        <v>0.3</v>
      </c>
    </row>
    <row r="88" spans="1:15" x14ac:dyDescent="0.2">
      <c r="A88" t="s">
        <v>45</v>
      </c>
      <c r="B88">
        <f>B83*B84</f>
        <v>120000</v>
      </c>
      <c r="C88">
        <f>C83*C84</f>
        <v>240000</v>
      </c>
    </row>
    <row r="89" spans="1:15" x14ac:dyDescent="0.2">
      <c r="A89" t="s">
        <v>40</v>
      </c>
      <c r="B89">
        <f>B87-B88</f>
        <v>600000</v>
      </c>
      <c r="C89">
        <f>C87-C88</f>
        <v>480000</v>
      </c>
      <c r="J89" t="s">
        <v>116</v>
      </c>
    </row>
    <row r="90" spans="1:15" x14ac:dyDescent="0.2">
      <c r="A90" t="s">
        <v>46</v>
      </c>
      <c r="B90">
        <f>B89*B85</f>
        <v>180000</v>
      </c>
      <c r="C90" s="9">
        <f>C89*B85</f>
        <v>144000</v>
      </c>
    </row>
    <row r="91" spans="1:15" x14ac:dyDescent="0.2">
      <c r="A91" t="s">
        <v>42</v>
      </c>
      <c r="B91">
        <f>B89-B90</f>
        <v>420000</v>
      </c>
      <c r="C91" s="9">
        <f>C89-C90</f>
        <v>336000</v>
      </c>
      <c r="J91" t="s">
        <v>117</v>
      </c>
    </row>
    <row r="92" spans="1:15" x14ac:dyDescent="0.2">
      <c r="A92" t="s">
        <v>43</v>
      </c>
      <c r="B92">
        <f>B91/B80</f>
        <v>8.4</v>
      </c>
      <c r="C92" s="8">
        <f>C91/C80</f>
        <v>8.4</v>
      </c>
      <c r="K92" t="s">
        <v>118</v>
      </c>
      <c r="L92">
        <f>K80*K81</f>
        <v>100000</v>
      </c>
    </row>
    <row r="93" spans="1:15" x14ac:dyDescent="0.2">
      <c r="K93" t="s">
        <v>119</v>
      </c>
      <c r="L93">
        <f>K80-K80*K86</f>
        <v>990000</v>
      </c>
    </row>
    <row r="94" spans="1:15" x14ac:dyDescent="0.2">
      <c r="A94" t="s">
        <v>44</v>
      </c>
      <c r="B94">
        <f>(C80*B88-B80*C88)/(C80-B80)</f>
        <v>720000</v>
      </c>
      <c r="K94" t="s">
        <v>120</v>
      </c>
      <c r="L94" s="2">
        <f>K87</f>
        <v>0.3</v>
      </c>
    </row>
    <row r="95" spans="1:15" x14ac:dyDescent="0.2">
      <c r="K95" t="s">
        <v>121</v>
      </c>
      <c r="L95">
        <f>K80</f>
        <v>1000000</v>
      </c>
    </row>
    <row r="96" spans="1:15" x14ac:dyDescent="0.2">
      <c r="A96" t="s">
        <v>0</v>
      </c>
      <c r="K96" t="s">
        <v>122</v>
      </c>
      <c r="L96">
        <f>N83</f>
        <v>10</v>
      </c>
    </row>
    <row r="97" spans="1:12" x14ac:dyDescent="0.2">
      <c r="K97" t="s">
        <v>105</v>
      </c>
      <c r="L97" s="11">
        <f>(L92*(1-K87)+(L95-L93)/L96)/((L95+L93)/2)</f>
        <v>7.1356783919597988E-2</v>
      </c>
    </row>
    <row r="98" spans="1:12" x14ac:dyDescent="0.2">
      <c r="A98" t="s">
        <v>28</v>
      </c>
      <c r="B98">
        <v>50000</v>
      </c>
      <c r="C98">
        <v>40000</v>
      </c>
      <c r="K98" t="s">
        <v>105</v>
      </c>
    </row>
    <row r="99" spans="1:12" x14ac:dyDescent="0.2">
      <c r="A99" t="s">
        <v>29</v>
      </c>
      <c r="B99">
        <v>100</v>
      </c>
      <c r="C99">
        <v>100</v>
      </c>
    </row>
    <row r="100" spans="1:12" x14ac:dyDescent="0.2">
      <c r="A100" t="s">
        <v>47</v>
      </c>
      <c r="B100">
        <v>2000000</v>
      </c>
      <c r="C100">
        <v>1500000</v>
      </c>
      <c r="J100" t="s">
        <v>123</v>
      </c>
    </row>
    <row r="101" spans="1:12" x14ac:dyDescent="0.2">
      <c r="A101" t="s">
        <v>48</v>
      </c>
      <c r="B101" s="2">
        <v>0.13</v>
      </c>
      <c r="C101" s="2">
        <v>0.13</v>
      </c>
    </row>
    <row r="102" spans="1:12" x14ac:dyDescent="0.2">
      <c r="A102" t="s">
        <v>30</v>
      </c>
      <c r="B102">
        <f>B98*B99</f>
        <v>5000000</v>
      </c>
      <c r="C102">
        <f>C98*C99</f>
        <v>4000000</v>
      </c>
      <c r="K102" t="s">
        <v>118</v>
      </c>
      <c r="L102">
        <f>K80*K81</f>
        <v>100000</v>
      </c>
    </row>
    <row r="103" spans="1:12" x14ac:dyDescent="0.2">
      <c r="A103" t="s">
        <v>31</v>
      </c>
      <c r="B103">
        <v>1000000</v>
      </c>
      <c r="C103">
        <v>2500000</v>
      </c>
      <c r="K103" t="s">
        <v>119</v>
      </c>
      <c r="L103">
        <f>K80-K86*K80-K84*K80</f>
        <v>940000</v>
      </c>
    </row>
    <row r="104" spans="1:12" x14ac:dyDescent="0.2">
      <c r="A104" t="s">
        <v>32</v>
      </c>
      <c r="B104" s="2">
        <v>0.12</v>
      </c>
      <c r="C104" s="2">
        <v>0.12</v>
      </c>
      <c r="K104" t="s">
        <v>120</v>
      </c>
      <c r="L104" s="2">
        <f>K87</f>
        <v>0.3</v>
      </c>
    </row>
    <row r="105" spans="1:12" x14ac:dyDescent="0.2">
      <c r="A105" t="s">
        <v>33</v>
      </c>
      <c r="B105" s="7">
        <v>0.3</v>
      </c>
      <c r="C105" s="1"/>
      <c r="K105" t="s">
        <v>121</v>
      </c>
      <c r="L105">
        <f>K80+K80*O84</f>
        <v>1020000</v>
      </c>
    </row>
    <row r="106" spans="1:12" x14ac:dyDescent="0.2">
      <c r="A106" t="s">
        <v>38</v>
      </c>
      <c r="B106">
        <v>800000</v>
      </c>
      <c r="C106">
        <v>800000</v>
      </c>
      <c r="K106" t="s">
        <v>122</v>
      </c>
      <c r="L106">
        <f>N84</f>
        <v>10</v>
      </c>
    </row>
    <row r="107" spans="1:12" x14ac:dyDescent="0.2">
      <c r="K107" t="s">
        <v>105</v>
      </c>
      <c r="L107" s="11">
        <f>(L102*(1-L104)+(L105-L103)/L106)/((L105+L103)/2)</f>
        <v>7.9591836734693874E-2</v>
      </c>
    </row>
    <row r="108" spans="1:12" x14ac:dyDescent="0.2">
      <c r="A108" t="s">
        <v>49</v>
      </c>
      <c r="B108" t="s">
        <v>34</v>
      </c>
      <c r="C108" t="s">
        <v>37</v>
      </c>
    </row>
    <row r="109" spans="1:12" x14ac:dyDescent="0.2">
      <c r="J109" t="s">
        <v>124</v>
      </c>
    </row>
    <row r="110" spans="1:12" x14ac:dyDescent="0.2">
      <c r="A110" t="s">
        <v>38</v>
      </c>
      <c r="B110" s="6">
        <v>927142.85714285716</v>
      </c>
      <c r="C110" s="6">
        <v>927142.85714285716</v>
      </c>
    </row>
    <row r="111" spans="1:12" x14ac:dyDescent="0.2">
      <c r="A111" t="s">
        <v>50</v>
      </c>
      <c r="B111">
        <f>B103*B104</f>
        <v>120000</v>
      </c>
      <c r="C111">
        <f>C103*C104</f>
        <v>300000</v>
      </c>
      <c r="K111" t="s">
        <v>118</v>
      </c>
      <c r="L111">
        <f>K80*K81</f>
        <v>100000</v>
      </c>
    </row>
    <row r="112" spans="1:12" x14ac:dyDescent="0.2">
      <c r="A112" t="s">
        <v>40</v>
      </c>
      <c r="B112">
        <f>B110-B111</f>
        <v>807142.85714285716</v>
      </c>
      <c r="C112">
        <f>C110-C111</f>
        <v>627142.85714285716</v>
      </c>
      <c r="K112" t="s">
        <v>119</v>
      </c>
      <c r="L112">
        <f>K80+K80*K85-K86*(K80+K80*K85)</f>
        <v>1089000</v>
      </c>
    </row>
    <row r="113" spans="1:12" x14ac:dyDescent="0.2">
      <c r="A113" t="s">
        <v>41</v>
      </c>
      <c r="B113">
        <f>B112*B105</f>
        <v>242142.85714285713</v>
      </c>
      <c r="C113">
        <f>C112*B105</f>
        <v>188142.85714285713</v>
      </c>
      <c r="K113" t="s">
        <v>120</v>
      </c>
      <c r="L113" s="2">
        <f>K87</f>
        <v>0.3</v>
      </c>
    </row>
    <row r="114" spans="1:12" x14ac:dyDescent="0.2">
      <c r="A114" t="s">
        <v>42</v>
      </c>
      <c r="B114">
        <f>B112-B113</f>
        <v>565000</v>
      </c>
      <c r="C114">
        <f>C112-C113</f>
        <v>439000</v>
      </c>
      <c r="K114" t="s">
        <v>121</v>
      </c>
      <c r="L114">
        <f>K80+K80*O85</f>
        <v>1050000</v>
      </c>
    </row>
    <row r="115" spans="1:12" x14ac:dyDescent="0.2">
      <c r="A115" t="s">
        <v>51</v>
      </c>
      <c r="B115">
        <f>B100*B101</f>
        <v>260000</v>
      </c>
      <c r="C115">
        <f>C100*C101</f>
        <v>195000</v>
      </c>
      <c r="K115" t="s">
        <v>122</v>
      </c>
      <c r="L115">
        <f>N85</f>
        <v>10</v>
      </c>
    </row>
    <row r="116" spans="1:12" x14ac:dyDescent="0.2">
      <c r="A116" t="s">
        <v>52</v>
      </c>
      <c r="B116">
        <f>B114-B115</f>
        <v>305000</v>
      </c>
      <c r="C116">
        <f>C114-C115</f>
        <v>244000</v>
      </c>
      <c r="K116" t="s">
        <v>105</v>
      </c>
      <c r="L116" s="11">
        <f>(L111*(1-L113)+(L114-L112)/L115)/((L114+L112)/2)</f>
        <v>6.1804581580177653E-2</v>
      </c>
    </row>
    <row r="117" spans="1:12" x14ac:dyDescent="0.2">
      <c r="A117" t="s">
        <v>43</v>
      </c>
      <c r="B117" s="6">
        <f>B116/B98</f>
        <v>6.1</v>
      </c>
      <c r="C117" s="6">
        <f>C116/C98</f>
        <v>6.1</v>
      </c>
      <c r="J117" t="s">
        <v>0</v>
      </c>
    </row>
    <row r="118" spans="1:12" x14ac:dyDescent="0.2">
      <c r="J118" t="s">
        <v>125</v>
      </c>
      <c r="K118">
        <v>1000000</v>
      </c>
    </row>
    <row r="119" spans="1:12" x14ac:dyDescent="0.2">
      <c r="A119" t="s">
        <v>44</v>
      </c>
      <c r="B119" s="6">
        <f>((C98*B111-B98*C111)*(1-B105)+(C98*B115-B98*C115))/((C98-B98)*(1-B105))</f>
        <v>927142.85714285716</v>
      </c>
      <c r="J119" t="s">
        <v>126</v>
      </c>
      <c r="K119" s="2">
        <v>0.1</v>
      </c>
    </row>
    <row r="121" spans="1:12" x14ac:dyDescent="0.2">
      <c r="J121" t="s">
        <v>97</v>
      </c>
    </row>
    <row r="122" spans="1:12" x14ac:dyDescent="0.2">
      <c r="A122" t="s">
        <v>53</v>
      </c>
      <c r="B122">
        <v>7500000</v>
      </c>
      <c r="C122">
        <v>10000000</v>
      </c>
      <c r="J122" t="s">
        <v>127</v>
      </c>
      <c r="K122" s="2">
        <v>0.05</v>
      </c>
    </row>
    <row r="123" spans="1:12" x14ac:dyDescent="0.2">
      <c r="A123" t="s">
        <v>54</v>
      </c>
      <c r="B123">
        <v>3000000</v>
      </c>
      <c r="C123">
        <v>3000000</v>
      </c>
      <c r="J123" t="s">
        <v>128</v>
      </c>
      <c r="K123" s="2">
        <v>0.15</v>
      </c>
    </row>
    <row r="124" spans="1:12" x14ac:dyDescent="0.2">
      <c r="A124" t="s">
        <v>55</v>
      </c>
      <c r="B124">
        <v>4500000</v>
      </c>
      <c r="C124">
        <v>7000000</v>
      </c>
      <c r="J124" t="s">
        <v>135</v>
      </c>
      <c r="K124" s="2">
        <v>0.01</v>
      </c>
    </row>
    <row r="125" spans="1:12" x14ac:dyDescent="0.2">
      <c r="A125" t="s">
        <v>56</v>
      </c>
      <c r="B125">
        <v>2250000</v>
      </c>
      <c r="C125">
        <v>4000000</v>
      </c>
      <c r="J125" t="s">
        <v>49</v>
      </c>
    </row>
    <row r="126" spans="1:12" x14ac:dyDescent="0.2">
      <c r="A126" t="s">
        <v>38</v>
      </c>
      <c r="B126">
        <v>2250000</v>
      </c>
      <c r="C126">
        <v>3000000</v>
      </c>
      <c r="J126" t="s">
        <v>129</v>
      </c>
    </row>
    <row r="127" spans="1:12" x14ac:dyDescent="0.2">
      <c r="A127" t="s">
        <v>50</v>
      </c>
      <c r="B127">
        <v>750000</v>
      </c>
      <c r="C127">
        <v>1000000</v>
      </c>
      <c r="J127" t="s">
        <v>130</v>
      </c>
    </row>
    <row r="128" spans="1:12" x14ac:dyDescent="0.2">
      <c r="A128" t="s">
        <v>40</v>
      </c>
      <c r="B128">
        <v>1500000</v>
      </c>
      <c r="C128">
        <v>2000000</v>
      </c>
    </row>
    <row r="129" spans="1:12" x14ac:dyDescent="0.2">
      <c r="J129" t="s">
        <v>131</v>
      </c>
    </row>
    <row r="130" spans="1:12" x14ac:dyDescent="0.2">
      <c r="A130" t="s">
        <v>57</v>
      </c>
      <c r="B130" t="s">
        <v>58</v>
      </c>
      <c r="C130" t="s">
        <v>59</v>
      </c>
      <c r="J130" t="s">
        <v>132</v>
      </c>
    </row>
    <row r="131" spans="1:12" x14ac:dyDescent="0.2">
      <c r="A131" t="s">
        <v>60</v>
      </c>
      <c r="B131">
        <f>B124/B126</f>
        <v>2</v>
      </c>
      <c r="C131">
        <f>C124/C126</f>
        <v>2.3333333333333335</v>
      </c>
      <c r="J131" t="s">
        <v>133</v>
      </c>
    </row>
    <row r="132" spans="1:12" x14ac:dyDescent="0.2">
      <c r="A132" t="s">
        <v>61</v>
      </c>
      <c r="B132">
        <f>B126/B128</f>
        <v>1.5</v>
      </c>
      <c r="C132">
        <f>C126/C128</f>
        <v>1.5</v>
      </c>
      <c r="K132" t="s">
        <v>134</v>
      </c>
      <c r="L132" s="11">
        <f>(K118*K119)/(K118-0.01*K118)</f>
        <v>0.10101010101010101</v>
      </c>
    </row>
    <row r="133" spans="1:12" x14ac:dyDescent="0.2">
      <c r="J133" t="s">
        <v>136</v>
      </c>
    </row>
    <row r="134" spans="1:12" x14ac:dyDescent="0.2">
      <c r="K134" t="s">
        <v>137</v>
      </c>
      <c r="L134" s="11">
        <f>(K118*K119)/(K118*(1-K122)-K124*K118)</f>
        <v>0.10638297872340426</v>
      </c>
    </row>
    <row r="136" spans="1:12" x14ac:dyDescent="0.2">
      <c r="J136" t="s">
        <v>138</v>
      </c>
      <c r="K136" t="s">
        <v>139</v>
      </c>
      <c r="L136" s="11">
        <f>(K118*K119)/(K118*(1+K123)-K124*K118*(1+K123))</f>
        <v>8.7834870443566096E-2</v>
      </c>
    </row>
    <row r="138" spans="1:12" x14ac:dyDescent="0.2">
      <c r="J138" t="s">
        <v>0</v>
      </c>
    </row>
  </sheetData>
  <mergeCells count="7">
    <mergeCell ref="B65:C65"/>
    <mergeCell ref="B85:C85"/>
    <mergeCell ref="B105:C105"/>
    <mergeCell ref="A2:B2"/>
    <mergeCell ref="B10:E10"/>
    <mergeCell ref="A17:B17"/>
    <mergeCell ref="A44:B44"/>
  </mergeCells>
  <dataValidations count="5">
    <dataValidation allowBlank="1" showInputMessage="1" showErrorMessage="1" promptTitle="list" sqref="M7:R7" xr:uid="{66EF27D8-BAB3-934D-BF60-8842DA465E04}"/>
    <dataValidation type="list" allowBlank="1" showInputMessage="1" showErrorMessage="1" sqref="M12" xr:uid="{32D031E7-A73A-704E-BD6F-86F72F53159F}">
      <formula1>$M$7:$R$7</formula1>
    </dataValidation>
    <dataValidation type="list" allowBlank="1" showInputMessage="1" showErrorMessage="1" sqref="L17" xr:uid="{3953EFB9-AC74-A34E-B8E6-E9A3F8CD2E01}">
      <formula1>$M$8:$R$8</formula1>
    </dataValidation>
    <dataValidation type="list" allowBlank="1" showInputMessage="1" showErrorMessage="1" sqref="O24:O25" xr:uid="{AFA8974C-301B-FB44-AEFD-F55203C66F62}">
      <formula1>$O$24:$O$25</formula1>
    </dataValidation>
    <dataValidation type="list" allowBlank="1" showInputMessage="1" showErrorMessage="1" sqref="M31" xr:uid="{BDDBE474-573F-4244-A356-A17C9DAB66D8}">
      <formula1>$P$25:$P$26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Aabhas Basnet</dc:creator>
  <cp:lastModifiedBy>Aabhas Basnet</cp:lastModifiedBy>
  <dcterms:created xsi:type="dcterms:W3CDTF">2023-12-13T07:23:14Z</dcterms:created>
  <dcterms:modified xsi:type="dcterms:W3CDTF">2023-12-13T15:56:52Z</dcterms:modified>
</cp:coreProperties>
</file>