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aabhasbasnet/Downloads/"/>
    </mc:Choice>
  </mc:AlternateContent>
  <xr:revisionPtr revIDLastSave="0" documentId="13_ncr:1_{06718D72-10B8-0346-B814-A0129F24C162}" xr6:coauthVersionLast="47" xr6:coauthVersionMax="47" xr10:uidLastSave="{00000000-0000-0000-0000-000000000000}"/>
  <bookViews>
    <workbookView xWindow="0" yWindow="500" windowWidth="28800" windowHeight="15820" firstSheet="4" activeTab="13" xr2:uid="{00000000-000D-0000-FFFF-FFFF00000000}"/>
  </bookViews>
  <sheets>
    <sheet name="P1_Pdt Pricing" sheetId="1" r:id="rId1"/>
    <sheet name="P2_spl order" sheetId="2" r:id="rId2"/>
    <sheet name="P3_pdt pricing" sheetId="3" r:id="rId3"/>
    <sheet name="P4_pdt pricing" sheetId="4" r:id="rId4"/>
    <sheet name="P5_export" sheetId="5" r:id="rId5"/>
    <sheet name="P6_keyfactor_RM" sheetId="6" r:id="rId6"/>
    <sheet name="P6_keyfactor_L" sheetId="7" r:id="rId7"/>
    <sheet name="P7_export" sheetId="8" r:id="rId8"/>
    <sheet name="P8_export" sheetId="9" r:id="rId9"/>
    <sheet name="P9_Differential" sheetId="10" r:id="rId10"/>
    <sheet name="Scenario Summary" sheetId="14" r:id="rId11"/>
    <sheet name="P10_Differential." sheetId="11" r:id="rId12"/>
    <sheet name="Scenario Summary_P10." sheetId="12" r:id="rId13"/>
    <sheet name="P11_Differential" sheetId="13" r:id="rId14"/>
  </sheets>
  <definedNames>
    <definedName name="BE_Sales">#REF!</definedName>
    <definedName name="BEP">#REF!</definedName>
    <definedName name="Capacity">#REF!</definedName>
    <definedName name="Contribution">#REF!</definedName>
    <definedName name="Less_FC">#REF!</definedName>
    <definedName name="Less_VC">#REF!</definedName>
    <definedName name="Margin_of_Safety">#REF!</definedName>
    <definedName name="Profit">#REF!</definedName>
    <definedName name="PV_Ratio">#REF!</definedName>
    <definedName name="Selling_Price">#REF!</definedName>
    <definedName name="solver_adj" localSheetId="4">P5_export!$F$35</definedName>
    <definedName name="solver_eng" localSheetId="6" hidden="1">1</definedName>
    <definedName name="solver_eng" localSheetId="5" hidden="1">1</definedName>
    <definedName name="solver_lhs1" localSheetId="4">P5_export!$F$35</definedName>
    <definedName name="solver_lhs1" localSheetId="6">P6_keyfactor_L!$C$21:$F$21</definedName>
    <definedName name="solver_lhs1" localSheetId="5">P6_keyfactor_RM!$I$21:$L$21</definedName>
    <definedName name="solver_lhs2" localSheetId="6">P6_keyfactor_L!$C$22:$F$22</definedName>
    <definedName name="solver_lhs2" localSheetId="5">P6_keyfactor_RM!$I$22:$L$22</definedName>
    <definedName name="solver_lhs3" localSheetId="6">P6_keyfactor_L!$C$23:$F$23</definedName>
    <definedName name="solver_lhs3" localSheetId="5">P6_keyfactor_RM!$I$23:$L$23</definedName>
    <definedName name="solver_lhs4" localSheetId="6">P6_keyfactor_L!$C$24:$F$24</definedName>
    <definedName name="solver_lhs4" localSheetId="5">P6_keyfactor_RM!$I$24:$L$24</definedName>
    <definedName name="solver_lhs5" localSheetId="5">P6_keyfactor_RM!$I$25:$L$25</definedName>
    <definedName name="solver_lin" localSheetId="6" hidden="1">2</definedName>
    <definedName name="solver_lin" localSheetId="5" hidden="1">2</definedName>
    <definedName name="solver_neg" localSheetId="6" hidden="1">1</definedName>
    <definedName name="solver_neg" localSheetId="5" hidden="1">1</definedName>
    <definedName name="solver_num" localSheetId="6" hidden="1">0</definedName>
    <definedName name="solver_num" localSheetId="5" hidden="1">0</definedName>
    <definedName name="solver_opt" localSheetId="4">P5_export!$F$35</definedName>
    <definedName name="solver_opt" localSheetId="6" hidden="1">P6_keyfactor_L!$A$1</definedName>
    <definedName name="solver_opt" localSheetId="5" hidden="1">P6_keyfactor_RM!$Q$17</definedName>
    <definedName name="solver_rhs1" localSheetId="6">P6_keyfactor_L!$H$21</definedName>
    <definedName name="solver_rhs1" localSheetId="5">P6_keyfactor_RM!$N$21</definedName>
    <definedName name="solver_rhs2" localSheetId="6">P6_keyfactor_L!$H$22</definedName>
    <definedName name="solver_rhs2" localSheetId="5">P6_keyfactor_RM!$N$22</definedName>
    <definedName name="solver_rhs3" localSheetId="6">P6_keyfactor_L!$H$23</definedName>
    <definedName name="solver_rhs3" localSheetId="5">P6_keyfactor_RM!$N$23</definedName>
    <definedName name="solver_rhs4" localSheetId="6">P6_keyfactor_L!$H$24</definedName>
    <definedName name="solver_rhs4" localSheetId="5">P6_keyfactor_RM!$N$24</definedName>
    <definedName name="solver_rhs5" localSheetId="5">P6_keyfactor_RM!$N$25</definedName>
    <definedName name="solver_typ" localSheetId="6" hidden="1">1</definedName>
    <definedName name="solver_typ" localSheetId="5" hidden="1">1</definedName>
    <definedName name="solver_val" localSheetId="6" hidden="1">0</definedName>
    <definedName name="solver_val" localSheetId="5" hidden="1">0</definedName>
    <definedName name="solver_ver" localSheetId="6" hidden="1">2</definedName>
    <definedName name="solver_ver" localSheetId="5" hidden="1">2</definedName>
    <definedName name="Total_Capacity">#REF!</definedName>
    <definedName name="Total_Contribution">#REF!</definedName>
    <definedName name="Uni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21" i="11" l="1"/>
  <c r="F25" i="8"/>
  <c r="F19" i="8"/>
  <c r="D27" i="6"/>
  <c r="J10" i="5"/>
  <c r="J11" i="5" s="1"/>
  <c r="J12" i="5" s="1"/>
  <c r="K12" i="5" s="1"/>
  <c r="J9" i="5"/>
  <c r="J7" i="5"/>
  <c r="M13" i="4"/>
  <c r="M8" i="4"/>
  <c r="L15" i="4"/>
  <c r="L12" i="4"/>
  <c r="L11" i="4"/>
  <c r="E26" i="4"/>
  <c r="L10" i="4"/>
  <c r="L9" i="4"/>
  <c r="L8" i="4"/>
  <c r="L7" i="4"/>
  <c r="L6" i="4"/>
  <c r="G30" i="3"/>
  <c r="G28" i="3"/>
  <c r="G25" i="3"/>
  <c r="G19" i="3"/>
  <c r="O12" i="2"/>
  <c r="M15" i="1"/>
  <c r="M12" i="1"/>
  <c r="M14" i="1" s="1"/>
  <c r="M10" i="1"/>
  <c r="M9" i="1"/>
  <c r="M8" i="1"/>
  <c r="B4" i="13"/>
  <c r="B5" i="13" s="1"/>
  <c r="B7" i="13" s="1"/>
  <c r="B9" i="13" s="1"/>
  <c r="C23" i="11"/>
  <c r="G23" i="11" s="1"/>
  <c r="I23" i="11" s="1"/>
  <c r="C22" i="11"/>
  <c r="G22" i="11" s="1"/>
  <c r="I22" i="11" s="1"/>
  <c r="C21" i="11"/>
  <c r="G21" i="11" s="1"/>
  <c r="I21" i="11" s="1"/>
  <c r="C20" i="11"/>
  <c r="G20" i="11" s="1"/>
  <c r="I20" i="11" s="1"/>
  <c r="C19" i="11"/>
  <c r="G19" i="11" s="1"/>
  <c r="I19" i="11" s="1"/>
  <c r="J19" i="11" s="1"/>
  <c r="E18" i="11"/>
  <c r="L18" i="11" s="1"/>
  <c r="C18" i="11"/>
  <c r="G18" i="11" s="1"/>
  <c r="I18" i="11" s="1"/>
  <c r="O6" i="11"/>
  <c r="O11" i="11" s="1"/>
  <c r="O3" i="11"/>
  <c r="H33" i="10"/>
  <c r="H32" i="10"/>
  <c r="H31" i="10"/>
  <c r="H26" i="10"/>
  <c r="P21" i="10"/>
  <c r="H21" i="10"/>
  <c r="H22" i="10" s="1"/>
  <c r="H27" i="10" s="1"/>
  <c r="P20" i="10"/>
  <c r="P14" i="10"/>
  <c r="P13" i="10"/>
  <c r="Q7" i="10"/>
  <c r="P7" i="10"/>
  <c r="Q6" i="10"/>
  <c r="P6" i="10"/>
  <c r="H30" i="9"/>
  <c r="G30" i="9"/>
  <c r="I30" i="9" s="1"/>
  <c r="E28" i="9"/>
  <c r="H27" i="9"/>
  <c r="G27" i="9"/>
  <c r="I27" i="9" s="1"/>
  <c r="I26" i="9"/>
  <c r="H26" i="9"/>
  <c r="G26" i="9"/>
  <c r="G25" i="9"/>
  <c r="H23" i="9"/>
  <c r="G23" i="9"/>
  <c r="I23" i="9" s="1"/>
  <c r="E23" i="9"/>
  <c r="E29" i="9" s="1"/>
  <c r="E31" i="9" s="1"/>
  <c r="F28" i="8"/>
  <c r="F26" i="8"/>
  <c r="F27" i="8"/>
  <c r="F29" i="8" s="1"/>
  <c r="F22" i="8"/>
  <c r="F21" i="8"/>
  <c r="F23" i="8" s="1"/>
  <c r="F20" i="8"/>
  <c r="F24" i="7"/>
  <c r="F23" i="7"/>
  <c r="F22" i="7"/>
  <c r="F21" i="7"/>
  <c r="E16" i="7"/>
  <c r="D16" i="7"/>
  <c r="C16" i="7"/>
  <c r="E11" i="7"/>
  <c r="D11" i="7"/>
  <c r="C11" i="7"/>
  <c r="E10" i="7"/>
  <c r="D10" i="7"/>
  <c r="C10" i="7"/>
  <c r="E7" i="7"/>
  <c r="D7" i="7"/>
  <c r="D12" i="7" s="1"/>
  <c r="D13" i="7" s="1"/>
  <c r="D15" i="7" s="1"/>
  <c r="C7" i="7"/>
  <c r="C12" i="7" s="1"/>
  <c r="C13" i="7" s="1"/>
  <c r="D63" i="6"/>
  <c r="E57" i="6"/>
  <c r="F56" i="6"/>
  <c r="E55" i="6"/>
  <c r="D55" i="6"/>
  <c r="D45" i="6"/>
  <c r="E40" i="6"/>
  <c r="D39" i="6"/>
  <c r="F39" i="6" s="1"/>
  <c r="D38" i="6"/>
  <c r="F33" i="6"/>
  <c r="E33" i="6"/>
  <c r="D33" i="6"/>
  <c r="F31" i="6"/>
  <c r="F30" i="6"/>
  <c r="E30" i="6"/>
  <c r="D30" i="6"/>
  <c r="E56" i="6" s="1"/>
  <c r="F27" i="6"/>
  <c r="E39" i="6" s="1"/>
  <c r="F25" i="6"/>
  <c r="F26" i="6" s="1"/>
  <c r="E62" i="6" s="1"/>
  <c r="L24" i="6"/>
  <c r="F24" i="6"/>
  <c r="E24" i="6"/>
  <c r="D24" i="6"/>
  <c r="D25" i="6" s="1"/>
  <c r="D26" i="6" s="1"/>
  <c r="L23" i="6"/>
  <c r="L22" i="6"/>
  <c r="F22" i="6"/>
  <c r="E22" i="6"/>
  <c r="E27" i="6" s="1"/>
  <c r="E38" i="6" s="1"/>
  <c r="F38" i="6" s="1"/>
  <c r="D22" i="6"/>
  <c r="L21" i="6"/>
  <c r="K15" i="6"/>
  <c r="J15" i="6"/>
  <c r="I15" i="6"/>
  <c r="L15" i="6" s="1"/>
  <c r="J11" i="6"/>
  <c r="J12" i="6" s="1"/>
  <c r="J14" i="6" s="1"/>
  <c r="K9" i="6"/>
  <c r="K10" i="6" s="1"/>
  <c r="K11" i="6" s="1"/>
  <c r="K12" i="6" s="1"/>
  <c r="K14" i="6" s="1"/>
  <c r="J9" i="6"/>
  <c r="J10" i="6" s="1"/>
  <c r="I9" i="6"/>
  <c r="I10" i="6" s="1"/>
  <c r="K7" i="6"/>
  <c r="K6" i="6"/>
  <c r="J6" i="6"/>
  <c r="J7" i="6" s="1"/>
  <c r="I6" i="6"/>
  <c r="F34" i="5"/>
  <c r="G33" i="5"/>
  <c r="G32" i="5"/>
  <c r="E32" i="5"/>
  <c r="E34" i="5" s="1"/>
  <c r="G31" i="5"/>
  <c r="G34" i="5" s="1"/>
  <c r="D28" i="5"/>
  <c r="F27" i="5"/>
  <c r="E27" i="5"/>
  <c r="G27" i="5" s="1"/>
  <c r="D27" i="5"/>
  <c r="F26" i="5"/>
  <c r="E26" i="5"/>
  <c r="G26" i="5" s="1"/>
  <c r="F25" i="5"/>
  <c r="E25" i="5"/>
  <c r="E28" i="5" s="1"/>
  <c r="G24" i="5"/>
  <c r="F24" i="5"/>
  <c r="E24" i="5"/>
  <c r="F22" i="5"/>
  <c r="E22" i="5"/>
  <c r="M17" i="5"/>
  <c r="L9" i="5"/>
  <c r="J8" i="5"/>
  <c r="L8" i="5" s="1"/>
  <c r="J5" i="5"/>
  <c r="G25" i="4"/>
  <c r="G31" i="4" s="1"/>
  <c r="E21" i="4"/>
  <c r="G21" i="4" s="1"/>
  <c r="E20" i="4"/>
  <c r="G19" i="4"/>
  <c r="E19" i="4"/>
  <c r="M11" i="4"/>
  <c r="M7" i="4"/>
  <c r="M6" i="4"/>
  <c r="F23" i="3"/>
  <c r="E23" i="3"/>
  <c r="D22" i="3"/>
  <c r="G21" i="3"/>
  <c r="F21" i="3"/>
  <c r="F24" i="3" s="1"/>
  <c r="E21" i="3"/>
  <c r="E24" i="3" s="1"/>
  <c r="F20" i="3"/>
  <c r="F22" i="3" s="1"/>
  <c r="E20" i="3"/>
  <c r="E22" i="3" s="1"/>
  <c r="D20" i="3"/>
  <c r="G20" i="3" s="1"/>
  <c r="G23" i="3" s="1"/>
  <c r="G43" i="2"/>
  <c r="G34" i="2"/>
  <c r="E34" i="2"/>
  <c r="E35" i="2" s="1"/>
  <c r="E33" i="2"/>
  <c r="G33" i="2" s="1"/>
  <c r="G35" i="2" s="1"/>
  <c r="E28" i="2"/>
  <c r="G28" i="2" s="1"/>
  <c r="E27" i="2"/>
  <c r="G27" i="2" s="1"/>
  <c r="G26" i="2"/>
  <c r="G25" i="2"/>
  <c r="G29" i="2" s="1"/>
  <c r="G30" i="2" s="1"/>
  <c r="G31" i="2" s="1"/>
  <c r="M16" i="2"/>
  <c r="N16" i="2" s="1"/>
  <c r="M15" i="2"/>
  <c r="M17" i="2" s="1"/>
  <c r="M10" i="2"/>
  <c r="N10" i="2" s="1"/>
  <c r="O10" i="2" s="1"/>
  <c r="M9" i="2"/>
  <c r="M11" i="2" s="1"/>
  <c r="M12" i="2" s="1"/>
  <c r="M13" i="2" s="1"/>
  <c r="M18" i="2" s="1"/>
  <c r="O8" i="2"/>
  <c r="N8" i="2"/>
  <c r="N7" i="2"/>
  <c r="O7" i="2" s="1"/>
  <c r="O5" i="2"/>
  <c r="G35" i="1"/>
  <c r="G36" i="1" s="1"/>
  <c r="E31" i="1"/>
  <c r="E29" i="1"/>
  <c r="G41" i="1" s="1"/>
  <c r="G42" i="1" s="1"/>
  <c r="D29" i="1"/>
  <c r="D28" i="1"/>
  <c r="G28" i="1" s="1"/>
  <c r="G27" i="1"/>
  <c r="G29" i="1" s="1"/>
  <c r="G38" i="1" s="1"/>
  <c r="G39" i="1" s="1"/>
  <c r="F27" i="1"/>
  <c r="N15" i="1"/>
  <c r="O13" i="1"/>
  <c r="L9" i="1"/>
  <c r="N8" i="1"/>
  <c r="O7" i="11" l="1"/>
  <c r="P4" i="11"/>
  <c r="F40" i="6"/>
  <c r="D40" i="6" s="1"/>
  <c r="D47" i="6" s="1"/>
  <c r="C15" i="7"/>
  <c r="L14" i="4"/>
  <c r="G36" i="2"/>
  <c r="G41" i="2" s="1"/>
  <c r="G42" i="2" s="1"/>
  <c r="G44" i="2" s="1"/>
  <c r="G45" i="2" s="1"/>
  <c r="E47" i="6"/>
  <c r="D31" i="6"/>
  <c r="E63" i="6"/>
  <c r="F63" i="6" s="1"/>
  <c r="D28" i="6"/>
  <c r="D46" i="6"/>
  <c r="G29" i="9"/>
  <c r="G31" i="9" s="1"/>
  <c r="E46" i="6"/>
  <c r="I11" i="6"/>
  <c r="I12" i="6" s="1"/>
  <c r="I7" i="6"/>
  <c r="N9" i="1"/>
  <c r="N15" i="2"/>
  <c r="N17" i="2" s="1"/>
  <c r="G22" i="3"/>
  <c r="M9" i="4"/>
  <c r="M10" i="4" s="1"/>
  <c r="M12" i="4" s="1"/>
  <c r="G33" i="6"/>
  <c r="J20" i="11"/>
  <c r="J21" i="11"/>
  <c r="N9" i="2"/>
  <c r="G24" i="3"/>
  <c r="G27" i="3" s="1"/>
  <c r="D23" i="3"/>
  <c r="F28" i="5"/>
  <c r="F29" i="5" s="1"/>
  <c r="E12" i="7"/>
  <c r="E13" i="7" s="1"/>
  <c r="E15" i="7" s="1"/>
  <c r="E8" i="7"/>
  <c r="L10" i="1"/>
  <c r="L12" i="1" s="1"/>
  <c r="L14" i="1" s="1"/>
  <c r="E29" i="2"/>
  <c r="E30" i="2" s="1"/>
  <c r="E31" i="2" s="1"/>
  <c r="E36" i="2" s="1"/>
  <c r="G25" i="5"/>
  <c r="G28" i="5" s="1"/>
  <c r="E25" i="6"/>
  <c r="E26" i="6" s="1"/>
  <c r="F28" i="6"/>
  <c r="C8" i="7"/>
  <c r="J22" i="11"/>
  <c r="E22" i="4"/>
  <c r="E23" i="4" s="1"/>
  <c r="E29" i="5"/>
  <c r="E35" i="5" s="1"/>
  <c r="G22" i="5"/>
  <c r="F55" i="6"/>
  <c r="D62" i="6"/>
  <c r="F62" i="6" s="1"/>
  <c r="D8" i="7"/>
  <c r="G28" i="9"/>
  <c r="H25" i="9"/>
  <c r="H28" i="9" s="1"/>
  <c r="H29" i="9" s="1"/>
  <c r="H31" i="9" s="1"/>
  <c r="P24" i="10"/>
  <c r="P26" i="10" s="1"/>
  <c r="H30" i="10"/>
  <c r="H34" i="10" s="1"/>
  <c r="H35" i="10" s="1"/>
  <c r="J23" i="11"/>
  <c r="D21" i="3"/>
  <c r="D24" i="3" s="1"/>
  <c r="G20" i="4"/>
  <c r="G22" i="4" s="1"/>
  <c r="G33" i="4" s="1"/>
  <c r="E19" i="11"/>
  <c r="E20" i="11"/>
  <c r="E21" i="11"/>
  <c r="E22" i="11"/>
  <c r="E23" i="11"/>
  <c r="F28" i="1"/>
  <c r="F29" i="1" s="1"/>
  <c r="G34" i="1" s="1"/>
  <c r="L7" i="5"/>
  <c r="O9" i="11" l="1"/>
  <c r="O10" i="11"/>
  <c r="O12" i="11" s="1"/>
  <c r="O13" i="11" s="1"/>
  <c r="M15" i="4"/>
  <c r="M14" i="4"/>
  <c r="L11" i="5"/>
  <c r="L12" i="5" s="1"/>
  <c r="M12" i="5" s="1"/>
  <c r="M18" i="5" s="1"/>
  <c r="E45" i="6"/>
  <c r="F45" i="6" s="1"/>
  <c r="E28" i="6"/>
  <c r="E31" i="6"/>
  <c r="E64" i="6"/>
  <c r="F64" i="6" s="1"/>
  <c r="F65" i="6" s="1"/>
  <c r="F67" i="6" s="1"/>
  <c r="F23" i="11"/>
  <c r="K23" i="11" s="1"/>
  <c r="L23" i="11"/>
  <c r="G29" i="5"/>
  <c r="G35" i="5" s="1"/>
  <c r="F14" i="7"/>
  <c r="F22" i="11"/>
  <c r="K22" i="11" s="1"/>
  <c r="L22" i="11"/>
  <c r="K17" i="5"/>
  <c r="K18" i="5" s="1"/>
  <c r="K11" i="5"/>
  <c r="F66" i="6"/>
  <c r="F49" i="6"/>
  <c r="E24" i="4"/>
  <c r="F17" i="7"/>
  <c r="F20" i="11"/>
  <c r="K20" i="11" s="1"/>
  <c r="L20" i="11"/>
  <c r="F46" i="6"/>
  <c r="F47" i="6"/>
  <c r="G29" i="3"/>
  <c r="N11" i="2"/>
  <c r="N12" i="2" s="1"/>
  <c r="N13" i="2" s="1"/>
  <c r="N18" i="2" s="1"/>
  <c r="N20" i="2" s="1"/>
  <c r="O9" i="2"/>
  <c r="O11" i="2" s="1"/>
  <c r="O13" i="2" s="1"/>
  <c r="O18" i="2" s="1"/>
  <c r="N10" i="1"/>
  <c r="N12" i="1" s="1"/>
  <c r="N14" i="1" s="1"/>
  <c r="O9" i="1"/>
  <c r="O10" i="1" s="1"/>
  <c r="O12" i="1" s="1"/>
  <c r="O14" i="1" s="1"/>
  <c r="F58" i="6"/>
  <c r="F57" i="6"/>
  <c r="D57" i="6" s="1"/>
  <c r="I14" i="6"/>
  <c r="L13" i="6"/>
  <c r="L16" i="6"/>
  <c r="K21" i="11"/>
  <c r="L21" i="11"/>
  <c r="I25" i="9"/>
  <c r="I28" i="9" s="1"/>
  <c r="I29" i="9" s="1"/>
  <c r="I31" i="9" s="1"/>
  <c r="F19" i="11"/>
  <c r="K19" i="11" s="1"/>
  <c r="L19" i="11"/>
  <c r="F41" i="6"/>
  <c r="F48" i="6" l="1"/>
  <c r="F50" i="6" s="1"/>
</calcChain>
</file>

<file path=xl/sharedStrings.xml><?xml version="1.0" encoding="utf-8"?>
<sst xmlns="http://schemas.openxmlformats.org/spreadsheetml/2006/main" count="512" uniqueCount="280">
  <si>
    <t>Excel Applications in Decision Making (Problems taken from Management Accounting Book by Prof. Surender Singh Edition 2024)</t>
  </si>
  <si>
    <t>PRICING  DECISIONS</t>
  </si>
  <si>
    <t>Alternate Solution</t>
  </si>
  <si>
    <t>By Using Goal Seek</t>
  </si>
  <si>
    <t>Proposal to reduce SP</t>
  </si>
  <si>
    <t>Proposed</t>
  </si>
  <si>
    <r>
      <rPr>
        <sz val="11"/>
        <color rgb="FFC00000"/>
        <rFont val="Calibri"/>
        <family val="2"/>
      </rPr>
      <t>Problem 1(Example 1 Page 6.9).</t>
    </r>
    <r>
      <rPr>
        <sz val="11"/>
        <rFont val="Calibri"/>
        <family val="2"/>
      </rPr>
      <t xml:space="preserve"> SR Ltd. produces and sells a product. Due to severe competition, the company proposes to reduce the selling price. Following is the details of its current year’s operations:
Sales (30,000 units ×  100)                                                        Rs. 30,00,000 
Variable costs                                                                               Rs. 18,00,000
Fixed costs                                                                                     Rs.    7,00,000
Total cost                                                                                        Rs. 25,00,000
Profit                                                                                                Rs.   5,00,000
(i) Find out the increase in number of units to be sold if selling price is reduced by (a) 5% and (b) 10% while maintaining the existing level of profit.
(ii) If company decides to sell 48,000 units in the next year to out-place the competitors, find out theprice it should charge to continue to earn  the existing level of profit.
</t>
    </r>
  </si>
  <si>
    <t>Current</t>
  </si>
  <si>
    <t>by 5 percent</t>
  </si>
  <si>
    <t>by 10 percent</t>
  </si>
  <si>
    <t>Selling price</t>
  </si>
  <si>
    <t>Variable Cost</t>
  </si>
  <si>
    <t>Contribution</t>
  </si>
  <si>
    <t>Units</t>
  </si>
  <si>
    <t>Total Contribution</t>
  </si>
  <si>
    <t>Fixed Cost</t>
  </si>
  <si>
    <t>Profit</t>
  </si>
  <si>
    <t>Increase in Units</t>
  </si>
  <si>
    <t>Solution:</t>
  </si>
  <si>
    <t>Assumption: It is assumed that fixed cost will remain same during the next year also.</t>
  </si>
  <si>
    <t>Statement of Contribution and Profit</t>
  </si>
  <si>
    <t xml:space="preserve">(i) </t>
  </si>
  <si>
    <t>Existing</t>
  </si>
  <si>
    <t xml:space="preserve"> When selling price is reduced by</t>
  </si>
  <si>
    <t>No. of units sold</t>
  </si>
  <si>
    <t>?</t>
  </si>
  <si>
    <t xml:space="preserve">Per unit (Rs.) </t>
  </si>
  <si>
    <t xml:space="preserve">Total (Rs.) </t>
  </si>
  <si>
    <t>Per unit (Rs.)</t>
  </si>
  <si>
    <t>Sales</t>
  </si>
  <si>
    <t>Less: Variable cost</t>
  </si>
  <si>
    <t>Less: Fixed cost</t>
  </si>
  <si>
    <r>
      <rPr>
        <sz val="10"/>
        <color rgb="FF000000"/>
        <rFont val="Times New Roman"/>
        <family val="1"/>
      </rPr>
      <t>(a)</t>
    </r>
    <r>
      <rPr>
        <sz val="7"/>
        <color rgb="FF000000"/>
        <rFont val="Times New Roman"/>
        <family val="1"/>
      </rPr>
      <t xml:space="preserve">        </t>
    </r>
  </si>
  <si>
    <t>When selling price is reduced by 5%</t>
  </si>
  <si>
    <t>Required Sales (units)</t>
  </si>
  <si>
    <t>(FC+DP)/Cp.u</t>
  </si>
  <si>
    <t>or say</t>
  </si>
  <si>
    <t>Increase in units</t>
  </si>
  <si>
    <t>(b)</t>
  </si>
  <si>
    <t>When selling price is reduced by 10%</t>
  </si>
  <si>
    <t>Required Sales (units)=</t>
  </si>
  <si>
    <t>Increase in units =</t>
  </si>
  <si>
    <t>(ii)</t>
  </si>
  <si>
    <t>Required contribution  = .</t>
  </si>
  <si>
    <t>Sales (units) × Cp.u</t>
  </si>
  <si>
    <t>Cp.u. =</t>
  </si>
  <si>
    <t>Required contribution/ Sales (units)  .</t>
  </si>
  <si>
    <t>Selling Price(Rs.) =</t>
  </si>
  <si>
    <t>Cp.u.+VCp.u</t>
  </si>
  <si>
    <t xml:space="preserve">Problem2 : (Example 2 Page 6.10) A toy manufacturer earns an average net profit of   30 per unit in a selling price of   150 by producing and selling 60,000 units at 60% of its capacity. The composition of his cost of sales is as follows:
                                                                                                                                             Rs.
Direct material                                                                                                              40 
Direct wages                                                                                                                   10 
Works overheads                                                                                                          50 (50% Fixed)
Sales overheads                                                                                                            20  (25% Variable)
During the current year, he intends to produce the same number but anticipates that :
(i) The fixed charges will go up by 10%.
(ii) Rates of labour will increase by 20%.
(iii) Rates of direct materials will increase by 5%.
(iv) Selling price cannot be increased.
Under these circumstances he obtains an order for a further 20% of his capacity. What minimum price will you recommend for accepting the order so as to ensure the manufacturer earn an overall profit of Rs. 17,40,000
</t>
  </si>
  <si>
    <t>Alternate Solution by Goal Seek</t>
  </si>
  <si>
    <t>Year</t>
  </si>
  <si>
    <t>Last Year</t>
  </si>
  <si>
    <t>Current Year</t>
  </si>
  <si>
    <t>Capacity</t>
  </si>
  <si>
    <t>No. of Units</t>
  </si>
  <si>
    <t>Selling Price</t>
  </si>
  <si>
    <t>Goal Seek</t>
  </si>
  <si>
    <t>Direct Materials</t>
  </si>
  <si>
    <t>Direct labour</t>
  </si>
  <si>
    <t>Works overheads</t>
  </si>
  <si>
    <t xml:space="preserve"> Sales overhead</t>
  </si>
  <si>
    <t>Variable Cost p.u.</t>
  </si>
  <si>
    <t>Contribution p.u.</t>
  </si>
  <si>
    <t xml:space="preserve">Total Contribution </t>
  </si>
  <si>
    <t>Fixed Cost:</t>
  </si>
  <si>
    <t>Statement of Contribution and Profit (without Special Offer)</t>
  </si>
  <si>
    <t>Total Fixed Overhead</t>
  </si>
  <si>
    <t>Desired Profit</t>
  </si>
  <si>
    <t>Remaining Profit</t>
  </si>
  <si>
    <t>Variable Cost p.u.:</t>
  </si>
  <si>
    <t>Calculation of additional contribution / profit to be earned from special offer :</t>
  </si>
  <si>
    <t>Less: Estimated Profit</t>
  </si>
  <si>
    <t>Additional Profit to be earned from special offer</t>
  </si>
  <si>
    <t>Additional Units</t>
  </si>
  <si>
    <t>Additional Cp.u. =</t>
  </si>
  <si>
    <t>Additional contribution/ Sales (units)  .</t>
  </si>
  <si>
    <t>Recommended Selling Price(Rs.) =</t>
  </si>
  <si>
    <t xml:space="preserve">P3. (Illustration 5. Page 6.38) (Pricing Decision)  A manufacturing company has an installed capacity of 1,20,000 units per annum. The cost structure of the product is given below:
Variable cost (per unit):  
                          Material :                                                                                          Rs. 8
                          Labour (subject to a minimum of   56,000 per month) : Rs.8
                          Overheads :                                                                                     Rs. 3
                          Fixed overheads :                                                                          Rs.1,68,750 per annum.
                          Semi-variable overheads :     Rs.48,000 per annum at 60% capacity, which
increase by   6,000 per annum for every 10% increase in the capacity utilisation or any part thereof for the year as a whole.
The capacity utilisation for next year is estimated at 60% for first 2 months; 75% for next 6 months and 80% for the remaining part of the year. If the company is planning to have a profit of 25% on the selling price, then calculate the selling price per unit for the year under consideration.
Assume that there is no opening or closing stock.                                                
</t>
  </si>
  <si>
    <t>Statement of Cost of Production and Profit</t>
  </si>
  <si>
    <t>Month</t>
  </si>
  <si>
    <t>Ist 2 months</t>
  </si>
  <si>
    <t>Next 6 months</t>
  </si>
  <si>
    <t>Last 4 months</t>
  </si>
  <si>
    <t>For Whole Year</t>
  </si>
  <si>
    <t>Production/Sales (units)</t>
  </si>
  <si>
    <t>Material</t>
  </si>
  <si>
    <t>Labour</t>
  </si>
  <si>
    <t>Variable Overheads</t>
  </si>
  <si>
    <t>Total Variable Cost</t>
  </si>
  <si>
    <t>Semi-Variable Cost</t>
  </si>
  <si>
    <t>Total Cost</t>
  </si>
  <si>
    <t>Add: Profit (1/3 of cost)</t>
  </si>
  <si>
    <r>
      <rPr>
        <sz val="11"/>
        <color rgb="FFFF0000"/>
        <rFont val="Calibri"/>
        <family val="2"/>
      </rPr>
      <t xml:space="preserve">Problem 4. (Illustration 6. Page 6.39) </t>
    </r>
    <r>
      <rPr>
        <sz val="11"/>
        <rFont val="Calibri"/>
        <family val="2"/>
      </rPr>
      <t xml:space="preserve">Modern Sports Ltd. has for the past several years produced boxing gloves which are sold at Rs.28 per pair. Higher costs in recent years have made management to consider about the adequacy of this selling price.
The labour rate was increased from  Rs.1.75 per hour to Rs. 2.25 per hour and the cost of leather has gone up from Rs.1.10 to  Rs.2.15 per square foot during the last five years. Fixed expenses have increased 25% from the level of Rs.18,000 five years ago. Over the same period variable overhead has increased 30%, or  Rs.3 per pair of gloves. Each glove requires 1.5 sq. ft. of leather and one hour of direct labour.
Calculate the selling price that the company has to charge under the new cost structure to break-even at the same number of units as five years ago.
</t>
    </r>
  </si>
  <si>
    <t>Present</t>
  </si>
  <si>
    <t>New</t>
  </si>
  <si>
    <t>Selling Price (Sp.u.)</t>
  </si>
  <si>
    <t>Direct Material</t>
  </si>
  <si>
    <t>Direct Labour</t>
  </si>
  <si>
    <t>Variable Cost per pair</t>
  </si>
  <si>
    <t>Contribution (Cp.u.)</t>
  </si>
  <si>
    <t>Statement of Marginal Cost (Per Pair of Boxing Glove)</t>
  </si>
  <si>
    <t>P/v ratio</t>
  </si>
  <si>
    <t>Particulars</t>
  </si>
  <si>
    <t>Five Years Ago (Rs.)</t>
  </si>
  <si>
    <t>Now (Rs.)</t>
  </si>
  <si>
    <t>P/V Ratio</t>
  </si>
  <si>
    <t>Cp.u./Sp.u.</t>
  </si>
  <si>
    <t>Fixed Cost (FC)</t>
  </si>
  <si>
    <t>BEP(units)</t>
  </si>
  <si>
    <t>FC/Cp.u.</t>
  </si>
  <si>
    <t>Or Say</t>
  </si>
  <si>
    <t>Calculation of Current Selling Price to break even at 1607 units</t>
  </si>
  <si>
    <t>FC/BEP(units)</t>
  </si>
  <si>
    <t>Recommended SP</t>
  </si>
  <si>
    <t>Cp.u.+VCp.u.</t>
  </si>
  <si>
    <t xml:space="preserve">P5. (Example 10. Page 6.27)ABC Ltd. is working at 75% of its capacity. The following are the details of its operations:
                                   Output (units)                                                             15,000
                                   Sales value                                                             Rs. 30,00,000
                                   Material cost                                                         Rs.    6,00,000
                                  Wages                                                                       Rs.    4,50,000
                                   Variable expenses                                             Rs.     3,00,000
                                  Semi-variable expenses                                   Rs.     1,50,000
                                 Fixed costs                                                               Rs.     7,50,000
The company has received an export order for 2,000 units at a much lower price of Rs. 120 per unit. The semi-variable expenses will increase byRs. 10,000 for additional production and sales. The export order will require a special packing cost of Rs. 10,000 to be incurred for its completion. Management wants to reject the offer because the export price is much below the domestic price. You are requested by the management to give your advice.
</t>
  </si>
  <si>
    <t>Domestic Sale</t>
  </si>
  <si>
    <t>Export Order</t>
  </si>
  <si>
    <t>Per Unit</t>
  </si>
  <si>
    <t>Total</t>
  </si>
  <si>
    <t>Sales(units)</t>
  </si>
  <si>
    <t>Selling Price(Rs.)</t>
  </si>
  <si>
    <t>Variable Cost:</t>
  </si>
  <si>
    <t xml:space="preserve">Material cost </t>
  </si>
  <si>
    <t xml:space="preserve">Wages </t>
  </si>
  <si>
    <t xml:space="preserve">Variable exps </t>
  </si>
  <si>
    <t xml:space="preserve">Semi-variable exps.(Variable) </t>
  </si>
  <si>
    <t xml:space="preserve">Semi-variable exps.(Fixed) </t>
  </si>
  <si>
    <t>Special Packing Cost</t>
  </si>
  <si>
    <t>Solution</t>
  </si>
  <si>
    <t>Statement of Marginal Cost, Contribution and Profit</t>
  </si>
  <si>
    <t>Total Fixed Cost</t>
  </si>
  <si>
    <t>Particu;lars</t>
  </si>
  <si>
    <t>Sales(Rs.)</t>
  </si>
  <si>
    <t>Cost p.u</t>
  </si>
  <si>
    <t>Export order Should be accepted as it increases overall contribution by Rs.50000 and Profit by Rs. 40000.</t>
  </si>
  <si>
    <t>Decision</t>
  </si>
  <si>
    <t>Yes</t>
  </si>
  <si>
    <t>Alternate Solution based on  SOLVER when Raw Material is Key Factor</t>
  </si>
  <si>
    <r>
      <rPr>
        <sz val="11"/>
        <rFont val="Calibri"/>
        <family val="2"/>
      </rPr>
      <t>P6. (Illustration 17</t>
    </r>
    <r>
      <rPr>
        <sz val="11"/>
        <color rgb="FFC00000"/>
        <rFont val="Calibri"/>
        <family val="2"/>
      </rPr>
      <t xml:space="preserve"> </t>
    </r>
    <r>
      <rPr>
        <b/>
        <sz val="11"/>
        <color rgb="FFC00000"/>
        <rFont val="Calibri"/>
        <family val="2"/>
      </rPr>
      <t>Modified.</t>
    </r>
    <r>
      <rPr>
        <b/>
        <sz val="11"/>
        <rFont val="Calibri"/>
        <family val="2"/>
      </rPr>
      <t xml:space="preserve"> </t>
    </r>
    <r>
      <rPr>
        <sz val="11"/>
        <rFont val="Calibri"/>
        <family val="2"/>
      </rPr>
      <t xml:space="preserve">Page 6.49) (Key Factor) JAL Ltd. can produce three different products from the same raw material using the same production facilities. The relevant details are as follows:
Particulars                                                                      X                              Y                       Z
Maximum market demand (units)                               6,000                     4,000                3,000
Selling price per unit (Rs. )                                             250                        200                  400
Raw material as % of sales value                                  80%                        60%                 75%
Labour cost per unit ( Rs.)                                                24                            40                   32
Overhead Rate is Rs.10 per hour of which 60% is fixed.  Raw material available is  @ Rs.20 per kg and labour hours @ Rs.16 per hour.
Required: Find out the Optimum Product Mix  and determine the Profit at the selected product Mix if a) Raw material is limted to 100000 kg, b) If Labour hours are limited to 18,400 hours.
</t>
    </r>
  </si>
  <si>
    <t>X</t>
  </si>
  <si>
    <t>Y</t>
  </si>
  <si>
    <t>Z</t>
  </si>
  <si>
    <t>MAXIMUM DEMAND</t>
  </si>
  <si>
    <t>Selling price (SP)</t>
  </si>
  <si>
    <t>Raw Material %</t>
  </si>
  <si>
    <t>Raw Material per unit (Rs.)</t>
  </si>
  <si>
    <t>Raw Material per unit (kg) @ Rs20</t>
  </si>
  <si>
    <t>Labour per unit (Rs.)</t>
  </si>
  <si>
    <t>Labour Hours per unit@ Rs 16</t>
  </si>
  <si>
    <t>Variable Overheads @ Rs 4 (10X0.4)</t>
  </si>
  <si>
    <t>Contribution per unit</t>
  </si>
  <si>
    <t>Statement of Contribution</t>
  </si>
  <si>
    <t>Fixed Ovrheads Cost</t>
  </si>
  <si>
    <t>Product</t>
  </si>
  <si>
    <t>Expected Demand (units)</t>
  </si>
  <si>
    <t>Raw material cost as % of Sales Value</t>
  </si>
  <si>
    <t xml:space="preserve">Rs. </t>
  </si>
  <si>
    <t>When Raw materal is Key Factor</t>
  </si>
  <si>
    <t>10X+6Y+15Z&lt;=100000</t>
  </si>
  <si>
    <t>LHV</t>
  </si>
  <si>
    <t>RHV</t>
  </si>
  <si>
    <t>Variable cost per unit:</t>
  </si>
  <si>
    <t>&lt;=</t>
  </si>
  <si>
    <t>Direct material  @Rs.20 p. kg.</t>
  </si>
  <si>
    <t>Direct labour  @ Rs 16 per hour</t>
  </si>
  <si>
    <t>Variable overheads</t>
  </si>
  <si>
    <t>Total variable cost per unit</t>
  </si>
  <si>
    <t>Material required p.u. (Kg.)</t>
  </si>
  <si>
    <t>Contribution per Kg. of  material</t>
  </si>
  <si>
    <t>Ranking (Contribution per Kg. of  material )</t>
  </si>
  <si>
    <t>III</t>
  </si>
  <si>
    <t>I</t>
  </si>
  <si>
    <t>II</t>
  </si>
  <si>
    <t>Labour hours required per unit  (Labour cost / Rs.16)</t>
  </si>
  <si>
    <t>Contribution per labour hour</t>
  </si>
  <si>
    <t>Ranking (based on contribution per labour hour)</t>
  </si>
  <si>
    <t xml:space="preserve">Fixed Cost </t>
  </si>
  <si>
    <t>(i)</t>
  </si>
  <si>
    <t xml:space="preserve"> When raw material is  key factor : Total raw material Available  = 1,00,000 kg. Optimum Product Mix will be</t>
  </si>
  <si>
    <t>Ranking of products( as per Contribution per Kg. of  material )</t>
  </si>
  <si>
    <t>Total material consumption (Kg.)</t>
  </si>
  <si>
    <t xml:space="preserve">Total </t>
  </si>
  <si>
    <t>Cp.u (Rs.)</t>
  </si>
  <si>
    <t>Total(Rs.)</t>
  </si>
  <si>
    <t>Less; Fixed Cost</t>
  </si>
  <si>
    <t xml:space="preserve"> When labour time is  key factor  Labour hours Available = 18,400; Optimum Product Mix will be:</t>
  </si>
  <si>
    <t>Ranking of products( as per Contribution per labour hour )</t>
  </si>
  <si>
    <t xml:space="preserve">Labour hours required p.u. </t>
  </si>
  <si>
    <t>Total labour hours consumed</t>
  </si>
  <si>
    <t>Alternate Solution based on  SOLVER when Labour hour is Key Factor</t>
  </si>
  <si>
    <t>When Labour hour is Key Factor</t>
  </si>
  <si>
    <t>1.5X+2.5Y+2Z&lt;=18400</t>
  </si>
  <si>
    <t xml:space="preserve">P7. (Illustration 34. Page6.69) (Export Order)  SM Ltd. has just received an export order for its product which will require use of 50% of the factory’s total capacity, which is estimated at 5,00,000 units.The condition of export order is that it has to be accepted in full only The factory is currently operating at 60% level to meet the demand of domestic market where sale price per unit is Rs. 6. The export offer is at   4.70 per unit, which is less than the total cost of current production per unit as follows:
 Direct Material Rs.2.00:                Direct Labour Rs.1.50;                 Variable Expenses Rs.0.50;    Fixed overhead Rs. 1.00;                         Total cost Rs.5.00
The company has the following options:
(i) Accept the export order and cut back domestic sales as necessary.
(ii) Remove the capacity constraint by installing necessary balancing equipment and also by workingovertime to meet both domestic and export demand. This decision will increase fixed overhead by Rs.20,000 and additional cost for overtime work will be for  Rs. 35,000.
You are required to prepare a statement of costs &amp; profits under each of above two options and advise the management suitably.
</t>
  </si>
  <si>
    <t>Statement of Contribution and Profit under Option(i) (Rs.)</t>
  </si>
  <si>
    <t>Less: Variable Cost</t>
  </si>
  <si>
    <t>Less: Fixed Cost</t>
  </si>
  <si>
    <t>Statement of Contribution and Profit under Option(ii) (Rs.)</t>
  </si>
  <si>
    <t>P8 (Illustration 35. Page 6.70)  (Export Order ) X Ltd. annually manufactures 10,000 units of a product at a cost of Rs. 4 per unit and sells these in the home market at a selling price ofRs. 4.25 per unit. In the next year, there is fall in demand in home market which can absorb 10,000 units only at price of Rs.3.72 per unit.             The total cost of 10,000 units is as follows:                                                                                   Materials                                 Rs.15,000
Wages                                      Rs. 11,000
Fixed overheads                   Rs.  8,000
Variable overheads             Rs.  6,000
The foreign market is explored and it is found that this market can consume 20,000 units of the product at a price of Rs. 3.55 per unit. (Assume that the company has sufficient plant capacity to produce additional output). It is also discovered that fixed overheads will increase by 10% for additional output above initial output of 10,000 units. Is it worthwhile to try to capture the foreign market? Give reasons</t>
  </si>
  <si>
    <t>Comparative Statement of Profitability</t>
  </si>
  <si>
    <t>Domestic</t>
  </si>
  <si>
    <t>Export</t>
  </si>
  <si>
    <t>Sales (units)</t>
  </si>
  <si>
    <t>Rs.</t>
  </si>
  <si>
    <t>Material Cost</t>
  </si>
  <si>
    <t>Labour Cost</t>
  </si>
  <si>
    <t>Recommendation: Yes, it is worthwhile to try to enter the foreign market as it will give a net profit of  Rs.6,200. Next year, this will help the firm to cover a loss of Rs. 2,800 from domestic market and  earn an overall  net profit of Rs.3,400 (Rs. 6,200 – Rs. 2,800).</t>
  </si>
  <si>
    <t>Alternate Solution:</t>
  </si>
  <si>
    <t xml:space="preserve">P9 .(Illustration 38. Page (Export Order Pricing using Differential Costing Approach) A company is at present working at 90 percent of its capacity and producing 13,500 units per annum. It operates a flexible budgetary control system. The following figures are obtained from its budget:
                                                                                                                                        90%(Rs.)                           100% (Rs.)
Sales                                                                                                                            15,00,000                           16,00,000
Fixed expenses                                                                                                         3,00,500                             3,00,6,00
Semi-fixed expenses                                                                                                 97,500                              1,00,500
Variable expenses                                                                                                   1,45,000                              1,49,500
Units made                                                                                                                      13,500                                 15,000
 Labour and material cost per unit are constant under present conditions. Profit margin is 10 percent.
(a) You are required to determine the differential cost of producing 1,500 units by increasing capacity to100 percent.
(b) What would you recommend for an export price for these 1,500 units taking into account the overseasprices are much lower than indigenous prices?
</t>
  </si>
  <si>
    <t>Segregation of Semi Fixed Expenses</t>
  </si>
  <si>
    <t>per unit</t>
  </si>
  <si>
    <t>Semi Fix</t>
  </si>
  <si>
    <t>Variable component</t>
  </si>
  <si>
    <t>Fixed Component</t>
  </si>
  <si>
    <t>Segregation of Variable Expenses</t>
  </si>
  <si>
    <t>Segregation of Fixed Expenses</t>
  </si>
  <si>
    <t>Working:           Computation of Material and Labour Cost using information at 90% Capacity</t>
  </si>
  <si>
    <t>Less Profit</t>
  </si>
  <si>
    <t>Less: All cost other than material &amp; Labour</t>
  </si>
  <si>
    <t>Fixed Expenses</t>
  </si>
  <si>
    <t>Material and Labour Cost per unit</t>
  </si>
  <si>
    <t>Semi-fixed expenses</t>
  </si>
  <si>
    <t>Variable expenses</t>
  </si>
  <si>
    <t>Total Variable Cost per unit</t>
  </si>
  <si>
    <t>Material &amp; Labour</t>
  </si>
  <si>
    <t>Minimum Price to be quoted</t>
  </si>
  <si>
    <t xml:space="preserve"> Statement Showing Differential Cost of 1,500 Units</t>
  </si>
  <si>
    <t>Differential Cost</t>
  </si>
  <si>
    <t>Minimum Export Price</t>
  </si>
  <si>
    <t>Total Capacity</t>
  </si>
  <si>
    <t xml:space="preserve">P10. (Illustration 46.Page 6.82) (Differential Costing)  A company has a capacity of producing 50,000 units of a product in a month. The sales department reports that the following schedule of selling prices is possible:
Volume of sales (% capacity)                                                          Selling price per unit
50%                                                                                                                          2.00
60%                                                                                                                          1.90
70%                                                                                                                          1.85
80%                                                                                                                          1.80
90%                                                                                                                          1.70
100%                                                                                                                        1.60
Total fixed cost at 100% capacity is Rs.20,000 per month and variable cost per unit is Rs.1 per unit.
Prepare a statement showing total and differential costs.
</t>
  </si>
  <si>
    <t>Less: VC</t>
  </si>
  <si>
    <t>Less: FC</t>
  </si>
  <si>
    <t>BEP in Units</t>
  </si>
  <si>
    <t>BE Sales</t>
  </si>
  <si>
    <t>M/S</t>
  </si>
  <si>
    <t xml:space="preserve">       Statement of Incremental Revenue (IR), Differential Cost (DC) and Incremental Profit (IP)</t>
  </si>
  <si>
    <t>Capacity(%)</t>
  </si>
  <si>
    <t>Output(units)</t>
  </si>
  <si>
    <t>SP(Rs.)</t>
  </si>
  <si>
    <t>IR (Rs.)</t>
  </si>
  <si>
    <t>VC(Rs.)</t>
  </si>
  <si>
    <t>FC(Rs.)</t>
  </si>
  <si>
    <t>TC(Rs.)</t>
  </si>
  <si>
    <t>DC(Rs.)</t>
  </si>
  <si>
    <t>IP(Rs.)</t>
  </si>
  <si>
    <t>profit</t>
  </si>
  <si>
    <t>Scenario Summary</t>
  </si>
  <si>
    <t>Current Values:</t>
  </si>
  <si>
    <t>50 percent</t>
  </si>
  <si>
    <t>60 percent</t>
  </si>
  <si>
    <t>70 percent</t>
  </si>
  <si>
    <t>80 percent</t>
  </si>
  <si>
    <t>90 percent</t>
  </si>
  <si>
    <t>100 percent</t>
  </si>
  <si>
    <t>Created by Author on 02/10/2024
Modified by Author on 02/10/2024
Modified by Author on 02/10/2024
Modified by Author on 02/10/2024
Modified by Author on 03/10/2024</t>
  </si>
  <si>
    <t>Created by Author on 02/10/2024</t>
  </si>
  <si>
    <t>Changing Cells:</t>
  </si>
  <si>
    <t>Selling_Price</t>
  </si>
  <si>
    <t>Result Cells:</t>
  </si>
  <si>
    <t>Total_Capacity</t>
  </si>
  <si>
    <t>Less_VC</t>
  </si>
  <si>
    <t>Total_Contribution</t>
  </si>
  <si>
    <t>Less_FC</t>
  </si>
  <si>
    <t>PV_Ratio</t>
  </si>
  <si>
    <t>BEP</t>
  </si>
  <si>
    <t>BE_Sales</t>
  </si>
  <si>
    <t>Margin_of_Safety</t>
  </si>
  <si>
    <t>Notes: Current Values column represents values of changing cells at</t>
  </si>
  <si>
    <t>time Scenario Summary Report was created.  Changing cells for each</t>
  </si>
  <si>
    <t>scenario are highlighted in grey.</t>
  </si>
  <si>
    <t>Simple Differential</t>
  </si>
  <si>
    <t>SP ranges between 15 to 50</t>
  </si>
  <si>
    <t>VC is 40percent of SP</t>
  </si>
  <si>
    <t>Sales may range between 10000 to 30000 units</t>
  </si>
  <si>
    <t>$O$2</t>
  </si>
  <si>
    <t>$O$4</t>
  </si>
  <si>
    <t>$O$13</t>
  </si>
  <si>
    <t>Created by Aabhas Basnet on 04/12/2024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</si>
</sst>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rgb="FF000000"/>
      <name val="Calibri"/>
      <scheme val="minor"/>
    </font>
    <font>
      <b/>
      <sz val="14"/>
      <name val="Times New Roman"/>
      <family val="1"/>
    </font>
    <font>
      <sz val="11"/>
      <name val="Calibri"/>
      <family val="2"/>
    </font>
    <font>
      <sz val="14"/>
      <name val="Calibri"/>
      <family val="2"/>
    </font>
    <font>
      <b/>
      <sz val="11"/>
      <name val="Calibri"/>
      <family val="2"/>
    </font>
    <font>
      <sz val="11"/>
      <name val="Calibri"/>
      <family val="2"/>
    </font>
    <font>
      <sz val="10"/>
      <color rgb="FF000000"/>
      <name val="Times New Roman"/>
      <family val="1"/>
    </font>
    <font>
      <sz val="11"/>
      <color rgb="FF000000"/>
      <name val="Calibri"/>
      <family val="2"/>
    </font>
    <font>
      <sz val="11"/>
      <color rgb="FF000000"/>
      <name val="Times New Roman"/>
      <family val="1"/>
    </font>
    <font>
      <b/>
      <sz val="10"/>
      <color rgb="FF000000"/>
      <name val="Times New Roman"/>
      <family val="1"/>
    </font>
    <font>
      <sz val="12"/>
      <name val="Calibri"/>
      <family val="2"/>
    </font>
    <font>
      <b/>
      <sz val="12"/>
      <color rgb="FFFFFFFF"/>
      <name val="Calibri"/>
      <family val="2"/>
    </font>
    <font>
      <sz val="10"/>
      <color rgb="FFFFFFFF"/>
      <name val="Calibri"/>
      <family val="2"/>
    </font>
    <font>
      <b/>
      <sz val="11"/>
      <color rgb="FF000000"/>
      <name val="Calibri"/>
      <family val="2"/>
    </font>
    <font>
      <sz val="8"/>
      <name val="Calibri"/>
      <family val="2"/>
    </font>
    <font>
      <b/>
      <sz val="11"/>
      <color rgb="FF000080"/>
      <name val="Calibri"/>
      <family val="2"/>
    </font>
    <font>
      <sz val="16"/>
      <name val="Calibri"/>
      <family val="2"/>
    </font>
    <font>
      <sz val="11"/>
      <color rgb="FFC00000"/>
      <name val="Calibri"/>
      <family val="2"/>
    </font>
    <font>
      <sz val="7"/>
      <color rgb="FF000000"/>
      <name val="Times New Roman"/>
      <family val="1"/>
    </font>
    <font>
      <sz val="11"/>
      <color rgb="FFFF0000"/>
      <name val="Calibri"/>
      <family val="2"/>
    </font>
    <font>
      <b/>
      <sz val="11"/>
      <color rgb="FFC00000"/>
      <name val="Calibri"/>
      <family val="2"/>
    </font>
    <font>
      <sz val="11"/>
      <color rgb="FF000000"/>
      <name val="Calibri"/>
      <family val="2"/>
      <scheme val="minor"/>
    </font>
    <font>
      <b/>
      <sz val="12"/>
      <color indexed="9"/>
      <name val="Calibri"/>
      <family val="2"/>
      <scheme val="minor"/>
    </font>
    <font>
      <b/>
      <sz val="11"/>
      <color indexed="8"/>
      <name val="Calibri"/>
      <family val="2"/>
      <scheme val="minor"/>
    </font>
    <font>
      <b/>
      <sz val="11"/>
      <color indexed="18"/>
      <name val="Calibri"/>
      <family val="2"/>
      <scheme val="minor"/>
    </font>
    <font>
      <sz val="10"/>
      <color indexed="9"/>
      <name val="Calibri"/>
      <family val="2"/>
      <scheme val="minor"/>
    </font>
    <font>
      <sz val="8"/>
      <color rgb="FF000000"/>
      <name val="Calibri"/>
      <family val="2"/>
      <scheme val="minor"/>
    </font>
  </fonts>
  <fills count="14">
    <fill>
      <patternFill patternType="none"/>
    </fill>
    <fill>
      <patternFill patternType="gray125"/>
    </fill>
    <fill>
      <patternFill patternType="solid">
        <fgColor rgb="FF92D050"/>
        <bgColor rgb="FF92D050"/>
      </patternFill>
    </fill>
    <fill>
      <patternFill patternType="solid">
        <fgColor rgb="FFFF0000"/>
        <bgColor rgb="FFFF0000"/>
      </patternFill>
    </fill>
    <fill>
      <patternFill patternType="solid">
        <fgColor rgb="FFF7CAAC"/>
        <bgColor rgb="FFF7CAAC"/>
      </patternFill>
    </fill>
    <fill>
      <patternFill patternType="solid">
        <fgColor rgb="FFFFFF00"/>
        <bgColor rgb="FFFFFF00"/>
      </patternFill>
    </fill>
    <fill>
      <patternFill patternType="solid">
        <fgColor rgb="FFFFC000"/>
        <bgColor rgb="FFFFC000"/>
      </patternFill>
    </fill>
    <fill>
      <patternFill patternType="solid">
        <fgColor rgb="FFBDD6EE"/>
        <bgColor rgb="FFBDD6EE"/>
      </patternFill>
    </fill>
    <fill>
      <patternFill patternType="solid">
        <fgColor rgb="FFFBE4D5"/>
        <bgColor rgb="FFFBE4D5"/>
      </patternFill>
    </fill>
    <fill>
      <patternFill patternType="solid">
        <fgColor rgb="FF800080"/>
        <bgColor rgb="FF800080"/>
      </patternFill>
    </fill>
    <fill>
      <patternFill patternType="solid">
        <fgColor rgb="FFC0C0C0"/>
        <bgColor rgb="FFC0C0C0"/>
      </patternFill>
    </fill>
    <fill>
      <patternFill patternType="solid">
        <fgColor indexed="20"/>
        <bgColor indexed="24"/>
      </patternFill>
    </fill>
    <fill>
      <patternFill patternType="solid">
        <fgColor indexed="22"/>
        <bgColor indexed="24"/>
      </patternFill>
    </fill>
    <fill>
      <patternFill patternType="solid">
        <fgColor indexed="22"/>
        <bgColor indexed="64"/>
      </patternFill>
    </fill>
  </fills>
  <borders count="3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top/>
      <bottom/>
      <diagonal/>
    </border>
    <border>
      <left/>
      <right/>
      <top style="medium">
        <color rgb="FF000000"/>
      </top>
      <bottom/>
      <diagonal/>
    </border>
    <border>
      <left/>
      <right/>
      <top/>
      <bottom style="thin">
        <color rgb="FF000000"/>
      </bottom>
      <diagonal/>
    </border>
    <border>
      <left/>
      <right/>
      <top style="thin">
        <color rgb="FF000000"/>
      </top>
      <bottom style="thin">
        <color rgb="FF000000"/>
      </bottom>
      <diagonal/>
    </border>
    <border>
      <left/>
      <right/>
      <top/>
      <bottom style="medium">
        <color rgb="FF000000"/>
      </bottom>
      <diagonal/>
    </border>
    <border>
      <left/>
      <right/>
      <top/>
      <bottom style="medium">
        <color rgb="FF000000"/>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54">
    <xf numFmtId="0" fontId="0" fillId="0" borderId="0" xfId="0"/>
    <xf numFmtId="0" fontId="4" fillId="0" borderId="13" xfId="0" applyFont="1" applyBorder="1"/>
    <xf numFmtId="0" fontId="5" fillId="0" borderId="13" xfId="0" applyFont="1" applyBorder="1"/>
    <xf numFmtId="0" fontId="5" fillId="5" borderId="13" xfId="0" applyFont="1" applyFill="1" applyBorder="1"/>
    <xf numFmtId="0" fontId="6" fillId="0" borderId="0" xfId="0" applyFont="1" applyAlignment="1">
      <alignment horizontal="center" vertical="center"/>
    </xf>
    <xf numFmtId="0" fontId="5" fillId="0" borderId="0" xfId="0" applyFont="1" applyAlignment="1">
      <alignment horizontal="center" vertical="center"/>
    </xf>
    <xf numFmtId="0" fontId="7" fillId="0" borderId="13" xfId="0" applyFont="1" applyBorder="1" applyAlignment="1">
      <alignment vertical="center" wrapText="1"/>
    </xf>
    <xf numFmtId="0" fontId="5" fillId="0" borderId="0" xfId="0" applyFont="1" applyAlignment="1">
      <alignment horizontal="center"/>
    </xf>
    <xf numFmtId="0" fontId="6" fillId="0" borderId="13" xfId="0" applyFont="1" applyBorder="1" applyAlignment="1">
      <alignment vertical="center" wrapText="1"/>
    </xf>
    <xf numFmtId="9" fontId="6" fillId="0" borderId="13" xfId="0" applyNumberFormat="1" applyFont="1" applyBorder="1" applyAlignment="1">
      <alignment horizontal="center" vertical="center" wrapText="1"/>
    </xf>
    <xf numFmtId="0" fontId="6" fillId="0" borderId="13" xfId="0" applyFont="1" applyBorder="1" applyAlignment="1">
      <alignment horizontal="center" vertical="center" wrapText="1"/>
    </xf>
    <xf numFmtId="0" fontId="6" fillId="0" borderId="13" xfId="0" applyFont="1" applyBorder="1" applyAlignment="1">
      <alignment horizontal="left" vertical="center" wrapText="1"/>
    </xf>
    <xf numFmtId="0" fontId="6" fillId="0" borderId="13" xfId="0" applyFont="1" applyBorder="1" applyAlignment="1">
      <alignment horizontal="right" vertical="center" wrapText="1"/>
    </xf>
    <xf numFmtId="0" fontId="6" fillId="0" borderId="13" xfId="0" applyFont="1" applyBorder="1" applyAlignment="1">
      <alignment horizontal="center" vertical="center"/>
    </xf>
    <xf numFmtId="0" fontId="7" fillId="0" borderId="13" xfId="0" applyFont="1" applyBorder="1" applyAlignment="1">
      <alignment horizontal="center" vertical="center" wrapText="1"/>
    </xf>
    <xf numFmtId="0" fontId="6" fillId="0" borderId="13" xfId="0" applyFont="1" applyBorder="1" applyAlignment="1">
      <alignment horizontal="left" vertical="top" wrapText="1"/>
    </xf>
    <xf numFmtId="0" fontId="7" fillId="0" borderId="13" xfId="0" applyFont="1" applyBorder="1" applyAlignment="1">
      <alignment horizontal="center" vertical="top" wrapText="1"/>
    </xf>
    <xf numFmtId="0" fontId="6" fillId="0" borderId="13" xfId="0" applyFont="1" applyBorder="1" applyAlignment="1">
      <alignment horizontal="right" vertical="top" wrapText="1"/>
    </xf>
    <xf numFmtId="0" fontId="7" fillId="0" borderId="13" xfId="0" applyFont="1" applyBorder="1" applyAlignment="1">
      <alignment horizontal="center" vertical="top"/>
    </xf>
    <xf numFmtId="0" fontId="7" fillId="0" borderId="0" xfId="0" applyFont="1" applyAlignment="1">
      <alignment vertical="center" wrapText="1"/>
    </xf>
    <xf numFmtId="0" fontId="6" fillId="0" borderId="15" xfId="0" applyFont="1" applyBorder="1" applyAlignment="1">
      <alignment vertical="center" wrapText="1"/>
    </xf>
    <xf numFmtId="0" fontId="6" fillId="0" borderId="15" xfId="0" applyFont="1" applyBorder="1" applyAlignment="1">
      <alignment horizontal="left" vertical="center" wrapText="1"/>
    </xf>
    <xf numFmtId="0" fontId="7" fillId="0" borderId="15" xfId="0" applyFont="1" applyBorder="1" applyAlignment="1">
      <alignment vertical="center" wrapText="1"/>
    </xf>
    <xf numFmtId="0" fontId="6" fillId="0" borderId="0" xfId="0" applyFont="1" applyAlignment="1">
      <alignment horizontal="left" vertical="center"/>
    </xf>
    <xf numFmtId="3" fontId="5" fillId="0" borderId="0" xfId="0" applyNumberFormat="1" applyFont="1"/>
    <xf numFmtId="0" fontId="5" fillId="0" borderId="0" xfId="0" applyFont="1" applyAlignment="1">
      <alignment horizontal="left" vertical="top"/>
    </xf>
    <xf numFmtId="0" fontId="5" fillId="0" borderId="0" xfId="0" applyFont="1" applyAlignment="1">
      <alignment vertical="top"/>
    </xf>
    <xf numFmtId="0" fontId="8" fillId="0" borderId="0" xfId="0" applyFont="1" applyAlignment="1">
      <alignment vertical="center"/>
    </xf>
    <xf numFmtId="0" fontId="6" fillId="0" borderId="0" xfId="0" applyFont="1" applyAlignment="1">
      <alignment vertical="center"/>
    </xf>
    <xf numFmtId="0" fontId="5" fillId="6" borderId="13" xfId="0" applyFont="1" applyFill="1" applyBorder="1"/>
    <xf numFmtId="9" fontId="5" fillId="0" borderId="13" xfId="0" applyNumberFormat="1" applyFont="1" applyBorder="1"/>
    <xf numFmtId="0" fontId="4" fillId="7" borderId="13" xfId="0" applyFont="1" applyFill="1" applyBorder="1"/>
    <xf numFmtId="0" fontId="5" fillId="0" borderId="13" xfId="0" applyFont="1" applyBorder="1" applyAlignment="1">
      <alignment horizontal="left" vertical="top"/>
    </xf>
    <xf numFmtId="0" fontId="6" fillId="0" borderId="13" xfId="0" applyFont="1" applyBorder="1" applyAlignment="1">
      <alignment horizontal="left" vertical="top"/>
    </xf>
    <xf numFmtId="0" fontId="5" fillId="6" borderId="13" xfId="0" applyFont="1" applyFill="1" applyBorder="1" applyAlignment="1">
      <alignment horizontal="left" vertical="top"/>
    </xf>
    <xf numFmtId="0" fontId="5" fillId="2" borderId="13" xfId="0" applyFont="1" applyFill="1" applyBorder="1" applyAlignment="1">
      <alignment horizontal="left"/>
    </xf>
    <xf numFmtId="0" fontId="6" fillId="0" borderId="0" xfId="0" applyFont="1" applyAlignment="1">
      <alignment vertical="top"/>
    </xf>
    <xf numFmtId="0" fontId="5" fillId="0" borderId="13" xfId="0" applyFont="1" applyBorder="1" applyAlignment="1">
      <alignment horizontal="left"/>
    </xf>
    <xf numFmtId="0" fontId="5" fillId="6" borderId="13" xfId="0" applyFont="1" applyFill="1" applyBorder="1" applyAlignment="1">
      <alignment horizontal="left"/>
    </xf>
    <xf numFmtId="0" fontId="5" fillId="6" borderId="26" xfId="0" applyFont="1" applyFill="1" applyBorder="1"/>
    <xf numFmtId="9" fontId="5" fillId="0" borderId="0" xfId="0" applyNumberFormat="1" applyFont="1"/>
    <xf numFmtId="0" fontId="5" fillId="0" borderId="0" xfId="0" applyFont="1" applyAlignment="1">
      <alignment vertical="center" wrapText="1"/>
    </xf>
    <xf numFmtId="0" fontId="6" fillId="0" borderId="0" xfId="0" applyFont="1" applyAlignment="1">
      <alignment horizontal="left" vertical="top" wrapText="1"/>
    </xf>
    <xf numFmtId="0" fontId="5" fillId="0" borderId="0" xfId="0" applyFont="1" applyAlignment="1">
      <alignment horizontal="left"/>
    </xf>
    <xf numFmtId="0" fontId="5" fillId="0" borderId="0" xfId="0" applyFont="1"/>
    <xf numFmtId="0" fontId="6" fillId="6" borderId="26" xfId="0" applyFont="1" applyFill="1" applyBorder="1" applyAlignment="1">
      <alignment vertical="center"/>
    </xf>
    <xf numFmtId="0" fontId="8" fillId="6" borderId="26" xfId="0" applyFont="1" applyFill="1" applyBorder="1" applyAlignment="1">
      <alignment vertical="center"/>
    </xf>
    <xf numFmtId="0" fontId="5" fillId="2" borderId="26" xfId="0" applyFont="1" applyFill="1" applyBorder="1"/>
    <xf numFmtId="10" fontId="5" fillId="0" borderId="0" xfId="0" applyNumberFormat="1" applyFont="1"/>
    <xf numFmtId="0" fontId="5" fillId="0" borderId="20" xfId="0" applyFont="1" applyBorder="1"/>
    <xf numFmtId="0" fontId="4" fillId="0" borderId="0" xfId="0" applyFont="1"/>
    <xf numFmtId="0" fontId="5" fillId="0" borderId="0" xfId="0" applyFont="1" applyAlignment="1">
      <alignment horizontal="right"/>
    </xf>
    <xf numFmtId="0" fontId="5" fillId="2" borderId="13" xfId="0" applyFont="1" applyFill="1" applyBorder="1"/>
    <xf numFmtId="0" fontId="9" fillId="0" borderId="13" xfId="0" applyFont="1" applyBorder="1" applyAlignment="1">
      <alignment vertical="center" wrapText="1"/>
    </xf>
    <xf numFmtId="0" fontId="9" fillId="0" borderId="13" xfId="0" applyFont="1" applyBorder="1" applyAlignment="1">
      <alignment horizontal="left" vertical="top" wrapText="1"/>
    </xf>
    <xf numFmtId="0" fontId="7" fillId="0" borderId="13" xfId="0" applyFont="1" applyBorder="1"/>
    <xf numFmtId="0" fontId="4" fillId="0" borderId="0" xfId="0" applyFont="1" applyAlignment="1">
      <alignment horizontal="right"/>
    </xf>
    <xf numFmtId="0" fontId="9" fillId="0" borderId="0" xfId="0" applyFont="1" applyAlignment="1">
      <alignment vertical="center" wrapText="1"/>
    </xf>
    <xf numFmtId="0" fontId="9" fillId="0" borderId="0" xfId="0" applyFont="1" applyAlignment="1">
      <alignment horizontal="left" vertical="top" wrapText="1"/>
    </xf>
    <xf numFmtId="0" fontId="6" fillId="0" borderId="0" xfId="0" applyFont="1" applyAlignment="1">
      <alignment horizontal="left" vertical="center" wrapText="1"/>
    </xf>
    <xf numFmtId="0" fontId="6" fillId="0" borderId="0" xfId="0" applyFont="1" applyAlignment="1">
      <alignment horizontal="center" vertical="center" wrapText="1"/>
    </xf>
    <xf numFmtId="9" fontId="6" fillId="0" borderId="0" xfId="0" applyNumberFormat="1" applyFont="1" applyAlignment="1">
      <alignment horizontal="center" vertical="center" wrapText="1"/>
    </xf>
    <xf numFmtId="0" fontId="6" fillId="0" borderId="0" xfId="0" applyFont="1" applyAlignment="1">
      <alignment vertical="center" wrapText="1"/>
    </xf>
    <xf numFmtId="0" fontId="6" fillId="0" borderId="20" xfId="0" applyFont="1" applyBorder="1" applyAlignment="1">
      <alignment horizontal="center" wrapText="1"/>
    </xf>
    <xf numFmtId="0" fontId="6" fillId="0" borderId="0" xfId="0" applyFont="1" applyAlignment="1">
      <alignment horizontal="center" wrapText="1"/>
    </xf>
    <xf numFmtId="0" fontId="6" fillId="0" borderId="0" xfId="0" applyFont="1" applyAlignment="1">
      <alignment vertical="top" wrapText="1"/>
    </xf>
    <xf numFmtId="0" fontId="5" fillId="0" borderId="0" xfId="0" applyFont="1" applyAlignment="1">
      <alignment vertical="top" wrapText="1"/>
    </xf>
    <xf numFmtId="0" fontId="10" fillId="0" borderId="0" xfId="0" applyFont="1"/>
    <xf numFmtId="0" fontId="10" fillId="0" borderId="0" xfId="0" applyFont="1" applyAlignment="1">
      <alignment horizontal="right"/>
    </xf>
    <xf numFmtId="0" fontId="10" fillId="0" borderId="0" xfId="0" applyFont="1" applyAlignment="1">
      <alignment vertical="top"/>
    </xf>
    <xf numFmtId="0" fontId="10" fillId="0" borderId="0" xfId="0" applyFont="1" applyAlignment="1">
      <alignment horizontal="center"/>
    </xf>
    <xf numFmtId="0" fontId="5" fillId="0" borderId="20" xfId="0" applyFont="1" applyBorder="1" applyAlignment="1">
      <alignment horizontal="right"/>
    </xf>
    <xf numFmtId="0" fontId="4" fillId="7" borderId="26" xfId="0" applyFont="1" applyFill="1" applyBorder="1"/>
    <xf numFmtId="9" fontId="5" fillId="0" borderId="0" xfId="0" applyNumberFormat="1" applyFont="1" applyAlignment="1">
      <alignment horizontal="right"/>
    </xf>
    <xf numFmtId="9" fontId="5" fillId="5" borderId="26" xfId="0" applyNumberFormat="1" applyFont="1" applyFill="1" applyBorder="1" applyAlignment="1">
      <alignment horizontal="right"/>
    </xf>
    <xf numFmtId="0" fontId="5" fillId="5" borderId="26" xfId="0" applyFont="1" applyFill="1" applyBorder="1" applyAlignment="1">
      <alignment horizontal="right"/>
    </xf>
    <xf numFmtId="0" fontId="11" fillId="9" borderId="27" xfId="0" applyFont="1" applyFill="1" applyBorder="1" applyAlignment="1">
      <alignment horizontal="left"/>
    </xf>
    <xf numFmtId="0" fontId="12" fillId="9" borderId="27" xfId="0" applyFont="1" applyFill="1" applyBorder="1" applyAlignment="1">
      <alignment horizontal="right"/>
    </xf>
    <xf numFmtId="0" fontId="11" fillId="9" borderId="28" xfId="0" applyFont="1" applyFill="1" applyBorder="1" applyAlignment="1">
      <alignment horizontal="left"/>
    </xf>
    <xf numFmtId="0" fontId="12" fillId="9" borderId="28" xfId="0" applyFont="1" applyFill="1" applyBorder="1" applyAlignment="1">
      <alignment horizontal="right"/>
    </xf>
    <xf numFmtId="0" fontId="13" fillId="10" borderId="26" xfId="0" applyFont="1" applyFill="1" applyBorder="1" applyAlignment="1">
      <alignment horizontal="left"/>
    </xf>
    <xf numFmtId="0" fontId="14" fillId="0" borderId="0" xfId="0" applyFont="1" applyAlignment="1">
      <alignment vertical="top" wrapText="1"/>
    </xf>
    <xf numFmtId="0" fontId="15" fillId="10" borderId="29" xfId="0" applyFont="1" applyFill="1" applyBorder="1" applyAlignment="1">
      <alignment horizontal="left"/>
    </xf>
    <xf numFmtId="0" fontId="5" fillId="0" borderId="12" xfId="0" applyFont="1" applyBorder="1"/>
    <xf numFmtId="9" fontId="5" fillId="10" borderId="26" xfId="0" applyNumberFormat="1" applyFont="1" applyFill="1" applyBorder="1"/>
    <xf numFmtId="0" fontId="5" fillId="10" borderId="26" xfId="0" applyFont="1" applyFill="1" applyBorder="1"/>
    <xf numFmtId="0" fontId="13" fillId="10" borderId="30" xfId="0" applyFont="1" applyFill="1" applyBorder="1" applyAlignment="1">
      <alignment horizontal="left"/>
    </xf>
    <xf numFmtId="0" fontId="5" fillId="0" borderId="31" xfId="0" applyFont="1" applyBorder="1"/>
    <xf numFmtId="0" fontId="16" fillId="0" borderId="0" xfId="0" applyFont="1"/>
    <xf numFmtId="0" fontId="4" fillId="2" borderId="10" xfId="0" applyFont="1" applyFill="1" applyBorder="1" applyAlignment="1">
      <alignment horizontal="center"/>
    </xf>
    <xf numFmtId="0" fontId="2" fillId="0" borderId="12" xfId="0" applyFont="1" applyBorder="1"/>
    <xf numFmtId="0" fontId="2" fillId="0" borderId="11" xfId="0" applyFont="1" applyBorder="1"/>
    <xf numFmtId="0" fontId="1" fillId="2" borderId="1" xfId="0" applyFont="1" applyFill="1" applyBorder="1" applyAlignment="1">
      <alignment horizontal="left" vertical="top" wrapText="1"/>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3" fillId="3" borderId="7" xfId="0" applyFont="1" applyFill="1" applyBorder="1" applyAlignment="1">
      <alignment horizontal="left" vertical="top"/>
    </xf>
    <xf numFmtId="0" fontId="2" fillId="0" borderId="8" xfId="0" applyFont="1" applyBorder="1"/>
    <xf numFmtId="0" fontId="2" fillId="0" borderId="9" xfId="0" applyFont="1" applyBorder="1"/>
    <xf numFmtId="0" fontId="6" fillId="0" borderId="22" xfId="0" applyFont="1" applyBorder="1" applyAlignment="1">
      <alignment horizontal="center" vertical="center" wrapText="1"/>
    </xf>
    <xf numFmtId="0" fontId="2" fillId="0" borderId="23" xfId="0" applyFont="1" applyBorder="1"/>
    <xf numFmtId="0" fontId="5" fillId="2" borderId="10" xfId="0" applyFont="1" applyFill="1" applyBorder="1" applyAlignment="1">
      <alignment horizontal="center"/>
    </xf>
    <xf numFmtId="0" fontId="6" fillId="0" borderId="22" xfId="0" applyFont="1" applyBorder="1" applyAlignment="1">
      <alignment horizontal="left" vertical="center" wrapText="1"/>
    </xf>
    <xf numFmtId="0" fontId="7" fillId="0" borderId="22" xfId="0" applyFont="1" applyBorder="1" applyAlignment="1">
      <alignment vertical="center" wrapText="1"/>
    </xf>
    <xf numFmtId="0" fontId="6" fillId="0" borderId="10" xfId="0" applyFont="1" applyBorder="1" applyAlignment="1">
      <alignment wrapText="1"/>
    </xf>
    <xf numFmtId="0" fontId="5" fillId="4" borderId="14" xfId="0" applyFont="1" applyFill="1" applyBorder="1" applyAlignment="1">
      <alignment horizontal="left" vertical="top" wrapText="1"/>
    </xf>
    <xf numFmtId="0" fontId="2" fillId="0" borderId="15" xfId="0" applyFont="1" applyBorder="1"/>
    <xf numFmtId="0" fontId="2" fillId="0" borderId="16" xfId="0" applyFont="1" applyBorder="1"/>
    <xf numFmtId="0" fontId="2" fillId="0" borderId="17" xfId="0" applyFont="1" applyBorder="1"/>
    <xf numFmtId="0" fontId="0" fillId="0" borderId="0" xfId="0"/>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6" fillId="0" borderId="0" xfId="0" applyFont="1" applyAlignment="1">
      <alignment horizontal="left" vertical="top"/>
    </xf>
    <xf numFmtId="0" fontId="6" fillId="0" borderId="10" xfId="0" applyFont="1" applyBorder="1" applyAlignment="1">
      <alignment horizontal="center" vertical="center" wrapText="1"/>
    </xf>
    <xf numFmtId="0" fontId="4" fillId="0" borderId="10" xfId="0" applyFont="1" applyBorder="1" applyAlignment="1">
      <alignment horizontal="center"/>
    </xf>
    <xf numFmtId="3" fontId="6" fillId="0" borderId="10" xfId="0" applyNumberFormat="1" applyFont="1" applyBorder="1" applyAlignment="1">
      <alignment horizontal="center" vertical="center" wrapText="1"/>
    </xf>
    <xf numFmtId="0" fontId="6" fillId="2" borderId="7" xfId="0" applyFont="1" applyFill="1" applyBorder="1" applyAlignment="1">
      <alignment horizontal="center" vertical="top"/>
    </xf>
    <xf numFmtId="0" fontId="5" fillId="6" borderId="7" xfId="0" applyFont="1" applyFill="1" applyBorder="1" applyAlignment="1">
      <alignment horizontal="left"/>
    </xf>
    <xf numFmtId="0" fontId="5" fillId="0" borderId="0" xfId="0" applyFont="1" applyAlignment="1">
      <alignment horizontal="left" vertical="top"/>
    </xf>
    <xf numFmtId="0" fontId="6" fillId="0" borderId="0" xfId="0" applyFont="1" applyAlignment="1">
      <alignment horizontal="left" vertical="top" wrapText="1"/>
    </xf>
    <xf numFmtId="0" fontId="5" fillId="0" borderId="0" xfId="0" applyFont="1" applyAlignment="1">
      <alignment horizontal="left"/>
    </xf>
    <xf numFmtId="0" fontId="5" fillId="0" borderId="0" xfId="0" applyFont="1"/>
    <xf numFmtId="0" fontId="5" fillId="2" borderId="24" xfId="0" applyFont="1" applyFill="1" applyBorder="1" applyAlignment="1">
      <alignment horizontal="center"/>
    </xf>
    <xf numFmtId="0" fontId="2" fillId="0" borderId="25" xfId="0" applyFont="1" applyBorder="1"/>
    <xf numFmtId="0" fontId="5" fillId="6" borderId="7" xfId="0" applyFont="1" applyFill="1" applyBorder="1" applyAlignment="1">
      <alignment horizontal="left" vertical="top"/>
    </xf>
    <xf numFmtId="0" fontId="5" fillId="2" borderId="7" xfId="0" applyFont="1" applyFill="1" applyBorder="1" applyAlignment="1">
      <alignment horizontal="left"/>
    </xf>
    <xf numFmtId="0" fontId="5" fillId="2" borderId="7" xfId="0" applyFont="1" applyFill="1" applyBorder="1" applyAlignment="1">
      <alignment horizontal="center"/>
    </xf>
    <xf numFmtId="0" fontId="5" fillId="8" borderId="14" xfId="0" applyFont="1" applyFill="1" applyBorder="1" applyAlignment="1">
      <alignment horizontal="left" vertical="top" wrapText="1"/>
    </xf>
    <xf numFmtId="0" fontId="5" fillId="2" borderId="1" xfId="0" applyFont="1" applyFill="1" applyBorder="1" applyAlignment="1">
      <alignment horizontal="left" vertical="top" wrapText="1"/>
    </xf>
    <xf numFmtId="0" fontId="4" fillId="7" borderId="7" xfId="0" applyFont="1" applyFill="1" applyBorder="1" applyAlignment="1">
      <alignment horizontal="center"/>
    </xf>
    <xf numFmtId="0" fontId="5" fillId="2" borderId="14" xfId="0" applyFont="1" applyFill="1" applyBorder="1" applyAlignment="1">
      <alignment horizontal="left" vertical="top" wrapText="1"/>
    </xf>
    <xf numFmtId="0" fontId="4" fillId="7" borderId="10" xfId="0" applyFont="1" applyFill="1" applyBorder="1" applyAlignment="1">
      <alignment horizontal="center"/>
    </xf>
    <xf numFmtId="0" fontId="5" fillId="0" borderId="0" xfId="0" applyFont="1" applyAlignment="1">
      <alignment horizontal="center"/>
    </xf>
    <xf numFmtId="0" fontId="5" fillId="2" borderId="10" xfId="0" applyFont="1" applyFill="1" applyBorder="1" applyAlignment="1">
      <alignment horizontal="left"/>
    </xf>
    <xf numFmtId="0" fontId="5" fillId="5" borderId="10" xfId="0" applyFont="1" applyFill="1" applyBorder="1" applyAlignment="1">
      <alignment horizontal="center"/>
    </xf>
    <xf numFmtId="0" fontId="21" fillId="0" borderId="0" xfId="0" applyFont="1"/>
    <xf numFmtId="0" fontId="0" fillId="0" borderId="26" xfId="0" applyFill="1" applyBorder="1" applyAlignment="1"/>
    <xf numFmtId="9" fontId="0" fillId="0" borderId="26" xfId="0" applyNumberFormat="1" applyFill="1" applyBorder="1" applyAlignment="1"/>
    <xf numFmtId="0" fontId="0" fillId="0" borderId="33" xfId="0" applyFill="1" applyBorder="1" applyAlignment="1"/>
    <xf numFmtId="0" fontId="22" fillId="11" borderId="34" xfId="0" applyFont="1" applyFill="1" applyBorder="1" applyAlignment="1">
      <alignment horizontal="left"/>
    </xf>
    <xf numFmtId="0" fontId="22" fillId="11" borderId="32" xfId="0" applyFont="1" applyFill="1" applyBorder="1" applyAlignment="1">
      <alignment horizontal="left"/>
    </xf>
    <xf numFmtId="0" fontId="0" fillId="0" borderId="35" xfId="0" applyFill="1" applyBorder="1" applyAlignment="1"/>
    <xf numFmtId="0" fontId="23" fillId="12" borderId="26" xfId="0" applyFont="1" applyFill="1" applyBorder="1" applyAlignment="1">
      <alignment horizontal="left"/>
    </xf>
    <xf numFmtId="0" fontId="24" fillId="12" borderId="35" xfId="0" applyFont="1" applyFill="1" applyBorder="1" applyAlignment="1">
      <alignment horizontal="left"/>
    </xf>
    <xf numFmtId="0" fontId="23" fillId="12" borderId="33" xfId="0" applyFont="1" applyFill="1" applyBorder="1" applyAlignment="1">
      <alignment horizontal="left"/>
    </xf>
    <xf numFmtId="0" fontId="25" fillId="11" borderId="32" xfId="0" applyFont="1" applyFill="1" applyBorder="1" applyAlignment="1">
      <alignment horizontal="right"/>
    </xf>
    <xf numFmtId="0" fontId="25" fillId="11" borderId="34" xfId="0" applyFont="1" applyFill="1" applyBorder="1" applyAlignment="1">
      <alignment horizontal="right"/>
    </xf>
    <xf numFmtId="9" fontId="0" fillId="13" borderId="26" xfId="0" applyNumberFormat="1" applyFill="1" applyBorder="1" applyAlignment="1"/>
    <xf numFmtId="0" fontId="0" fillId="13" borderId="26" xfId="0" applyFill="1" applyBorder="1" applyAlignment="1"/>
    <xf numFmtId="0" fontId="26" fillId="0" borderId="26"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2</xdr:col>
      <xdr:colOff>228600</xdr:colOff>
      <xdr:row>2</xdr:row>
      <xdr:rowOff>76200</xdr:rowOff>
    </xdr:from>
    <xdr:ext cx="314325" cy="266700"/>
    <xdr:sp macro="" textlink="">
      <xdr:nvSpPr>
        <xdr:cNvPr id="29697" name="Spinner 1" hidden="1">
          <a:extLst>
            <a:ext uri="{FF2B5EF4-FFF2-40B4-BE49-F238E27FC236}">
              <a16:creationId xmlns:a16="http://schemas.microsoft.com/office/drawing/2014/main" id="{00000000-0008-0000-0C00-000001740000}"/>
            </a:ext>
          </a:extLst>
        </xdr:cNvPr>
        <xdr:cNvSpPr/>
      </xdr:nvSpPr>
      <xdr:spPr bwMode="auto">
        <a:xfrm>
          <a:off x="0" y="0"/>
          <a:ext cx="0" cy="0"/>
        </a:xfrm>
        <a:prstGeom prst="rect">
          <a:avLst/>
        </a:prstGeom>
        <a:noFill/>
        <a:ln w="9525">
          <a:miter lim="800000"/>
          <a:headEnd/>
          <a:tailEnd/>
        </a:ln>
      </xdr:spPr>
    </xdr:sp>
    <xdr:clientData fLocksWithSheet="0"/>
  </xdr:oneCellAnchor>
  <xdr:oneCellAnchor>
    <xdr:from>
      <xdr:col>2</xdr:col>
      <xdr:colOff>257175</xdr:colOff>
      <xdr:row>5</xdr:row>
      <xdr:rowOff>66675</xdr:rowOff>
    </xdr:from>
    <xdr:ext cx="361950" cy="476250"/>
    <xdr:sp macro="" textlink="">
      <xdr:nvSpPr>
        <xdr:cNvPr id="29699" name="Spinner 3" hidden="1">
          <a:extLst>
            <a:ext uri="{FF2B5EF4-FFF2-40B4-BE49-F238E27FC236}">
              <a16:creationId xmlns:a16="http://schemas.microsoft.com/office/drawing/2014/main" id="{00000000-0008-0000-0C00-000003740000}"/>
            </a:ext>
          </a:extLst>
        </xdr:cNvPr>
        <xdr:cNvSpPr/>
      </xdr:nvSpPr>
      <xdr:spPr bwMode="auto">
        <a:xfrm>
          <a:off x="0" y="0"/>
          <a:ext cx="0" cy="0"/>
        </a:xfrm>
        <a:prstGeom prst="rect">
          <a:avLst/>
        </a:prstGeom>
        <a:noFill/>
        <a:ln w="9525">
          <a:miter lim="800000"/>
          <a:headEnd/>
          <a:tailEnd/>
        </a:ln>
      </xdr:spPr>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100"/>
  <sheetViews>
    <sheetView workbookViewId="0">
      <selection activeCell="O9" sqref="O9"/>
    </sheetView>
  </sheetViews>
  <sheetFormatPr baseColWidth="10" defaultColWidth="14.5" defaultRowHeight="15" customHeight="1" x14ac:dyDescent="0.2"/>
  <cols>
    <col min="1" max="1" width="8.83203125" customWidth="1"/>
    <col min="2" max="2" width="6.6640625" customWidth="1"/>
    <col min="3" max="3" width="20.83203125" customWidth="1"/>
    <col min="4" max="4" width="13.33203125" customWidth="1"/>
    <col min="5" max="5" width="12.6640625" customWidth="1"/>
    <col min="6" max="6" width="12" customWidth="1"/>
    <col min="7" max="7" width="12.33203125" customWidth="1"/>
    <col min="8" max="10" width="8.83203125" customWidth="1"/>
    <col min="11" max="11" width="15.33203125" customWidth="1"/>
    <col min="12" max="12" width="8.83203125" customWidth="1"/>
    <col min="13" max="13" width="17.6640625" customWidth="1"/>
    <col min="14" max="14" width="15.33203125" customWidth="1"/>
    <col min="15" max="15" width="8.83203125" customWidth="1"/>
  </cols>
  <sheetData>
    <row r="2" spans="2:15" ht="15" customHeight="1" x14ac:dyDescent="0.2">
      <c r="B2" s="92" t="s">
        <v>0</v>
      </c>
      <c r="C2" s="93"/>
      <c r="D2" s="93"/>
      <c r="E2" s="93"/>
      <c r="F2" s="93"/>
      <c r="G2" s="93"/>
      <c r="H2" s="93"/>
      <c r="I2" s="93"/>
      <c r="J2" s="93"/>
      <c r="K2" s="94"/>
    </row>
    <row r="3" spans="2:15" ht="24" customHeight="1" x14ac:dyDescent="0.2">
      <c r="B3" s="95"/>
      <c r="C3" s="96"/>
      <c r="D3" s="96"/>
      <c r="E3" s="96"/>
      <c r="F3" s="96"/>
      <c r="G3" s="96"/>
      <c r="H3" s="96"/>
      <c r="I3" s="96"/>
      <c r="J3" s="96"/>
      <c r="K3" s="97"/>
    </row>
    <row r="5" spans="2:15" ht="19" x14ac:dyDescent="0.2">
      <c r="B5" s="98" t="s">
        <v>1</v>
      </c>
      <c r="C5" s="99"/>
      <c r="D5" s="100"/>
      <c r="K5" s="89" t="s">
        <v>2</v>
      </c>
      <c r="L5" s="91"/>
      <c r="M5" s="89" t="s">
        <v>3</v>
      </c>
      <c r="N5" s="90"/>
      <c r="O5" s="91"/>
    </row>
    <row r="6" spans="2:15" x14ac:dyDescent="0.2">
      <c r="K6" s="1"/>
      <c r="L6" s="1"/>
      <c r="M6" s="118" t="s">
        <v>4</v>
      </c>
      <c r="N6" s="91"/>
      <c r="O6" s="1" t="s">
        <v>5</v>
      </c>
    </row>
    <row r="7" spans="2:15" x14ac:dyDescent="0.2">
      <c r="B7" s="107" t="s">
        <v>6</v>
      </c>
      <c r="C7" s="108"/>
      <c r="D7" s="108"/>
      <c r="E7" s="108"/>
      <c r="F7" s="108"/>
      <c r="G7" s="108"/>
      <c r="H7" s="108"/>
      <c r="I7" s="109"/>
      <c r="K7" s="1"/>
      <c r="L7" s="1" t="s">
        <v>7</v>
      </c>
      <c r="M7" s="1" t="s">
        <v>8</v>
      </c>
      <c r="N7" s="1" t="s">
        <v>9</v>
      </c>
      <c r="O7" s="1"/>
    </row>
    <row r="8" spans="2:15" x14ac:dyDescent="0.2">
      <c r="B8" s="110"/>
      <c r="C8" s="111"/>
      <c r="D8" s="111"/>
      <c r="E8" s="111"/>
      <c r="F8" s="111"/>
      <c r="G8" s="111"/>
      <c r="H8" s="111"/>
      <c r="I8" s="112"/>
      <c r="K8" s="1" t="s">
        <v>10</v>
      </c>
      <c r="L8" s="2">
        <v>100</v>
      </c>
      <c r="M8" s="2">
        <f>L8*0.95</f>
        <v>95</v>
      </c>
      <c r="N8" s="2">
        <f>L8*0.9</f>
        <v>90</v>
      </c>
      <c r="O8" s="2">
        <v>100</v>
      </c>
    </row>
    <row r="9" spans="2:15" x14ac:dyDescent="0.2">
      <c r="B9" s="110"/>
      <c r="C9" s="111"/>
      <c r="D9" s="111"/>
      <c r="E9" s="111"/>
      <c r="F9" s="111"/>
      <c r="G9" s="111"/>
      <c r="H9" s="111"/>
      <c r="I9" s="112"/>
      <c r="K9" s="1" t="s">
        <v>11</v>
      </c>
      <c r="L9" s="2">
        <f>1800000/30000</f>
        <v>60</v>
      </c>
      <c r="M9" s="2">
        <f>L9</f>
        <v>60</v>
      </c>
      <c r="N9" s="2">
        <f>L9</f>
        <v>60</v>
      </c>
      <c r="O9" s="2">
        <f>N9</f>
        <v>60</v>
      </c>
    </row>
    <row r="10" spans="2:15" x14ac:dyDescent="0.2">
      <c r="B10" s="110"/>
      <c r="C10" s="111"/>
      <c r="D10" s="111"/>
      <c r="E10" s="111"/>
      <c r="F10" s="111"/>
      <c r="G10" s="111"/>
      <c r="H10" s="111"/>
      <c r="I10" s="112"/>
      <c r="K10" s="1" t="s">
        <v>12</v>
      </c>
      <c r="L10" s="2">
        <f t="shared" ref="L10:O10" si="0">L8-L9</f>
        <v>40</v>
      </c>
      <c r="M10" s="2">
        <f>M8-M9</f>
        <v>35</v>
      </c>
      <c r="N10" s="2">
        <f t="shared" si="0"/>
        <v>30</v>
      </c>
      <c r="O10" s="2">
        <f t="shared" si="0"/>
        <v>40</v>
      </c>
    </row>
    <row r="11" spans="2:15" x14ac:dyDescent="0.2">
      <c r="B11" s="110"/>
      <c r="C11" s="111"/>
      <c r="D11" s="111"/>
      <c r="E11" s="111"/>
      <c r="F11" s="111"/>
      <c r="G11" s="111"/>
      <c r="H11" s="111"/>
      <c r="I11" s="112"/>
      <c r="K11" s="1" t="s">
        <v>13</v>
      </c>
      <c r="L11" s="2">
        <v>30000</v>
      </c>
      <c r="M11" s="2">
        <v>34285.714285714283</v>
      </c>
      <c r="N11" s="2">
        <v>40000</v>
      </c>
      <c r="O11" s="2">
        <v>48000</v>
      </c>
    </row>
    <row r="12" spans="2:15" x14ac:dyDescent="0.2">
      <c r="B12" s="110"/>
      <c r="C12" s="111"/>
      <c r="D12" s="111"/>
      <c r="E12" s="111"/>
      <c r="F12" s="111"/>
      <c r="G12" s="111"/>
      <c r="H12" s="111"/>
      <c r="I12" s="112"/>
      <c r="K12" s="1" t="s">
        <v>14</v>
      </c>
      <c r="L12" s="2">
        <f t="shared" ref="L12:O12" si="1">L10*L11</f>
        <v>1200000</v>
      </c>
      <c r="M12" s="2">
        <f>M10*M11</f>
        <v>1200000</v>
      </c>
      <c r="N12" s="2">
        <f t="shared" si="1"/>
        <v>1200000</v>
      </c>
      <c r="O12" s="2">
        <f t="shared" si="1"/>
        <v>1920000</v>
      </c>
    </row>
    <row r="13" spans="2:15" x14ac:dyDescent="0.2">
      <c r="B13" s="110"/>
      <c r="C13" s="111"/>
      <c r="D13" s="111"/>
      <c r="E13" s="111"/>
      <c r="F13" s="111"/>
      <c r="G13" s="111"/>
      <c r="H13" s="111"/>
      <c r="I13" s="112"/>
      <c r="K13" s="1" t="s">
        <v>15</v>
      </c>
      <c r="L13" s="2">
        <v>700000</v>
      </c>
      <c r="M13" s="2">
        <v>700000</v>
      </c>
      <c r="N13" s="2">
        <v>700000</v>
      </c>
      <c r="O13" s="2">
        <f>N13</f>
        <v>700000</v>
      </c>
    </row>
    <row r="14" spans="2:15" x14ac:dyDescent="0.2">
      <c r="B14" s="110"/>
      <c r="C14" s="111"/>
      <c r="D14" s="111"/>
      <c r="E14" s="111"/>
      <c r="F14" s="111"/>
      <c r="G14" s="111"/>
      <c r="H14" s="111"/>
      <c r="I14" s="112"/>
      <c r="K14" s="1" t="s">
        <v>16</v>
      </c>
      <c r="L14" s="2">
        <f t="shared" ref="L14:O14" si="2">L12-L13</f>
        <v>500000</v>
      </c>
      <c r="M14" s="2">
        <f>M12-M13</f>
        <v>500000</v>
      </c>
      <c r="N14" s="2">
        <f t="shared" si="2"/>
        <v>500000</v>
      </c>
      <c r="O14" s="2">
        <f t="shared" si="2"/>
        <v>1220000</v>
      </c>
    </row>
    <row r="15" spans="2:15" x14ac:dyDescent="0.2">
      <c r="B15" s="110"/>
      <c r="C15" s="111"/>
      <c r="D15" s="111"/>
      <c r="E15" s="111"/>
      <c r="F15" s="111"/>
      <c r="G15" s="111"/>
      <c r="H15" s="111"/>
      <c r="I15" s="112"/>
      <c r="K15" s="1" t="s">
        <v>17</v>
      </c>
      <c r="L15" s="2"/>
      <c r="M15" s="2">
        <f>M11-L11</f>
        <v>4285.7142857142826</v>
      </c>
      <c r="N15" s="2">
        <f>N11-L11</f>
        <v>10000</v>
      </c>
      <c r="O15" s="2"/>
    </row>
    <row r="16" spans="2:15" x14ac:dyDescent="0.2">
      <c r="B16" s="110"/>
      <c r="C16" s="111"/>
      <c r="D16" s="111"/>
      <c r="E16" s="111"/>
      <c r="F16" s="111"/>
      <c r="G16" s="111"/>
      <c r="H16" s="111"/>
      <c r="I16" s="112"/>
    </row>
    <row r="17" spans="1:9" x14ac:dyDescent="0.2">
      <c r="B17" s="110"/>
      <c r="C17" s="111"/>
      <c r="D17" s="111"/>
      <c r="E17" s="111"/>
      <c r="F17" s="111"/>
      <c r="G17" s="111"/>
      <c r="H17" s="111"/>
      <c r="I17" s="112"/>
    </row>
    <row r="18" spans="1:9" x14ac:dyDescent="0.2">
      <c r="B18" s="113"/>
      <c r="C18" s="114"/>
      <c r="D18" s="114"/>
      <c r="E18" s="114"/>
      <c r="F18" s="114"/>
      <c r="G18" s="114"/>
      <c r="H18" s="114"/>
      <c r="I18" s="115"/>
    </row>
    <row r="19" spans="1:9" x14ac:dyDescent="0.2">
      <c r="A19" s="3" t="s">
        <v>18</v>
      </c>
    </row>
    <row r="20" spans="1:9" x14ac:dyDescent="0.2">
      <c r="B20" s="116" t="s">
        <v>19</v>
      </c>
      <c r="C20" s="111"/>
      <c r="D20" s="111"/>
      <c r="E20" s="111"/>
      <c r="F20" s="111"/>
      <c r="G20" s="111"/>
      <c r="H20" s="111"/>
      <c r="I20" s="111"/>
    </row>
    <row r="21" spans="1:9" ht="15.75" customHeight="1" x14ac:dyDescent="0.2">
      <c r="D21" s="4" t="s">
        <v>20</v>
      </c>
    </row>
    <row r="22" spans="1:9" ht="27" customHeight="1" x14ac:dyDescent="0.2">
      <c r="A22" s="5" t="s">
        <v>21</v>
      </c>
      <c r="B22" s="104"/>
      <c r="C22" s="6"/>
      <c r="D22" s="117" t="s">
        <v>22</v>
      </c>
      <c r="E22" s="91"/>
      <c r="F22" s="106" t="s">
        <v>23</v>
      </c>
      <c r="G22" s="91"/>
    </row>
    <row r="23" spans="1:9" ht="15.75" customHeight="1" x14ac:dyDescent="0.2">
      <c r="A23" s="7"/>
      <c r="B23" s="102"/>
      <c r="C23" s="8"/>
      <c r="D23" s="119"/>
      <c r="E23" s="91"/>
      <c r="F23" s="9">
        <v>0.05</v>
      </c>
      <c r="G23" s="9">
        <v>0.1</v>
      </c>
    </row>
    <row r="24" spans="1:9" ht="15.75" customHeight="1" x14ac:dyDescent="0.2">
      <c r="B24" s="6"/>
      <c r="C24" s="8" t="s">
        <v>24</v>
      </c>
      <c r="D24" s="119">
        <v>30000</v>
      </c>
      <c r="E24" s="91"/>
      <c r="F24" s="10" t="s">
        <v>25</v>
      </c>
      <c r="G24" s="10" t="s">
        <v>25</v>
      </c>
    </row>
    <row r="25" spans="1:9" ht="15.75" customHeight="1" x14ac:dyDescent="0.2">
      <c r="B25" s="105"/>
      <c r="C25" s="105"/>
      <c r="D25" s="101" t="s">
        <v>26</v>
      </c>
      <c r="E25" s="101" t="s">
        <v>27</v>
      </c>
      <c r="F25" s="101" t="s">
        <v>28</v>
      </c>
      <c r="G25" s="101" t="s">
        <v>28</v>
      </c>
    </row>
    <row r="26" spans="1:9" ht="15.75" customHeight="1" x14ac:dyDescent="0.2">
      <c r="B26" s="102"/>
      <c r="C26" s="102"/>
      <c r="D26" s="102"/>
      <c r="E26" s="102"/>
      <c r="F26" s="102"/>
      <c r="G26" s="102"/>
    </row>
    <row r="27" spans="1:9" ht="15.75" customHeight="1" x14ac:dyDescent="0.2">
      <c r="B27" s="6"/>
      <c r="C27" s="8" t="s">
        <v>29</v>
      </c>
      <c r="D27" s="11">
        <v>100</v>
      </c>
      <c r="E27" s="12">
        <v>3000000</v>
      </c>
      <c r="F27" s="13">
        <f>100*0.95</f>
        <v>95</v>
      </c>
      <c r="G27" s="14">
        <f>D27*0.9</f>
        <v>90</v>
      </c>
    </row>
    <row r="28" spans="1:9" ht="27" customHeight="1" x14ac:dyDescent="0.2">
      <c r="B28" s="105"/>
      <c r="C28" s="15" t="s">
        <v>30</v>
      </c>
      <c r="D28" s="16">
        <f>E28/D24</f>
        <v>60</v>
      </c>
      <c r="E28" s="17">
        <v>1800000</v>
      </c>
      <c r="F28" s="18">
        <f>D28</f>
        <v>60</v>
      </c>
      <c r="G28" s="16">
        <f>D28</f>
        <v>60</v>
      </c>
    </row>
    <row r="29" spans="1:9" ht="15.75" customHeight="1" x14ac:dyDescent="0.2">
      <c r="B29" s="102"/>
      <c r="C29" s="8" t="s">
        <v>12</v>
      </c>
      <c r="D29" s="16">
        <f t="shared" ref="D29:G29" si="3">D27-D28</f>
        <v>40</v>
      </c>
      <c r="E29" s="12">
        <f t="shared" si="3"/>
        <v>1200000</v>
      </c>
      <c r="F29" s="10">
        <f t="shared" si="3"/>
        <v>35</v>
      </c>
      <c r="G29" s="10">
        <f t="shared" si="3"/>
        <v>30</v>
      </c>
    </row>
    <row r="30" spans="1:9" ht="15.75" customHeight="1" x14ac:dyDescent="0.2">
      <c r="B30" s="105"/>
      <c r="C30" s="8" t="s">
        <v>31</v>
      </c>
      <c r="D30" s="104"/>
      <c r="E30" s="12">
        <v>700000</v>
      </c>
      <c r="F30" s="105"/>
      <c r="G30" s="105"/>
    </row>
    <row r="31" spans="1:9" ht="15.75" customHeight="1" x14ac:dyDescent="0.2">
      <c r="B31" s="102"/>
      <c r="C31" s="8" t="s">
        <v>16</v>
      </c>
      <c r="D31" s="102"/>
      <c r="E31" s="6">
        <f>E29-E30</f>
        <v>500000</v>
      </c>
      <c r="F31" s="102"/>
      <c r="G31" s="102"/>
    </row>
    <row r="32" spans="1:9" ht="15.75" customHeight="1" x14ac:dyDescent="0.2">
      <c r="B32" s="19"/>
      <c r="C32" s="20"/>
      <c r="D32" s="21"/>
      <c r="E32" s="22"/>
      <c r="F32" s="22"/>
      <c r="G32" s="22"/>
    </row>
    <row r="33" spans="1:8" ht="15.75" customHeight="1" x14ac:dyDescent="0.2">
      <c r="B33" s="23" t="s">
        <v>32</v>
      </c>
      <c r="C33" s="103" t="s">
        <v>33</v>
      </c>
      <c r="D33" s="90"/>
      <c r="E33" s="90"/>
      <c r="F33" s="90"/>
      <c r="G33" s="91"/>
    </row>
    <row r="34" spans="1:8" ht="15.75" customHeight="1" x14ac:dyDescent="0.2">
      <c r="C34" t="s">
        <v>34</v>
      </c>
      <c r="E34" t="s">
        <v>35</v>
      </c>
      <c r="G34">
        <f>E29/F29</f>
        <v>34285.714285714283</v>
      </c>
    </row>
    <row r="35" spans="1:8" ht="15.75" customHeight="1" x14ac:dyDescent="0.2">
      <c r="F35" t="s">
        <v>36</v>
      </c>
      <c r="G35">
        <f>34286</f>
        <v>34286</v>
      </c>
    </row>
    <row r="36" spans="1:8" ht="15.75" customHeight="1" x14ac:dyDescent="0.2">
      <c r="C36" t="s">
        <v>37</v>
      </c>
      <c r="G36" s="24">
        <f>G35-D24</f>
        <v>4286</v>
      </c>
    </row>
    <row r="37" spans="1:8" ht="15.75" customHeight="1" x14ac:dyDescent="0.2">
      <c r="B37" t="s">
        <v>38</v>
      </c>
      <c r="C37" s="103" t="s">
        <v>39</v>
      </c>
      <c r="D37" s="90"/>
      <c r="E37" s="90"/>
      <c r="F37" s="90"/>
      <c r="G37" s="91"/>
    </row>
    <row r="38" spans="1:8" ht="15.75" customHeight="1" x14ac:dyDescent="0.2">
      <c r="C38" t="s">
        <v>40</v>
      </c>
      <c r="E38" t="s">
        <v>35</v>
      </c>
      <c r="G38">
        <f>E29/G29</f>
        <v>40000</v>
      </c>
    </row>
    <row r="39" spans="1:8" ht="15.75" customHeight="1" x14ac:dyDescent="0.2">
      <c r="C39" t="s">
        <v>41</v>
      </c>
      <c r="G39" s="24">
        <f>G38-D24</f>
        <v>10000</v>
      </c>
    </row>
    <row r="40" spans="1:8" ht="15.75" customHeight="1" x14ac:dyDescent="0.2">
      <c r="A40" s="5" t="s">
        <v>42</v>
      </c>
      <c r="C40" s="23" t="s">
        <v>43</v>
      </c>
      <c r="E40" s="25" t="s">
        <v>44</v>
      </c>
    </row>
    <row r="41" spans="1:8" ht="15.75" customHeight="1" x14ac:dyDescent="0.2">
      <c r="C41" s="26" t="s">
        <v>45</v>
      </c>
      <c r="D41" s="27"/>
      <c r="E41" s="23" t="s">
        <v>46</v>
      </c>
      <c r="G41">
        <f>E29/48000</f>
        <v>25</v>
      </c>
    </row>
    <row r="42" spans="1:8" ht="15.75" customHeight="1" x14ac:dyDescent="0.2">
      <c r="C42" s="28" t="s">
        <v>47</v>
      </c>
      <c r="D42" s="28"/>
      <c r="E42" s="27" t="s">
        <v>48</v>
      </c>
      <c r="F42" s="28"/>
      <c r="G42">
        <f>G41+G28</f>
        <v>85</v>
      </c>
      <c r="H42" s="28"/>
    </row>
    <row r="43" spans="1:8" ht="15.75" customHeight="1" x14ac:dyDescent="0.2">
      <c r="D43" s="28"/>
      <c r="E43" s="28"/>
    </row>
    <row r="44" spans="1:8" ht="15.75" customHeight="1" x14ac:dyDescent="0.2"/>
    <row r="45" spans="1:8" ht="15.75" customHeight="1" x14ac:dyDescent="0.2"/>
    <row r="46" spans="1:8" ht="15.75" customHeight="1" x14ac:dyDescent="0.2"/>
    <row r="47" spans="1:8" ht="15.75" customHeight="1" x14ac:dyDescent="0.2"/>
    <row r="48" spans="1: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sheetData>
  <mergeCells count="25">
    <mergeCell ref="B30:B31"/>
    <mergeCell ref="M6:N6"/>
    <mergeCell ref="D24:E24"/>
    <mergeCell ref="B28:B29"/>
    <mergeCell ref="C25:C26"/>
    <mergeCell ref="D25:D26"/>
    <mergeCell ref="G25:G26"/>
    <mergeCell ref="D23:E23"/>
    <mergeCell ref="C37:G37"/>
    <mergeCell ref="C33:G33"/>
    <mergeCell ref="D30:D31"/>
    <mergeCell ref="F30:F31"/>
    <mergeCell ref="G30:G31"/>
    <mergeCell ref="M5:O5"/>
    <mergeCell ref="B2:K3"/>
    <mergeCell ref="B5:D5"/>
    <mergeCell ref="K5:L5"/>
    <mergeCell ref="E25:E26"/>
    <mergeCell ref="F25:F26"/>
    <mergeCell ref="F22:G22"/>
    <mergeCell ref="B7:I18"/>
    <mergeCell ref="B20:I20"/>
    <mergeCell ref="D22:E22"/>
    <mergeCell ref="B25:B26"/>
    <mergeCell ref="B22:B23"/>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00"/>
  <sheetViews>
    <sheetView workbookViewId="0">
      <selection activeCell="P9" sqref="P9"/>
    </sheetView>
  </sheetViews>
  <sheetFormatPr baseColWidth="10" defaultColWidth="14.5" defaultRowHeight="15" customHeight="1" x14ac:dyDescent="0.2"/>
  <cols>
    <col min="1" max="2" width="8.83203125" customWidth="1"/>
    <col min="3" max="3" width="20.33203125" customWidth="1"/>
    <col min="4" max="5" width="8.83203125" customWidth="1"/>
    <col min="6" max="6" width="10.1640625" customWidth="1"/>
    <col min="7" max="12" width="8.83203125" customWidth="1"/>
    <col min="13" max="13" width="33.33203125" customWidth="1"/>
    <col min="14" max="16" width="8.83203125" customWidth="1"/>
    <col min="17" max="17" width="21" customWidth="1"/>
  </cols>
  <sheetData>
    <row r="1" spans="2:17" x14ac:dyDescent="0.2">
      <c r="M1" s="47" t="s">
        <v>208</v>
      </c>
    </row>
    <row r="2" spans="2:17" x14ac:dyDescent="0.2">
      <c r="B2" s="131" t="s">
        <v>209</v>
      </c>
      <c r="C2" s="108"/>
      <c r="D2" s="108"/>
      <c r="E2" s="108"/>
      <c r="F2" s="108"/>
      <c r="G2" s="108"/>
      <c r="H2" s="108"/>
      <c r="I2" s="108"/>
      <c r="J2" s="108"/>
      <c r="K2" s="109"/>
      <c r="M2" t="s">
        <v>210</v>
      </c>
    </row>
    <row r="3" spans="2:17" x14ac:dyDescent="0.2">
      <c r="B3" s="110"/>
      <c r="C3" s="111"/>
      <c r="D3" s="111"/>
      <c r="E3" s="111"/>
      <c r="F3" s="111"/>
      <c r="G3" s="111"/>
      <c r="H3" s="111"/>
      <c r="I3" s="111"/>
      <c r="J3" s="111"/>
      <c r="K3" s="112"/>
      <c r="N3" s="40">
        <v>0.9</v>
      </c>
      <c r="O3" s="40">
        <v>1</v>
      </c>
      <c r="P3" t="s">
        <v>211</v>
      </c>
    </row>
    <row r="4" spans="2:17" x14ac:dyDescent="0.2">
      <c r="B4" s="110"/>
      <c r="C4" s="111"/>
      <c r="D4" s="111"/>
      <c r="E4" s="111"/>
      <c r="F4" s="111"/>
      <c r="G4" s="111"/>
      <c r="H4" s="111"/>
      <c r="I4" s="111"/>
      <c r="J4" s="111"/>
      <c r="K4" s="112"/>
      <c r="M4" t="s">
        <v>13</v>
      </c>
      <c r="N4">
        <v>13500</v>
      </c>
      <c r="O4">
        <v>15000</v>
      </c>
    </row>
    <row r="5" spans="2:17" x14ac:dyDescent="0.2">
      <c r="B5" s="110"/>
      <c r="C5" s="111"/>
      <c r="D5" s="111"/>
      <c r="E5" s="111"/>
      <c r="F5" s="111"/>
      <c r="G5" s="111"/>
      <c r="H5" s="111"/>
      <c r="I5" s="111"/>
      <c r="J5" s="111"/>
      <c r="K5" s="112"/>
      <c r="M5" t="s">
        <v>212</v>
      </c>
      <c r="N5">
        <v>97500</v>
      </c>
      <c r="O5">
        <v>100500</v>
      </c>
    </row>
    <row r="6" spans="2:17" x14ac:dyDescent="0.2">
      <c r="B6" s="110"/>
      <c r="C6" s="111"/>
      <c r="D6" s="111"/>
      <c r="E6" s="111"/>
      <c r="F6" s="111"/>
      <c r="G6" s="111"/>
      <c r="H6" s="111"/>
      <c r="I6" s="111"/>
      <c r="J6" s="111"/>
      <c r="K6" s="112"/>
      <c r="M6" t="s">
        <v>213</v>
      </c>
      <c r="P6">
        <f>SLOPE(N5:O5,N4:O4)</f>
        <v>2</v>
      </c>
      <c r="Q6" t="e">
        <f t="shared" ref="Q6:Q7" ca="1" si="0">_xludf.FORMULATEXT(P6)</f>
        <v>#NAME?</v>
      </c>
    </row>
    <row r="7" spans="2:17" x14ac:dyDescent="0.2">
      <c r="B7" s="110"/>
      <c r="C7" s="111"/>
      <c r="D7" s="111"/>
      <c r="E7" s="111"/>
      <c r="F7" s="111"/>
      <c r="G7" s="111"/>
      <c r="H7" s="111"/>
      <c r="I7" s="111"/>
      <c r="J7" s="111"/>
      <c r="K7" s="112"/>
      <c r="M7" t="s">
        <v>214</v>
      </c>
      <c r="P7">
        <f>INTERCEPT(N5:O5,N4:O4)</f>
        <v>70500</v>
      </c>
      <c r="Q7" t="e">
        <f t="shared" ca="1" si="0"/>
        <v>#NAME?</v>
      </c>
    </row>
    <row r="8" spans="2:17" x14ac:dyDescent="0.2">
      <c r="B8" s="110"/>
      <c r="C8" s="111"/>
      <c r="D8" s="111"/>
      <c r="E8" s="111"/>
      <c r="F8" s="111"/>
      <c r="G8" s="111"/>
      <c r="H8" s="111"/>
      <c r="I8" s="111"/>
      <c r="J8" s="111"/>
      <c r="K8" s="112"/>
    </row>
    <row r="9" spans="2:17" x14ac:dyDescent="0.2">
      <c r="B9" s="110"/>
      <c r="C9" s="111"/>
      <c r="D9" s="111"/>
      <c r="E9" s="111"/>
      <c r="F9" s="111"/>
      <c r="G9" s="111"/>
      <c r="H9" s="111"/>
      <c r="I9" s="111"/>
      <c r="J9" s="111"/>
      <c r="K9" s="112"/>
      <c r="M9" t="s">
        <v>215</v>
      </c>
      <c r="Q9" s="40"/>
    </row>
    <row r="10" spans="2:17" x14ac:dyDescent="0.2">
      <c r="B10" s="110"/>
      <c r="C10" s="111"/>
      <c r="D10" s="111"/>
      <c r="E10" s="111"/>
      <c r="F10" s="111"/>
      <c r="G10" s="111"/>
      <c r="H10" s="111"/>
      <c r="I10" s="111"/>
      <c r="J10" s="111"/>
      <c r="K10" s="112"/>
      <c r="N10" s="40">
        <v>0.9</v>
      </c>
      <c r="O10" s="40">
        <v>1</v>
      </c>
      <c r="P10" t="s">
        <v>211</v>
      </c>
    </row>
    <row r="11" spans="2:17" x14ac:dyDescent="0.2">
      <c r="B11" s="110"/>
      <c r="C11" s="111"/>
      <c r="D11" s="111"/>
      <c r="E11" s="111"/>
      <c r="F11" s="111"/>
      <c r="G11" s="111"/>
      <c r="H11" s="111"/>
      <c r="I11" s="111"/>
      <c r="J11" s="111"/>
      <c r="K11" s="112"/>
      <c r="M11" t="s">
        <v>13</v>
      </c>
      <c r="N11">
        <v>13500</v>
      </c>
      <c r="O11">
        <v>15000</v>
      </c>
    </row>
    <row r="12" spans="2:17" x14ac:dyDescent="0.2">
      <c r="B12" s="110"/>
      <c r="C12" s="111"/>
      <c r="D12" s="111"/>
      <c r="E12" s="111"/>
      <c r="F12" s="111"/>
      <c r="G12" s="111"/>
      <c r="H12" s="111"/>
      <c r="I12" s="111"/>
      <c r="J12" s="111"/>
      <c r="K12" s="112"/>
      <c r="M12" t="s">
        <v>212</v>
      </c>
      <c r="N12">
        <v>145000</v>
      </c>
      <c r="O12">
        <v>149500</v>
      </c>
    </row>
    <row r="13" spans="2:17" x14ac:dyDescent="0.2">
      <c r="B13" s="110"/>
      <c r="C13" s="111"/>
      <c r="D13" s="111"/>
      <c r="E13" s="111"/>
      <c r="F13" s="111"/>
      <c r="G13" s="111"/>
      <c r="H13" s="111"/>
      <c r="I13" s="111"/>
      <c r="J13" s="111"/>
      <c r="K13" s="112"/>
      <c r="M13" t="s">
        <v>213</v>
      </c>
      <c r="P13">
        <f>SLOPE(N12:O12,N11:O11)</f>
        <v>3</v>
      </c>
    </row>
    <row r="14" spans="2:17" x14ac:dyDescent="0.2">
      <c r="B14" s="110"/>
      <c r="C14" s="111"/>
      <c r="D14" s="111"/>
      <c r="E14" s="111"/>
      <c r="F14" s="111"/>
      <c r="G14" s="111"/>
      <c r="H14" s="111"/>
      <c r="I14" s="111"/>
      <c r="J14" s="111"/>
      <c r="K14" s="112"/>
      <c r="M14" t="s">
        <v>214</v>
      </c>
      <c r="P14">
        <f>INTERCEPT(N12:O12,N11:O11)</f>
        <v>104500</v>
      </c>
    </row>
    <row r="15" spans="2:17" x14ac:dyDescent="0.2">
      <c r="B15" s="110"/>
      <c r="C15" s="111"/>
      <c r="D15" s="111"/>
      <c r="E15" s="111"/>
      <c r="F15" s="111"/>
      <c r="G15" s="111"/>
      <c r="H15" s="111"/>
      <c r="I15" s="111"/>
      <c r="J15" s="111"/>
      <c r="K15" s="112"/>
    </row>
    <row r="16" spans="2:17" x14ac:dyDescent="0.2">
      <c r="B16" s="113"/>
      <c r="C16" s="114"/>
      <c r="D16" s="114"/>
      <c r="E16" s="114"/>
      <c r="F16" s="114"/>
      <c r="G16" s="114"/>
      <c r="H16" s="114"/>
      <c r="I16" s="114"/>
      <c r="J16" s="114"/>
      <c r="K16" s="115"/>
      <c r="M16" t="s">
        <v>216</v>
      </c>
    </row>
    <row r="17" spans="1:16" x14ac:dyDescent="0.2">
      <c r="N17" s="40">
        <v>0.9</v>
      </c>
      <c r="O17" s="40">
        <v>1</v>
      </c>
      <c r="P17" t="s">
        <v>211</v>
      </c>
    </row>
    <row r="18" spans="1:16" x14ac:dyDescent="0.2">
      <c r="A18" s="52" t="s">
        <v>18</v>
      </c>
      <c r="C18" s="137" t="s">
        <v>217</v>
      </c>
      <c r="D18" s="90"/>
      <c r="E18" s="90"/>
      <c r="F18" s="90"/>
      <c r="G18" s="90"/>
      <c r="H18" s="90"/>
      <c r="I18" s="90"/>
      <c r="J18" s="90"/>
      <c r="K18" s="91"/>
      <c r="M18" t="s">
        <v>13</v>
      </c>
      <c r="N18">
        <v>13500</v>
      </c>
      <c r="O18">
        <v>15000</v>
      </c>
    </row>
    <row r="19" spans="1:16" x14ac:dyDescent="0.2">
      <c r="H19" t="s">
        <v>204</v>
      </c>
      <c r="M19" t="s">
        <v>212</v>
      </c>
      <c r="N19">
        <v>300500</v>
      </c>
      <c r="O19">
        <v>300600</v>
      </c>
    </row>
    <row r="20" spans="1:16" x14ac:dyDescent="0.2">
      <c r="C20" t="s">
        <v>29</v>
      </c>
      <c r="H20">
        <v>1500000</v>
      </c>
      <c r="M20" t="s">
        <v>213</v>
      </c>
      <c r="P20">
        <f>SLOPE(N19:O19,N18:O18)</f>
        <v>6.6666666666666666E-2</v>
      </c>
    </row>
    <row r="21" spans="1:16" ht="15.75" customHeight="1" x14ac:dyDescent="0.2">
      <c r="C21" t="s">
        <v>218</v>
      </c>
      <c r="H21">
        <f>H20*0.1</f>
        <v>150000</v>
      </c>
      <c r="M21" t="s">
        <v>214</v>
      </c>
      <c r="P21">
        <f>INTERCEPT(N19:O19,N18:O18)</f>
        <v>299600</v>
      </c>
    </row>
    <row r="22" spans="1:16" ht="15.75" customHeight="1" x14ac:dyDescent="0.2">
      <c r="C22" t="s">
        <v>91</v>
      </c>
      <c r="H22">
        <f>H20-H21</f>
        <v>1350000</v>
      </c>
    </row>
    <row r="23" spans="1:16" ht="15.75" customHeight="1" x14ac:dyDescent="0.2">
      <c r="C23" s="124" t="s">
        <v>219</v>
      </c>
      <c r="D23" s="111"/>
      <c r="E23" s="111"/>
      <c r="F23" s="111"/>
    </row>
    <row r="24" spans="1:16" ht="15.75" customHeight="1" x14ac:dyDescent="0.2">
      <c r="C24" t="s">
        <v>220</v>
      </c>
      <c r="G24">
        <v>300500</v>
      </c>
      <c r="M24" t="s">
        <v>221</v>
      </c>
      <c r="P24">
        <f>H27/13500</f>
        <v>59.777777777777779</v>
      </c>
    </row>
    <row r="25" spans="1:16" ht="15.75" customHeight="1" x14ac:dyDescent="0.2">
      <c r="C25" t="s">
        <v>222</v>
      </c>
      <c r="G25">
        <v>97500</v>
      </c>
    </row>
    <row r="26" spans="1:16" ht="15.75" customHeight="1" x14ac:dyDescent="0.2">
      <c r="C26" t="s">
        <v>223</v>
      </c>
      <c r="G26">
        <v>145000</v>
      </c>
      <c r="H26">
        <f>G24+G25+G26</f>
        <v>543000</v>
      </c>
      <c r="M26" s="72" t="s">
        <v>224</v>
      </c>
      <c r="N26" s="72"/>
      <c r="O26" s="72"/>
      <c r="P26" s="72">
        <f>P24+P13+P20+P6</f>
        <v>64.844444444444449</v>
      </c>
    </row>
    <row r="27" spans="1:16" ht="15.75" customHeight="1" x14ac:dyDescent="0.2">
      <c r="C27" t="s">
        <v>225</v>
      </c>
      <c r="H27">
        <f>H22-H26</f>
        <v>807000</v>
      </c>
      <c r="M27" s="72" t="s">
        <v>226</v>
      </c>
      <c r="N27" s="72"/>
      <c r="O27" s="72"/>
      <c r="P27" s="72"/>
    </row>
    <row r="28" spans="1:16" ht="15.75" customHeight="1" x14ac:dyDescent="0.2"/>
    <row r="29" spans="1:16" ht="15.75" customHeight="1" x14ac:dyDescent="0.2">
      <c r="C29" s="103" t="s">
        <v>227</v>
      </c>
      <c r="D29" s="90"/>
      <c r="E29" s="90"/>
      <c r="F29" s="90"/>
      <c r="G29" s="90"/>
      <c r="H29" s="90"/>
      <c r="I29" s="90"/>
      <c r="J29" s="90"/>
      <c r="K29" s="91"/>
    </row>
    <row r="30" spans="1:16" ht="15.75" customHeight="1" x14ac:dyDescent="0.2">
      <c r="C30" t="s">
        <v>225</v>
      </c>
      <c r="H30">
        <f>(H27/13500)*1500</f>
        <v>89666.666666666672</v>
      </c>
    </row>
    <row r="31" spans="1:16" ht="15.75" customHeight="1" x14ac:dyDescent="0.2">
      <c r="C31" t="s">
        <v>220</v>
      </c>
      <c r="H31">
        <f>300600-G24</f>
        <v>100</v>
      </c>
    </row>
    <row r="32" spans="1:16" ht="15.75" customHeight="1" x14ac:dyDescent="0.2">
      <c r="C32" t="s">
        <v>222</v>
      </c>
      <c r="H32">
        <f>100500-G25</f>
        <v>3000</v>
      </c>
    </row>
    <row r="33" spans="3:8" ht="15.75" customHeight="1" x14ac:dyDescent="0.2">
      <c r="C33" t="s">
        <v>223</v>
      </c>
      <c r="H33">
        <f>149500-G26</f>
        <v>4500</v>
      </c>
    </row>
    <row r="34" spans="3:8" ht="15.75" customHeight="1" x14ac:dyDescent="0.2">
      <c r="C34" t="s">
        <v>228</v>
      </c>
      <c r="H34">
        <f>SUM(H30:H33)</f>
        <v>97266.666666666672</v>
      </c>
    </row>
    <row r="35" spans="3:8" ht="15.75" customHeight="1" x14ac:dyDescent="0.2">
      <c r="C35" t="s">
        <v>229</v>
      </c>
      <c r="H35">
        <f>H34/1500</f>
        <v>64.844444444444449</v>
      </c>
    </row>
    <row r="36" spans="3:8" ht="15.75" customHeight="1" x14ac:dyDescent="0.2"/>
    <row r="37" spans="3:8" ht="15.75" customHeight="1" x14ac:dyDescent="0.2"/>
    <row r="38" spans="3:8" ht="15.75" customHeight="1" x14ac:dyDescent="0.2"/>
    <row r="39" spans="3:8" ht="15.75" customHeight="1" x14ac:dyDescent="0.2"/>
    <row r="40" spans="3:8" ht="15.75" customHeight="1" x14ac:dyDescent="0.2"/>
    <row r="41" spans="3:8" ht="15.75" customHeight="1" x14ac:dyDescent="0.2"/>
    <row r="42" spans="3:8" ht="15.75" customHeight="1" x14ac:dyDescent="0.2"/>
    <row r="43" spans="3:8" ht="15.75" customHeight="1" x14ac:dyDescent="0.2"/>
    <row r="44" spans="3:8" ht="15.75" customHeight="1" x14ac:dyDescent="0.2"/>
    <row r="45" spans="3:8" ht="15.75" customHeight="1" x14ac:dyDescent="0.2"/>
    <row r="46" spans="3:8" ht="15.75" customHeight="1" x14ac:dyDescent="0.2"/>
    <row r="47" spans="3:8" ht="15.75" customHeight="1" x14ac:dyDescent="0.2"/>
    <row r="48" spans="3: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sheetData>
  <mergeCells count="4">
    <mergeCell ref="B2:K16"/>
    <mergeCell ref="C18:K18"/>
    <mergeCell ref="C23:F23"/>
    <mergeCell ref="C29:K29"/>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B3863-7C18-164C-995A-41F863A7BF1A}">
  <sheetPr>
    <outlinePr summaryBelow="0"/>
  </sheetPr>
  <dimension ref="B1:E12"/>
  <sheetViews>
    <sheetView showGridLines="0" workbookViewId="0"/>
  </sheetViews>
  <sheetFormatPr baseColWidth="10" defaultRowHeight="15" outlineLevelRow="1" outlineLevelCol="1" x14ac:dyDescent="0.2"/>
  <cols>
    <col min="3" max="3" width="6.33203125" bestFit="1" customWidth="1"/>
    <col min="4" max="5" width="12.1640625" bestFit="1" customWidth="1" outlineLevel="1"/>
  </cols>
  <sheetData>
    <row r="1" spans="2:5" ht="16" thickBot="1" x14ac:dyDescent="0.25"/>
    <row r="2" spans="2:5" ht="16" x14ac:dyDescent="0.2">
      <c r="B2" s="144" t="s">
        <v>248</v>
      </c>
      <c r="C2" s="144"/>
      <c r="D2" s="149"/>
      <c r="E2" s="149"/>
    </row>
    <row r="3" spans="2:5" ht="16" collapsed="1" x14ac:dyDescent="0.2">
      <c r="B3" s="143"/>
      <c r="C3" s="143"/>
      <c r="D3" s="150" t="s">
        <v>249</v>
      </c>
      <c r="E3" s="150" t="s">
        <v>261</v>
      </c>
    </row>
    <row r="4" spans="2:5" ht="36" hidden="1" outlineLevel="1" x14ac:dyDescent="0.2">
      <c r="B4" s="146"/>
      <c r="C4" s="146"/>
      <c r="D4" s="140"/>
      <c r="E4" s="153" t="s">
        <v>279</v>
      </c>
    </row>
    <row r="5" spans="2:5" x14ac:dyDescent="0.2">
      <c r="B5" s="147" t="s">
        <v>258</v>
      </c>
      <c r="C5" s="147"/>
      <c r="D5" s="145"/>
      <c r="E5" s="145"/>
    </row>
    <row r="6" spans="2:5" outlineLevel="1" x14ac:dyDescent="0.2">
      <c r="B6" s="146"/>
      <c r="C6" s="146" t="s">
        <v>276</v>
      </c>
      <c r="D6" s="141">
        <v>1</v>
      </c>
      <c r="E6" s="151">
        <v>1</v>
      </c>
    </row>
    <row r="7" spans="2:5" outlineLevel="1" x14ac:dyDescent="0.2">
      <c r="B7" s="146"/>
      <c r="C7" s="146" t="s">
        <v>277</v>
      </c>
      <c r="D7" s="140">
        <v>1.6</v>
      </c>
      <c r="E7" s="152">
        <v>1.6</v>
      </c>
    </row>
    <row r="8" spans="2:5" x14ac:dyDescent="0.2">
      <c r="B8" s="147" t="s">
        <v>260</v>
      </c>
      <c r="C8" s="147"/>
      <c r="D8" s="145"/>
      <c r="E8" s="145"/>
    </row>
    <row r="9" spans="2:5" ht="16" outlineLevel="1" thickBot="1" x14ac:dyDescent="0.25">
      <c r="B9" s="148"/>
      <c r="C9" s="148" t="s">
        <v>278</v>
      </c>
      <c r="D9" s="142">
        <v>26666.666666666701</v>
      </c>
      <c r="E9" s="142">
        <v>26666.666666666701</v>
      </c>
    </row>
    <row r="10" spans="2:5" x14ac:dyDescent="0.2">
      <c r="B10" t="s">
        <v>269</v>
      </c>
    </row>
    <row r="11" spans="2:5" x14ac:dyDescent="0.2">
      <c r="B11" t="s">
        <v>270</v>
      </c>
    </row>
    <row r="12" spans="2:5" x14ac:dyDescent="0.2">
      <c r="B12" t="s">
        <v>271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100"/>
  <sheetViews>
    <sheetView workbookViewId="0">
      <selection activeCell="O13" sqref="O13"/>
    </sheetView>
  </sheetViews>
  <sheetFormatPr baseColWidth="10" defaultColWidth="14.5" defaultRowHeight="15" customHeight="1" x14ac:dyDescent="0.2"/>
  <cols>
    <col min="1" max="1" width="8.83203125" customWidth="1"/>
    <col min="2" max="2" width="11.5" customWidth="1"/>
    <col min="3" max="3" width="12.33203125" customWidth="1"/>
    <col min="4" max="13" width="8.83203125" customWidth="1"/>
    <col min="14" max="14" width="15.33203125" customWidth="1"/>
    <col min="15" max="15" width="14.1640625" customWidth="1"/>
  </cols>
  <sheetData>
    <row r="1" spans="1:16" x14ac:dyDescent="0.2">
      <c r="A1" s="44"/>
      <c r="B1" s="44"/>
      <c r="C1" s="44"/>
      <c r="D1" s="44"/>
      <c r="E1" s="44"/>
      <c r="F1" s="44"/>
      <c r="G1" s="44"/>
      <c r="H1" s="44"/>
      <c r="I1" s="44"/>
      <c r="J1" s="44"/>
      <c r="K1" s="44"/>
      <c r="L1" s="44"/>
      <c r="M1" s="44"/>
      <c r="N1" s="44" t="s">
        <v>230</v>
      </c>
      <c r="O1" s="44">
        <v>50000</v>
      </c>
    </row>
    <row r="2" spans="1:16" ht="15" customHeight="1" x14ac:dyDescent="0.2">
      <c r="A2" s="44"/>
      <c r="B2" s="131" t="s">
        <v>231</v>
      </c>
      <c r="C2" s="108"/>
      <c r="D2" s="108"/>
      <c r="E2" s="108"/>
      <c r="F2" s="108"/>
      <c r="G2" s="108"/>
      <c r="H2" s="108"/>
      <c r="I2" s="108"/>
      <c r="J2" s="109"/>
      <c r="K2" s="44"/>
      <c r="L2" s="44"/>
      <c r="M2" s="44"/>
      <c r="N2" s="44" t="s">
        <v>54</v>
      </c>
      <c r="O2" s="40">
        <v>1</v>
      </c>
    </row>
    <row r="3" spans="1:16" x14ac:dyDescent="0.2">
      <c r="A3" s="44"/>
      <c r="B3" s="110"/>
      <c r="C3" s="111"/>
      <c r="D3" s="111"/>
      <c r="E3" s="111"/>
      <c r="F3" s="111"/>
      <c r="G3" s="111"/>
      <c r="H3" s="111"/>
      <c r="I3" s="111"/>
      <c r="J3" s="112"/>
      <c r="K3" s="44"/>
      <c r="L3" s="44"/>
      <c r="M3" s="44"/>
      <c r="N3" s="44" t="s">
        <v>13</v>
      </c>
      <c r="O3" s="44">
        <f>O1*O2</f>
        <v>50000</v>
      </c>
    </row>
    <row r="4" spans="1:16" x14ac:dyDescent="0.2">
      <c r="A4" s="44"/>
      <c r="B4" s="110"/>
      <c r="C4" s="111"/>
      <c r="D4" s="111"/>
      <c r="E4" s="111"/>
      <c r="F4" s="111"/>
      <c r="G4" s="111"/>
      <c r="H4" s="111"/>
      <c r="I4" s="111"/>
      <c r="J4" s="112"/>
      <c r="K4" s="44"/>
      <c r="L4" s="44"/>
      <c r="M4" s="44"/>
      <c r="N4" s="44" t="s">
        <v>56</v>
      </c>
      <c r="O4" s="44">
        <v>1.6</v>
      </c>
      <c r="P4">
        <f>O3*O4</f>
        <v>80000</v>
      </c>
    </row>
    <row r="5" spans="1:16" x14ac:dyDescent="0.2">
      <c r="A5" s="44"/>
      <c r="B5" s="110"/>
      <c r="C5" s="111"/>
      <c r="D5" s="111"/>
      <c r="E5" s="111"/>
      <c r="F5" s="111"/>
      <c r="G5" s="111"/>
      <c r="H5" s="111"/>
      <c r="I5" s="111"/>
      <c r="J5" s="112"/>
      <c r="K5" s="44"/>
      <c r="L5" s="44"/>
      <c r="M5" s="44"/>
      <c r="N5" s="44" t="s">
        <v>232</v>
      </c>
      <c r="O5" s="44">
        <v>1</v>
      </c>
    </row>
    <row r="6" spans="1:16" x14ac:dyDescent="0.2">
      <c r="A6" s="44"/>
      <c r="B6" s="110"/>
      <c r="C6" s="111"/>
      <c r="D6" s="111"/>
      <c r="E6" s="111"/>
      <c r="F6" s="111"/>
      <c r="G6" s="111"/>
      <c r="H6" s="111"/>
      <c r="I6" s="111"/>
      <c r="J6" s="112"/>
      <c r="K6" s="44"/>
      <c r="L6" s="44"/>
      <c r="M6" s="44"/>
      <c r="N6" s="44" t="s">
        <v>12</v>
      </c>
      <c r="O6" s="44">
        <f>O4-O5</f>
        <v>0.60000000000000009</v>
      </c>
    </row>
    <row r="7" spans="1:16" x14ac:dyDescent="0.2">
      <c r="A7" s="44"/>
      <c r="B7" s="110"/>
      <c r="C7" s="111"/>
      <c r="D7" s="111"/>
      <c r="E7" s="111"/>
      <c r="F7" s="111"/>
      <c r="G7" s="111"/>
      <c r="H7" s="111"/>
      <c r="I7" s="111"/>
      <c r="J7" s="112"/>
      <c r="K7" s="44"/>
      <c r="L7" s="44"/>
      <c r="M7" s="44"/>
      <c r="N7" s="44" t="s">
        <v>14</v>
      </c>
      <c r="O7" s="44">
        <f>O6*O3</f>
        <v>30000.000000000004</v>
      </c>
    </row>
    <row r="8" spans="1:16" x14ac:dyDescent="0.2">
      <c r="A8" s="44"/>
      <c r="B8" s="110"/>
      <c r="C8" s="111"/>
      <c r="D8" s="111"/>
      <c r="E8" s="111"/>
      <c r="F8" s="111"/>
      <c r="G8" s="111"/>
      <c r="H8" s="111"/>
      <c r="I8" s="111"/>
      <c r="J8" s="112"/>
      <c r="K8" s="44"/>
      <c r="L8" s="44"/>
      <c r="M8" s="44"/>
      <c r="N8" s="44" t="s">
        <v>233</v>
      </c>
      <c r="O8" s="44">
        <v>20000</v>
      </c>
    </row>
    <row r="9" spans="1:16" x14ac:dyDescent="0.2">
      <c r="A9" s="44"/>
      <c r="B9" s="110"/>
      <c r="C9" s="111"/>
      <c r="D9" s="111"/>
      <c r="E9" s="111"/>
      <c r="F9" s="111"/>
      <c r="G9" s="111"/>
      <c r="H9" s="111"/>
      <c r="I9" s="111"/>
      <c r="J9" s="112"/>
      <c r="K9" s="44"/>
      <c r="L9" s="44"/>
      <c r="M9" s="44"/>
      <c r="N9" s="44" t="s">
        <v>16</v>
      </c>
      <c r="O9" s="44">
        <f>O7-O8</f>
        <v>10000.000000000004</v>
      </c>
    </row>
    <row r="10" spans="1:16" x14ac:dyDescent="0.2">
      <c r="A10" s="44"/>
      <c r="B10" s="110"/>
      <c r="C10" s="111"/>
      <c r="D10" s="111"/>
      <c r="E10" s="111"/>
      <c r="F10" s="111"/>
      <c r="G10" s="111"/>
      <c r="H10" s="111"/>
      <c r="I10" s="111"/>
      <c r="J10" s="112"/>
      <c r="K10" s="44"/>
      <c r="L10" s="44"/>
      <c r="M10" s="44"/>
      <c r="N10" s="44" t="s">
        <v>106</v>
      </c>
      <c r="O10" s="44">
        <f>O7/P4</f>
        <v>0.37500000000000006</v>
      </c>
    </row>
    <row r="11" spans="1:16" x14ac:dyDescent="0.2">
      <c r="A11" s="44"/>
      <c r="B11" s="110"/>
      <c r="C11" s="111"/>
      <c r="D11" s="111"/>
      <c r="E11" s="111"/>
      <c r="F11" s="111"/>
      <c r="G11" s="111"/>
      <c r="H11" s="111"/>
      <c r="I11" s="111"/>
      <c r="J11" s="112"/>
      <c r="K11" s="44"/>
      <c r="L11" s="44"/>
      <c r="M11" s="44"/>
      <c r="N11" s="44" t="s">
        <v>234</v>
      </c>
      <c r="O11" s="44">
        <f>O8/O6</f>
        <v>33333.333333333328</v>
      </c>
    </row>
    <row r="12" spans="1:16" x14ac:dyDescent="0.2">
      <c r="A12" s="44"/>
      <c r="B12" s="110"/>
      <c r="C12" s="111"/>
      <c r="D12" s="111"/>
      <c r="E12" s="111"/>
      <c r="F12" s="111"/>
      <c r="G12" s="111"/>
      <c r="H12" s="111"/>
      <c r="I12" s="111"/>
      <c r="J12" s="112"/>
      <c r="K12" s="44"/>
      <c r="L12" s="44"/>
      <c r="M12" s="44"/>
      <c r="N12" s="44" t="s">
        <v>235</v>
      </c>
      <c r="O12" s="44">
        <f>O8/O10</f>
        <v>53333.333333333328</v>
      </c>
    </row>
    <row r="13" spans="1:16" x14ac:dyDescent="0.2">
      <c r="A13" s="44"/>
      <c r="B13" s="113"/>
      <c r="C13" s="114"/>
      <c r="D13" s="114"/>
      <c r="E13" s="114"/>
      <c r="F13" s="114"/>
      <c r="G13" s="114"/>
      <c r="H13" s="114"/>
      <c r="I13" s="114"/>
      <c r="J13" s="115"/>
      <c r="K13" s="44"/>
      <c r="L13" s="44"/>
      <c r="M13" s="44"/>
      <c r="N13" s="44" t="s">
        <v>236</v>
      </c>
      <c r="O13" s="44">
        <f>(O3*O4)-O12</f>
        <v>26666.666666666672</v>
      </c>
    </row>
    <row r="14" spans="1:16" x14ac:dyDescent="0.2">
      <c r="A14" s="44"/>
      <c r="B14" s="44"/>
      <c r="C14" s="44"/>
      <c r="D14" s="44"/>
      <c r="E14" s="44"/>
      <c r="F14" s="44"/>
      <c r="G14" s="44"/>
      <c r="H14" s="44"/>
      <c r="I14" s="44"/>
      <c r="J14" s="44"/>
      <c r="K14" s="44"/>
      <c r="L14" s="44"/>
      <c r="M14" s="44"/>
      <c r="N14" s="44"/>
      <c r="O14" s="44"/>
    </row>
    <row r="15" spans="1:16" x14ac:dyDescent="0.2">
      <c r="A15" s="52" t="s">
        <v>18</v>
      </c>
      <c r="B15" s="138" t="s">
        <v>237</v>
      </c>
      <c r="C15" s="90"/>
      <c r="D15" s="90"/>
      <c r="E15" s="90"/>
      <c r="F15" s="90"/>
      <c r="G15" s="90"/>
      <c r="H15" s="90"/>
      <c r="I15" s="90"/>
      <c r="J15" s="91"/>
      <c r="K15" s="44"/>
      <c r="L15" s="44"/>
      <c r="M15" s="44"/>
      <c r="N15" s="44"/>
      <c r="O15" s="44"/>
    </row>
    <row r="16" spans="1:16" x14ac:dyDescent="0.2">
      <c r="A16" s="44"/>
      <c r="B16" s="44"/>
      <c r="C16" s="44"/>
      <c r="D16" s="44"/>
      <c r="E16" s="44"/>
      <c r="F16" s="44"/>
      <c r="G16" s="44"/>
      <c r="H16" s="44"/>
      <c r="I16" s="44"/>
      <c r="J16" s="44"/>
      <c r="K16" s="44"/>
      <c r="L16" s="44"/>
      <c r="M16" s="44"/>
      <c r="N16" s="44"/>
      <c r="O16" s="44"/>
    </row>
    <row r="17" spans="1:15" x14ac:dyDescent="0.2">
      <c r="A17" s="44"/>
      <c r="B17" s="51" t="s">
        <v>238</v>
      </c>
      <c r="C17" s="51" t="s">
        <v>239</v>
      </c>
      <c r="D17" s="51" t="s">
        <v>240</v>
      </c>
      <c r="E17" s="51" t="s">
        <v>134</v>
      </c>
      <c r="F17" s="51" t="s">
        <v>241</v>
      </c>
      <c r="G17" s="51" t="s">
        <v>242</v>
      </c>
      <c r="H17" s="51" t="s">
        <v>243</v>
      </c>
      <c r="I17" s="51" t="s">
        <v>244</v>
      </c>
      <c r="J17" s="51" t="s">
        <v>245</v>
      </c>
      <c r="K17" s="51" t="s">
        <v>246</v>
      </c>
      <c r="L17" s="51" t="s">
        <v>247</v>
      </c>
      <c r="M17" s="44"/>
      <c r="N17" s="44"/>
      <c r="O17" s="44"/>
    </row>
    <row r="18" spans="1:15" x14ac:dyDescent="0.2">
      <c r="A18" s="44"/>
      <c r="B18" s="73">
        <v>0.5</v>
      </c>
      <c r="C18" s="51">
        <f t="shared" ref="C18:C23" si="0">50000*$B18</f>
        <v>25000</v>
      </c>
      <c r="D18" s="51">
        <v>2</v>
      </c>
      <c r="E18" s="51">
        <f t="shared" ref="E18:E23" si="1">$C18*$D18</f>
        <v>50000</v>
      </c>
      <c r="F18" s="51"/>
      <c r="G18" s="51">
        <f t="shared" ref="G18:G23" si="2">$C18*1</f>
        <v>25000</v>
      </c>
      <c r="H18" s="51">
        <v>20000</v>
      </c>
      <c r="I18" s="51">
        <f t="shared" ref="I18:I23" si="3">$G18+$H18</f>
        <v>45000</v>
      </c>
      <c r="J18" s="51"/>
      <c r="K18" s="51"/>
      <c r="L18" s="44">
        <f t="shared" ref="L18:L23" si="4">E18-I18</f>
        <v>5000</v>
      </c>
      <c r="M18" s="44"/>
      <c r="N18" s="44"/>
      <c r="O18" s="44"/>
    </row>
    <row r="19" spans="1:15" x14ac:dyDescent="0.2">
      <c r="A19" s="44"/>
      <c r="B19" s="73">
        <v>0.6</v>
      </c>
      <c r="C19" s="51">
        <f t="shared" si="0"/>
        <v>30000</v>
      </c>
      <c r="D19" s="51">
        <v>1.9</v>
      </c>
      <c r="E19" s="51">
        <f t="shared" si="1"/>
        <v>57000</v>
      </c>
      <c r="F19" s="51">
        <f t="shared" ref="F19:F23" si="5">E19-E18</f>
        <v>7000</v>
      </c>
      <c r="G19" s="51">
        <f t="shared" si="2"/>
        <v>30000</v>
      </c>
      <c r="H19" s="51">
        <v>20000</v>
      </c>
      <c r="I19" s="51">
        <f t="shared" si="3"/>
        <v>50000</v>
      </c>
      <c r="J19" s="51">
        <f t="shared" ref="J19:J23" si="6">I19-I18</f>
        <v>5000</v>
      </c>
      <c r="K19" s="51">
        <f t="shared" ref="K19:K23" si="7">F19-J19</f>
        <v>2000</v>
      </c>
      <c r="L19" s="44">
        <f t="shared" si="4"/>
        <v>7000</v>
      </c>
      <c r="M19" s="44"/>
      <c r="N19" s="44"/>
      <c r="O19" s="44"/>
    </row>
    <row r="20" spans="1:15" x14ac:dyDescent="0.2">
      <c r="A20" s="44"/>
      <c r="B20" s="73">
        <v>0.7</v>
      </c>
      <c r="C20" s="51">
        <f t="shared" si="0"/>
        <v>35000</v>
      </c>
      <c r="D20" s="51">
        <v>1.85</v>
      </c>
      <c r="E20" s="51">
        <f t="shared" si="1"/>
        <v>64750</v>
      </c>
      <c r="F20" s="51">
        <f t="shared" si="5"/>
        <v>7750</v>
      </c>
      <c r="G20" s="51">
        <f t="shared" si="2"/>
        <v>35000</v>
      </c>
      <c r="H20" s="51">
        <v>20000</v>
      </c>
      <c r="I20" s="51">
        <f t="shared" si="3"/>
        <v>55000</v>
      </c>
      <c r="J20" s="51">
        <f t="shared" si="6"/>
        <v>5000</v>
      </c>
      <c r="K20" s="51">
        <f t="shared" si="7"/>
        <v>2750</v>
      </c>
      <c r="L20" s="44">
        <f t="shared" si="4"/>
        <v>9750</v>
      </c>
      <c r="M20" s="44"/>
      <c r="N20" s="44"/>
      <c r="O20" s="44"/>
    </row>
    <row r="21" spans="1:15" ht="15.75" customHeight="1" x14ac:dyDescent="0.2">
      <c r="A21" s="44"/>
      <c r="B21" s="74">
        <v>0.8</v>
      </c>
      <c r="C21" s="75">
        <f t="shared" si="0"/>
        <v>40000</v>
      </c>
      <c r="D21" s="75">
        <v>1.8</v>
      </c>
      <c r="E21" s="75">
        <f t="shared" si="1"/>
        <v>72000</v>
      </c>
      <c r="F21" s="75">
        <f>E21-E20</f>
        <v>7250</v>
      </c>
      <c r="G21" s="75">
        <f t="shared" si="2"/>
        <v>40000</v>
      </c>
      <c r="H21" s="75">
        <v>20000</v>
      </c>
      <c r="I21" s="75">
        <f t="shared" si="3"/>
        <v>60000</v>
      </c>
      <c r="J21" s="75">
        <f t="shared" si="6"/>
        <v>5000</v>
      </c>
      <c r="K21" s="75">
        <f t="shared" si="7"/>
        <v>2250</v>
      </c>
      <c r="L21" s="44">
        <f t="shared" si="4"/>
        <v>12000</v>
      </c>
      <c r="M21" s="44"/>
      <c r="N21" s="44"/>
      <c r="O21" s="44"/>
    </row>
    <row r="22" spans="1:15" ht="15.75" customHeight="1" x14ac:dyDescent="0.2">
      <c r="A22" s="44"/>
      <c r="B22" s="73">
        <v>0.9</v>
      </c>
      <c r="C22" s="51">
        <f t="shared" si="0"/>
        <v>45000</v>
      </c>
      <c r="D22" s="51">
        <v>1.7</v>
      </c>
      <c r="E22" s="51">
        <f t="shared" si="1"/>
        <v>76500</v>
      </c>
      <c r="F22" s="51">
        <f t="shared" si="5"/>
        <v>4500</v>
      </c>
      <c r="G22" s="51">
        <f t="shared" si="2"/>
        <v>45000</v>
      </c>
      <c r="H22" s="51">
        <v>20000</v>
      </c>
      <c r="I22" s="51">
        <f t="shared" si="3"/>
        <v>65000</v>
      </c>
      <c r="J22" s="51">
        <f t="shared" si="6"/>
        <v>5000</v>
      </c>
      <c r="K22" s="51">
        <f t="shared" si="7"/>
        <v>-500</v>
      </c>
      <c r="L22" s="44">
        <f t="shared" si="4"/>
        <v>11500</v>
      </c>
      <c r="M22" s="44"/>
      <c r="N22" s="44"/>
      <c r="O22" s="44"/>
    </row>
    <row r="23" spans="1:15" ht="15.75" customHeight="1" x14ac:dyDescent="0.2">
      <c r="A23" s="44"/>
      <c r="B23" s="73">
        <v>1</v>
      </c>
      <c r="C23" s="51">
        <f t="shared" si="0"/>
        <v>50000</v>
      </c>
      <c r="D23" s="51">
        <v>1.6</v>
      </c>
      <c r="E23" s="51">
        <f t="shared" si="1"/>
        <v>80000</v>
      </c>
      <c r="F23" s="51">
        <f t="shared" si="5"/>
        <v>3500</v>
      </c>
      <c r="G23" s="51">
        <f t="shared" si="2"/>
        <v>50000</v>
      </c>
      <c r="H23" s="51">
        <v>20000</v>
      </c>
      <c r="I23" s="51">
        <f t="shared" si="3"/>
        <v>70000</v>
      </c>
      <c r="J23" s="51">
        <f t="shared" si="6"/>
        <v>5000</v>
      </c>
      <c r="K23" s="51">
        <f t="shared" si="7"/>
        <v>-1500</v>
      </c>
      <c r="L23" s="44">
        <f t="shared" si="4"/>
        <v>10000</v>
      </c>
      <c r="M23" s="44"/>
      <c r="N23" s="44"/>
      <c r="O23" s="44"/>
    </row>
    <row r="24" spans="1:15" ht="15.75" customHeight="1" x14ac:dyDescent="0.2">
      <c r="A24" s="44"/>
      <c r="B24" s="44"/>
      <c r="C24" s="44"/>
      <c r="D24" s="44"/>
      <c r="E24" s="44"/>
      <c r="F24" s="44"/>
      <c r="G24" s="44"/>
      <c r="H24" s="44"/>
      <c r="I24" s="44"/>
      <c r="J24" s="44"/>
      <c r="K24" s="44"/>
      <c r="L24" s="44"/>
      <c r="M24" s="44"/>
      <c r="N24" s="44"/>
      <c r="O24" s="44"/>
    </row>
    <row r="25" spans="1:15" ht="15.75" customHeight="1" x14ac:dyDescent="0.2">
      <c r="A25" s="44"/>
      <c r="B25" s="44"/>
      <c r="C25" s="44"/>
      <c r="D25" s="44"/>
      <c r="E25" s="44"/>
      <c r="F25" s="44"/>
      <c r="G25" s="44"/>
      <c r="H25" s="44"/>
      <c r="I25" s="44"/>
      <c r="J25" s="44"/>
      <c r="K25" s="44"/>
      <c r="L25" s="44"/>
      <c r="M25" s="44"/>
      <c r="N25" s="44"/>
      <c r="O25" s="44"/>
    </row>
    <row r="26" spans="1:15" ht="15.75" customHeight="1" x14ac:dyDescent="0.2">
      <c r="A26" s="44"/>
      <c r="B26" s="44"/>
      <c r="C26" s="44"/>
      <c r="D26" s="44"/>
      <c r="E26" s="44"/>
      <c r="F26" s="44"/>
      <c r="G26" s="44"/>
      <c r="H26" s="44"/>
      <c r="I26" s="44"/>
      <c r="J26" s="44"/>
      <c r="K26" s="44"/>
      <c r="L26" s="44"/>
      <c r="M26" s="44"/>
      <c r="N26" s="44"/>
      <c r="O26" s="44"/>
    </row>
    <row r="27" spans="1:15" ht="15.75" customHeight="1" x14ac:dyDescent="0.2">
      <c r="A27" s="44"/>
      <c r="B27" s="44"/>
      <c r="C27" s="44"/>
      <c r="D27" s="44"/>
      <c r="E27" s="44"/>
      <c r="F27" s="44"/>
      <c r="G27" s="44"/>
      <c r="H27" s="44"/>
      <c r="I27" s="44"/>
      <c r="J27" s="44"/>
      <c r="K27" s="44"/>
      <c r="L27" s="44"/>
      <c r="M27" s="44"/>
      <c r="N27" s="44"/>
      <c r="O27" s="44"/>
    </row>
    <row r="28" spans="1:15" ht="15.75" customHeight="1" x14ac:dyDescent="0.2">
      <c r="A28" s="44"/>
      <c r="B28" s="44"/>
      <c r="C28" s="44"/>
      <c r="D28" s="44"/>
      <c r="E28" s="44"/>
      <c r="F28" s="44"/>
      <c r="G28" s="44"/>
      <c r="H28" s="44"/>
      <c r="I28" s="44"/>
      <c r="J28" s="44"/>
      <c r="K28" s="44"/>
      <c r="L28" s="44"/>
      <c r="M28" s="44"/>
      <c r="N28" s="44"/>
      <c r="O28" s="44"/>
    </row>
    <row r="29" spans="1:15" ht="15.75" customHeight="1" x14ac:dyDescent="0.2">
      <c r="A29" s="44"/>
      <c r="B29" s="44"/>
      <c r="C29" s="44"/>
      <c r="D29" s="44"/>
      <c r="E29" s="44"/>
      <c r="F29" s="44"/>
      <c r="G29" s="44"/>
      <c r="H29" s="44"/>
      <c r="I29" s="44"/>
      <c r="J29" s="44"/>
      <c r="K29" s="44"/>
      <c r="L29" s="44"/>
      <c r="M29" s="44"/>
      <c r="N29" s="44"/>
      <c r="O29" s="44"/>
    </row>
    <row r="30" spans="1:15" ht="15.75" customHeight="1" x14ac:dyDescent="0.2">
      <c r="A30" s="44"/>
      <c r="B30" s="44"/>
      <c r="C30" s="44"/>
      <c r="D30" s="44"/>
      <c r="E30" s="44"/>
      <c r="F30" s="44"/>
      <c r="G30" s="44"/>
      <c r="H30" s="44"/>
      <c r="I30" s="44"/>
      <c r="J30" s="44"/>
      <c r="K30" s="44"/>
      <c r="L30" s="44"/>
      <c r="M30" s="44"/>
      <c r="N30" s="44"/>
      <c r="O30" s="44"/>
    </row>
    <row r="31" spans="1:15" ht="15.75" customHeight="1" x14ac:dyDescent="0.2">
      <c r="A31" s="44"/>
      <c r="B31" s="44"/>
      <c r="C31" s="44"/>
      <c r="D31" s="44"/>
      <c r="E31" s="44"/>
      <c r="F31" s="44"/>
      <c r="G31" s="44"/>
      <c r="H31" s="44"/>
      <c r="I31" s="44"/>
      <c r="J31" s="44"/>
      <c r="K31" s="44"/>
      <c r="L31" s="44"/>
      <c r="M31" s="44"/>
      <c r="N31" s="44"/>
      <c r="O31" s="44"/>
    </row>
    <row r="32" spans="1:15" ht="15.75" customHeight="1" x14ac:dyDescent="0.2">
      <c r="A32" s="44"/>
      <c r="B32" s="44"/>
      <c r="C32" s="44"/>
      <c r="D32" s="44"/>
      <c r="E32" s="44"/>
      <c r="F32" s="44"/>
      <c r="G32" s="44"/>
      <c r="H32" s="44"/>
      <c r="I32" s="44"/>
      <c r="J32" s="44"/>
      <c r="K32" s="44"/>
      <c r="L32" s="44"/>
      <c r="M32" s="44"/>
      <c r="N32" s="44"/>
      <c r="O32" s="44"/>
    </row>
    <row r="33" spans="1:15" ht="15.75" customHeight="1" x14ac:dyDescent="0.2">
      <c r="A33" s="44"/>
      <c r="B33" s="44"/>
      <c r="C33" s="44"/>
      <c r="D33" s="44"/>
      <c r="E33" s="44"/>
      <c r="F33" s="44"/>
      <c r="G33" s="44"/>
      <c r="H33" s="44"/>
      <c r="I33" s="44"/>
      <c r="J33" s="44"/>
      <c r="K33" s="44"/>
      <c r="L33" s="44"/>
      <c r="M33" s="44"/>
      <c r="N33" s="44"/>
      <c r="O33" s="44"/>
    </row>
    <row r="34" spans="1:15" ht="15.75" customHeight="1" x14ac:dyDescent="0.2">
      <c r="A34" s="44"/>
      <c r="B34" s="44"/>
      <c r="C34" s="44"/>
      <c r="D34" s="44"/>
      <c r="E34" s="44"/>
      <c r="F34" s="44"/>
      <c r="G34" s="44"/>
      <c r="H34" s="44"/>
      <c r="I34" s="44"/>
      <c r="J34" s="44"/>
      <c r="K34" s="44"/>
      <c r="L34" s="44"/>
      <c r="M34" s="44"/>
      <c r="N34" s="44"/>
      <c r="O34" s="44"/>
    </row>
    <row r="35" spans="1:15" ht="15.75" customHeight="1" x14ac:dyDescent="0.2">
      <c r="A35" s="44"/>
      <c r="B35" s="44"/>
      <c r="C35" s="44"/>
      <c r="D35" s="44"/>
      <c r="E35" s="44"/>
      <c r="F35" s="44"/>
      <c r="G35" s="44"/>
      <c r="H35" s="44"/>
      <c r="I35" s="44"/>
      <c r="J35" s="44"/>
      <c r="K35" s="44"/>
      <c r="L35" s="44"/>
      <c r="M35" s="44"/>
      <c r="N35" s="44"/>
      <c r="O35" s="44"/>
    </row>
    <row r="36" spans="1:15" ht="15.75" customHeight="1" x14ac:dyDescent="0.2">
      <c r="A36" s="44"/>
      <c r="B36" s="44"/>
      <c r="C36" s="44"/>
      <c r="D36" s="44"/>
      <c r="E36" s="44"/>
      <c r="F36" s="44"/>
      <c r="G36" s="44"/>
      <c r="H36" s="44"/>
      <c r="I36" s="44"/>
      <c r="J36" s="44"/>
      <c r="K36" s="44"/>
      <c r="L36" s="44"/>
      <c r="M36" s="44"/>
      <c r="N36" s="44"/>
      <c r="O36" s="44"/>
    </row>
    <row r="37" spans="1:15" ht="15.75" customHeight="1" x14ac:dyDescent="0.2">
      <c r="A37" s="44"/>
      <c r="B37" s="44"/>
      <c r="C37" s="44"/>
      <c r="D37" s="44"/>
      <c r="E37" s="44"/>
      <c r="F37" s="44"/>
      <c r="G37" s="44"/>
      <c r="H37" s="44"/>
      <c r="I37" s="44"/>
      <c r="J37" s="44"/>
      <c r="K37" s="44"/>
      <c r="L37" s="44"/>
      <c r="M37" s="44"/>
      <c r="N37" s="44"/>
      <c r="O37" s="44"/>
    </row>
    <row r="38" spans="1:15" ht="15.75" customHeight="1" x14ac:dyDescent="0.2">
      <c r="A38" s="44"/>
      <c r="B38" s="44"/>
      <c r="C38" s="44"/>
      <c r="D38" s="44"/>
      <c r="E38" s="44"/>
      <c r="F38" s="44"/>
      <c r="G38" s="44"/>
      <c r="H38" s="44"/>
      <c r="I38" s="44"/>
      <c r="J38" s="44"/>
      <c r="K38" s="44"/>
      <c r="L38" s="44"/>
      <c r="M38" s="44"/>
      <c r="N38" s="44"/>
      <c r="O38" s="44"/>
    </row>
    <row r="39" spans="1:15" ht="15.75" customHeight="1" x14ac:dyDescent="0.2">
      <c r="A39" s="44"/>
      <c r="B39" s="44"/>
      <c r="C39" s="44"/>
      <c r="D39" s="44"/>
      <c r="E39" s="44"/>
      <c r="F39" s="44"/>
      <c r="G39" s="44"/>
      <c r="H39" s="44"/>
      <c r="I39" s="44"/>
      <c r="J39" s="44"/>
      <c r="K39" s="44"/>
      <c r="L39" s="44"/>
      <c r="M39" s="44"/>
      <c r="N39" s="44"/>
      <c r="O39" s="44"/>
    </row>
    <row r="40" spans="1:15" ht="15.75" customHeight="1" x14ac:dyDescent="0.2">
      <c r="A40" s="44"/>
      <c r="B40" s="44"/>
      <c r="C40" s="44"/>
      <c r="D40" s="44"/>
      <c r="E40" s="44"/>
      <c r="F40" s="44"/>
      <c r="G40" s="44"/>
      <c r="H40" s="44"/>
      <c r="I40" s="44"/>
      <c r="J40" s="44"/>
      <c r="K40" s="44"/>
      <c r="L40" s="44"/>
      <c r="M40" s="44"/>
      <c r="N40" s="44"/>
      <c r="O40" s="44"/>
    </row>
    <row r="41" spans="1:15" ht="15.75" customHeight="1" x14ac:dyDescent="0.2">
      <c r="A41" s="44"/>
      <c r="B41" s="44"/>
      <c r="C41" s="44"/>
      <c r="D41" s="44"/>
      <c r="E41" s="44"/>
      <c r="F41" s="44"/>
      <c r="G41" s="44"/>
      <c r="H41" s="44"/>
      <c r="I41" s="44"/>
      <c r="J41" s="44"/>
      <c r="K41" s="44"/>
      <c r="L41" s="44"/>
      <c r="M41" s="44"/>
      <c r="N41" s="44"/>
      <c r="O41" s="44"/>
    </row>
    <row r="42" spans="1:15" ht="15.75" customHeight="1" x14ac:dyDescent="0.2">
      <c r="A42" s="44"/>
      <c r="B42" s="44"/>
      <c r="C42" s="44"/>
      <c r="D42" s="44"/>
      <c r="E42" s="44"/>
      <c r="F42" s="44"/>
      <c r="G42" s="44"/>
      <c r="H42" s="44"/>
      <c r="I42" s="44"/>
      <c r="J42" s="44"/>
      <c r="K42" s="44"/>
      <c r="L42" s="44"/>
      <c r="M42" s="44"/>
      <c r="N42" s="44"/>
      <c r="O42" s="44"/>
    </row>
    <row r="43" spans="1:15" ht="15.75" customHeight="1" x14ac:dyDescent="0.2">
      <c r="A43" s="44"/>
      <c r="B43" s="44"/>
      <c r="C43" s="44"/>
      <c r="D43" s="44"/>
      <c r="E43" s="44"/>
      <c r="F43" s="44"/>
      <c r="G43" s="44"/>
      <c r="H43" s="44"/>
      <c r="I43" s="44"/>
      <c r="J43" s="44"/>
      <c r="K43" s="44"/>
      <c r="L43" s="44"/>
      <c r="M43" s="44"/>
      <c r="N43" s="44"/>
      <c r="O43" s="44"/>
    </row>
    <row r="44" spans="1:15" ht="15.75" customHeight="1" x14ac:dyDescent="0.2">
      <c r="A44" s="44"/>
      <c r="B44" s="44"/>
      <c r="C44" s="44"/>
      <c r="D44" s="44"/>
      <c r="E44" s="44"/>
      <c r="F44" s="44"/>
      <c r="G44" s="44"/>
      <c r="H44" s="44"/>
      <c r="I44" s="44"/>
      <c r="J44" s="44"/>
      <c r="K44" s="44"/>
      <c r="L44" s="44"/>
      <c r="M44" s="44"/>
      <c r="N44" s="44"/>
      <c r="O44" s="44"/>
    </row>
    <row r="45" spans="1:15" ht="15.75" customHeight="1" x14ac:dyDescent="0.2">
      <c r="A45" s="44"/>
      <c r="B45" s="44"/>
      <c r="C45" s="44"/>
      <c r="D45" s="44"/>
      <c r="E45" s="44"/>
      <c r="F45" s="44"/>
      <c r="G45" s="44"/>
      <c r="H45" s="44"/>
      <c r="I45" s="44"/>
      <c r="J45" s="44"/>
      <c r="K45" s="44"/>
      <c r="L45" s="44"/>
      <c r="M45" s="44"/>
      <c r="N45" s="44"/>
      <c r="O45" s="44"/>
    </row>
    <row r="46" spans="1:15" ht="15.75" customHeight="1" x14ac:dyDescent="0.2">
      <c r="A46" s="44"/>
      <c r="B46" s="44"/>
      <c r="C46" s="44"/>
      <c r="D46" s="44"/>
      <c r="E46" s="44"/>
      <c r="F46" s="44"/>
      <c r="G46" s="44"/>
      <c r="H46" s="44"/>
      <c r="I46" s="44"/>
      <c r="J46" s="44"/>
      <c r="K46" s="44"/>
      <c r="L46" s="44"/>
      <c r="M46" s="44"/>
      <c r="N46" s="44"/>
      <c r="O46" s="44"/>
    </row>
    <row r="47" spans="1:15" ht="15.75" customHeight="1" x14ac:dyDescent="0.2">
      <c r="A47" s="44"/>
      <c r="B47" s="44"/>
      <c r="C47" s="44"/>
      <c r="D47" s="44"/>
      <c r="E47" s="44"/>
      <c r="F47" s="44"/>
      <c r="G47" s="44"/>
      <c r="H47" s="44"/>
      <c r="I47" s="44"/>
      <c r="J47" s="44"/>
      <c r="K47" s="44"/>
      <c r="L47" s="44"/>
      <c r="M47" s="44"/>
      <c r="N47" s="44"/>
      <c r="O47" s="44"/>
    </row>
    <row r="48" spans="1:15" ht="15.75" customHeight="1" x14ac:dyDescent="0.2">
      <c r="A48" s="44"/>
      <c r="B48" s="44"/>
      <c r="C48" s="44"/>
      <c r="D48" s="44"/>
      <c r="E48" s="44"/>
      <c r="F48" s="44"/>
      <c r="G48" s="44"/>
      <c r="H48" s="44"/>
      <c r="I48" s="44"/>
      <c r="J48" s="44"/>
      <c r="K48" s="44"/>
      <c r="L48" s="44"/>
      <c r="M48" s="44"/>
      <c r="N48" s="44"/>
      <c r="O48" s="44"/>
    </row>
    <row r="49" spans="1:15" ht="15.75" customHeight="1" x14ac:dyDescent="0.2">
      <c r="A49" s="44"/>
      <c r="B49" s="44"/>
      <c r="C49" s="44"/>
      <c r="D49" s="44"/>
      <c r="E49" s="44"/>
      <c r="F49" s="44"/>
      <c r="G49" s="44"/>
      <c r="H49" s="44"/>
      <c r="I49" s="44"/>
      <c r="J49" s="44"/>
      <c r="K49" s="44"/>
      <c r="L49" s="44"/>
      <c r="M49" s="44"/>
      <c r="N49" s="44"/>
      <c r="O49" s="44"/>
    </row>
    <row r="50" spans="1:15" ht="15.75" customHeight="1" x14ac:dyDescent="0.2">
      <c r="A50" s="44"/>
      <c r="B50" s="44"/>
      <c r="C50" s="44"/>
      <c r="D50" s="44"/>
      <c r="E50" s="44"/>
      <c r="F50" s="44"/>
      <c r="G50" s="44"/>
      <c r="H50" s="44"/>
      <c r="I50" s="44"/>
      <c r="J50" s="44"/>
      <c r="K50" s="44"/>
      <c r="L50" s="44"/>
      <c r="M50" s="44"/>
      <c r="N50" s="44"/>
      <c r="O50" s="44"/>
    </row>
    <row r="51" spans="1:15" ht="15.75" customHeight="1" x14ac:dyDescent="0.2">
      <c r="A51" s="44"/>
      <c r="B51" s="44"/>
      <c r="C51" s="44"/>
      <c r="D51" s="44"/>
      <c r="E51" s="44"/>
      <c r="F51" s="44"/>
      <c r="G51" s="44"/>
      <c r="H51" s="44"/>
      <c r="I51" s="44"/>
      <c r="J51" s="44"/>
      <c r="K51" s="44"/>
      <c r="L51" s="44"/>
      <c r="M51" s="44"/>
      <c r="N51" s="44"/>
      <c r="O51" s="44"/>
    </row>
    <row r="52" spans="1:15" ht="15.75" customHeight="1" x14ac:dyDescent="0.2">
      <c r="A52" s="44"/>
      <c r="B52" s="44"/>
      <c r="C52" s="44"/>
      <c r="D52" s="44"/>
      <c r="E52" s="44"/>
      <c r="F52" s="44"/>
      <c r="G52" s="44"/>
      <c r="H52" s="44"/>
      <c r="I52" s="44"/>
      <c r="J52" s="44"/>
      <c r="K52" s="44"/>
      <c r="L52" s="44"/>
      <c r="M52" s="44"/>
      <c r="N52" s="44"/>
      <c r="O52" s="44"/>
    </row>
    <row r="53" spans="1:15" ht="15.75" customHeight="1" x14ac:dyDescent="0.2">
      <c r="A53" s="44"/>
      <c r="B53" s="44"/>
      <c r="C53" s="44"/>
      <c r="D53" s="44"/>
      <c r="E53" s="44"/>
      <c r="F53" s="44"/>
      <c r="G53" s="44"/>
      <c r="H53" s="44"/>
      <c r="I53" s="44"/>
      <c r="J53" s="44"/>
      <c r="K53" s="44"/>
      <c r="L53" s="44"/>
      <c r="M53" s="44"/>
      <c r="N53" s="44"/>
      <c r="O53" s="44"/>
    </row>
    <row r="54" spans="1:15" ht="15.75" customHeight="1" x14ac:dyDescent="0.2">
      <c r="A54" s="44"/>
      <c r="B54" s="44"/>
      <c r="C54" s="44"/>
      <c r="D54" s="44"/>
      <c r="E54" s="44"/>
      <c r="F54" s="44"/>
      <c r="G54" s="44"/>
      <c r="H54" s="44"/>
      <c r="I54" s="44"/>
      <c r="J54" s="44"/>
      <c r="K54" s="44"/>
      <c r="L54" s="44"/>
      <c r="M54" s="44"/>
      <c r="N54" s="44"/>
      <c r="O54" s="44"/>
    </row>
    <row r="55" spans="1:15" ht="15.75" customHeight="1" x14ac:dyDescent="0.2">
      <c r="A55" s="44"/>
      <c r="B55" s="44"/>
      <c r="C55" s="44"/>
      <c r="D55" s="44"/>
      <c r="E55" s="44"/>
      <c r="F55" s="44"/>
      <c r="G55" s="44"/>
      <c r="H55" s="44"/>
      <c r="I55" s="44"/>
      <c r="J55" s="44"/>
      <c r="K55" s="44"/>
      <c r="L55" s="44"/>
      <c r="M55" s="44"/>
      <c r="N55" s="44"/>
      <c r="O55" s="44"/>
    </row>
    <row r="56" spans="1:15" ht="15.75" customHeight="1" x14ac:dyDescent="0.2">
      <c r="A56" s="44"/>
      <c r="B56" s="44"/>
      <c r="C56" s="44"/>
      <c r="D56" s="44"/>
      <c r="E56" s="44"/>
      <c r="F56" s="44"/>
      <c r="G56" s="44"/>
      <c r="H56" s="44"/>
      <c r="I56" s="44"/>
      <c r="J56" s="44"/>
      <c r="K56" s="44"/>
      <c r="L56" s="44"/>
      <c r="M56" s="44"/>
      <c r="N56" s="44"/>
      <c r="O56" s="44"/>
    </row>
    <row r="57" spans="1:15" ht="15.75" customHeight="1" x14ac:dyDescent="0.2">
      <c r="A57" s="44"/>
      <c r="B57" s="44"/>
      <c r="C57" s="44"/>
      <c r="D57" s="44"/>
      <c r="E57" s="44"/>
      <c r="F57" s="44"/>
      <c r="G57" s="44"/>
      <c r="H57" s="44"/>
      <c r="I57" s="44"/>
      <c r="J57" s="44"/>
      <c r="K57" s="44"/>
      <c r="L57" s="44"/>
      <c r="M57" s="44"/>
      <c r="N57" s="44"/>
      <c r="O57" s="44"/>
    </row>
    <row r="58" spans="1:15" ht="15.75" customHeight="1" x14ac:dyDescent="0.2">
      <c r="A58" s="44"/>
      <c r="B58" s="44"/>
      <c r="C58" s="44"/>
      <c r="D58" s="44"/>
      <c r="E58" s="44"/>
      <c r="F58" s="44"/>
      <c r="G58" s="44"/>
      <c r="H58" s="44"/>
      <c r="I58" s="44"/>
      <c r="J58" s="44"/>
      <c r="K58" s="44"/>
      <c r="L58" s="44"/>
      <c r="M58" s="44"/>
      <c r="N58" s="44"/>
      <c r="O58" s="44"/>
    </row>
    <row r="59" spans="1:15" ht="15.75" customHeight="1" x14ac:dyDescent="0.2">
      <c r="A59" s="44"/>
      <c r="B59" s="44"/>
      <c r="C59" s="44"/>
      <c r="D59" s="44"/>
      <c r="E59" s="44"/>
      <c r="F59" s="44"/>
      <c r="G59" s="44"/>
      <c r="H59" s="44"/>
      <c r="I59" s="44"/>
      <c r="J59" s="44"/>
      <c r="K59" s="44"/>
      <c r="L59" s="44"/>
      <c r="M59" s="44"/>
      <c r="N59" s="44"/>
      <c r="O59" s="44"/>
    </row>
    <row r="60" spans="1:15" ht="15.75" customHeight="1" x14ac:dyDescent="0.2">
      <c r="A60" s="44"/>
      <c r="B60" s="44"/>
      <c r="C60" s="44"/>
      <c r="D60" s="44"/>
      <c r="E60" s="44"/>
      <c r="F60" s="44"/>
      <c r="G60" s="44"/>
      <c r="H60" s="44"/>
      <c r="I60" s="44"/>
      <c r="J60" s="44"/>
      <c r="K60" s="44"/>
      <c r="L60" s="44"/>
      <c r="M60" s="44"/>
      <c r="N60" s="44"/>
      <c r="O60" s="44"/>
    </row>
    <row r="61" spans="1:15" ht="15.75" customHeight="1" x14ac:dyDescent="0.2">
      <c r="A61" s="44"/>
      <c r="B61" s="44"/>
      <c r="C61" s="44"/>
      <c r="D61" s="44"/>
      <c r="E61" s="44"/>
      <c r="F61" s="44"/>
      <c r="G61" s="44"/>
      <c r="H61" s="44"/>
      <c r="I61" s="44"/>
      <c r="J61" s="44"/>
      <c r="K61" s="44"/>
      <c r="L61" s="44"/>
      <c r="M61" s="44"/>
      <c r="N61" s="44"/>
      <c r="O61" s="44"/>
    </row>
    <row r="62" spans="1:15" ht="15.75" customHeight="1" x14ac:dyDescent="0.2">
      <c r="A62" s="44"/>
      <c r="B62" s="44"/>
      <c r="C62" s="44"/>
      <c r="D62" s="44"/>
      <c r="E62" s="44"/>
      <c r="F62" s="44"/>
      <c r="G62" s="44"/>
      <c r="H62" s="44"/>
      <c r="I62" s="44"/>
      <c r="J62" s="44"/>
      <c r="K62" s="44"/>
      <c r="L62" s="44"/>
      <c r="M62" s="44"/>
      <c r="N62" s="44"/>
      <c r="O62" s="44"/>
    </row>
    <row r="63" spans="1:15" ht="15.75" customHeight="1" x14ac:dyDescent="0.2">
      <c r="A63" s="44"/>
      <c r="B63" s="44"/>
      <c r="C63" s="44"/>
      <c r="D63" s="44"/>
      <c r="E63" s="44"/>
      <c r="F63" s="44"/>
      <c r="G63" s="44"/>
      <c r="H63" s="44"/>
      <c r="I63" s="44"/>
      <c r="J63" s="44"/>
      <c r="K63" s="44"/>
      <c r="L63" s="44"/>
      <c r="M63" s="44"/>
      <c r="N63" s="44"/>
      <c r="O63" s="44"/>
    </row>
    <row r="64" spans="1:15" ht="15.75" customHeight="1" x14ac:dyDescent="0.2">
      <c r="A64" s="44"/>
      <c r="B64" s="44"/>
      <c r="C64" s="44"/>
      <c r="D64" s="44"/>
      <c r="E64" s="44"/>
      <c r="F64" s="44"/>
      <c r="G64" s="44"/>
      <c r="H64" s="44"/>
      <c r="I64" s="44"/>
      <c r="J64" s="44"/>
      <c r="K64" s="44"/>
      <c r="L64" s="44"/>
      <c r="M64" s="44"/>
      <c r="N64" s="44"/>
      <c r="O64" s="44"/>
    </row>
    <row r="65" spans="1:15" ht="15.75" customHeight="1" x14ac:dyDescent="0.2">
      <c r="A65" s="44"/>
      <c r="B65" s="44"/>
      <c r="C65" s="44"/>
      <c r="D65" s="44"/>
      <c r="E65" s="44"/>
      <c r="F65" s="44"/>
      <c r="G65" s="44"/>
      <c r="H65" s="44"/>
      <c r="I65" s="44"/>
      <c r="J65" s="44"/>
      <c r="K65" s="44"/>
      <c r="L65" s="44"/>
      <c r="M65" s="44"/>
      <c r="N65" s="44"/>
      <c r="O65" s="44"/>
    </row>
    <row r="66" spans="1:15" ht="15.75" customHeight="1" x14ac:dyDescent="0.2">
      <c r="A66" s="44"/>
      <c r="B66" s="44"/>
      <c r="C66" s="44"/>
      <c r="D66" s="44"/>
      <c r="E66" s="44"/>
      <c r="F66" s="44"/>
      <c r="G66" s="44"/>
      <c r="H66" s="44"/>
      <c r="I66" s="44"/>
      <c r="J66" s="44"/>
      <c r="K66" s="44"/>
      <c r="L66" s="44"/>
      <c r="M66" s="44"/>
      <c r="N66" s="44"/>
      <c r="O66" s="44"/>
    </row>
    <row r="67" spans="1:15" ht="15.75" customHeight="1" x14ac:dyDescent="0.2">
      <c r="A67" s="44"/>
      <c r="B67" s="44"/>
      <c r="C67" s="44"/>
      <c r="D67" s="44"/>
      <c r="E67" s="44"/>
      <c r="F67" s="44"/>
      <c r="G67" s="44"/>
      <c r="H67" s="44"/>
      <c r="I67" s="44"/>
      <c r="J67" s="44"/>
      <c r="K67" s="44"/>
      <c r="L67" s="44"/>
      <c r="M67" s="44"/>
      <c r="N67" s="44"/>
      <c r="O67" s="44"/>
    </row>
    <row r="68" spans="1:15" ht="15.75" customHeight="1" x14ac:dyDescent="0.2">
      <c r="A68" s="44"/>
      <c r="B68" s="44"/>
      <c r="C68" s="44"/>
      <c r="D68" s="44"/>
      <c r="E68" s="44"/>
      <c r="F68" s="44"/>
      <c r="G68" s="44"/>
      <c r="H68" s="44"/>
      <c r="I68" s="44"/>
      <c r="J68" s="44"/>
      <c r="K68" s="44"/>
      <c r="L68" s="44"/>
      <c r="M68" s="44"/>
      <c r="N68" s="44"/>
      <c r="O68" s="44"/>
    </row>
    <row r="69" spans="1:15" ht="15.75" customHeight="1" x14ac:dyDescent="0.2">
      <c r="A69" s="44"/>
      <c r="B69" s="44"/>
      <c r="C69" s="44"/>
      <c r="D69" s="44"/>
      <c r="E69" s="44"/>
      <c r="F69" s="44"/>
      <c r="G69" s="44"/>
      <c r="H69" s="44"/>
      <c r="I69" s="44"/>
      <c r="J69" s="44"/>
      <c r="K69" s="44"/>
      <c r="L69" s="44"/>
      <c r="M69" s="44"/>
      <c r="N69" s="44"/>
      <c r="O69" s="44"/>
    </row>
    <row r="70" spans="1:15" ht="15.75" customHeight="1" x14ac:dyDescent="0.2">
      <c r="A70" s="44"/>
      <c r="B70" s="44"/>
      <c r="C70" s="44"/>
      <c r="D70" s="44"/>
      <c r="E70" s="44"/>
      <c r="F70" s="44"/>
      <c r="G70" s="44"/>
      <c r="H70" s="44"/>
      <c r="I70" s="44"/>
      <c r="J70" s="44"/>
      <c r="K70" s="44"/>
      <c r="L70" s="44"/>
      <c r="M70" s="44"/>
      <c r="N70" s="44"/>
      <c r="O70" s="44"/>
    </row>
    <row r="71" spans="1:15" ht="15.75" customHeight="1" x14ac:dyDescent="0.2">
      <c r="A71" s="44"/>
      <c r="B71" s="44"/>
      <c r="C71" s="44"/>
      <c r="D71" s="44"/>
      <c r="E71" s="44"/>
      <c r="F71" s="44"/>
      <c r="G71" s="44"/>
      <c r="H71" s="44"/>
      <c r="I71" s="44"/>
      <c r="J71" s="44"/>
      <c r="K71" s="44"/>
      <c r="L71" s="44"/>
      <c r="M71" s="44"/>
      <c r="N71" s="44"/>
      <c r="O71" s="44"/>
    </row>
    <row r="72" spans="1:15" ht="15.75" customHeight="1" x14ac:dyDescent="0.2">
      <c r="A72" s="44"/>
      <c r="B72" s="44"/>
      <c r="C72" s="44"/>
      <c r="D72" s="44"/>
      <c r="E72" s="44"/>
      <c r="F72" s="44"/>
      <c r="G72" s="44"/>
      <c r="H72" s="44"/>
      <c r="I72" s="44"/>
      <c r="J72" s="44"/>
      <c r="K72" s="44"/>
      <c r="L72" s="44"/>
      <c r="M72" s="44"/>
      <c r="N72" s="44"/>
      <c r="O72" s="44"/>
    </row>
    <row r="73" spans="1:15" ht="15.75" customHeight="1" x14ac:dyDescent="0.2">
      <c r="A73" s="44"/>
      <c r="B73" s="44"/>
      <c r="C73" s="44"/>
      <c r="D73" s="44"/>
      <c r="E73" s="44"/>
      <c r="F73" s="44"/>
      <c r="G73" s="44"/>
      <c r="H73" s="44"/>
      <c r="I73" s="44"/>
      <c r="J73" s="44"/>
      <c r="K73" s="44"/>
      <c r="L73" s="44"/>
      <c r="M73" s="44"/>
      <c r="N73" s="44"/>
      <c r="O73" s="44"/>
    </row>
    <row r="74" spans="1:15" ht="15.75" customHeight="1" x14ac:dyDescent="0.2">
      <c r="A74" s="44"/>
      <c r="B74" s="44"/>
      <c r="C74" s="44"/>
      <c r="D74" s="44"/>
      <c r="E74" s="44"/>
      <c r="F74" s="44"/>
      <c r="G74" s="44"/>
      <c r="H74" s="44"/>
      <c r="I74" s="44"/>
      <c r="J74" s="44"/>
      <c r="K74" s="44"/>
      <c r="L74" s="44"/>
      <c r="M74" s="44"/>
      <c r="N74" s="44"/>
      <c r="O74" s="44"/>
    </row>
    <row r="75" spans="1:15" ht="15.75" customHeight="1" x14ac:dyDescent="0.2">
      <c r="A75" s="44"/>
      <c r="B75" s="44"/>
      <c r="C75" s="44"/>
      <c r="D75" s="44"/>
      <c r="E75" s="44"/>
      <c r="F75" s="44"/>
      <c r="G75" s="44"/>
      <c r="H75" s="44"/>
      <c r="I75" s="44"/>
      <c r="J75" s="44"/>
      <c r="K75" s="44"/>
      <c r="L75" s="44"/>
      <c r="M75" s="44"/>
      <c r="N75" s="44"/>
      <c r="O75" s="44"/>
    </row>
    <row r="76" spans="1:15" ht="15.75" customHeight="1" x14ac:dyDescent="0.2">
      <c r="A76" s="44"/>
      <c r="B76" s="44"/>
      <c r="C76" s="44"/>
      <c r="D76" s="44"/>
      <c r="E76" s="44"/>
      <c r="F76" s="44"/>
      <c r="G76" s="44"/>
      <c r="H76" s="44"/>
      <c r="I76" s="44"/>
      <c r="J76" s="44"/>
      <c r="K76" s="44"/>
      <c r="L76" s="44"/>
      <c r="M76" s="44"/>
      <c r="N76" s="44"/>
      <c r="O76" s="44"/>
    </row>
    <row r="77" spans="1:15" ht="15.75" customHeight="1" x14ac:dyDescent="0.2">
      <c r="A77" s="44"/>
      <c r="B77" s="44"/>
      <c r="C77" s="44"/>
      <c r="D77" s="44"/>
      <c r="E77" s="44"/>
      <c r="F77" s="44"/>
      <c r="G77" s="44"/>
      <c r="H77" s="44"/>
      <c r="I77" s="44"/>
      <c r="J77" s="44"/>
      <c r="K77" s="44"/>
      <c r="L77" s="44"/>
      <c r="M77" s="44"/>
      <c r="N77" s="44"/>
      <c r="O77" s="44"/>
    </row>
    <row r="78" spans="1:15" ht="15.75" customHeight="1" x14ac:dyDescent="0.2">
      <c r="A78" s="44"/>
      <c r="B78" s="44"/>
      <c r="C78" s="44"/>
      <c r="D78" s="44"/>
      <c r="E78" s="44"/>
      <c r="F78" s="44"/>
      <c r="G78" s="44"/>
      <c r="H78" s="44"/>
      <c r="I78" s="44"/>
      <c r="J78" s="44"/>
      <c r="K78" s="44"/>
      <c r="L78" s="44"/>
      <c r="M78" s="44"/>
      <c r="N78" s="44"/>
      <c r="O78" s="44"/>
    </row>
    <row r="79" spans="1:15" ht="15.75" customHeight="1" x14ac:dyDescent="0.2">
      <c r="A79" s="44"/>
      <c r="B79" s="44"/>
      <c r="C79" s="44"/>
      <c r="D79" s="44"/>
      <c r="E79" s="44"/>
      <c r="F79" s="44"/>
      <c r="G79" s="44"/>
      <c r="H79" s="44"/>
      <c r="I79" s="44"/>
      <c r="J79" s="44"/>
      <c r="K79" s="44"/>
      <c r="L79" s="44"/>
      <c r="M79" s="44"/>
      <c r="N79" s="44"/>
      <c r="O79" s="44"/>
    </row>
    <row r="80" spans="1:15" ht="15.75" customHeight="1" x14ac:dyDescent="0.2">
      <c r="A80" s="44"/>
      <c r="B80" s="44"/>
      <c r="C80" s="44"/>
      <c r="D80" s="44"/>
      <c r="E80" s="44"/>
      <c r="F80" s="44"/>
      <c r="G80" s="44"/>
      <c r="H80" s="44"/>
      <c r="I80" s="44"/>
      <c r="J80" s="44"/>
      <c r="K80" s="44"/>
      <c r="L80" s="44"/>
      <c r="M80" s="44"/>
      <c r="N80" s="44"/>
      <c r="O80" s="44"/>
    </row>
    <row r="81" spans="1:15" ht="15.75" customHeight="1" x14ac:dyDescent="0.2">
      <c r="A81" s="44"/>
      <c r="B81" s="44"/>
      <c r="C81" s="44"/>
      <c r="D81" s="44"/>
      <c r="E81" s="44"/>
      <c r="F81" s="44"/>
      <c r="G81" s="44"/>
      <c r="H81" s="44"/>
      <c r="I81" s="44"/>
      <c r="J81" s="44"/>
      <c r="K81" s="44"/>
      <c r="L81" s="44"/>
      <c r="M81" s="44"/>
      <c r="N81" s="44"/>
      <c r="O81" s="44"/>
    </row>
    <row r="82" spans="1:15" ht="15.75" customHeight="1" x14ac:dyDescent="0.2">
      <c r="A82" s="44"/>
      <c r="B82" s="44"/>
      <c r="C82" s="44"/>
      <c r="D82" s="44"/>
      <c r="E82" s="44"/>
      <c r="F82" s="44"/>
      <c r="G82" s="44"/>
      <c r="H82" s="44"/>
      <c r="I82" s="44"/>
      <c r="J82" s="44"/>
      <c r="K82" s="44"/>
      <c r="L82" s="44"/>
      <c r="M82" s="44"/>
      <c r="N82" s="44"/>
      <c r="O82" s="44"/>
    </row>
    <row r="83" spans="1:15" ht="15.75" customHeight="1" x14ac:dyDescent="0.2">
      <c r="A83" s="44"/>
      <c r="B83" s="44"/>
      <c r="C83" s="44"/>
      <c r="D83" s="44"/>
      <c r="E83" s="44"/>
      <c r="F83" s="44"/>
      <c r="G83" s="44"/>
      <c r="H83" s="44"/>
      <c r="I83" s="44"/>
      <c r="J83" s="44"/>
      <c r="K83" s="44"/>
      <c r="L83" s="44"/>
      <c r="M83" s="44"/>
      <c r="N83" s="44"/>
      <c r="O83" s="44"/>
    </row>
    <row r="84" spans="1:15" ht="15.75" customHeight="1" x14ac:dyDescent="0.2">
      <c r="A84" s="44"/>
      <c r="B84" s="44"/>
      <c r="C84" s="44"/>
      <c r="D84" s="44"/>
      <c r="E84" s="44"/>
      <c r="F84" s="44"/>
      <c r="G84" s="44"/>
      <c r="H84" s="44"/>
      <c r="I84" s="44"/>
      <c r="J84" s="44"/>
      <c r="K84" s="44"/>
      <c r="L84" s="44"/>
      <c r="M84" s="44"/>
      <c r="N84" s="44"/>
      <c r="O84" s="44"/>
    </row>
    <row r="85" spans="1:15" ht="15.75" customHeight="1" x14ac:dyDescent="0.2">
      <c r="A85" s="44"/>
      <c r="B85" s="44"/>
      <c r="C85" s="44"/>
      <c r="D85" s="44"/>
      <c r="E85" s="44"/>
      <c r="F85" s="44"/>
      <c r="G85" s="44"/>
      <c r="H85" s="44"/>
      <c r="I85" s="44"/>
      <c r="J85" s="44"/>
      <c r="K85" s="44"/>
      <c r="L85" s="44"/>
      <c r="M85" s="44"/>
      <c r="N85" s="44"/>
      <c r="O85" s="44"/>
    </row>
    <row r="86" spans="1:15" ht="15.75" customHeight="1" x14ac:dyDescent="0.2">
      <c r="A86" s="44"/>
      <c r="B86" s="44"/>
      <c r="C86" s="44"/>
      <c r="D86" s="44"/>
      <c r="E86" s="44"/>
      <c r="F86" s="44"/>
      <c r="G86" s="44"/>
      <c r="H86" s="44"/>
      <c r="I86" s="44"/>
      <c r="J86" s="44"/>
      <c r="K86" s="44"/>
      <c r="L86" s="44"/>
      <c r="M86" s="44"/>
      <c r="N86" s="44"/>
      <c r="O86" s="44"/>
    </row>
    <row r="87" spans="1:15" ht="15.75" customHeight="1" x14ac:dyDescent="0.2">
      <c r="A87" s="44"/>
      <c r="B87" s="44"/>
      <c r="C87" s="44"/>
      <c r="D87" s="44"/>
      <c r="E87" s="44"/>
      <c r="F87" s="44"/>
      <c r="G87" s="44"/>
      <c r="H87" s="44"/>
      <c r="I87" s="44"/>
      <c r="J87" s="44"/>
      <c r="K87" s="44"/>
      <c r="L87" s="44"/>
      <c r="M87" s="44"/>
      <c r="N87" s="44"/>
      <c r="O87" s="44"/>
    </row>
    <row r="88" spans="1:15" ht="15.75" customHeight="1" x14ac:dyDescent="0.2">
      <c r="A88" s="44"/>
      <c r="B88" s="44"/>
      <c r="C88" s="44"/>
      <c r="D88" s="44"/>
      <c r="E88" s="44"/>
      <c r="F88" s="44"/>
      <c r="G88" s="44"/>
      <c r="H88" s="44"/>
      <c r="I88" s="44"/>
      <c r="J88" s="44"/>
      <c r="K88" s="44"/>
      <c r="L88" s="44"/>
      <c r="M88" s="44"/>
      <c r="N88" s="44"/>
      <c r="O88" s="44"/>
    </row>
    <row r="89" spans="1:15" ht="15.75" customHeight="1" x14ac:dyDescent="0.2">
      <c r="A89" s="44"/>
      <c r="B89" s="44"/>
      <c r="C89" s="44"/>
      <c r="D89" s="44"/>
      <c r="E89" s="44"/>
      <c r="F89" s="44"/>
      <c r="G89" s="44"/>
      <c r="H89" s="44"/>
      <c r="I89" s="44"/>
      <c r="J89" s="44"/>
      <c r="K89" s="44"/>
      <c r="L89" s="44"/>
      <c r="M89" s="44"/>
      <c r="N89" s="44"/>
      <c r="O89" s="44"/>
    </row>
    <row r="90" spans="1:15" ht="15.75" customHeight="1" x14ac:dyDescent="0.2">
      <c r="A90" s="44"/>
      <c r="B90" s="44"/>
      <c r="C90" s="44"/>
      <c r="D90" s="44"/>
      <c r="E90" s="44"/>
      <c r="F90" s="44"/>
      <c r="G90" s="44"/>
      <c r="H90" s="44"/>
      <c r="I90" s="44"/>
      <c r="J90" s="44"/>
      <c r="K90" s="44"/>
      <c r="L90" s="44"/>
      <c r="M90" s="44"/>
      <c r="N90" s="44"/>
      <c r="O90" s="44"/>
    </row>
    <row r="91" spans="1:15" ht="15.75" customHeight="1" x14ac:dyDescent="0.2">
      <c r="A91" s="44"/>
      <c r="B91" s="44"/>
      <c r="C91" s="44"/>
      <c r="D91" s="44"/>
      <c r="E91" s="44"/>
      <c r="F91" s="44"/>
      <c r="G91" s="44"/>
      <c r="H91" s="44"/>
      <c r="I91" s="44"/>
      <c r="J91" s="44"/>
      <c r="K91" s="44"/>
      <c r="L91" s="44"/>
      <c r="M91" s="44"/>
      <c r="N91" s="44"/>
      <c r="O91" s="44"/>
    </row>
    <row r="92" spans="1:15" ht="15.75" customHeight="1" x14ac:dyDescent="0.2">
      <c r="A92" s="44"/>
      <c r="B92" s="44"/>
      <c r="C92" s="44"/>
      <c r="D92" s="44"/>
      <c r="E92" s="44"/>
      <c r="F92" s="44"/>
      <c r="G92" s="44"/>
      <c r="H92" s="44"/>
      <c r="I92" s="44"/>
      <c r="J92" s="44"/>
      <c r="K92" s="44"/>
      <c r="L92" s="44"/>
      <c r="M92" s="44"/>
      <c r="N92" s="44"/>
      <c r="O92" s="44"/>
    </row>
    <row r="93" spans="1:15" ht="15.75" customHeight="1" x14ac:dyDescent="0.2">
      <c r="A93" s="44"/>
      <c r="B93" s="44"/>
      <c r="C93" s="44"/>
      <c r="D93" s="44"/>
      <c r="E93" s="44"/>
      <c r="F93" s="44"/>
      <c r="G93" s="44"/>
      <c r="H93" s="44"/>
      <c r="I93" s="44"/>
      <c r="J93" s="44"/>
      <c r="K93" s="44"/>
      <c r="L93" s="44"/>
      <c r="M93" s="44"/>
      <c r="N93" s="44"/>
      <c r="O93" s="44"/>
    </row>
    <row r="94" spans="1:15" ht="15.75" customHeight="1" x14ac:dyDescent="0.2">
      <c r="A94" s="44"/>
      <c r="B94" s="44"/>
      <c r="C94" s="44"/>
      <c r="D94" s="44"/>
      <c r="E94" s="44"/>
      <c r="F94" s="44"/>
      <c r="G94" s="44"/>
      <c r="H94" s="44"/>
      <c r="I94" s="44"/>
      <c r="J94" s="44"/>
      <c r="K94" s="44"/>
      <c r="L94" s="44"/>
      <c r="M94" s="44"/>
      <c r="N94" s="44"/>
      <c r="O94" s="44"/>
    </row>
    <row r="95" spans="1:15" ht="15.75" customHeight="1" x14ac:dyDescent="0.2">
      <c r="A95" s="44"/>
      <c r="B95" s="44"/>
      <c r="C95" s="44"/>
      <c r="D95" s="44"/>
      <c r="E95" s="44"/>
      <c r="F95" s="44"/>
      <c r="G95" s="44"/>
      <c r="H95" s="44"/>
      <c r="I95" s="44"/>
      <c r="J95" s="44"/>
      <c r="K95" s="44"/>
      <c r="L95" s="44"/>
      <c r="M95" s="44"/>
      <c r="N95" s="44"/>
      <c r="O95" s="44"/>
    </row>
    <row r="96" spans="1:15" ht="15.75" customHeight="1" x14ac:dyDescent="0.2">
      <c r="A96" s="44"/>
      <c r="B96" s="44"/>
      <c r="C96" s="44"/>
      <c r="D96" s="44"/>
      <c r="E96" s="44"/>
      <c r="F96" s="44"/>
      <c r="G96" s="44"/>
      <c r="H96" s="44"/>
      <c r="I96" s="44"/>
      <c r="J96" s="44"/>
      <c r="K96" s="44"/>
      <c r="L96" s="44"/>
      <c r="M96" s="44"/>
      <c r="N96" s="44"/>
      <c r="O96" s="44"/>
    </row>
    <row r="97" spans="1:15" ht="15.75" customHeight="1" x14ac:dyDescent="0.2">
      <c r="A97" s="44"/>
      <c r="B97" s="44"/>
      <c r="C97" s="44"/>
      <c r="D97" s="44"/>
      <c r="E97" s="44"/>
      <c r="F97" s="44"/>
      <c r="G97" s="44"/>
      <c r="H97" s="44"/>
      <c r="I97" s="44"/>
      <c r="J97" s="44"/>
      <c r="K97" s="44"/>
      <c r="L97" s="44"/>
      <c r="M97" s="44"/>
      <c r="N97" s="44"/>
      <c r="O97" s="44"/>
    </row>
    <row r="98" spans="1:15" ht="15.75" customHeight="1" x14ac:dyDescent="0.2">
      <c r="A98" s="44"/>
      <c r="B98" s="44"/>
      <c r="C98" s="44"/>
      <c r="D98" s="44"/>
      <c r="E98" s="44"/>
      <c r="F98" s="44"/>
      <c r="G98" s="44"/>
      <c r="H98" s="44"/>
      <c r="I98" s="44"/>
      <c r="J98" s="44"/>
      <c r="K98" s="44"/>
      <c r="L98" s="44"/>
      <c r="M98" s="44"/>
      <c r="N98" s="44"/>
      <c r="O98" s="44"/>
    </row>
    <row r="99" spans="1:15" ht="15.75" customHeight="1" x14ac:dyDescent="0.2">
      <c r="A99" s="44"/>
      <c r="B99" s="44"/>
      <c r="C99" s="44"/>
      <c r="D99" s="44"/>
      <c r="E99" s="44"/>
      <c r="F99" s="44"/>
      <c r="G99" s="44"/>
      <c r="H99" s="44"/>
      <c r="I99" s="44"/>
      <c r="J99" s="44"/>
      <c r="K99" s="44"/>
      <c r="L99" s="44"/>
      <c r="M99" s="44"/>
      <c r="N99" s="44"/>
      <c r="O99" s="44"/>
    </row>
    <row r="100" spans="1:15" ht="15.75" customHeight="1" x14ac:dyDescent="0.2">
      <c r="A100" s="44"/>
      <c r="B100" s="44"/>
      <c r="C100" s="44"/>
      <c r="D100" s="44"/>
      <c r="E100" s="44"/>
      <c r="F100" s="44"/>
      <c r="G100" s="44"/>
      <c r="H100" s="44"/>
      <c r="I100" s="44"/>
      <c r="J100" s="44"/>
      <c r="K100" s="44"/>
      <c r="L100" s="44"/>
      <c r="M100" s="44"/>
      <c r="N100" s="44"/>
      <c r="O100" s="44"/>
    </row>
  </sheetData>
  <scenarios current="0" sqref="O13">
    <scenario name="Total_Capacity" locked="1" count="2" user="Aabhas Basnet" comment="Created by Aabhas Basnet on 04/12/2024">
      <inputCells r="O2" val="1" numFmtId="9"/>
      <inputCells r="O4" val="1.6"/>
    </scenario>
  </scenarios>
  <mergeCells count="2">
    <mergeCell ref="B2:J13"/>
    <mergeCell ref="B15:J15"/>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B2:J100"/>
  <sheetViews>
    <sheetView showGridLines="0" workbookViewId="0">
      <selection activeCell="E29" sqref="E29"/>
    </sheetView>
  </sheetViews>
  <sheetFormatPr baseColWidth="10" defaultColWidth="14.5" defaultRowHeight="15" customHeight="1" outlineLevelRow="1" outlineLevelCol="1" x14ac:dyDescent="0.2"/>
  <cols>
    <col min="1" max="2" width="11.5" customWidth="1"/>
    <col min="3" max="3" width="15.83203125" customWidth="1"/>
    <col min="4" max="10" width="12.1640625" customWidth="1" outlineLevel="1"/>
  </cols>
  <sheetData>
    <row r="2" spans="2:10" ht="16" x14ac:dyDescent="0.2">
      <c r="B2" s="76" t="s">
        <v>248</v>
      </c>
      <c r="C2" s="76"/>
      <c r="D2" s="77"/>
      <c r="E2" s="77"/>
      <c r="F2" s="77"/>
      <c r="G2" s="77"/>
      <c r="H2" s="77"/>
      <c r="I2" s="77"/>
      <c r="J2" s="77"/>
    </row>
    <row r="3" spans="2:10" ht="16" collapsed="1" x14ac:dyDescent="0.2">
      <c r="B3" s="78"/>
      <c r="C3" s="78"/>
      <c r="D3" s="79" t="s">
        <v>249</v>
      </c>
      <c r="E3" s="79" t="s">
        <v>250</v>
      </c>
      <c r="F3" s="79" t="s">
        <v>251</v>
      </c>
      <c r="G3" s="79" t="s">
        <v>252</v>
      </c>
      <c r="H3" s="79" t="s">
        <v>253</v>
      </c>
      <c r="I3" s="79" t="s">
        <v>254</v>
      </c>
      <c r="J3" s="79" t="s">
        <v>255</v>
      </c>
    </row>
    <row r="4" spans="2:10" ht="120" hidden="1" outlineLevel="1" x14ac:dyDescent="0.2">
      <c r="B4" s="80"/>
      <c r="C4" s="80"/>
      <c r="E4" s="81" t="s">
        <v>256</v>
      </c>
      <c r="F4" s="81" t="s">
        <v>257</v>
      </c>
      <c r="G4" s="81" t="s">
        <v>257</v>
      </c>
      <c r="H4" s="81" t="s">
        <v>257</v>
      </c>
      <c r="I4" s="81" t="s">
        <v>257</v>
      </c>
      <c r="J4" s="81" t="s">
        <v>257</v>
      </c>
    </row>
    <row r="5" spans="2:10" x14ac:dyDescent="0.2">
      <c r="B5" s="82" t="s">
        <v>258</v>
      </c>
      <c r="C5" s="82"/>
      <c r="D5" s="83"/>
      <c r="E5" s="83"/>
      <c r="F5" s="83"/>
      <c r="G5" s="83"/>
      <c r="H5" s="83"/>
      <c r="I5" s="83"/>
      <c r="J5" s="83"/>
    </row>
    <row r="6" spans="2:10" outlineLevel="1" x14ac:dyDescent="0.2">
      <c r="B6" s="80"/>
      <c r="C6" s="80" t="s">
        <v>54</v>
      </c>
      <c r="D6" s="40">
        <v>1</v>
      </c>
      <c r="E6" s="84">
        <v>0.5</v>
      </c>
      <c r="F6" s="84">
        <v>0.6</v>
      </c>
      <c r="G6" s="84">
        <v>0.7</v>
      </c>
      <c r="H6" s="84">
        <v>0.8</v>
      </c>
      <c r="I6" s="84">
        <v>0.9</v>
      </c>
      <c r="J6" s="84">
        <v>1</v>
      </c>
    </row>
    <row r="7" spans="2:10" outlineLevel="1" x14ac:dyDescent="0.2">
      <c r="B7" s="80"/>
      <c r="C7" s="80" t="s">
        <v>259</v>
      </c>
      <c r="D7">
        <v>1.6</v>
      </c>
      <c r="E7" s="85">
        <v>2</v>
      </c>
      <c r="F7" s="85">
        <v>1.9</v>
      </c>
      <c r="G7" s="85">
        <v>1.85</v>
      </c>
      <c r="H7" s="85">
        <v>1.8</v>
      </c>
      <c r="I7" s="85">
        <v>1.7</v>
      </c>
      <c r="J7" s="85">
        <v>1.6</v>
      </c>
    </row>
    <row r="8" spans="2:10" x14ac:dyDescent="0.2">
      <c r="B8" s="82" t="s">
        <v>260</v>
      </c>
      <c r="C8" s="82"/>
      <c r="D8" s="83"/>
      <c r="E8" s="83"/>
      <c r="F8" s="83"/>
      <c r="G8" s="83"/>
      <c r="H8" s="83"/>
      <c r="I8" s="83"/>
      <c r="J8" s="83"/>
    </row>
    <row r="9" spans="2:10" outlineLevel="1" x14ac:dyDescent="0.2">
      <c r="B9" s="80"/>
      <c r="C9" s="80" t="s">
        <v>261</v>
      </c>
      <c r="D9">
        <v>50000</v>
      </c>
      <c r="E9">
        <v>50000</v>
      </c>
      <c r="F9">
        <v>50000</v>
      </c>
      <c r="G9">
        <v>50000</v>
      </c>
      <c r="H9">
        <v>50000</v>
      </c>
      <c r="I9">
        <v>50000</v>
      </c>
      <c r="J9">
        <v>50000</v>
      </c>
    </row>
    <row r="10" spans="2:10" outlineLevel="1" x14ac:dyDescent="0.2">
      <c r="B10" s="80"/>
      <c r="C10" s="80" t="s">
        <v>54</v>
      </c>
      <c r="D10" s="40">
        <v>1</v>
      </c>
      <c r="E10" s="40">
        <v>0.5</v>
      </c>
      <c r="F10" s="40">
        <v>0.6</v>
      </c>
      <c r="G10" s="40">
        <v>0.7</v>
      </c>
      <c r="H10" s="40">
        <v>0.8</v>
      </c>
      <c r="I10" s="40">
        <v>0.9</v>
      </c>
      <c r="J10" s="40">
        <v>1</v>
      </c>
    </row>
    <row r="11" spans="2:10" outlineLevel="1" x14ac:dyDescent="0.2">
      <c r="B11" s="80"/>
      <c r="C11" s="80" t="s">
        <v>13</v>
      </c>
      <c r="D11">
        <v>50000</v>
      </c>
      <c r="E11">
        <v>25000</v>
      </c>
      <c r="F11">
        <v>30000</v>
      </c>
      <c r="G11">
        <v>35000</v>
      </c>
      <c r="H11">
        <v>40000</v>
      </c>
      <c r="I11">
        <v>45000</v>
      </c>
      <c r="J11">
        <v>50000</v>
      </c>
    </row>
    <row r="12" spans="2:10" outlineLevel="1" x14ac:dyDescent="0.2">
      <c r="B12" s="80"/>
      <c r="C12" s="80" t="s">
        <v>259</v>
      </c>
      <c r="D12">
        <v>1.6</v>
      </c>
      <c r="E12">
        <v>2</v>
      </c>
      <c r="F12">
        <v>1.9</v>
      </c>
      <c r="G12">
        <v>1.85</v>
      </c>
      <c r="H12">
        <v>1.8</v>
      </c>
      <c r="I12">
        <v>1.7</v>
      </c>
      <c r="J12">
        <v>1.6</v>
      </c>
    </row>
    <row r="13" spans="2:10" outlineLevel="1" x14ac:dyDescent="0.2">
      <c r="B13" s="80"/>
      <c r="C13" s="80" t="s">
        <v>262</v>
      </c>
      <c r="D13">
        <v>1</v>
      </c>
      <c r="E13">
        <v>1</v>
      </c>
      <c r="F13">
        <v>1</v>
      </c>
      <c r="G13">
        <v>1</v>
      </c>
      <c r="H13">
        <v>1</v>
      </c>
      <c r="I13">
        <v>1</v>
      </c>
      <c r="J13">
        <v>1</v>
      </c>
    </row>
    <row r="14" spans="2:10" outlineLevel="1" x14ac:dyDescent="0.2">
      <c r="B14" s="80"/>
      <c r="C14" s="80" t="s">
        <v>12</v>
      </c>
      <c r="D14">
        <v>0.6</v>
      </c>
      <c r="E14">
        <v>1</v>
      </c>
      <c r="F14">
        <v>0.9</v>
      </c>
      <c r="G14">
        <v>0.85</v>
      </c>
      <c r="H14">
        <v>0.8</v>
      </c>
      <c r="I14">
        <v>0.7</v>
      </c>
      <c r="J14">
        <v>0.6</v>
      </c>
    </row>
    <row r="15" spans="2:10" outlineLevel="1" x14ac:dyDescent="0.2">
      <c r="B15" s="80"/>
      <c r="C15" s="80" t="s">
        <v>263</v>
      </c>
      <c r="D15">
        <v>30000</v>
      </c>
      <c r="E15">
        <v>25000</v>
      </c>
      <c r="F15">
        <v>27000</v>
      </c>
      <c r="G15">
        <v>29750</v>
      </c>
      <c r="H15">
        <v>32000</v>
      </c>
      <c r="I15">
        <v>31500</v>
      </c>
      <c r="J15">
        <v>30000</v>
      </c>
    </row>
    <row r="16" spans="2:10" outlineLevel="1" x14ac:dyDescent="0.2">
      <c r="B16" s="80"/>
      <c r="C16" s="80" t="s">
        <v>264</v>
      </c>
      <c r="D16">
        <v>20000</v>
      </c>
      <c r="E16">
        <v>20000</v>
      </c>
      <c r="F16">
        <v>20000</v>
      </c>
      <c r="G16">
        <v>20000</v>
      </c>
      <c r="H16">
        <v>20000</v>
      </c>
      <c r="I16">
        <v>20000</v>
      </c>
      <c r="J16">
        <v>20000</v>
      </c>
    </row>
    <row r="17" spans="2:10" outlineLevel="1" x14ac:dyDescent="0.2">
      <c r="B17" s="80"/>
      <c r="C17" s="80" t="s">
        <v>16</v>
      </c>
      <c r="D17">
        <v>10000</v>
      </c>
      <c r="E17">
        <v>5000</v>
      </c>
      <c r="F17">
        <v>7000</v>
      </c>
      <c r="G17">
        <v>9750</v>
      </c>
      <c r="H17">
        <v>12000</v>
      </c>
      <c r="I17">
        <v>11500</v>
      </c>
      <c r="J17">
        <v>10000</v>
      </c>
    </row>
    <row r="18" spans="2:10" outlineLevel="1" x14ac:dyDescent="0.2">
      <c r="B18" s="80"/>
      <c r="C18" s="80" t="s">
        <v>265</v>
      </c>
      <c r="D18">
        <v>0.375</v>
      </c>
      <c r="E18">
        <v>0.5</v>
      </c>
      <c r="F18">
        <v>0.47368421052631599</v>
      </c>
      <c r="G18">
        <v>0.45945945945945899</v>
      </c>
      <c r="H18">
        <v>0.44444444444444398</v>
      </c>
      <c r="I18">
        <v>0.41176470588235298</v>
      </c>
      <c r="J18">
        <v>0.375</v>
      </c>
    </row>
    <row r="19" spans="2:10" outlineLevel="1" x14ac:dyDescent="0.2">
      <c r="B19" s="80"/>
      <c r="C19" s="80" t="s">
        <v>266</v>
      </c>
      <c r="D19">
        <v>33333.333333333299</v>
      </c>
      <c r="E19">
        <v>20000</v>
      </c>
      <c r="F19">
        <v>22222.222222222201</v>
      </c>
      <c r="G19">
        <v>23529.411764705899</v>
      </c>
      <c r="H19">
        <v>25000</v>
      </c>
      <c r="I19">
        <v>28571.428571428602</v>
      </c>
      <c r="J19">
        <v>33333.333333333299</v>
      </c>
    </row>
    <row r="20" spans="2:10" outlineLevel="1" x14ac:dyDescent="0.2">
      <c r="B20" s="80"/>
      <c r="C20" s="80" t="s">
        <v>267</v>
      </c>
      <c r="D20">
        <v>53333.333333333299</v>
      </c>
      <c r="E20">
        <v>40000</v>
      </c>
      <c r="F20">
        <v>42222.222222222197</v>
      </c>
      <c r="G20">
        <v>43529.411764705903</v>
      </c>
      <c r="H20">
        <v>45000</v>
      </c>
      <c r="I20">
        <v>48571.428571428602</v>
      </c>
      <c r="J20">
        <v>53333.333333333299</v>
      </c>
    </row>
    <row r="21" spans="2:10" ht="15.75" customHeight="1" outlineLevel="1" x14ac:dyDescent="0.2">
      <c r="B21" s="86"/>
      <c r="C21" s="86" t="s">
        <v>268</v>
      </c>
      <c r="D21" s="87">
        <v>26666.666666666701</v>
      </c>
      <c r="E21" s="87">
        <v>10000</v>
      </c>
      <c r="F21" s="87">
        <v>14777.777777777799</v>
      </c>
      <c r="G21" s="87">
        <v>21220.588235294101</v>
      </c>
      <c r="H21" s="87">
        <v>27000</v>
      </c>
      <c r="I21" s="87">
        <v>27928.571428571398</v>
      </c>
      <c r="J21" s="87">
        <v>26666.666666666701</v>
      </c>
    </row>
    <row r="22" spans="2:10" ht="15.75" customHeight="1" x14ac:dyDescent="0.2">
      <c r="B22" t="s">
        <v>269</v>
      </c>
    </row>
    <row r="23" spans="2:10" ht="15.75" customHeight="1" x14ac:dyDescent="0.2">
      <c r="B23" t="s">
        <v>270</v>
      </c>
    </row>
    <row r="24" spans="2:10" ht="15.75" customHeight="1" x14ac:dyDescent="0.2">
      <c r="B24" t="s">
        <v>271</v>
      </c>
    </row>
    <row r="25" spans="2:10" ht="15.75" customHeight="1" x14ac:dyDescent="0.2"/>
    <row r="26" spans="2:10" ht="15.75" customHeight="1" x14ac:dyDescent="0.2"/>
    <row r="27" spans="2:10" ht="15.75" customHeight="1" x14ac:dyDescent="0.2"/>
    <row r="28" spans="2:10" ht="15.75" customHeight="1" x14ac:dyDescent="0.2"/>
    <row r="29" spans="2:10" ht="15.75" customHeight="1" x14ac:dyDescent="0.2"/>
    <row r="30" spans="2:10" ht="15.75" customHeight="1" x14ac:dyDescent="0.2"/>
    <row r="31" spans="2:10" ht="15.75" customHeight="1" x14ac:dyDescent="0.2"/>
    <row r="32" spans="2:10"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00"/>
  <sheetViews>
    <sheetView tabSelected="1" workbookViewId="0"/>
  </sheetViews>
  <sheetFormatPr baseColWidth="10" defaultColWidth="14.5" defaultRowHeight="15" customHeight="1" x14ac:dyDescent="0.2"/>
  <cols>
    <col min="1" max="1" width="22.1640625" customWidth="1"/>
    <col min="2" max="2" width="11.83203125" customWidth="1"/>
    <col min="3" max="3" width="12.33203125" customWidth="1"/>
    <col min="4" max="4" width="37.33203125" customWidth="1"/>
    <col min="5" max="7" width="11.5" customWidth="1"/>
  </cols>
  <sheetData>
    <row r="1" spans="1:7" ht="21" x14ac:dyDescent="0.25">
      <c r="A1" s="88" t="s">
        <v>272</v>
      </c>
      <c r="B1" s="88"/>
      <c r="C1" s="88"/>
      <c r="D1" s="88"/>
    </row>
    <row r="2" spans="1:7" ht="21" x14ac:dyDescent="0.25">
      <c r="A2" s="88"/>
      <c r="B2" s="88"/>
      <c r="C2" s="88"/>
      <c r="D2" s="88"/>
    </row>
    <row r="3" spans="1:7" ht="51" customHeight="1" x14ac:dyDescent="0.25">
      <c r="A3" s="88" t="s">
        <v>56</v>
      </c>
      <c r="B3" s="88">
        <v>22</v>
      </c>
      <c r="C3" s="88"/>
      <c r="D3" s="88" t="s">
        <v>273</v>
      </c>
    </row>
    <row r="4" spans="1:7" ht="51" customHeight="1" x14ac:dyDescent="0.25">
      <c r="A4" s="88" t="s">
        <v>232</v>
      </c>
      <c r="B4" s="88">
        <f>B3*0.4</f>
        <v>8.8000000000000007</v>
      </c>
      <c r="C4" s="88"/>
      <c r="D4" s="88" t="s">
        <v>274</v>
      </c>
    </row>
    <row r="5" spans="1:7" ht="51" customHeight="1" x14ac:dyDescent="0.25">
      <c r="A5" s="88" t="s">
        <v>12</v>
      </c>
      <c r="B5" s="88">
        <f>B3-B4</f>
        <v>13.2</v>
      </c>
      <c r="C5" s="88"/>
      <c r="D5" s="88"/>
    </row>
    <row r="6" spans="1:7" ht="51" customHeight="1" x14ac:dyDescent="0.25">
      <c r="A6" s="88" t="s">
        <v>13</v>
      </c>
      <c r="B6" s="88">
        <v>14998</v>
      </c>
      <c r="C6" s="88"/>
      <c r="D6" s="88" t="s">
        <v>275</v>
      </c>
      <c r="G6" s="44"/>
    </row>
    <row r="7" spans="1:7" ht="51" customHeight="1" x14ac:dyDescent="0.25">
      <c r="A7" s="88" t="s">
        <v>14</v>
      </c>
      <c r="B7" s="88">
        <f>B5*B6</f>
        <v>197973.59999999998</v>
      </c>
      <c r="C7" s="88"/>
      <c r="D7" s="88"/>
      <c r="G7" s="44"/>
    </row>
    <row r="8" spans="1:7" ht="51" customHeight="1" x14ac:dyDescent="0.25">
      <c r="A8" s="88" t="s">
        <v>233</v>
      </c>
      <c r="B8" s="88">
        <v>150000</v>
      </c>
      <c r="C8" s="88"/>
      <c r="D8" s="88"/>
    </row>
    <row r="9" spans="1:7" ht="51" customHeight="1" x14ac:dyDescent="0.25">
      <c r="A9" s="88" t="s">
        <v>16</v>
      </c>
      <c r="B9" s="88">
        <f>B7-B8</f>
        <v>47973.599999999977</v>
      </c>
      <c r="C9" s="88"/>
      <c r="D9" s="88"/>
    </row>
    <row r="10" spans="1:7" ht="21" x14ac:dyDescent="0.25">
      <c r="A10" s="88"/>
      <c r="B10" s="88"/>
      <c r="C10" s="88"/>
      <c r="D10" s="88"/>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P100"/>
  <sheetViews>
    <sheetView workbookViewId="0">
      <selection activeCell="O18" sqref="O18"/>
    </sheetView>
  </sheetViews>
  <sheetFormatPr baseColWidth="10" defaultColWidth="14.5" defaultRowHeight="15" customHeight="1" x14ac:dyDescent="0.2"/>
  <cols>
    <col min="1" max="1" width="8.83203125" customWidth="1"/>
    <col min="2" max="2" width="10.83203125" customWidth="1"/>
    <col min="3" max="3" width="11.6640625" customWidth="1"/>
    <col min="4" max="4" width="10.5" customWidth="1"/>
    <col min="5" max="5" width="12.6640625" customWidth="1"/>
    <col min="6" max="6" width="11.1640625" customWidth="1"/>
    <col min="7" max="7" width="11.5" customWidth="1"/>
    <col min="8" max="8" width="8.83203125" customWidth="1"/>
    <col min="9" max="9" width="11.33203125" customWidth="1"/>
    <col min="10" max="10" width="10.33203125" customWidth="1"/>
    <col min="11" max="11" width="8.83203125" customWidth="1"/>
    <col min="12" max="12" width="17" customWidth="1"/>
    <col min="13" max="13" width="11" customWidth="1"/>
    <col min="14" max="14" width="11.5" customWidth="1"/>
    <col min="15" max="16" width="8.83203125" customWidth="1"/>
  </cols>
  <sheetData>
    <row r="2" spans="2:16" x14ac:dyDescent="0.2">
      <c r="B2" s="107" t="s">
        <v>49</v>
      </c>
      <c r="C2" s="108"/>
      <c r="D2" s="108"/>
      <c r="E2" s="108"/>
      <c r="F2" s="108"/>
      <c r="G2" s="108"/>
      <c r="H2" s="108"/>
      <c r="I2" s="108"/>
      <c r="J2" s="109"/>
      <c r="L2" s="126" t="s">
        <v>50</v>
      </c>
      <c r="M2" s="127"/>
    </row>
    <row r="3" spans="2:16" x14ac:dyDescent="0.2">
      <c r="B3" s="110"/>
      <c r="C3" s="111"/>
      <c r="D3" s="111"/>
      <c r="E3" s="111"/>
      <c r="F3" s="111"/>
      <c r="G3" s="111"/>
      <c r="H3" s="111"/>
      <c r="I3" s="111"/>
      <c r="J3" s="112"/>
      <c r="L3" s="29" t="s">
        <v>51</v>
      </c>
      <c r="M3" s="29" t="s">
        <v>52</v>
      </c>
      <c r="N3" s="29" t="s">
        <v>53</v>
      </c>
      <c r="O3" s="2"/>
      <c r="P3" s="2"/>
    </row>
    <row r="4" spans="2:16" x14ac:dyDescent="0.2">
      <c r="B4" s="110"/>
      <c r="C4" s="111"/>
      <c r="D4" s="111"/>
      <c r="E4" s="111"/>
      <c r="F4" s="111"/>
      <c r="G4" s="111"/>
      <c r="H4" s="111"/>
      <c r="I4" s="111"/>
      <c r="J4" s="112"/>
      <c r="L4" s="2" t="s">
        <v>54</v>
      </c>
      <c r="M4" s="30">
        <v>0.6</v>
      </c>
      <c r="N4" s="30">
        <v>0.6</v>
      </c>
      <c r="O4" s="30">
        <v>0.2</v>
      </c>
      <c r="P4" s="2"/>
    </row>
    <row r="5" spans="2:16" x14ac:dyDescent="0.2">
      <c r="B5" s="110"/>
      <c r="C5" s="111"/>
      <c r="D5" s="111"/>
      <c r="E5" s="111"/>
      <c r="F5" s="111"/>
      <c r="G5" s="111"/>
      <c r="H5" s="111"/>
      <c r="I5" s="111"/>
      <c r="J5" s="112"/>
      <c r="L5" s="2" t="s">
        <v>55</v>
      </c>
      <c r="M5" s="2">
        <v>60000</v>
      </c>
      <c r="N5" s="2">
        <v>60000</v>
      </c>
      <c r="O5" s="2">
        <f>N5/N4*O4</f>
        <v>20000</v>
      </c>
      <c r="P5" s="2"/>
    </row>
    <row r="6" spans="2:16" x14ac:dyDescent="0.2">
      <c r="B6" s="110"/>
      <c r="C6" s="111"/>
      <c r="D6" s="111"/>
      <c r="E6" s="111"/>
      <c r="F6" s="111"/>
      <c r="G6" s="111"/>
      <c r="H6" s="111"/>
      <c r="I6" s="111"/>
      <c r="J6" s="112"/>
      <c r="L6" s="2" t="s">
        <v>56</v>
      </c>
      <c r="M6" s="2">
        <v>150</v>
      </c>
      <c r="N6" s="2">
        <v>150</v>
      </c>
      <c r="O6" s="31">
        <v>105</v>
      </c>
      <c r="P6" s="2" t="s">
        <v>57</v>
      </c>
    </row>
    <row r="7" spans="2:16" x14ac:dyDescent="0.2">
      <c r="B7" s="110"/>
      <c r="C7" s="111"/>
      <c r="D7" s="111"/>
      <c r="E7" s="111"/>
      <c r="F7" s="111"/>
      <c r="G7" s="111"/>
      <c r="H7" s="111"/>
      <c r="I7" s="111"/>
      <c r="J7" s="112"/>
      <c r="L7" s="32" t="s">
        <v>58</v>
      </c>
      <c r="M7" s="2">
        <v>40</v>
      </c>
      <c r="N7" s="2">
        <f>M7*1.05</f>
        <v>42</v>
      </c>
      <c r="O7" s="2">
        <f t="shared" ref="O7:O8" si="0">N7</f>
        <v>42</v>
      </c>
      <c r="P7" s="2"/>
    </row>
    <row r="8" spans="2:16" x14ac:dyDescent="0.2">
      <c r="B8" s="110"/>
      <c r="C8" s="111"/>
      <c r="D8" s="111"/>
      <c r="E8" s="111"/>
      <c r="F8" s="111"/>
      <c r="G8" s="111"/>
      <c r="H8" s="111"/>
      <c r="I8" s="111"/>
      <c r="J8" s="112"/>
      <c r="L8" s="33" t="s">
        <v>59</v>
      </c>
      <c r="M8" s="2">
        <v>10</v>
      </c>
      <c r="N8" s="2">
        <f>M8*1.2</f>
        <v>12</v>
      </c>
      <c r="O8" s="2">
        <f t="shared" si="0"/>
        <v>12</v>
      </c>
      <c r="P8" s="2"/>
    </row>
    <row r="9" spans="2:16" x14ac:dyDescent="0.2">
      <c r="B9" s="110"/>
      <c r="C9" s="111"/>
      <c r="D9" s="111"/>
      <c r="E9" s="111"/>
      <c r="F9" s="111"/>
      <c r="G9" s="111"/>
      <c r="H9" s="111"/>
      <c r="I9" s="111"/>
      <c r="J9" s="112"/>
      <c r="L9" s="15" t="s">
        <v>60</v>
      </c>
      <c r="M9" s="2">
        <f>50*0.5</f>
        <v>25</v>
      </c>
      <c r="N9" s="2">
        <f t="shared" ref="N9:O9" si="1">M9</f>
        <v>25</v>
      </c>
      <c r="O9" s="2">
        <f t="shared" si="1"/>
        <v>25</v>
      </c>
      <c r="P9" s="2"/>
    </row>
    <row r="10" spans="2:16" x14ac:dyDescent="0.2">
      <c r="B10" s="110"/>
      <c r="C10" s="111"/>
      <c r="D10" s="111"/>
      <c r="E10" s="111"/>
      <c r="F10" s="111"/>
      <c r="G10" s="111"/>
      <c r="H10" s="111"/>
      <c r="I10" s="111"/>
      <c r="J10" s="112"/>
      <c r="L10" s="15" t="s">
        <v>61</v>
      </c>
      <c r="M10" s="2">
        <f>20*0.25</f>
        <v>5</v>
      </c>
      <c r="N10" s="2">
        <f t="shared" ref="N10:O10" si="2">M10</f>
        <v>5</v>
      </c>
      <c r="O10" s="2">
        <f t="shared" si="2"/>
        <v>5</v>
      </c>
      <c r="P10" s="2"/>
    </row>
    <row r="11" spans="2:16" x14ac:dyDescent="0.2">
      <c r="B11" s="110"/>
      <c r="C11" s="111"/>
      <c r="D11" s="111"/>
      <c r="E11" s="111"/>
      <c r="F11" s="111"/>
      <c r="G11" s="111"/>
      <c r="H11" s="111"/>
      <c r="I11" s="111"/>
      <c r="J11" s="112"/>
      <c r="L11" s="32" t="s">
        <v>62</v>
      </c>
      <c r="M11" s="2">
        <f t="shared" ref="M11:O11" si="3">SUM(M7:M10)</f>
        <v>80</v>
      </c>
      <c r="N11" s="2">
        <f t="shared" si="3"/>
        <v>84</v>
      </c>
      <c r="O11" s="2">
        <f t="shared" si="3"/>
        <v>84</v>
      </c>
      <c r="P11" s="2"/>
    </row>
    <row r="12" spans="2:16" x14ac:dyDescent="0.2">
      <c r="B12" s="110"/>
      <c r="C12" s="111"/>
      <c r="D12" s="111"/>
      <c r="E12" s="111"/>
      <c r="F12" s="111"/>
      <c r="G12" s="111"/>
      <c r="H12" s="111"/>
      <c r="I12" s="111"/>
      <c r="J12" s="112"/>
      <c r="L12" s="32" t="s">
        <v>63</v>
      </c>
      <c r="M12" s="2">
        <f t="shared" ref="M12:O12" si="4">M6-M11</f>
        <v>70</v>
      </c>
      <c r="N12" s="2">
        <f t="shared" si="4"/>
        <v>66</v>
      </c>
      <c r="O12" s="2">
        <f t="shared" si="4"/>
        <v>21</v>
      </c>
      <c r="P12" s="2"/>
    </row>
    <row r="13" spans="2:16" x14ac:dyDescent="0.2">
      <c r="B13" s="110"/>
      <c r="C13" s="111"/>
      <c r="D13" s="111"/>
      <c r="E13" s="111"/>
      <c r="F13" s="111"/>
      <c r="G13" s="111"/>
      <c r="H13" s="111"/>
      <c r="I13" s="111"/>
      <c r="J13" s="112"/>
      <c r="L13" s="34" t="s">
        <v>64</v>
      </c>
      <c r="M13" s="29">
        <f t="shared" ref="M13:O13" si="5">M5*M12</f>
        <v>4200000</v>
      </c>
      <c r="N13" s="29">
        <f t="shared" si="5"/>
        <v>3960000</v>
      </c>
      <c r="O13" s="29">
        <f t="shared" si="5"/>
        <v>420000</v>
      </c>
      <c r="P13" s="2"/>
    </row>
    <row r="14" spans="2:16" x14ac:dyDescent="0.2">
      <c r="B14" s="110"/>
      <c r="C14" s="111"/>
      <c r="D14" s="111"/>
      <c r="E14" s="111"/>
      <c r="F14" s="111"/>
      <c r="G14" s="111"/>
      <c r="H14" s="111"/>
      <c r="I14" s="111"/>
      <c r="J14" s="112"/>
      <c r="L14" s="35" t="s">
        <v>65</v>
      </c>
      <c r="M14" s="2"/>
      <c r="N14" s="2"/>
      <c r="O14" s="2"/>
      <c r="P14" s="2"/>
    </row>
    <row r="15" spans="2:16" x14ac:dyDescent="0.2">
      <c r="B15" s="113"/>
      <c r="C15" s="114"/>
      <c r="D15" s="114"/>
      <c r="E15" s="114"/>
      <c r="F15" s="114"/>
      <c r="G15" s="114"/>
      <c r="H15" s="114"/>
      <c r="I15" s="114"/>
      <c r="J15" s="115"/>
      <c r="L15" s="15" t="s">
        <v>60</v>
      </c>
      <c r="M15" s="2">
        <f>50*0.5*M5</f>
        <v>1500000</v>
      </c>
      <c r="N15" s="2">
        <f t="shared" ref="N15:N16" si="6">M15*1.1</f>
        <v>1650000.0000000002</v>
      </c>
      <c r="O15" s="2">
        <v>0</v>
      </c>
      <c r="P15" s="2"/>
    </row>
    <row r="16" spans="2:16" x14ac:dyDescent="0.2">
      <c r="L16" s="15" t="s">
        <v>61</v>
      </c>
      <c r="M16" s="2">
        <f>20*0.75*M5</f>
        <v>900000</v>
      </c>
      <c r="N16" s="2">
        <f t="shared" si="6"/>
        <v>990000.00000000012</v>
      </c>
      <c r="O16" s="2">
        <v>0</v>
      </c>
      <c r="P16" s="2"/>
    </row>
    <row r="17" spans="1:16" x14ac:dyDescent="0.2">
      <c r="A17" s="3" t="s">
        <v>18</v>
      </c>
      <c r="C17" s="120" t="s">
        <v>66</v>
      </c>
      <c r="D17" s="99"/>
      <c r="E17" s="99"/>
      <c r="F17" s="99"/>
      <c r="G17" s="100"/>
      <c r="H17" s="36"/>
      <c r="I17" s="36"/>
      <c r="L17" s="37" t="s">
        <v>67</v>
      </c>
      <c r="M17" s="2">
        <f t="shared" ref="M17:N17" si="7">SUM(M15:M16)</f>
        <v>2400000</v>
      </c>
      <c r="N17" s="2">
        <f t="shared" si="7"/>
        <v>2640000.0000000005</v>
      </c>
      <c r="O17" s="2">
        <v>0</v>
      </c>
      <c r="P17" s="2"/>
    </row>
    <row r="18" spans="1:16" x14ac:dyDescent="0.2">
      <c r="L18" s="38" t="s">
        <v>16</v>
      </c>
      <c r="M18" s="2">
        <f t="shared" ref="M18:O18" si="8">M13-M17</f>
        <v>1800000</v>
      </c>
      <c r="N18" s="2">
        <f t="shared" si="8"/>
        <v>1319999.9999999995</v>
      </c>
      <c r="O18" s="2">
        <f t="shared" si="8"/>
        <v>420000</v>
      </c>
      <c r="P18" s="2"/>
    </row>
    <row r="19" spans="1:16" x14ac:dyDescent="0.2">
      <c r="B19" s="39" t="s">
        <v>51</v>
      </c>
      <c r="C19" s="39"/>
      <c r="D19" s="39"/>
      <c r="E19" s="39" t="s">
        <v>52</v>
      </c>
      <c r="F19" s="39"/>
      <c r="G19" s="39" t="s">
        <v>53</v>
      </c>
      <c r="L19" s="2" t="s">
        <v>68</v>
      </c>
      <c r="M19" s="2"/>
      <c r="N19" s="2">
        <v>1740000</v>
      </c>
      <c r="O19" s="2"/>
      <c r="P19" s="2"/>
    </row>
    <row r="20" spans="1:16" x14ac:dyDescent="0.2">
      <c r="L20" s="2" t="s">
        <v>69</v>
      </c>
      <c r="M20" s="2"/>
      <c r="N20" s="2">
        <f>N19-N18</f>
        <v>420000.00000000047</v>
      </c>
      <c r="O20" s="2"/>
      <c r="P20" s="2"/>
    </row>
    <row r="21" spans="1:16" ht="15.75" customHeight="1" x14ac:dyDescent="0.2">
      <c r="B21" t="s">
        <v>54</v>
      </c>
      <c r="E21" s="40">
        <v>0.6</v>
      </c>
      <c r="G21" s="40">
        <v>0.6</v>
      </c>
    </row>
    <row r="22" spans="1:16" ht="15.75" customHeight="1" x14ac:dyDescent="0.2">
      <c r="B22" t="s">
        <v>55</v>
      </c>
      <c r="E22">
        <v>60000</v>
      </c>
      <c r="G22">
        <v>60000</v>
      </c>
    </row>
    <row r="23" spans="1:16" ht="15.75" customHeight="1" x14ac:dyDescent="0.2">
      <c r="B23" t="s">
        <v>56</v>
      </c>
      <c r="E23">
        <v>150</v>
      </c>
      <c r="G23">
        <v>150</v>
      </c>
    </row>
    <row r="24" spans="1:16" ht="15.75" customHeight="1" x14ac:dyDescent="0.2">
      <c r="B24" s="121" t="s">
        <v>70</v>
      </c>
      <c r="C24" s="100"/>
    </row>
    <row r="25" spans="1:16" ht="15.75" customHeight="1" x14ac:dyDescent="0.2">
      <c r="B25" s="122" t="s">
        <v>58</v>
      </c>
      <c r="C25" s="111"/>
      <c r="E25">
        <v>40</v>
      </c>
      <c r="G25">
        <f>E25*1.05</f>
        <v>42</v>
      </c>
      <c r="J25" s="36"/>
      <c r="K25" s="36"/>
      <c r="L25" s="36"/>
      <c r="M25" s="36"/>
      <c r="N25" s="36"/>
    </row>
    <row r="26" spans="1:16" ht="15.75" customHeight="1" x14ac:dyDescent="0.2">
      <c r="B26" s="116" t="s">
        <v>59</v>
      </c>
      <c r="C26" s="111"/>
      <c r="D26" s="41"/>
      <c r="E26">
        <v>10</v>
      </c>
      <c r="G26">
        <f>E26*1.2</f>
        <v>12</v>
      </c>
    </row>
    <row r="27" spans="1:16" ht="15.75" customHeight="1" x14ac:dyDescent="0.2">
      <c r="B27" s="123" t="s">
        <v>60</v>
      </c>
      <c r="C27" s="111"/>
      <c r="D27" s="41"/>
      <c r="E27">
        <f>50*0.5</f>
        <v>25</v>
      </c>
      <c r="G27">
        <f t="shared" ref="G27:G28" si="9">E27</f>
        <v>25</v>
      </c>
    </row>
    <row r="28" spans="1:16" ht="15.75" customHeight="1" x14ac:dyDescent="0.2">
      <c r="B28" s="123" t="s">
        <v>61</v>
      </c>
      <c r="C28" s="111"/>
      <c r="D28" s="41"/>
      <c r="E28">
        <f>20*0.25</f>
        <v>5</v>
      </c>
      <c r="G28">
        <f t="shared" si="9"/>
        <v>5</v>
      </c>
    </row>
    <row r="29" spans="1:16" ht="15.75" customHeight="1" x14ac:dyDescent="0.2">
      <c r="B29" s="122" t="s">
        <v>62</v>
      </c>
      <c r="C29" s="111"/>
      <c r="E29">
        <f>SUM(E25:E28)</f>
        <v>80</v>
      </c>
      <c r="G29">
        <f>SUM(G25:G28)</f>
        <v>84</v>
      </c>
    </row>
    <row r="30" spans="1:16" ht="15.75" customHeight="1" x14ac:dyDescent="0.2">
      <c r="B30" s="122" t="s">
        <v>63</v>
      </c>
      <c r="C30" s="111"/>
      <c r="E30">
        <f>E23-E29</f>
        <v>70</v>
      </c>
      <c r="G30">
        <f>G23-G29</f>
        <v>66</v>
      </c>
    </row>
    <row r="31" spans="1:16" ht="15.75" customHeight="1" x14ac:dyDescent="0.2">
      <c r="B31" s="128" t="s">
        <v>64</v>
      </c>
      <c r="C31" s="100"/>
      <c r="D31" s="39"/>
      <c r="E31" s="39">
        <f>E22*E30</f>
        <v>4200000</v>
      </c>
      <c r="F31" s="39"/>
      <c r="G31" s="39">
        <f>G22*G30</f>
        <v>3960000</v>
      </c>
    </row>
    <row r="32" spans="1:16" ht="15.75" customHeight="1" x14ac:dyDescent="0.2">
      <c r="B32" s="129" t="s">
        <v>65</v>
      </c>
      <c r="C32" s="100"/>
    </row>
    <row r="33" spans="2:9" ht="15.75" customHeight="1" x14ac:dyDescent="0.2">
      <c r="B33" s="123" t="s">
        <v>60</v>
      </c>
      <c r="C33" s="111"/>
      <c r="E33">
        <f>50*0.5*E22</f>
        <v>1500000</v>
      </c>
      <c r="G33">
        <f t="shared" ref="G33:G34" si="10">E33*1.1</f>
        <v>1650000.0000000002</v>
      </c>
    </row>
    <row r="34" spans="2:9" ht="15.75" customHeight="1" x14ac:dyDescent="0.2">
      <c r="B34" s="123" t="s">
        <v>61</v>
      </c>
      <c r="C34" s="111"/>
      <c r="E34">
        <f>20*0.75*E22</f>
        <v>900000</v>
      </c>
      <c r="G34">
        <f t="shared" si="10"/>
        <v>990000.00000000012</v>
      </c>
    </row>
    <row r="35" spans="2:9" ht="15.75" customHeight="1" x14ac:dyDescent="0.2">
      <c r="B35" s="124" t="s">
        <v>67</v>
      </c>
      <c r="C35" s="111"/>
      <c r="E35">
        <f>SUM(E33:E34)</f>
        <v>2400000</v>
      </c>
      <c r="G35">
        <f>SUM(G33:G34)</f>
        <v>2640000.0000000005</v>
      </c>
    </row>
    <row r="36" spans="2:9" ht="15.75" customHeight="1" x14ac:dyDescent="0.2">
      <c r="B36" s="121" t="s">
        <v>16</v>
      </c>
      <c r="C36" s="100"/>
      <c r="E36">
        <f>E31-E35</f>
        <v>1800000</v>
      </c>
      <c r="G36">
        <f>G31-G35</f>
        <v>1319999.9999999995</v>
      </c>
    </row>
    <row r="37" spans="2:9" ht="15.75" customHeight="1" x14ac:dyDescent="0.2"/>
    <row r="38" spans="2:9" ht="15.75" customHeight="1" x14ac:dyDescent="0.2">
      <c r="B38" s="103" t="s">
        <v>71</v>
      </c>
      <c r="C38" s="90"/>
      <c r="D38" s="90"/>
      <c r="E38" s="90"/>
      <c r="F38" s="90"/>
      <c r="G38" s="90"/>
      <c r="H38" s="91"/>
      <c r="I38" s="44"/>
    </row>
    <row r="39" spans="2:9" ht="15.75" customHeight="1" x14ac:dyDescent="0.2"/>
    <row r="40" spans="2:9" ht="15.75" customHeight="1" x14ac:dyDescent="0.2">
      <c r="B40" s="125" t="s">
        <v>68</v>
      </c>
      <c r="C40" s="111"/>
      <c r="G40">
        <v>1740000</v>
      </c>
    </row>
    <row r="41" spans="2:9" ht="15.75" customHeight="1" x14ac:dyDescent="0.2">
      <c r="B41" s="125" t="s">
        <v>72</v>
      </c>
      <c r="C41" s="111"/>
      <c r="G41">
        <f>G36</f>
        <v>1319999.9999999995</v>
      </c>
    </row>
    <row r="42" spans="2:9" ht="15.75" customHeight="1" x14ac:dyDescent="0.2">
      <c r="B42" s="124" t="s">
        <v>73</v>
      </c>
      <c r="C42" s="111"/>
      <c r="D42" s="111"/>
      <c r="E42" s="111"/>
      <c r="G42">
        <f>G40-G41</f>
        <v>420000.00000000047</v>
      </c>
    </row>
    <row r="43" spans="2:9" ht="15.75" customHeight="1" x14ac:dyDescent="0.2">
      <c r="B43" s="124" t="s">
        <v>74</v>
      </c>
      <c r="C43" s="111"/>
      <c r="D43" s="111"/>
      <c r="E43" s="43"/>
      <c r="G43">
        <f>(G22/G21)*20%</f>
        <v>20000</v>
      </c>
    </row>
    <row r="44" spans="2:9" ht="15.75" customHeight="1" x14ac:dyDescent="0.2">
      <c r="B44" s="122" t="s">
        <v>75</v>
      </c>
      <c r="C44" s="111"/>
      <c r="E44" t="s">
        <v>76</v>
      </c>
      <c r="G44">
        <f>G42/G43</f>
        <v>21.000000000000025</v>
      </c>
    </row>
    <row r="45" spans="2:9" ht="15.75" customHeight="1" x14ac:dyDescent="0.2">
      <c r="B45" s="45" t="s">
        <v>77</v>
      </c>
      <c r="C45" s="45"/>
      <c r="D45" s="39"/>
      <c r="E45" s="46" t="s">
        <v>48</v>
      </c>
      <c r="F45" s="39"/>
      <c r="G45" s="39">
        <f>G44+G29</f>
        <v>105.00000000000003</v>
      </c>
    </row>
    <row r="46" spans="2:9" ht="15.75" customHeight="1" x14ac:dyDescent="0.2"/>
    <row r="47" spans="2:9" ht="15.75" customHeight="1" x14ac:dyDescent="0.2"/>
    <row r="48" spans="2: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sheetData>
  <mergeCells count="22">
    <mergeCell ref="L2:M2"/>
    <mergeCell ref="B42:E42"/>
    <mergeCell ref="B29:C29"/>
    <mergeCell ref="B30:C30"/>
    <mergeCell ref="B31:C31"/>
    <mergeCell ref="B32:C32"/>
    <mergeCell ref="B33:C33"/>
    <mergeCell ref="B27:C27"/>
    <mergeCell ref="B28:C28"/>
    <mergeCell ref="B44:C44"/>
    <mergeCell ref="B43:D43"/>
    <mergeCell ref="B34:C34"/>
    <mergeCell ref="B35:C35"/>
    <mergeCell ref="B36:C36"/>
    <mergeCell ref="B38:H38"/>
    <mergeCell ref="B41:C41"/>
    <mergeCell ref="B40:C40"/>
    <mergeCell ref="B2:J15"/>
    <mergeCell ref="C17:G17"/>
    <mergeCell ref="B26:C26"/>
    <mergeCell ref="B24:C24"/>
    <mergeCell ref="B25:C25"/>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100"/>
  <sheetViews>
    <sheetView zoomScale="113" workbookViewId="0">
      <selection activeCell="G31" sqref="G31"/>
    </sheetView>
  </sheetViews>
  <sheetFormatPr baseColWidth="10" defaultColWidth="14.5" defaultRowHeight="15" customHeight="1" x14ac:dyDescent="0.2"/>
  <cols>
    <col min="1" max="1" width="8.83203125" customWidth="1"/>
    <col min="2" max="2" width="21.6640625" customWidth="1"/>
    <col min="3" max="3" width="8.83203125" customWidth="1"/>
    <col min="4" max="4" width="13.5" customWidth="1"/>
    <col min="5" max="5" width="16.1640625" customWidth="1"/>
    <col min="6" max="6" width="12.6640625" customWidth="1"/>
    <col min="7" max="7" width="14.6640625" customWidth="1"/>
    <col min="8" max="8" width="11.5" customWidth="1"/>
  </cols>
  <sheetData>
    <row r="2" spans="1:8" x14ac:dyDescent="0.2">
      <c r="B2" s="107" t="s">
        <v>78</v>
      </c>
      <c r="C2" s="108"/>
      <c r="D2" s="108"/>
      <c r="E2" s="108"/>
      <c r="F2" s="108"/>
      <c r="G2" s="108"/>
      <c r="H2" s="109"/>
    </row>
    <row r="3" spans="1:8" x14ac:dyDescent="0.2">
      <c r="B3" s="110"/>
      <c r="C3" s="111"/>
      <c r="D3" s="111"/>
      <c r="E3" s="111"/>
      <c r="F3" s="111"/>
      <c r="G3" s="111"/>
      <c r="H3" s="112"/>
    </row>
    <row r="4" spans="1:8" x14ac:dyDescent="0.2">
      <c r="B4" s="110"/>
      <c r="C4" s="111"/>
      <c r="D4" s="111"/>
      <c r="E4" s="111"/>
      <c r="F4" s="111"/>
      <c r="G4" s="111"/>
      <c r="H4" s="112"/>
    </row>
    <row r="5" spans="1:8" x14ac:dyDescent="0.2">
      <c r="B5" s="110"/>
      <c r="C5" s="111"/>
      <c r="D5" s="111"/>
      <c r="E5" s="111"/>
      <c r="F5" s="111"/>
      <c r="G5" s="111"/>
      <c r="H5" s="112"/>
    </row>
    <row r="6" spans="1:8" x14ac:dyDescent="0.2">
      <c r="B6" s="110"/>
      <c r="C6" s="111"/>
      <c r="D6" s="111"/>
      <c r="E6" s="111"/>
      <c r="F6" s="111"/>
      <c r="G6" s="111"/>
      <c r="H6" s="112"/>
    </row>
    <row r="7" spans="1:8" x14ac:dyDescent="0.2">
      <c r="B7" s="110"/>
      <c r="C7" s="111"/>
      <c r="D7" s="111"/>
      <c r="E7" s="111"/>
      <c r="F7" s="111"/>
      <c r="G7" s="111"/>
      <c r="H7" s="112"/>
    </row>
    <row r="8" spans="1:8" x14ac:dyDescent="0.2">
      <c r="B8" s="110"/>
      <c r="C8" s="111"/>
      <c r="D8" s="111"/>
      <c r="E8" s="111"/>
      <c r="F8" s="111"/>
      <c r="G8" s="111"/>
      <c r="H8" s="112"/>
    </row>
    <row r="9" spans="1:8" x14ac:dyDescent="0.2">
      <c r="B9" s="110"/>
      <c r="C9" s="111"/>
      <c r="D9" s="111"/>
      <c r="E9" s="111"/>
      <c r="F9" s="111"/>
      <c r="G9" s="111"/>
      <c r="H9" s="112"/>
    </row>
    <row r="10" spans="1:8" x14ac:dyDescent="0.2">
      <c r="B10" s="110"/>
      <c r="C10" s="111"/>
      <c r="D10" s="111"/>
      <c r="E10" s="111"/>
      <c r="F10" s="111"/>
      <c r="G10" s="111"/>
      <c r="H10" s="112"/>
    </row>
    <row r="11" spans="1:8" x14ac:dyDescent="0.2">
      <c r="B11" s="110"/>
      <c r="C11" s="111"/>
      <c r="D11" s="111"/>
      <c r="E11" s="111"/>
      <c r="F11" s="111"/>
      <c r="G11" s="111"/>
      <c r="H11" s="112"/>
    </row>
    <row r="12" spans="1:8" x14ac:dyDescent="0.2">
      <c r="B12" s="110"/>
      <c r="C12" s="111"/>
      <c r="D12" s="111"/>
      <c r="E12" s="111"/>
      <c r="F12" s="111"/>
      <c r="G12" s="111"/>
      <c r="H12" s="112"/>
    </row>
    <row r="13" spans="1:8" x14ac:dyDescent="0.2">
      <c r="B13" s="110"/>
      <c r="C13" s="111"/>
      <c r="D13" s="111"/>
      <c r="E13" s="111"/>
      <c r="F13" s="111"/>
      <c r="G13" s="111"/>
      <c r="H13" s="112"/>
    </row>
    <row r="14" spans="1:8" x14ac:dyDescent="0.2">
      <c r="B14" s="113"/>
      <c r="C14" s="114"/>
      <c r="D14" s="114"/>
      <c r="E14" s="114"/>
      <c r="F14" s="114"/>
      <c r="G14" s="114"/>
      <c r="H14" s="115"/>
    </row>
    <row r="15" spans="1:8" x14ac:dyDescent="0.2">
      <c r="B15" s="25"/>
      <c r="C15" s="25"/>
      <c r="D15" s="25"/>
      <c r="E15" s="25"/>
      <c r="F15" s="25"/>
      <c r="G15" s="25"/>
      <c r="H15" s="25"/>
    </row>
    <row r="16" spans="1:8" x14ac:dyDescent="0.2">
      <c r="A16" s="47" t="s">
        <v>18</v>
      </c>
      <c r="C16" s="130" t="s">
        <v>79</v>
      </c>
      <c r="D16" s="99"/>
      <c r="E16" s="99"/>
      <c r="F16" s="99"/>
      <c r="G16" s="100"/>
    </row>
    <row r="18" spans="2:7" x14ac:dyDescent="0.2">
      <c r="B18" t="s">
        <v>80</v>
      </c>
      <c r="D18" t="s">
        <v>81</v>
      </c>
      <c r="E18" t="s">
        <v>82</v>
      </c>
      <c r="F18" t="s">
        <v>83</v>
      </c>
      <c r="G18" t="s">
        <v>84</v>
      </c>
    </row>
    <row r="19" spans="2:7" x14ac:dyDescent="0.2">
      <c r="B19" t="s">
        <v>54</v>
      </c>
      <c r="D19" s="40">
        <v>0.6</v>
      </c>
      <c r="E19" s="40">
        <v>0.75</v>
      </c>
      <c r="F19" s="40">
        <v>0.8</v>
      </c>
      <c r="G19" s="48">
        <f>G20/120000</f>
        <v>0.7416666666666667</v>
      </c>
    </row>
    <row r="20" spans="2:7" x14ac:dyDescent="0.2">
      <c r="B20" t="s">
        <v>85</v>
      </c>
      <c r="D20" s="49">
        <f>(120000/12)*2*0.6</f>
        <v>12000</v>
      </c>
      <c r="E20" s="49">
        <f>(120000/12)*6*0.75</f>
        <v>45000</v>
      </c>
      <c r="F20" s="49">
        <f>(120000/12)*4*0.8</f>
        <v>32000</v>
      </c>
      <c r="G20" s="49">
        <f>SUM(D20:F20)</f>
        <v>89000</v>
      </c>
    </row>
    <row r="21" spans="2:7" ht="15.75" customHeight="1" x14ac:dyDescent="0.2">
      <c r="B21" t="s">
        <v>86</v>
      </c>
      <c r="D21">
        <f t="shared" ref="D21:G21" si="0">8*D20</f>
        <v>96000</v>
      </c>
      <c r="E21">
        <f t="shared" si="0"/>
        <v>360000</v>
      </c>
      <c r="F21">
        <f t="shared" si="0"/>
        <v>256000</v>
      </c>
      <c r="G21">
        <f t="shared" si="0"/>
        <v>712000</v>
      </c>
    </row>
    <row r="22" spans="2:7" ht="15.75" customHeight="1" x14ac:dyDescent="0.2">
      <c r="B22" t="s">
        <v>87</v>
      </c>
      <c r="D22">
        <f>56000*2</f>
        <v>112000</v>
      </c>
      <c r="E22">
        <f t="shared" ref="E22:F22" si="1">8*E20</f>
        <v>360000</v>
      </c>
      <c r="F22">
        <f t="shared" si="1"/>
        <v>256000</v>
      </c>
      <c r="G22">
        <f>SUM(D22:F22)</f>
        <v>728000</v>
      </c>
    </row>
    <row r="23" spans="2:7" ht="15.75" customHeight="1" x14ac:dyDescent="0.2">
      <c r="B23" t="s">
        <v>88</v>
      </c>
      <c r="D23">
        <f t="shared" ref="D23:G23" si="2">3*D20</f>
        <v>36000</v>
      </c>
      <c r="E23">
        <f t="shared" si="2"/>
        <v>135000</v>
      </c>
      <c r="F23">
        <f t="shared" si="2"/>
        <v>96000</v>
      </c>
      <c r="G23">
        <f t="shared" si="2"/>
        <v>267000</v>
      </c>
    </row>
    <row r="24" spans="2:7" ht="15.75" customHeight="1" x14ac:dyDescent="0.2">
      <c r="B24" t="s">
        <v>89</v>
      </c>
      <c r="D24">
        <f t="shared" ref="D24:G24" si="3">SUM(D21:D23)</f>
        <v>244000</v>
      </c>
      <c r="E24">
        <f t="shared" si="3"/>
        <v>855000</v>
      </c>
      <c r="F24">
        <f t="shared" si="3"/>
        <v>608000</v>
      </c>
      <c r="G24">
        <f t="shared" si="3"/>
        <v>1707000</v>
      </c>
    </row>
    <row r="25" spans="2:7" ht="15.75" customHeight="1" x14ac:dyDescent="0.2">
      <c r="B25" t="s">
        <v>90</v>
      </c>
      <c r="G25">
        <f>48000+(6000*2)</f>
        <v>60000</v>
      </c>
    </row>
    <row r="26" spans="2:7" ht="15.75" customHeight="1" x14ac:dyDescent="0.2">
      <c r="B26" t="s">
        <v>15</v>
      </c>
      <c r="G26">
        <v>168750</v>
      </c>
    </row>
    <row r="27" spans="2:7" ht="15.75" customHeight="1" x14ac:dyDescent="0.2">
      <c r="B27" t="s">
        <v>91</v>
      </c>
      <c r="G27">
        <f>SUM(G24:G26)</f>
        <v>1935750</v>
      </c>
    </row>
    <row r="28" spans="2:7" ht="15.75" customHeight="1" x14ac:dyDescent="0.2">
      <c r="B28" t="s">
        <v>92</v>
      </c>
      <c r="G28">
        <f>1/3*G27</f>
        <v>645250</v>
      </c>
    </row>
    <row r="29" spans="2:7" ht="15.75" customHeight="1" x14ac:dyDescent="0.2">
      <c r="B29" t="s">
        <v>29</v>
      </c>
      <c r="G29">
        <f>SUM(G27:G28)</f>
        <v>2581000</v>
      </c>
    </row>
    <row r="30" spans="2:7" ht="15.75" customHeight="1" x14ac:dyDescent="0.2">
      <c r="B30" s="50" t="s">
        <v>56</v>
      </c>
      <c r="C30" s="50"/>
      <c r="D30" s="50"/>
      <c r="E30" s="50"/>
      <c r="F30" s="50"/>
      <c r="G30" s="50">
        <f>G29/G20</f>
        <v>29</v>
      </c>
    </row>
    <row r="31" spans="2:7" ht="15.75" customHeight="1" x14ac:dyDescent="0.2"/>
    <row r="32" spans="2: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sheetData>
  <mergeCells count="2">
    <mergeCell ref="B2:H14"/>
    <mergeCell ref="C16:G16"/>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M100"/>
  <sheetViews>
    <sheetView topLeftCell="B1" zoomScale="159" workbookViewId="0">
      <selection activeCell="M15" sqref="M15"/>
    </sheetView>
  </sheetViews>
  <sheetFormatPr baseColWidth="10" defaultColWidth="14.5" defaultRowHeight="15" customHeight="1" x14ac:dyDescent="0.2"/>
  <cols>
    <col min="1" max="2" width="8.83203125" customWidth="1"/>
    <col min="3" max="3" width="19.33203125" customWidth="1"/>
    <col min="4" max="4" width="12.33203125" customWidth="1"/>
    <col min="5" max="5" width="17.83203125" customWidth="1"/>
    <col min="6" max="6" width="8.83203125" customWidth="1"/>
    <col min="7" max="7" width="11.83203125" customWidth="1"/>
    <col min="8" max="10" width="8.83203125" customWidth="1"/>
    <col min="11" max="11" width="17.33203125" customWidth="1"/>
    <col min="12" max="13" width="12.33203125" customWidth="1"/>
  </cols>
  <sheetData>
    <row r="2" spans="1:13" ht="15" customHeight="1" x14ac:dyDescent="0.2">
      <c r="B2" s="131" t="s">
        <v>93</v>
      </c>
      <c r="C2" s="108"/>
      <c r="D2" s="108"/>
      <c r="E2" s="108"/>
      <c r="F2" s="108"/>
      <c r="G2" s="108"/>
      <c r="H2" s="109"/>
    </row>
    <row r="3" spans="1:13" x14ac:dyDescent="0.2">
      <c r="B3" s="110"/>
      <c r="C3" s="111"/>
      <c r="D3" s="111"/>
      <c r="E3" s="111"/>
      <c r="F3" s="111"/>
      <c r="G3" s="111"/>
      <c r="H3" s="112"/>
      <c r="K3" s="118" t="s">
        <v>3</v>
      </c>
      <c r="L3" s="90"/>
      <c r="M3" s="91"/>
    </row>
    <row r="4" spans="1:13" x14ac:dyDescent="0.2">
      <c r="B4" s="110"/>
      <c r="C4" s="111"/>
      <c r="D4" s="111"/>
      <c r="E4" s="111"/>
      <c r="F4" s="111"/>
      <c r="G4" s="111"/>
      <c r="H4" s="112"/>
      <c r="K4" s="1"/>
      <c r="L4" s="1" t="s">
        <v>94</v>
      </c>
      <c r="M4" s="1" t="s">
        <v>95</v>
      </c>
    </row>
    <row r="5" spans="1:13" x14ac:dyDescent="0.2">
      <c r="B5" s="110"/>
      <c r="C5" s="111"/>
      <c r="D5" s="111"/>
      <c r="E5" s="111"/>
      <c r="F5" s="111"/>
      <c r="G5" s="111"/>
      <c r="H5" s="112"/>
      <c r="K5" s="1" t="s">
        <v>96</v>
      </c>
      <c r="L5" s="2">
        <v>28</v>
      </c>
      <c r="M5" s="2">
        <v>37.949999999999996</v>
      </c>
    </row>
    <row r="6" spans="1:13" x14ac:dyDescent="0.2">
      <c r="B6" s="110"/>
      <c r="C6" s="111"/>
      <c r="D6" s="111"/>
      <c r="E6" s="111"/>
      <c r="F6" s="111"/>
      <c r="G6" s="111"/>
      <c r="H6" s="112"/>
      <c r="K6" s="1" t="s">
        <v>97</v>
      </c>
      <c r="L6" s="2">
        <f>1.5*1.1*2</f>
        <v>3.3000000000000003</v>
      </c>
      <c r="M6" s="2">
        <f>1.5*2.15*2</f>
        <v>6.4499999999999993</v>
      </c>
    </row>
    <row r="7" spans="1:13" x14ac:dyDescent="0.2">
      <c r="B7" s="110"/>
      <c r="C7" s="111"/>
      <c r="D7" s="111"/>
      <c r="E7" s="111"/>
      <c r="F7" s="111"/>
      <c r="G7" s="111"/>
      <c r="H7" s="112"/>
      <c r="K7" s="1" t="s">
        <v>98</v>
      </c>
      <c r="L7" s="2">
        <f>1.75*2</f>
        <v>3.5</v>
      </c>
      <c r="M7" s="2">
        <f>2.25*2</f>
        <v>4.5</v>
      </c>
    </row>
    <row r="8" spans="1:13" x14ac:dyDescent="0.2">
      <c r="B8" s="110"/>
      <c r="C8" s="111"/>
      <c r="D8" s="111"/>
      <c r="E8" s="111"/>
      <c r="F8" s="111"/>
      <c r="G8" s="111"/>
      <c r="H8" s="112"/>
      <c r="K8" s="1" t="s">
        <v>88</v>
      </c>
      <c r="L8" s="2">
        <f>3/0.3</f>
        <v>10</v>
      </c>
      <c r="M8" s="2">
        <f>L8*1.3</f>
        <v>13</v>
      </c>
    </row>
    <row r="9" spans="1:13" x14ac:dyDescent="0.2">
      <c r="B9" s="110"/>
      <c r="C9" s="111"/>
      <c r="D9" s="111"/>
      <c r="E9" s="111"/>
      <c r="F9" s="111"/>
      <c r="G9" s="111"/>
      <c r="H9" s="112"/>
      <c r="K9" s="1" t="s">
        <v>99</v>
      </c>
      <c r="L9" s="2">
        <f>L6+L7+L8</f>
        <v>16.8</v>
      </c>
      <c r="M9" s="2">
        <f t="shared" ref="L9:M9" si="0">M6+M7+M8</f>
        <v>23.95</v>
      </c>
    </row>
    <row r="10" spans="1:13" x14ac:dyDescent="0.2">
      <c r="B10" s="110"/>
      <c r="C10" s="111"/>
      <c r="D10" s="111"/>
      <c r="E10" s="111"/>
      <c r="F10" s="111"/>
      <c r="G10" s="111"/>
      <c r="H10" s="112"/>
      <c r="K10" s="1" t="s">
        <v>100</v>
      </c>
      <c r="L10" s="2">
        <f>L5-L9</f>
        <v>11.2</v>
      </c>
      <c r="M10" s="2">
        <f t="shared" ref="L10:M10" si="1">M5-M9</f>
        <v>13.999999999999996</v>
      </c>
    </row>
    <row r="11" spans="1:13" x14ac:dyDescent="0.2">
      <c r="B11" s="110"/>
      <c r="C11" s="111"/>
      <c r="D11" s="111"/>
      <c r="E11" s="111"/>
      <c r="F11" s="111"/>
      <c r="G11" s="111"/>
      <c r="H11" s="112"/>
      <c r="K11" s="1" t="s">
        <v>13</v>
      </c>
      <c r="L11" s="2">
        <f>L13/L10</f>
        <v>1607.1428571428573</v>
      </c>
      <c r="M11" s="2">
        <f>L11</f>
        <v>1607.1428571428573</v>
      </c>
    </row>
    <row r="12" spans="1:13" x14ac:dyDescent="0.2">
      <c r="B12" s="113"/>
      <c r="C12" s="114"/>
      <c r="D12" s="114"/>
      <c r="E12" s="114"/>
      <c r="F12" s="114"/>
      <c r="G12" s="114"/>
      <c r="H12" s="115"/>
      <c r="K12" s="1" t="s">
        <v>14</v>
      </c>
      <c r="L12" s="2">
        <f>L10*L11</f>
        <v>18000</v>
      </c>
      <c r="M12" s="2">
        <f>M10*M11</f>
        <v>22499.999999999996</v>
      </c>
    </row>
    <row r="13" spans="1:13" x14ac:dyDescent="0.2">
      <c r="K13" s="1" t="s">
        <v>15</v>
      </c>
      <c r="L13" s="2">
        <v>18000</v>
      </c>
      <c r="M13" s="2">
        <f>L13*1.25</f>
        <v>22500</v>
      </c>
    </row>
    <row r="14" spans="1:13" x14ac:dyDescent="0.2">
      <c r="A14" s="3" t="s">
        <v>18</v>
      </c>
      <c r="C14" s="103" t="s">
        <v>101</v>
      </c>
      <c r="D14" s="90"/>
      <c r="E14" s="90"/>
      <c r="F14" s="90"/>
      <c r="G14" s="90"/>
      <c r="H14" s="91"/>
      <c r="K14" s="1" t="s">
        <v>16</v>
      </c>
      <c r="L14" s="2">
        <f t="shared" ref="L14:M14" si="2">L12-L13</f>
        <v>0</v>
      </c>
      <c r="M14" s="2">
        <f t="shared" si="2"/>
        <v>0</v>
      </c>
    </row>
    <row r="15" spans="1:13" x14ac:dyDescent="0.2">
      <c r="K15" s="1" t="s">
        <v>102</v>
      </c>
      <c r="L15" s="2">
        <f>L10/L5*100</f>
        <v>40</v>
      </c>
      <c r="M15" s="2">
        <f t="shared" ref="L15:M15" si="3">M10/M5*100</f>
        <v>36.890645586297751</v>
      </c>
    </row>
    <row r="16" spans="1:13" x14ac:dyDescent="0.2">
      <c r="C16" t="s">
        <v>103</v>
      </c>
      <c r="E16" s="51" t="s">
        <v>104</v>
      </c>
      <c r="G16" s="51" t="s">
        <v>105</v>
      </c>
    </row>
    <row r="18" spans="3:8" x14ac:dyDescent="0.2">
      <c r="C18" t="s">
        <v>96</v>
      </c>
      <c r="E18">
        <v>28</v>
      </c>
      <c r="G18" s="51" t="s">
        <v>25</v>
      </c>
    </row>
    <row r="19" spans="3:8" x14ac:dyDescent="0.2">
      <c r="C19" t="s">
        <v>97</v>
      </c>
      <c r="E19">
        <f>1.5*2*1.1</f>
        <v>3.3000000000000003</v>
      </c>
      <c r="G19">
        <f>E19*2.15/1.1</f>
        <v>6.45</v>
      </c>
    </row>
    <row r="20" spans="3:8" x14ac:dyDescent="0.2">
      <c r="C20" t="s">
        <v>98</v>
      </c>
      <c r="E20">
        <f>1*2*1.75</f>
        <v>3.5</v>
      </c>
      <c r="G20">
        <f>E20*2.25/1.75</f>
        <v>4.5</v>
      </c>
      <c r="H20" s="40"/>
    </row>
    <row r="21" spans="3:8" ht="15.75" customHeight="1" x14ac:dyDescent="0.2">
      <c r="C21" t="s">
        <v>88</v>
      </c>
      <c r="E21">
        <f>3*(100/30)</f>
        <v>10</v>
      </c>
      <c r="G21">
        <f>E21+3</f>
        <v>13</v>
      </c>
    </row>
    <row r="22" spans="3:8" ht="15.75" customHeight="1" x14ac:dyDescent="0.2">
      <c r="C22" t="s">
        <v>99</v>
      </c>
      <c r="E22">
        <f>SUM(E19:E21)</f>
        <v>16.8</v>
      </c>
      <c r="G22">
        <f>SUM(G19:G21)</f>
        <v>23.95</v>
      </c>
    </row>
    <row r="23" spans="3:8" ht="15.75" customHeight="1" x14ac:dyDescent="0.2">
      <c r="C23" t="s">
        <v>100</v>
      </c>
      <c r="E23">
        <f>E18-E22</f>
        <v>11.2</v>
      </c>
    </row>
    <row r="24" spans="3:8" ht="15.75" customHeight="1" x14ac:dyDescent="0.2">
      <c r="C24" t="s">
        <v>106</v>
      </c>
      <c r="D24" t="s">
        <v>107</v>
      </c>
      <c r="E24" s="40">
        <f>E23/E18</f>
        <v>0.39999999999999997</v>
      </c>
    </row>
    <row r="25" spans="3:8" ht="15.75" customHeight="1" x14ac:dyDescent="0.2">
      <c r="C25" t="s">
        <v>108</v>
      </c>
      <c r="E25">
        <v>18000</v>
      </c>
      <c r="G25">
        <f>E25*125%</f>
        <v>22500</v>
      </c>
    </row>
    <row r="26" spans="3:8" ht="15.75" customHeight="1" x14ac:dyDescent="0.2">
      <c r="C26" t="s">
        <v>109</v>
      </c>
      <c r="D26" t="s">
        <v>110</v>
      </c>
      <c r="E26">
        <f>E25/E23</f>
        <v>1607.1428571428573</v>
      </c>
    </row>
    <row r="27" spans="3:8" ht="15.75" customHeight="1" x14ac:dyDescent="0.2">
      <c r="D27" t="s">
        <v>111</v>
      </c>
      <c r="E27">
        <v>1607</v>
      </c>
      <c r="G27">
        <v>1607</v>
      </c>
    </row>
    <row r="28" spans="3:8" ht="15.75" customHeight="1" x14ac:dyDescent="0.2"/>
    <row r="29" spans="3:8" ht="15.75" customHeight="1" x14ac:dyDescent="0.2">
      <c r="C29" s="103" t="s">
        <v>112</v>
      </c>
      <c r="D29" s="90"/>
      <c r="E29" s="90"/>
      <c r="F29" s="90"/>
      <c r="G29" s="91"/>
    </row>
    <row r="30" spans="3:8" ht="15.75" customHeight="1" x14ac:dyDescent="0.2"/>
    <row r="31" spans="3:8" ht="15.75" customHeight="1" x14ac:dyDescent="0.2">
      <c r="C31" t="s">
        <v>100</v>
      </c>
      <c r="D31" t="s">
        <v>113</v>
      </c>
      <c r="G31">
        <f>G25/G27</f>
        <v>14.001244555071562</v>
      </c>
    </row>
    <row r="32" spans="3:8" ht="15.75" customHeight="1" x14ac:dyDescent="0.2">
      <c r="D32" t="s">
        <v>111</v>
      </c>
      <c r="G32">
        <v>14</v>
      </c>
    </row>
    <row r="33" spans="3:7" ht="15.75" customHeight="1" x14ac:dyDescent="0.2">
      <c r="C33" t="s">
        <v>114</v>
      </c>
      <c r="D33" t="s">
        <v>115</v>
      </c>
      <c r="G33">
        <f>G22+G32</f>
        <v>37.950000000000003</v>
      </c>
    </row>
    <row r="34" spans="3:7" ht="15.75" customHeight="1" x14ac:dyDescent="0.2"/>
    <row r="35" spans="3:7" ht="15.75" customHeight="1" x14ac:dyDescent="0.2"/>
    <row r="36" spans="3:7" ht="15.75" customHeight="1" x14ac:dyDescent="0.2"/>
    <row r="37" spans="3:7" ht="15.75" customHeight="1" x14ac:dyDescent="0.2"/>
    <row r="38" spans="3:7" ht="15.75" customHeight="1" x14ac:dyDescent="0.2"/>
    <row r="39" spans="3:7" ht="15.75" customHeight="1" x14ac:dyDescent="0.2"/>
    <row r="40" spans="3:7" ht="15.75" customHeight="1" x14ac:dyDescent="0.2"/>
    <row r="41" spans="3:7" ht="15.75" customHeight="1" x14ac:dyDescent="0.2"/>
    <row r="42" spans="3:7" ht="15.75" customHeight="1" x14ac:dyDescent="0.2"/>
    <row r="43" spans="3:7" ht="15.75" customHeight="1" x14ac:dyDescent="0.2"/>
    <row r="44" spans="3:7" ht="15.75" customHeight="1" x14ac:dyDescent="0.2"/>
    <row r="45" spans="3:7" ht="15.75" customHeight="1" x14ac:dyDescent="0.2"/>
    <row r="46" spans="3:7" ht="15.75" customHeight="1" x14ac:dyDescent="0.2"/>
    <row r="47" spans="3:7" ht="15.75" customHeight="1" x14ac:dyDescent="0.2"/>
    <row r="48" spans="3:7"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sheetData>
  <mergeCells count="4">
    <mergeCell ref="C29:G29"/>
    <mergeCell ref="B2:H12"/>
    <mergeCell ref="C14:H14"/>
    <mergeCell ref="K3:M3"/>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0"/>
  <sheetViews>
    <sheetView zoomScale="131" workbookViewId="0">
      <selection activeCell="J25" sqref="J25"/>
    </sheetView>
  </sheetViews>
  <sheetFormatPr baseColWidth="10" defaultColWidth="14.5" defaultRowHeight="15" customHeight="1" x14ac:dyDescent="0.2"/>
  <cols>
    <col min="1" max="2" width="8.83203125" customWidth="1"/>
    <col min="3" max="3" width="24.6640625" customWidth="1"/>
    <col min="4" max="4" width="8.83203125" customWidth="1"/>
    <col min="5" max="5" width="14.6640625" customWidth="1"/>
    <col min="6" max="6" width="13.5" customWidth="1"/>
    <col min="7" max="7" width="11.1640625" customWidth="1"/>
    <col min="8" max="8" width="8.83203125" customWidth="1"/>
    <col min="9" max="9" width="21.33203125" customWidth="1"/>
    <col min="10" max="10" width="8.83203125" customWidth="1"/>
    <col min="11" max="11" width="12" customWidth="1"/>
    <col min="12" max="13" width="8.83203125" customWidth="1"/>
  </cols>
  <sheetData>
    <row r="1" spans="2:13" x14ac:dyDescent="0.2">
      <c r="I1" s="52" t="s">
        <v>2</v>
      </c>
    </row>
    <row r="2" spans="2:13" x14ac:dyDescent="0.2">
      <c r="B2" s="107" t="s">
        <v>116</v>
      </c>
      <c r="C2" s="108"/>
      <c r="D2" s="108"/>
      <c r="E2" s="108"/>
      <c r="F2" s="108"/>
      <c r="G2" s="109"/>
      <c r="H2" s="26"/>
      <c r="I2" s="1"/>
      <c r="J2" s="118" t="s">
        <v>117</v>
      </c>
      <c r="K2" s="91"/>
      <c r="L2" s="118" t="s">
        <v>118</v>
      </c>
      <c r="M2" s="91"/>
    </row>
    <row r="3" spans="2:13" x14ac:dyDescent="0.2">
      <c r="B3" s="110"/>
      <c r="C3" s="111"/>
      <c r="D3" s="111"/>
      <c r="E3" s="111"/>
      <c r="F3" s="111"/>
      <c r="G3" s="112"/>
      <c r="H3" s="26"/>
      <c r="I3" s="1" t="s">
        <v>103</v>
      </c>
      <c r="J3" s="1" t="s">
        <v>119</v>
      </c>
      <c r="K3" s="1" t="s">
        <v>120</v>
      </c>
      <c r="L3" s="1" t="s">
        <v>119</v>
      </c>
      <c r="M3" s="1" t="s">
        <v>120</v>
      </c>
    </row>
    <row r="4" spans="2:13" x14ac:dyDescent="0.2">
      <c r="B4" s="110"/>
      <c r="C4" s="111"/>
      <c r="D4" s="111"/>
      <c r="E4" s="111"/>
      <c r="F4" s="111"/>
      <c r="G4" s="112"/>
      <c r="H4" s="26"/>
      <c r="I4" s="2" t="s">
        <v>121</v>
      </c>
      <c r="J4" s="2"/>
      <c r="K4" s="2">
        <v>15000</v>
      </c>
      <c r="L4" s="2"/>
      <c r="M4" s="2">
        <v>2000</v>
      </c>
    </row>
    <row r="5" spans="2:13" x14ac:dyDescent="0.2">
      <c r="B5" s="110"/>
      <c r="C5" s="111"/>
      <c r="D5" s="111"/>
      <c r="E5" s="111"/>
      <c r="F5" s="111"/>
      <c r="G5" s="112"/>
      <c r="H5" s="26"/>
      <c r="I5" s="2" t="s">
        <v>122</v>
      </c>
      <c r="J5" s="2">
        <f>K5/$K$4</f>
        <v>200</v>
      </c>
      <c r="K5" s="2">
        <v>3000000</v>
      </c>
      <c r="L5" s="2">
        <v>120</v>
      </c>
      <c r="M5" s="2"/>
    </row>
    <row r="6" spans="2:13" x14ac:dyDescent="0.2">
      <c r="B6" s="110"/>
      <c r="C6" s="111"/>
      <c r="D6" s="111"/>
      <c r="E6" s="111"/>
      <c r="F6" s="111"/>
      <c r="G6" s="112"/>
      <c r="H6" s="26"/>
      <c r="I6" s="53" t="s">
        <v>123</v>
      </c>
      <c r="J6" s="2"/>
      <c r="K6" s="2"/>
      <c r="L6" s="2"/>
      <c r="M6" s="2"/>
    </row>
    <row r="7" spans="2:13" x14ac:dyDescent="0.2">
      <c r="B7" s="110"/>
      <c r="C7" s="111"/>
      <c r="D7" s="111"/>
      <c r="E7" s="111"/>
      <c r="F7" s="111"/>
      <c r="G7" s="112"/>
      <c r="H7" s="26"/>
      <c r="I7" s="15" t="s">
        <v>124</v>
      </c>
      <c r="J7" s="2">
        <f>K7/$K$4</f>
        <v>40</v>
      </c>
      <c r="K7" s="2">
        <v>600000</v>
      </c>
      <c r="L7" s="2">
        <f t="shared" ref="L7:L10" si="0">J7</f>
        <v>40</v>
      </c>
      <c r="M7" s="2"/>
    </row>
    <row r="8" spans="2:13" x14ac:dyDescent="0.2">
      <c r="B8" s="110"/>
      <c r="C8" s="111"/>
      <c r="D8" s="111"/>
      <c r="E8" s="111"/>
      <c r="F8" s="111"/>
      <c r="G8" s="112"/>
      <c r="H8" s="26"/>
      <c r="I8" s="15" t="s">
        <v>125</v>
      </c>
      <c r="J8" s="2">
        <f t="shared" ref="J7:J9" si="1">K8/$K$4</f>
        <v>30</v>
      </c>
      <c r="K8" s="2">
        <v>450000</v>
      </c>
      <c r="L8" s="2">
        <f t="shared" si="0"/>
        <v>30</v>
      </c>
      <c r="M8" s="2"/>
    </row>
    <row r="9" spans="2:13" x14ac:dyDescent="0.2">
      <c r="B9" s="110"/>
      <c r="C9" s="111"/>
      <c r="D9" s="111"/>
      <c r="E9" s="111"/>
      <c r="F9" s="111"/>
      <c r="G9" s="112"/>
      <c r="H9" s="26"/>
      <c r="I9" s="15" t="s">
        <v>126</v>
      </c>
      <c r="J9" s="2">
        <f>K9/$K$4</f>
        <v>20</v>
      </c>
      <c r="K9" s="2">
        <v>300000</v>
      </c>
      <c r="L9" s="2">
        <f t="shared" si="0"/>
        <v>20</v>
      </c>
      <c r="M9" s="2"/>
    </row>
    <row r="10" spans="2:13" x14ac:dyDescent="0.2">
      <c r="B10" s="110"/>
      <c r="C10" s="111"/>
      <c r="D10" s="111"/>
      <c r="E10" s="111"/>
      <c r="F10" s="111"/>
      <c r="G10" s="112"/>
      <c r="H10" s="26"/>
      <c r="I10" s="15" t="s">
        <v>127</v>
      </c>
      <c r="J10" s="2">
        <f>K10/K4</f>
        <v>10</v>
      </c>
      <c r="K10" s="2">
        <v>150000</v>
      </c>
      <c r="L10" s="2">
        <v>5</v>
      </c>
      <c r="M10" s="2"/>
    </row>
    <row r="11" spans="2:13" x14ac:dyDescent="0.2">
      <c r="B11" s="110"/>
      <c r="C11" s="111"/>
      <c r="D11" s="111"/>
      <c r="E11" s="111"/>
      <c r="F11" s="111"/>
      <c r="G11" s="112"/>
      <c r="H11" s="26"/>
      <c r="I11" s="54" t="s">
        <v>89</v>
      </c>
      <c r="J11" s="2">
        <f t="shared" ref="J11:L11" si="2">SUM(J7:J10)</f>
        <v>100</v>
      </c>
      <c r="K11" s="2">
        <f t="shared" si="2"/>
        <v>1500000</v>
      </c>
      <c r="L11" s="2">
        <f t="shared" si="2"/>
        <v>95</v>
      </c>
      <c r="M11" s="2"/>
    </row>
    <row r="12" spans="2:13" x14ac:dyDescent="0.2">
      <c r="B12" s="110"/>
      <c r="C12" s="111"/>
      <c r="D12" s="111"/>
      <c r="E12" s="111"/>
      <c r="F12" s="111"/>
      <c r="G12" s="112"/>
      <c r="H12" s="26"/>
      <c r="I12" s="54" t="s">
        <v>12</v>
      </c>
      <c r="J12" s="2">
        <f>J5-J11</f>
        <v>100</v>
      </c>
      <c r="K12" s="55">
        <f>J12*K$4</f>
        <v>1500000</v>
      </c>
      <c r="L12" s="2">
        <f>L5-L11</f>
        <v>25</v>
      </c>
      <c r="M12" s="2">
        <f>L12*$M$4</f>
        <v>50000</v>
      </c>
    </row>
    <row r="13" spans="2:13" x14ac:dyDescent="0.2">
      <c r="B13" s="110"/>
      <c r="C13" s="111"/>
      <c r="D13" s="111"/>
      <c r="E13" s="111"/>
      <c r="F13" s="111"/>
      <c r="G13" s="112"/>
      <c r="H13" s="26"/>
      <c r="I13" s="54" t="s">
        <v>65</v>
      </c>
      <c r="J13" s="2"/>
      <c r="K13" s="2"/>
      <c r="L13" s="2"/>
      <c r="M13" s="2"/>
    </row>
    <row r="14" spans="2:13" x14ac:dyDescent="0.2">
      <c r="B14" s="110"/>
      <c r="C14" s="111"/>
      <c r="D14" s="111"/>
      <c r="E14" s="111"/>
      <c r="F14" s="111"/>
      <c r="G14" s="112"/>
      <c r="H14" s="26"/>
      <c r="I14" s="15" t="s">
        <v>15</v>
      </c>
      <c r="J14" s="2"/>
      <c r="K14" s="2">
        <v>750000</v>
      </c>
      <c r="L14" s="2"/>
      <c r="M14" s="2"/>
    </row>
    <row r="15" spans="2:13" x14ac:dyDescent="0.2">
      <c r="B15" s="113"/>
      <c r="C15" s="114"/>
      <c r="D15" s="114"/>
      <c r="E15" s="114"/>
      <c r="F15" s="114"/>
      <c r="G15" s="115"/>
      <c r="H15" s="26"/>
      <c r="I15" s="15" t="s">
        <v>128</v>
      </c>
      <c r="J15" s="2"/>
      <c r="K15" s="2">
        <v>0</v>
      </c>
      <c r="L15" s="2"/>
      <c r="M15" s="2"/>
    </row>
    <row r="16" spans="2:13" x14ac:dyDescent="0.2">
      <c r="B16" s="26"/>
      <c r="C16" s="26"/>
      <c r="D16" s="26"/>
      <c r="E16" s="26"/>
      <c r="F16" s="26"/>
      <c r="G16" s="26"/>
      <c r="H16" s="26"/>
      <c r="I16" s="15" t="s">
        <v>129</v>
      </c>
      <c r="J16" s="2"/>
      <c r="K16" s="2">
        <v>0</v>
      </c>
      <c r="L16" s="2"/>
      <c r="M16" s="2">
        <v>10000</v>
      </c>
    </row>
    <row r="17" spans="1:13" x14ac:dyDescent="0.2">
      <c r="A17" s="52" t="s">
        <v>130</v>
      </c>
      <c r="C17" s="130" t="s">
        <v>131</v>
      </c>
      <c r="D17" s="99"/>
      <c r="E17" s="99"/>
      <c r="F17" s="99"/>
      <c r="G17" s="100"/>
      <c r="I17" s="54" t="s">
        <v>132</v>
      </c>
      <c r="J17" s="2"/>
      <c r="K17" s="2">
        <f>SUM(K14:K16)</f>
        <v>750000</v>
      </c>
      <c r="L17" s="2"/>
      <c r="M17" s="2">
        <f>SUM(M14:M16)</f>
        <v>10000</v>
      </c>
    </row>
    <row r="18" spans="1:13" x14ac:dyDescent="0.2">
      <c r="I18" s="54" t="s">
        <v>16</v>
      </c>
      <c r="J18" s="2"/>
      <c r="K18" s="2">
        <f>K12-K17</f>
        <v>750000</v>
      </c>
      <c r="L18" s="2"/>
      <c r="M18" s="2">
        <f>M12-M17</f>
        <v>40000</v>
      </c>
    </row>
    <row r="19" spans="1:13" x14ac:dyDescent="0.2">
      <c r="C19" s="50" t="s">
        <v>133</v>
      </c>
      <c r="E19" s="56" t="s">
        <v>117</v>
      </c>
      <c r="F19" s="56" t="s">
        <v>118</v>
      </c>
      <c r="G19" s="56" t="s">
        <v>120</v>
      </c>
    </row>
    <row r="20" spans="1:13" x14ac:dyDescent="0.2">
      <c r="C20" t="s">
        <v>121</v>
      </c>
      <c r="E20">
        <v>15000</v>
      </c>
      <c r="F20">
        <v>2000</v>
      </c>
      <c r="G20">
        <v>17000</v>
      </c>
    </row>
    <row r="21" spans="1:13" ht="15.75" customHeight="1" x14ac:dyDescent="0.2">
      <c r="C21" t="s">
        <v>122</v>
      </c>
      <c r="E21">
        <v>200</v>
      </c>
      <c r="F21">
        <v>120</v>
      </c>
    </row>
    <row r="22" spans="1:13" ht="15.75" customHeight="1" x14ac:dyDescent="0.2">
      <c r="C22" s="50" t="s">
        <v>134</v>
      </c>
      <c r="E22" s="49">
        <f t="shared" ref="E22:F22" si="3">E20*E21</f>
        <v>3000000</v>
      </c>
      <c r="F22" s="49">
        <f t="shared" si="3"/>
        <v>240000</v>
      </c>
      <c r="G22" s="49">
        <f>E22+F22</f>
        <v>3240000</v>
      </c>
    </row>
    <row r="23" spans="1:13" ht="15.75" customHeight="1" x14ac:dyDescent="0.2">
      <c r="C23" s="57" t="s">
        <v>123</v>
      </c>
      <c r="D23" t="s">
        <v>135</v>
      </c>
    </row>
    <row r="24" spans="1:13" ht="15.75" customHeight="1" x14ac:dyDescent="0.2">
      <c r="C24" s="42" t="s">
        <v>124</v>
      </c>
      <c r="D24">
        <v>40</v>
      </c>
      <c r="E24">
        <f t="shared" ref="E24:E27" si="4">D24*15000</f>
        <v>600000</v>
      </c>
      <c r="F24">
        <f t="shared" ref="F24:F27" si="5">D24*2000</f>
        <v>80000</v>
      </c>
      <c r="G24">
        <f t="shared" ref="G24:G27" si="6">E24+F24</f>
        <v>680000</v>
      </c>
    </row>
    <row r="25" spans="1:13" ht="15.75" customHeight="1" x14ac:dyDescent="0.2">
      <c r="C25" s="42" t="s">
        <v>125</v>
      </c>
      <c r="D25">
        <v>30</v>
      </c>
      <c r="E25">
        <f t="shared" si="4"/>
        <v>450000</v>
      </c>
      <c r="F25">
        <f t="shared" si="5"/>
        <v>60000</v>
      </c>
      <c r="G25">
        <f t="shared" si="6"/>
        <v>510000</v>
      </c>
    </row>
    <row r="26" spans="1:13" ht="15.75" customHeight="1" x14ac:dyDescent="0.2">
      <c r="C26" s="42" t="s">
        <v>126</v>
      </c>
      <c r="D26">
        <v>20</v>
      </c>
      <c r="E26">
        <f t="shared" si="4"/>
        <v>300000</v>
      </c>
      <c r="F26">
        <f t="shared" si="5"/>
        <v>40000</v>
      </c>
      <c r="G26">
        <f t="shared" si="6"/>
        <v>340000</v>
      </c>
    </row>
    <row r="27" spans="1:13" ht="15.75" customHeight="1" x14ac:dyDescent="0.2">
      <c r="C27" s="42" t="s">
        <v>127</v>
      </c>
      <c r="D27">
        <f>10000/2000</f>
        <v>5</v>
      </c>
      <c r="E27">
        <f t="shared" si="4"/>
        <v>75000</v>
      </c>
      <c r="F27">
        <f t="shared" si="5"/>
        <v>10000</v>
      </c>
      <c r="G27">
        <f t="shared" si="6"/>
        <v>85000</v>
      </c>
    </row>
    <row r="28" spans="1:13" ht="15.75" customHeight="1" x14ac:dyDescent="0.2">
      <c r="C28" s="58" t="s">
        <v>89</v>
      </c>
      <c r="D28">
        <f t="shared" ref="D28:G28" si="7">SUM(D24:D27)</f>
        <v>95</v>
      </c>
      <c r="E28">
        <f t="shared" si="7"/>
        <v>1425000</v>
      </c>
      <c r="F28">
        <f t="shared" si="7"/>
        <v>190000</v>
      </c>
      <c r="G28">
        <f t="shared" si="7"/>
        <v>1615000</v>
      </c>
    </row>
    <row r="29" spans="1:13" ht="15.75" customHeight="1" x14ac:dyDescent="0.2">
      <c r="C29" s="58" t="s">
        <v>12</v>
      </c>
      <c r="E29">
        <f t="shared" ref="E29:G29" si="8">E22-E28</f>
        <v>1575000</v>
      </c>
      <c r="F29">
        <f t="shared" si="8"/>
        <v>50000</v>
      </c>
      <c r="G29">
        <f t="shared" si="8"/>
        <v>1625000</v>
      </c>
    </row>
    <row r="30" spans="1:13" ht="15.75" customHeight="1" x14ac:dyDescent="0.2">
      <c r="C30" s="58" t="s">
        <v>65</v>
      </c>
    </row>
    <row r="31" spans="1:13" ht="15.75" customHeight="1" x14ac:dyDescent="0.2">
      <c r="C31" s="42" t="s">
        <v>15</v>
      </c>
      <c r="E31">
        <v>750000</v>
      </c>
      <c r="F31">
        <v>0</v>
      </c>
      <c r="G31">
        <f t="shared" ref="G31:G33" si="9">E31+F31</f>
        <v>750000</v>
      </c>
    </row>
    <row r="32" spans="1:13" ht="15.75" customHeight="1" x14ac:dyDescent="0.2">
      <c r="C32" s="42" t="s">
        <v>128</v>
      </c>
      <c r="E32">
        <f>150000-E27</f>
        <v>75000</v>
      </c>
      <c r="F32">
        <v>0</v>
      </c>
      <c r="G32">
        <f t="shared" si="9"/>
        <v>75000</v>
      </c>
    </row>
    <row r="33" spans="3:9" ht="15.75" customHeight="1" x14ac:dyDescent="0.2">
      <c r="C33" s="42" t="s">
        <v>129</v>
      </c>
      <c r="E33">
        <v>0</v>
      </c>
      <c r="F33">
        <v>10000</v>
      </c>
      <c r="G33">
        <f t="shared" si="9"/>
        <v>10000</v>
      </c>
    </row>
    <row r="34" spans="3:9" ht="15.75" customHeight="1" x14ac:dyDescent="0.2">
      <c r="C34" s="58" t="s">
        <v>132</v>
      </c>
      <c r="E34">
        <f t="shared" ref="E34:G34" si="10">SUM(E31:E33)</f>
        <v>825000</v>
      </c>
      <c r="F34">
        <f t="shared" si="10"/>
        <v>10000</v>
      </c>
      <c r="G34">
        <f t="shared" si="10"/>
        <v>835000</v>
      </c>
    </row>
    <row r="35" spans="3:9" ht="15.75" customHeight="1" x14ac:dyDescent="0.2">
      <c r="C35" s="58" t="s">
        <v>16</v>
      </c>
      <c r="E35">
        <f>E29-E34</f>
        <v>750000</v>
      </c>
      <c r="F35">
        <v>40000</v>
      </c>
      <c r="G35">
        <f>G29-G34</f>
        <v>790000</v>
      </c>
    </row>
    <row r="36" spans="3:9" ht="15.75" customHeight="1" x14ac:dyDescent="0.2"/>
    <row r="37" spans="3:9" ht="15.75" customHeight="1" x14ac:dyDescent="0.2">
      <c r="C37" s="132" t="s">
        <v>136</v>
      </c>
      <c r="D37" s="93"/>
      <c r="E37" s="93"/>
      <c r="F37" s="93"/>
      <c r="G37" s="94"/>
      <c r="H37" t="s">
        <v>137</v>
      </c>
      <c r="I37" s="50" t="s">
        <v>138</v>
      </c>
    </row>
    <row r="38" spans="3:9" ht="15.75" customHeight="1" x14ac:dyDescent="0.2">
      <c r="C38" s="95"/>
      <c r="D38" s="96"/>
      <c r="E38" s="96"/>
      <c r="F38" s="96"/>
      <c r="G38" s="97"/>
    </row>
    <row r="39" spans="3:9" ht="15.75" customHeight="1" x14ac:dyDescent="0.2"/>
    <row r="40" spans="3:9" ht="15.75" customHeight="1" x14ac:dyDescent="0.2"/>
    <row r="41" spans="3:9" ht="15.75" customHeight="1" x14ac:dyDescent="0.2"/>
    <row r="42" spans="3:9" ht="15.75" customHeight="1" x14ac:dyDescent="0.2"/>
    <row r="43" spans="3:9" ht="15.75" customHeight="1" x14ac:dyDescent="0.2"/>
    <row r="44" spans="3:9" ht="15.75" customHeight="1" x14ac:dyDescent="0.2"/>
    <row r="45" spans="3:9" ht="15.75" customHeight="1" x14ac:dyDescent="0.2"/>
    <row r="46" spans="3:9" ht="15.75" customHeight="1" x14ac:dyDescent="0.2"/>
    <row r="47" spans="3:9" ht="15.75" customHeight="1" x14ac:dyDescent="0.2"/>
    <row r="48" spans="3: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sheetData>
  <mergeCells count="5">
    <mergeCell ref="J2:K2"/>
    <mergeCell ref="L2:M2"/>
    <mergeCell ref="B2:G15"/>
    <mergeCell ref="C17:G17"/>
    <mergeCell ref="C37:G38"/>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0"/>
  <sheetViews>
    <sheetView workbookViewId="0">
      <selection activeCell="Q17" sqref="Q17"/>
    </sheetView>
  </sheetViews>
  <sheetFormatPr baseColWidth="10" defaultColWidth="14.5" defaultRowHeight="15" customHeight="1" x14ac:dyDescent="0.2"/>
  <cols>
    <col min="1" max="2" width="8.83203125" customWidth="1"/>
    <col min="3" max="3" width="26.6640625" customWidth="1"/>
    <col min="4" max="4" width="12.5" customWidth="1"/>
    <col min="5" max="5" width="10.83203125" customWidth="1"/>
    <col min="6" max="6" width="11.83203125" customWidth="1"/>
    <col min="7" max="7" width="13.6640625" customWidth="1"/>
    <col min="8" max="8" width="28.1640625" customWidth="1"/>
    <col min="9" max="9" width="10.6640625" customWidth="1"/>
    <col min="10" max="10" width="7.83203125" customWidth="1"/>
    <col min="11" max="11" width="7.1640625" customWidth="1"/>
    <col min="12" max="12" width="11.1640625" customWidth="1"/>
    <col min="13" max="13" width="4.33203125" customWidth="1"/>
    <col min="14" max="14" width="7.1640625" customWidth="1"/>
    <col min="15" max="16" width="8.83203125" customWidth="1"/>
  </cols>
  <sheetData>
    <row r="1" spans="1:16" x14ac:dyDescent="0.2">
      <c r="H1" s="133" t="s">
        <v>139</v>
      </c>
      <c r="I1" s="99"/>
      <c r="J1" s="99"/>
      <c r="K1" s="99"/>
      <c r="L1" s="99"/>
      <c r="M1" s="100"/>
    </row>
    <row r="2" spans="1:16" x14ac:dyDescent="0.2">
      <c r="B2" s="131" t="s">
        <v>140</v>
      </c>
      <c r="C2" s="108"/>
      <c r="D2" s="108"/>
      <c r="E2" s="108"/>
      <c r="F2" s="108"/>
      <c r="G2" s="109"/>
      <c r="I2" s="51" t="s">
        <v>141</v>
      </c>
      <c r="J2" s="51" t="s">
        <v>142</v>
      </c>
      <c r="K2" s="51" t="s">
        <v>143</v>
      </c>
    </row>
    <row r="3" spans="1:16" x14ac:dyDescent="0.2">
      <c r="B3" s="110"/>
      <c r="C3" s="111"/>
      <c r="D3" s="111"/>
      <c r="E3" s="111"/>
      <c r="F3" s="111"/>
      <c r="G3" s="112"/>
      <c r="H3" t="s">
        <v>144</v>
      </c>
      <c r="I3">
        <v>6000</v>
      </c>
      <c r="J3">
        <v>4000</v>
      </c>
      <c r="K3">
        <v>3000</v>
      </c>
    </row>
    <row r="4" spans="1:16" x14ac:dyDescent="0.2">
      <c r="B4" s="110"/>
      <c r="C4" s="111"/>
      <c r="D4" s="111"/>
      <c r="E4" s="111"/>
      <c r="F4" s="111"/>
      <c r="G4" s="112"/>
      <c r="H4" t="s">
        <v>145</v>
      </c>
      <c r="I4">
        <v>250</v>
      </c>
      <c r="J4">
        <v>200</v>
      </c>
      <c r="K4">
        <v>400</v>
      </c>
    </row>
    <row r="5" spans="1:16" x14ac:dyDescent="0.2">
      <c r="B5" s="110"/>
      <c r="C5" s="111"/>
      <c r="D5" s="111"/>
      <c r="E5" s="111"/>
      <c r="F5" s="111"/>
      <c r="G5" s="112"/>
      <c r="H5" t="s">
        <v>146</v>
      </c>
      <c r="I5">
        <v>0.8</v>
      </c>
      <c r="J5">
        <v>0.6</v>
      </c>
      <c r="K5">
        <v>0.75</v>
      </c>
    </row>
    <row r="6" spans="1:16" x14ac:dyDescent="0.2">
      <c r="B6" s="110"/>
      <c r="C6" s="111"/>
      <c r="D6" s="111"/>
      <c r="E6" s="111"/>
      <c r="F6" s="111"/>
      <c r="G6" s="112"/>
      <c r="H6" t="s">
        <v>147</v>
      </c>
      <c r="I6" s="26">
        <f t="shared" ref="I6:K6" si="0">I4*I5</f>
        <v>200</v>
      </c>
      <c r="J6" s="26">
        <f t="shared" si="0"/>
        <v>120</v>
      </c>
      <c r="K6" s="26">
        <f t="shared" si="0"/>
        <v>300</v>
      </c>
      <c r="L6" s="26"/>
      <c r="M6" s="26"/>
      <c r="N6" s="26"/>
      <c r="O6" s="26"/>
      <c r="P6" s="26"/>
    </row>
    <row r="7" spans="1:16" x14ac:dyDescent="0.2">
      <c r="B7" s="110"/>
      <c r="C7" s="111"/>
      <c r="D7" s="111"/>
      <c r="E7" s="111"/>
      <c r="F7" s="111"/>
      <c r="G7" s="112"/>
      <c r="H7" s="26" t="s">
        <v>148</v>
      </c>
      <c r="I7" s="26">
        <f t="shared" ref="I7:K7" si="1">I6/20</f>
        <v>10</v>
      </c>
      <c r="J7" s="26">
        <f t="shared" si="1"/>
        <v>6</v>
      </c>
      <c r="K7" s="26">
        <f t="shared" si="1"/>
        <v>15</v>
      </c>
      <c r="L7" s="26"/>
      <c r="M7" s="26"/>
      <c r="N7" s="26"/>
      <c r="O7" s="26"/>
      <c r="P7" s="26"/>
    </row>
    <row r="8" spans="1:16" x14ac:dyDescent="0.2">
      <c r="B8" s="110"/>
      <c r="C8" s="111"/>
      <c r="D8" s="111"/>
      <c r="E8" s="111"/>
      <c r="F8" s="111"/>
      <c r="G8" s="112"/>
      <c r="H8" t="s">
        <v>149</v>
      </c>
      <c r="I8" s="26">
        <v>24</v>
      </c>
      <c r="J8" s="26">
        <v>40</v>
      </c>
      <c r="K8" s="26">
        <v>32</v>
      </c>
      <c r="L8" s="26"/>
      <c r="M8" s="26"/>
      <c r="N8" s="26"/>
      <c r="O8" s="26"/>
      <c r="P8" s="26"/>
    </row>
    <row r="9" spans="1:16" x14ac:dyDescent="0.2">
      <c r="B9" s="110"/>
      <c r="C9" s="111"/>
      <c r="D9" s="111"/>
      <c r="E9" s="111"/>
      <c r="F9" s="111"/>
      <c r="G9" s="112"/>
      <c r="H9" s="26" t="s">
        <v>150</v>
      </c>
      <c r="I9" s="26">
        <f t="shared" ref="I9:K9" si="2">I8/16</f>
        <v>1.5</v>
      </c>
      <c r="J9" s="26">
        <f t="shared" si="2"/>
        <v>2.5</v>
      </c>
      <c r="K9" s="26">
        <f t="shared" si="2"/>
        <v>2</v>
      </c>
      <c r="L9" s="26"/>
      <c r="M9" s="26"/>
      <c r="N9" s="26"/>
      <c r="O9" s="26"/>
      <c r="P9" s="26"/>
    </row>
    <row r="10" spans="1:16" x14ac:dyDescent="0.2">
      <c r="B10" s="110"/>
      <c r="C10" s="111"/>
      <c r="D10" s="111"/>
      <c r="E10" s="111"/>
      <c r="F10" s="111"/>
      <c r="G10" s="112"/>
      <c r="H10" s="26" t="s">
        <v>151</v>
      </c>
      <c r="I10" s="26">
        <f t="shared" ref="I10:K10" si="3">I9*4</f>
        <v>6</v>
      </c>
      <c r="J10" s="26">
        <f t="shared" si="3"/>
        <v>10</v>
      </c>
      <c r="K10" s="26">
        <f t="shared" si="3"/>
        <v>8</v>
      </c>
      <c r="L10" s="26"/>
      <c r="M10" s="26"/>
      <c r="N10" s="26"/>
      <c r="O10" s="26"/>
      <c r="P10" s="26"/>
    </row>
    <row r="11" spans="1:16" x14ac:dyDescent="0.2">
      <c r="B11" s="110"/>
      <c r="C11" s="111"/>
      <c r="D11" s="111"/>
      <c r="E11" s="111"/>
      <c r="F11" s="111"/>
      <c r="G11" s="112"/>
      <c r="H11" s="26" t="s">
        <v>89</v>
      </c>
      <c r="I11" s="26">
        <f t="shared" ref="I11:K11" si="4">I6+I8+I10</f>
        <v>230</v>
      </c>
      <c r="J11" s="26">
        <f t="shared" si="4"/>
        <v>170</v>
      </c>
      <c r="K11" s="26">
        <f t="shared" si="4"/>
        <v>340</v>
      </c>
      <c r="L11" s="26"/>
      <c r="M11" s="26"/>
      <c r="N11" s="26"/>
      <c r="O11" s="26"/>
      <c r="P11" s="26"/>
    </row>
    <row r="12" spans="1:16" x14ac:dyDescent="0.2">
      <c r="B12" s="110"/>
      <c r="C12" s="111"/>
      <c r="D12" s="111"/>
      <c r="E12" s="111"/>
      <c r="F12" s="111"/>
      <c r="G12" s="112"/>
      <c r="H12" s="26" t="s">
        <v>152</v>
      </c>
      <c r="I12" s="26">
        <f t="shared" ref="I12:K12" si="5">I4-I11</f>
        <v>20</v>
      </c>
      <c r="J12" s="26">
        <f t="shared" si="5"/>
        <v>30</v>
      </c>
      <c r="K12" s="26">
        <f t="shared" si="5"/>
        <v>60</v>
      </c>
      <c r="L12" s="26"/>
      <c r="M12" s="26"/>
      <c r="N12" s="26"/>
      <c r="O12" s="26"/>
      <c r="P12" s="26"/>
    </row>
    <row r="13" spans="1:16" x14ac:dyDescent="0.2">
      <c r="B13" s="113"/>
      <c r="C13" s="114"/>
      <c r="D13" s="114"/>
      <c r="E13" s="114"/>
      <c r="F13" s="114"/>
      <c r="G13" s="115"/>
      <c r="H13" s="26" t="s">
        <v>13</v>
      </c>
      <c r="I13" s="26">
        <v>3100</v>
      </c>
      <c r="J13" s="26">
        <v>4000</v>
      </c>
      <c r="K13" s="26">
        <v>3000</v>
      </c>
      <c r="L13" s="26">
        <f>SUMPRODUCT(I12:K12,I13:K13)</f>
        <v>362000</v>
      </c>
      <c r="M13" s="26"/>
      <c r="N13" s="26"/>
      <c r="O13" s="26"/>
      <c r="P13" s="26"/>
    </row>
    <row r="14" spans="1:16" x14ac:dyDescent="0.2">
      <c r="H14" s="26" t="s">
        <v>14</v>
      </c>
      <c r="I14">
        <f t="shared" ref="I14:K14" si="6">I13*I12</f>
        <v>62000</v>
      </c>
      <c r="J14">
        <f t="shared" si="6"/>
        <v>120000</v>
      </c>
      <c r="K14">
        <f t="shared" si="6"/>
        <v>180000</v>
      </c>
    </row>
    <row r="15" spans="1:16" x14ac:dyDescent="0.2">
      <c r="A15" s="52" t="s">
        <v>18</v>
      </c>
      <c r="C15" s="103" t="s">
        <v>153</v>
      </c>
      <c r="D15" s="90"/>
      <c r="E15" s="90"/>
      <c r="F15" s="91"/>
      <c r="H15" s="26" t="s">
        <v>154</v>
      </c>
      <c r="I15">
        <f t="shared" ref="I15:K15" si="7">I3*6</f>
        <v>36000</v>
      </c>
      <c r="J15">
        <f t="shared" si="7"/>
        <v>24000</v>
      </c>
      <c r="K15">
        <f t="shared" si="7"/>
        <v>18000</v>
      </c>
      <c r="L15">
        <f>SUM(I15:K15)</f>
        <v>78000</v>
      </c>
    </row>
    <row r="16" spans="1:16" x14ac:dyDescent="0.2">
      <c r="C16" s="59" t="s">
        <v>155</v>
      </c>
      <c r="D16" s="60" t="s">
        <v>141</v>
      </c>
      <c r="E16" s="60" t="s">
        <v>142</v>
      </c>
      <c r="F16" s="60" t="s">
        <v>143</v>
      </c>
      <c r="H16" s="26" t="s">
        <v>16</v>
      </c>
      <c r="L16">
        <f>SUMPRODUCT(I13:K13,I12:K12)-SUM(I15:K15)</f>
        <v>284000</v>
      </c>
    </row>
    <row r="17" spans="3:14" x14ac:dyDescent="0.2">
      <c r="C17" s="59" t="s">
        <v>156</v>
      </c>
      <c r="D17" s="60">
        <v>6000</v>
      </c>
      <c r="E17" s="60">
        <v>4000</v>
      </c>
      <c r="F17" s="60">
        <v>3000</v>
      </c>
    </row>
    <row r="18" spans="3:14" ht="28" x14ac:dyDescent="0.2">
      <c r="C18" s="59" t="s">
        <v>157</v>
      </c>
      <c r="D18" s="61">
        <v>0.8</v>
      </c>
      <c r="E18" s="61">
        <v>0.6</v>
      </c>
      <c r="F18" s="61">
        <v>0.75</v>
      </c>
    </row>
    <row r="19" spans="3:14" x14ac:dyDescent="0.2">
      <c r="C19" s="59"/>
      <c r="D19" s="60" t="s">
        <v>158</v>
      </c>
      <c r="E19" s="60" t="s">
        <v>158</v>
      </c>
      <c r="F19" s="60" t="s">
        <v>158</v>
      </c>
      <c r="H19" s="26" t="s">
        <v>159</v>
      </c>
      <c r="I19" t="s">
        <v>160</v>
      </c>
    </row>
    <row r="20" spans="3:14" x14ac:dyDescent="0.2">
      <c r="C20" s="62" t="s">
        <v>145</v>
      </c>
      <c r="D20" s="63">
        <v>250</v>
      </c>
      <c r="E20" s="63">
        <v>200</v>
      </c>
      <c r="F20" s="63">
        <v>400</v>
      </c>
      <c r="H20" s="26"/>
      <c r="I20" s="51" t="s">
        <v>141</v>
      </c>
      <c r="J20" s="51" t="s">
        <v>142</v>
      </c>
      <c r="K20" s="51" t="s">
        <v>143</v>
      </c>
      <c r="L20" s="51" t="s">
        <v>161</v>
      </c>
      <c r="M20" s="51"/>
      <c r="N20" s="51" t="s">
        <v>162</v>
      </c>
    </row>
    <row r="21" spans="3:14" ht="15.75" customHeight="1" x14ac:dyDescent="0.2">
      <c r="C21" s="58" t="s">
        <v>163</v>
      </c>
      <c r="D21" s="64"/>
      <c r="E21" s="64"/>
      <c r="F21" s="64"/>
      <c r="I21">
        <v>1</v>
      </c>
      <c r="J21">
        <v>0</v>
      </c>
      <c r="K21">
        <v>0</v>
      </c>
      <c r="L21">
        <f t="shared" ref="L21:L24" si="8">SUMPRODUCT(I21:K21,$I$13:$K$13)</f>
        <v>3100</v>
      </c>
      <c r="M21" s="7" t="s">
        <v>164</v>
      </c>
      <c r="N21">
        <v>6000</v>
      </c>
    </row>
    <row r="22" spans="3:14" ht="15.75" customHeight="1" x14ac:dyDescent="0.2">
      <c r="C22" s="62" t="s">
        <v>165</v>
      </c>
      <c r="D22" s="64">
        <f t="shared" ref="D22:F22" si="9">D18*D20</f>
        <v>200</v>
      </c>
      <c r="E22" s="64">
        <f t="shared" si="9"/>
        <v>120</v>
      </c>
      <c r="F22" s="64">
        <f t="shared" si="9"/>
        <v>300</v>
      </c>
      <c r="I22">
        <v>0</v>
      </c>
      <c r="J22">
        <v>1</v>
      </c>
      <c r="K22">
        <v>0</v>
      </c>
      <c r="L22">
        <f t="shared" si="8"/>
        <v>4000</v>
      </c>
      <c r="M22" s="7" t="s">
        <v>164</v>
      </c>
      <c r="N22">
        <v>4000</v>
      </c>
    </row>
    <row r="23" spans="3:14" ht="15.75" customHeight="1" x14ac:dyDescent="0.2">
      <c r="C23" s="62" t="s">
        <v>166</v>
      </c>
      <c r="D23" s="64">
        <v>24</v>
      </c>
      <c r="E23" s="64">
        <v>40</v>
      </c>
      <c r="F23" s="64">
        <v>32</v>
      </c>
      <c r="I23">
        <v>0</v>
      </c>
      <c r="J23">
        <v>0</v>
      </c>
      <c r="K23">
        <v>1</v>
      </c>
      <c r="L23">
        <f t="shared" si="8"/>
        <v>3000</v>
      </c>
      <c r="M23" s="7" t="s">
        <v>164</v>
      </c>
      <c r="N23">
        <v>3000</v>
      </c>
    </row>
    <row r="24" spans="3:14" ht="15.75" customHeight="1" x14ac:dyDescent="0.2">
      <c r="C24" s="42" t="s">
        <v>167</v>
      </c>
      <c r="D24" s="64">
        <f t="shared" ref="D24:F24" si="10">(D23/16)*10*0.4</f>
        <v>6</v>
      </c>
      <c r="E24" s="64">
        <f t="shared" si="10"/>
        <v>10</v>
      </c>
      <c r="F24" s="64">
        <f t="shared" si="10"/>
        <v>8</v>
      </c>
      <c r="I24">
        <v>10</v>
      </c>
      <c r="J24">
        <v>6</v>
      </c>
      <c r="K24">
        <v>15</v>
      </c>
      <c r="L24">
        <f t="shared" si="8"/>
        <v>100000</v>
      </c>
      <c r="M24" s="7" t="s">
        <v>164</v>
      </c>
      <c r="N24">
        <v>100000</v>
      </c>
    </row>
    <row r="25" spans="3:14" ht="15.75" customHeight="1" x14ac:dyDescent="0.2">
      <c r="C25" s="57" t="s">
        <v>168</v>
      </c>
      <c r="D25" s="64">
        <f t="shared" ref="D25:F25" si="11">SUM(D22:D24)</f>
        <v>230</v>
      </c>
      <c r="E25" s="64">
        <f t="shared" si="11"/>
        <v>170</v>
      </c>
      <c r="F25" s="64">
        <f t="shared" si="11"/>
        <v>340</v>
      </c>
    </row>
    <row r="26" spans="3:14" ht="15.75" customHeight="1" x14ac:dyDescent="0.2">
      <c r="C26" s="57" t="s">
        <v>152</v>
      </c>
      <c r="D26" s="64">
        <f t="shared" ref="D26:F26" si="12">D20-D25</f>
        <v>20</v>
      </c>
      <c r="E26" s="64">
        <f t="shared" si="12"/>
        <v>30</v>
      </c>
      <c r="F26" s="64">
        <f t="shared" si="12"/>
        <v>60</v>
      </c>
    </row>
    <row r="27" spans="3:14" ht="15.75" customHeight="1" x14ac:dyDescent="0.2">
      <c r="C27" s="62" t="s">
        <v>169</v>
      </c>
      <c r="D27" s="64">
        <f>D22/20</f>
        <v>10</v>
      </c>
      <c r="E27" s="64">
        <f t="shared" ref="D27:F27" si="13">E22/20</f>
        <v>6</v>
      </c>
      <c r="F27" s="64">
        <f t="shared" si="13"/>
        <v>15</v>
      </c>
    </row>
    <row r="28" spans="3:14" ht="15.75" customHeight="1" x14ac:dyDescent="0.2">
      <c r="C28" s="62" t="s">
        <v>170</v>
      </c>
      <c r="D28" s="64">
        <f t="shared" ref="D28:F28" si="14">D26/D27</f>
        <v>2</v>
      </c>
      <c r="E28" s="64">
        <f t="shared" si="14"/>
        <v>5</v>
      </c>
      <c r="F28" s="64">
        <f t="shared" si="14"/>
        <v>4</v>
      </c>
    </row>
    <row r="29" spans="3:14" ht="15.75" customHeight="1" x14ac:dyDescent="0.2">
      <c r="C29" s="62" t="s">
        <v>171</v>
      </c>
      <c r="D29" s="64" t="s">
        <v>172</v>
      </c>
      <c r="E29" s="64" t="s">
        <v>173</v>
      </c>
      <c r="F29" s="64" t="s">
        <v>174</v>
      </c>
    </row>
    <row r="30" spans="3:14" ht="15.75" customHeight="1" x14ac:dyDescent="0.2">
      <c r="C30" s="62" t="s">
        <v>175</v>
      </c>
      <c r="D30" s="64">
        <f t="shared" ref="D30:F30" si="15">D23/16</f>
        <v>1.5</v>
      </c>
      <c r="E30" s="64">
        <f t="shared" si="15"/>
        <v>2.5</v>
      </c>
      <c r="F30" s="64">
        <f t="shared" si="15"/>
        <v>2</v>
      </c>
    </row>
    <row r="31" spans="3:14" ht="15.75" customHeight="1" x14ac:dyDescent="0.2">
      <c r="C31" s="62" t="s">
        <v>176</v>
      </c>
      <c r="D31" s="64">
        <f t="shared" ref="D31:F31" si="16">D26/D30</f>
        <v>13.333333333333334</v>
      </c>
      <c r="E31" s="64">
        <f t="shared" si="16"/>
        <v>12</v>
      </c>
      <c r="F31" s="64">
        <f t="shared" si="16"/>
        <v>30</v>
      </c>
    </row>
    <row r="32" spans="3:14" ht="15.75" customHeight="1" x14ac:dyDescent="0.2">
      <c r="C32" s="42" t="s">
        <v>177</v>
      </c>
      <c r="D32" s="64" t="s">
        <v>174</v>
      </c>
      <c r="E32" s="64" t="s">
        <v>172</v>
      </c>
      <c r="F32" s="64" t="s">
        <v>173</v>
      </c>
    </row>
    <row r="33" spans="2:7" ht="15.75" customHeight="1" x14ac:dyDescent="0.2">
      <c r="C33" s="62" t="s">
        <v>178</v>
      </c>
      <c r="D33">
        <f t="shared" ref="D33:F33" si="17">D17*10*0.6</f>
        <v>36000</v>
      </c>
      <c r="E33" s="44">
        <f t="shared" si="17"/>
        <v>24000</v>
      </c>
      <c r="F33" s="44">
        <f t="shared" si="17"/>
        <v>18000</v>
      </c>
      <c r="G33">
        <f>SUM(D33:F33)</f>
        <v>78000</v>
      </c>
    </row>
    <row r="34" spans="2:7" ht="15.75" customHeight="1" x14ac:dyDescent="0.2">
      <c r="B34" t="s">
        <v>179</v>
      </c>
      <c r="C34" s="134" t="s">
        <v>180</v>
      </c>
      <c r="D34" s="108"/>
      <c r="E34" s="108"/>
      <c r="F34" s="109"/>
    </row>
    <row r="35" spans="2:7" ht="15.75" customHeight="1" x14ac:dyDescent="0.2">
      <c r="C35" s="113"/>
      <c r="D35" s="114"/>
      <c r="E35" s="114"/>
      <c r="F35" s="115"/>
    </row>
    <row r="36" spans="2:7" ht="15.75" customHeight="1" x14ac:dyDescent="0.2"/>
    <row r="37" spans="2:7" ht="45" customHeight="1" x14ac:dyDescent="0.2">
      <c r="C37" s="65" t="s">
        <v>181</v>
      </c>
      <c r="D37" s="26" t="s">
        <v>13</v>
      </c>
      <c r="E37" s="65" t="s">
        <v>169</v>
      </c>
      <c r="F37" s="66" t="s">
        <v>182</v>
      </c>
      <c r="G37" s="66"/>
    </row>
    <row r="38" spans="2:7" ht="15.75" customHeight="1" x14ac:dyDescent="0.2">
      <c r="C38" t="s">
        <v>142</v>
      </c>
      <c r="D38">
        <f>E17</f>
        <v>4000</v>
      </c>
      <c r="E38">
        <f>E27</f>
        <v>6</v>
      </c>
      <c r="F38">
        <f t="shared" ref="F38:F39" si="18">D38*E38</f>
        <v>24000</v>
      </c>
    </row>
    <row r="39" spans="2:7" ht="15.75" customHeight="1" x14ac:dyDescent="0.2">
      <c r="C39" t="s">
        <v>143</v>
      </c>
      <c r="D39">
        <f>F17</f>
        <v>3000</v>
      </c>
      <c r="E39">
        <f>F27</f>
        <v>15</v>
      </c>
      <c r="F39">
        <f t="shared" si="18"/>
        <v>45000</v>
      </c>
    </row>
    <row r="40" spans="2:7" ht="15.75" customHeight="1" x14ac:dyDescent="0.2">
      <c r="C40" t="s">
        <v>141</v>
      </c>
      <c r="D40">
        <f>F40/E40</f>
        <v>3100</v>
      </c>
      <c r="E40">
        <f>D27</f>
        <v>10</v>
      </c>
      <c r="F40">
        <f>100000-(F38+F39)</f>
        <v>31000</v>
      </c>
    </row>
    <row r="41" spans="2:7" ht="15.75" customHeight="1" x14ac:dyDescent="0.2">
      <c r="C41" t="s">
        <v>183</v>
      </c>
      <c r="F41">
        <f>SUM(F38:F40)</f>
        <v>100000</v>
      </c>
    </row>
    <row r="42" spans="2:7" ht="15.75" customHeight="1" x14ac:dyDescent="0.2"/>
    <row r="43" spans="2:7" ht="15.75" customHeight="1" x14ac:dyDescent="0.2">
      <c r="C43" s="103" t="s">
        <v>20</v>
      </c>
      <c r="D43" s="90"/>
      <c r="E43" s="90"/>
      <c r="F43" s="91"/>
    </row>
    <row r="44" spans="2:7" ht="15.75" customHeight="1" x14ac:dyDescent="0.2">
      <c r="C44" t="s">
        <v>155</v>
      </c>
      <c r="D44" t="s">
        <v>13</v>
      </c>
      <c r="E44" t="s">
        <v>184</v>
      </c>
      <c r="F44" t="s">
        <v>185</v>
      </c>
    </row>
    <row r="45" spans="2:7" ht="15.75" customHeight="1" x14ac:dyDescent="0.2">
      <c r="C45" t="s">
        <v>142</v>
      </c>
      <c r="D45">
        <f t="shared" ref="D45:D47" si="19">D38</f>
        <v>4000</v>
      </c>
      <c r="E45">
        <f>E26</f>
        <v>30</v>
      </c>
      <c r="F45">
        <f t="shared" ref="F45:F47" si="20">D45*E45</f>
        <v>120000</v>
      </c>
    </row>
    <row r="46" spans="2:7" ht="15.75" customHeight="1" x14ac:dyDescent="0.2">
      <c r="C46" t="s">
        <v>143</v>
      </c>
      <c r="D46">
        <f t="shared" si="19"/>
        <v>3000</v>
      </c>
      <c r="E46">
        <f>F26</f>
        <v>60</v>
      </c>
      <c r="F46">
        <f t="shared" si="20"/>
        <v>180000</v>
      </c>
    </row>
    <row r="47" spans="2:7" ht="15.75" customHeight="1" x14ac:dyDescent="0.2">
      <c r="C47" t="s">
        <v>141</v>
      </c>
      <c r="D47">
        <f t="shared" si="19"/>
        <v>3100</v>
      </c>
      <c r="E47">
        <f>D26</f>
        <v>20</v>
      </c>
      <c r="F47">
        <f t="shared" si="20"/>
        <v>62000</v>
      </c>
    </row>
    <row r="48" spans="2:7" ht="15.75" customHeight="1" x14ac:dyDescent="0.2">
      <c r="C48" t="s">
        <v>14</v>
      </c>
      <c r="F48">
        <f>SUM(F45:F47)</f>
        <v>362000</v>
      </c>
    </row>
    <row r="49" spans="1:16" ht="15.75" customHeight="1" x14ac:dyDescent="0.2">
      <c r="C49" s="44" t="s">
        <v>186</v>
      </c>
      <c r="F49">
        <f>G33</f>
        <v>78000</v>
      </c>
    </row>
    <row r="50" spans="1:16" ht="15.75" customHeight="1" x14ac:dyDescent="0.2">
      <c r="A50" s="44"/>
      <c r="B50" s="44"/>
      <c r="C50" s="44" t="s">
        <v>16</v>
      </c>
      <c r="D50" s="44"/>
      <c r="E50" s="44"/>
      <c r="F50" s="44">
        <f>F48-F49</f>
        <v>284000</v>
      </c>
      <c r="G50" s="44"/>
      <c r="H50" s="44"/>
      <c r="I50" s="44"/>
      <c r="J50" s="44"/>
      <c r="K50" s="44"/>
      <c r="L50" s="44"/>
      <c r="M50" s="44"/>
      <c r="N50" s="44"/>
      <c r="O50" s="44"/>
      <c r="P50" s="44"/>
    </row>
    <row r="51" spans="1:16" ht="15.75" customHeight="1" x14ac:dyDescent="0.2">
      <c r="B51" t="s">
        <v>42</v>
      </c>
      <c r="C51" s="134" t="s">
        <v>187</v>
      </c>
      <c r="D51" s="108"/>
      <c r="E51" s="108"/>
      <c r="F51" s="109"/>
    </row>
    <row r="52" spans="1:16" ht="15.75" customHeight="1" x14ac:dyDescent="0.2">
      <c r="C52" s="113"/>
      <c r="D52" s="114"/>
      <c r="E52" s="114"/>
      <c r="F52" s="115"/>
    </row>
    <row r="53" spans="1:16" ht="15.75" customHeight="1" x14ac:dyDescent="0.2"/>
    <row r="54" spans="1:16" ht="15.75" customHeight="1" x14ac:dyDescent="0.2">
      <c r="C54" s="65" t="s">
        <v>188</v>
      </c>
      <c r="D54" s="26" t="s">
        <v>13</v>
      </c>
      <c r="E54" s="65" t="s">
        <v>189</v>
      </c>
      <c r="F54" s="66" t="s">
        <v>190</v>
      </c>
      <c r="G54" s="66"/>
    </row>
    <row r="55" spans="1:16" ht="15.75" customHeight="1" x14ac:dyDescent="0.2">
      <c r="C55" t="s">
        <v>143</v>
      </c>
      <c r="D55">
        <f>F17</f>
        <v>3000</v>
      </c>
      <c r="E55">
        <f>F30</f>
        <v>2</v>
      </c>
      <c r="F55">
        <f t="shared" ref="F55:F56" si="21">D55*E55</f>
        <v>6000</v>
      </c>
    </row>
    <row r="56" spans="1:16" ht="15.75" customHeight="1" x14ac:dyDescent="0.2">
      <c r="C56" t="s">
        <v>141</v>
      </c>
      <c r="D56">
        <v>6000</v>
      </c>
      <c r="E56">
        <f>D30</f>
        <v>1.5</v>
      </c>
      <c r="F56">
        <f t="shared" si="21"/>
        <v>9000</v>
      </c>
    </row>
    <row r="57" spans="1:16" ht="15.75" customHeight="1" x14ac:dyDescent="0.2">
      <c r="C57" t="s">
        <v>142</v>
      </c>
      <c r="D57">
        <f>F57/E57</f>
        <v>1360</v>
      </c>
      <c r="E57">
        <f>E30</f>
        <v>2.5</v>
      </c>
      <c r="F57">
        <f>18400-(F55+F56)</f>
        <v>3400</v>
      </c>
    </row>
    <row r="58" spans="1:16" ht="15.75" customHeight="1" x14ac:dyDescent="0.2">
      <c r="C58" t="s">
        <v>120</v>
      </c>
      <c r="F58">
        <f>SUM(F55:F57)</f>
        <v>18400</v>
      </c>
    </row>
    <row r="59" spans="1:16" ht="15.75" customHeight="1" x14ac:dyDescent="0.2"/>
    <row r="60" spans="1:16" ht="15.75" customHeight="1" x14ac:dyDescent="0.2">
      <c r="C60" s="103" t="s">
        <v>20</v>
      </c>
      <c r="D60" s="90"/>
      <c r="E60" s="90"/>
      <c r="F60" s="91"/>
    </row>
    <row r="61" spans="1:16" ht="15.75" customHeight="1" x14ac:dyDescent="0.2">
      <c r="C61" t="s">
        <v>155</v>
      </c>
      <c r="D61" s="51" t="s">
        <v>13</v>
      </c>
      <c r="E61" s="51" t="s">
        <v>184</v>
      </c>
      <c r="F61" s="51" t="s">
        <v>185</v>
      </c>
    </row>
    <row r="62" spans="1:16" ht="15.75" customHeight="1" x14ac:dyDescent="0.2">
      <c r="C62" t="s">
        <v>143</v>
      </c>
      <c r="D62" s="51">
        <f t="shared" ref="D62:D63" si="22">D55</f>
        <v>3000</v>
      </c>
      <c r="E62" s="51">
        <f>F26</f>
        <v>60</v>
      </c>
      <c r="F62" s="51">
        <f t="shared" ref="F62:F64" si="23">D62*E62</f>
        <v>180000</v>
      </c>
    </row>
    <row r="63" spans="1:16" ht="15.75" customHeight="1" x14ac:dyDescent="0.2">
      <c r="C63" t="s">
        <v>141</v>
      </c>
      <c r="D63" s="51">
        <f t="shared" si="22"/>
        <v>6000</v>
      </c>
      <c r="E63" s="51">
        <f>D26</f>
        <v>20</v>
      </c>
      <c r="F63" s="51">
        <f t="shared" si="23"/>
        <v>120000</v>
      </c>
    </row>
    <row r="64" spans="1:16" ht="15.75" customHeight="1" x14ac:dyDescent="0.2">
      <c r="C64" t="s">
        <v>142</v>
      </c>
      <c r="D64" s="51">
        <v>1360</v>
      </c>
      <c r="E64" s="51">
        <f>E26</f>
        <v>30</v>
      </c>
      <c r="F64" s="51">
        <f t="shared" si="23"/>
        <v>40800</v>
      </c>
    </row>
    <row r="65" spans="3:6" ht="15.75" customHeight="1" x14ac:dyDescent="0.2">
      <c r="C65" t="s">
        <v>14</v>
      </c>
      <c r="D65" s="51"/>
      <c r="E65" s="51"/>
      <c r="F65" s="51">
        <f>SUM(F62:F64)</f>
        <v>340800</v>
      </c>
    </row>
    <row r="66" spans="3:6" ht="15.75" customHeight="1" x14ac:dyDescent="0.2">
      <c r="C66" s="44" t="s">
        <v>186</v>
      </c>
      <c r="D66" s="44"/>
      <c r="E66" s="44"/>
      <c r="F66" s="44">
        <f>G33</f>
        <v>78000</v>
      </c>
    </row>
    <row r="67" spans="3:6" ht="15.75" customHeight="1" x14ac:dyDescent="0.2">
      <c r="C67" s="44" t="s">
        <v>16</v>
      </c>
      <c r="D67" s="44"/>
      <c r="E67" s="44"/>
      <c r="F67" s="44">
        <f>F65-F66</f>
        <v>262800</v>
      </c>
    </row>
    <row r="68" spans="3:6" ht="15.75" customHeight="1" x14ac:dyDescent="0.2"/>
    <row r="69" spans="3:6" ht="15.75" customHeight="1" x14ac:dyDescent="0.2"/>
    <row r="70" spans="3:6" ht="15.75" customHeight="1" x14ac:dyDescent="0.2"/>
    <row r="71" spans="3:6" ht="15.75" customHeight="1" x14ac:dyDescent="0.2"/>
    <row r="72" spans="3:6" ht="15.75" customHeight="1" x14ac:dyDescent="0.2"/>
    <row r="73" spans="3:6" ht="15.75" customHeight="1" x14ac:dyDescent="0.2"/>
    <row r="74" spans="3:6" ht="15.75" customHeight="1" x14ac:dyDescent="0.2"/>
    <row r="75" spans="3:6" ht="15.75" customHeight="1" x14ac:dyDescent="0.2"/>
    <row r="76" spans="3:6" ht="15.75" customHeight="1" x14ac:dyDescent="0.2"/>
    <row r="77" spans="3:6" ht="15.75" customHeight="1" x14ac:dyDescent="0.2"/>
    <row r="78" spans="3:6" ht="15.75" customHeight="1" x14ac:dyDescent="0.2"/>
    <row r="79" spans="3:6" ht="15.75" customHeight="1" x14ac:dyDescent="0.2"/>
    <row r="80" spans="3:6"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sheetData>
  <mergeCells count="7">
    <mergeCell ref="H1:M1"/>
    <mergeCell ref="C60:F60"/>
    <mergeCell ref="B2:G13"/>
    <mergeCell ref="C15:F15"/>
    <mergeCell ref="C34:F35"/>
    <mergeCell ref="C43:F43"/>
    <mergeCell ref="C51:F5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00"/>
  <sheetViews>
    <sheetView workbookViewId="0"/>
  </sheetViews>
  <sheetFormatPr baseColWidth="10" defaultColWidth="14.5" defaultRowHeight="15" customHeight="1" x14ac:dyDescent="0.2"/>
  <cols>
    <col min="1" max="1" width="11.5" customWidth="1"/>
    <col min="2" max="2" width="34.33203125" customWidth="1"/>
    <col min="3" max="3" width="18.33203125" customWidth="1"/>
    <col min="4" max="5" width="11.83203125" customWidth="1"/>
    <col min="6" max="11" width="11.5" customWidth="1"/>
  </cols>
  <sheetData>
    <row r="1" spans="1:11" ht="15.75" customHeight="1" x14ac:dyDescent="0.2">
      <c r="A1" s="67"/>
      <c r="B1" s="67"/>
      <c r="C1" s="67"/>
      <c r="D1" s="67"/>
      <c r="E1" s="67"/>
      <c r="F1" s="67"/>
      <c r="G1" s="67"/>
      <c r="H1" s="67"/>
      <c r="I1" s="67"/>
      <c r="J1" s="67"/>
      <c r="K1" s="67"/>
    </row>
    <row r="2" spans="1:11" ht="15.75" customHeight="1" x14ac:dyDescent="0.2">
      <c r="A2" s="67"/>
      <c r="B2" s="135" t="s">
        <v>191</v>
      </c>
      <c r="C2" s="90"/>
      <c r="D2" s="90"/>
      <c r="E2" s="90"/>
      <c r="F2" s="90"/>
      <c r="G2" s="91"/>
      <c r="H2" s="67"/>
      <c r="I2" s="67"/>
      <c r="J2" s="67"/>
      <c r="K2" s="67"/>
    </row>
    <row r="3" spans="1:11" ht="15.75" customHeight="1" x14ac:dyDescent="0.2">
      <c r="A3" s="67"/>
      <c r="B3" s="67"/>
      <c r="C3" s="68" t="s">
        <v>141</v>
      </c>
      <c r="D3" s="68" t="s">
        <v>142</v>
      </c>
      <c r="E3" s="68" t="s">
        <v>143</v>
      </c>
      <c r="F3" s="67"/>
      <c r="G3" s="67"/>
      <c r="H3" s="67"/>
      <c r="I3" s="67"/>
      <c r="J3" s="67"/>
      <c r="K3" s="67"/>
    </row>
    <row r="4" spans="1:11" ht="15.75" customHeight="1" x14ac:dyDescent="0.2">
      <c r="A4" s="67"/>
      <c r="B4" s="67" t="s">
        <v>144</v>
      </c>
      <c r="C4" s="67">
        <v>6000</v>
      </c>
      <c r="D4" s="67">
        <v>4000</v>
      </c>
      <c r="E4" s="67">
        <v>3000</v>
      </c>
      <c r="F4" s="67"/>
      <c r="G4" s="67"/>
      <c r="H4" s="67"/>
      <c r="I4" s="67"/>
      <c r="J4" s="67"/>
      <c r="K4" s="67"/>
    </row>
    <row r="5" spans="1:11" ht="15.75" customHeight="1" x14ac:dyDescent="0.2">
      <c r="A5" s="67"/>
      <c r="B5" s="67" t="s">
        <v>145</v>
      </c>
      <c r="C5" s="67">
        <v>250</v>
      </c>
      <c r="D5" s="67">
        <v>200</v>
      </c>
      <c r="E5" s="67">
        <v>400</v>
      </c>
      <c r="F5" s="67"/>
      <c r="G5" s="67"/>
      <c r="H5" s="67"/>
      <c r="I5" s="67"/>
      <c r="J5" s="67"/>
      <c r="K5" s="67"/>
    </row>
    <row r="6" spans="1:11" ht="15.75" customHeight="1" x14ac:dyDescent="0.2">
      <c r="A6" s="67"/>
      <c r="B6" s="67" t="s">
        <v>146</v>
      </c>
      <c r="C6" s="67">
        <v>0.8</v>
      </c>
      <c r="D6" s="67">
        <v>0.6</v>
      </c>
      <c r="E6" s="67">
        <v>0.75</v>
      </c>
      <c r="F6" s="67"/>
      <c r="G6" s="67"/>
      <c r="H6" s="67"/>
      <c r="I6" s="67"/>
      <c r="J6" s="67"/>
      <c r="K6" s="67"/>
    </row>
    <row r="7" spans="1:11" ht="15.75" customHeight="1" x14ac:dyDescent="0.2">
      <c r="A7" s="67"/>
      <c r="B7" s="67" t="s">
        <v>147</v>
      </c>
      <c r="C7" s="69">
        <f t="shared" ref="C7:E7" si="0">C5*C6</f>
        <v>200</v>
      </c>
      <c r="D7" s="69">
        <f t="shared" si="0"/>
        <v>120</v>
      </c>
      <c r="E7" s="69">
        <f t="shared" si="0"/>
        <v>300</v>
      </c>
      <c r="F7" s="69"/>
      <c r="G7" s="69"/>
      <c r="H7" s="69"/>
      <c r="I7" s="67"/>
      <c r="J7" s="67"/>
      <c r="K7" s="67"/>
    </row>
    <row r="8" spans="1:11" ht="15.75" customHeight="1" x14ac:dyDescent="0.2">
      <c r="A8" s="67"/>
      <c r="B8" s="69" t="s">
        <v>148</v>
      </c>
      <c r="C8" s="69">
        <f t="shared" ref="C8:E8" si="1">C7/20</f>
        <v>10</v>
      </c>
      <c r="D8" s="69">
        <f t="shared" si="1"/>
        <v>6</v>
      </c>
      <c r="E8" s="69">
        <f t="shared" si="1"/>
        <v>15</v>
      </c>
      <c r="F8" s="69"/>
      <c r="G8" s="69"/>
      <c r="H8" s="69"/>
      <c r="I8" s="67"/>
      <c r="J8" s="67"/>
      <c r="K8" s="67"/>
    </row>
    <row r="9" spans="1:11" ht="15.75" customHeight="1" x14ac:dyDescent="0.2">
      <c r="A9" s="67"/>
      <c r="B9" s="67" t="s">
        <v>149</v>
      </c>
      <c r="C9" s="69">
        <v>24</v>
      </c>
      <c r="D9" s="69">
        <v>40</v>
      </c>
      <c r="E9" s="69">
        <v>32</v>
      </c>
      <c r="F9" s="69"/>
      <c r="G9" s="69"/>
      <c r="H9" s="69"/>
      <c r="I9" s="67"/>
      <c r="J9" s="67"/>
      <c r="K9" s="67"/>
    </row>
    <row r="10" spans="1:11" ht="15.75" customHeight="1" x14ac:dyDescent="0.2">
      <c r="A10" s="67"/>
      <c r="B10" s="69" t="s">
        <v>150</v>
      </c>
      <c r="C10" s="69">
        <f t="shared" ref="C10:E10" si="2">C9/16</f>
        <v>1.5</v>
      </c>
      <c r="D10" s="69">
        <f t="shared" si="2"/>
        <v>2.5</v>
      </c>
      <c r="E10" s="69">
        <f t="shared" si="2"/>
        <v>2</v>
      </c>
      <c r="F10" s="69"/>
      <c r="G10" s="69"/>
      <c r="H10" s="69"/>
      <c r="I10" s="67"/>
      <c r="J10" s="67"/>
      <c r="K10" s="67"/>
    </row>
    <row r="11" spans="1:11" ht="15.75" customHeight="1" x14ac:dyDescent="0.2">
      <c r="A11" s="67"/>
      <c r="B11" s="69" t="s">
        <v>151</v>
      </c>
      <c r="C11" s="69">
        <f t="shared" ref="C11:E11" si="3">C10*4</f>
        <v>6</v>
      </c>
      <c r="D11" s="69">
        <f t="shared" si="3"/>
        <v>10</v>
      </c>
      <c r="E11" s="69">
        <f t="shared" si="3"/>
        <v>8</v>
      </c>
      <c r="F11" s="69"/>
      <c r="G11" s="69"/>
      <c r="H11" s="69"/>
      <c r="I11" s="67"/>
      <c r="J11" s="67"/>
      <c r="K11" s="67"/>
    </row>
    <row r="12" spans="1:11" ht="15.75" customHeight="1" x14ac:dyDescent="0.2">
      <c r="A12" s="67"/>
      <c r="B12" s="69" t="s">
        <v>89</v>
      </c>
      <c r="C12" s="69">
        <f t="shared" ref="C12:E12" si="4">C7+C9+C11</f>
        <v>230</v>
      </c>
      <c r="D12" s="69">
        <f t="shared" si="4"/>
        <v>170</v>
      </c>
      <c r="E12" s="69">
        <f t="shared" si="4"/>
        <v>340</v>
      </c>
      <c r="F12" s="69"/>
      <c r="G12" s="69"/>
      <c r="H12" s="69"/>
      <c r="I12" s="67"/>
      <c r="J12" s="67"/>
      <c r="K12" s="67"/>
    </row>
    <row r="13" spans="1:11" ht="15.75" customHeight="1" x14ac:dyDescent="0.2">
      <c r="A13" s="67"/>
      <c r="B13" s="69" t="s">
        <v>152</v>
      </c>
      <c r="C13" s="69">
        <f t="shared" ref="C13:E13" si="5">C5-C12</f>
        <v>20</v>
      </c>
      <c r="D13" s="69">
        <f t="shared" si="5"/>
        <v>30</v>
      </c>
      <c r="E13" s="69">
        <f t="shared" si="5"/>
        <v>60</v>
      </c>
      <c r="F13" s="69"/>
      <c r="G13" s="69"/>
      <c r="H13" s="69"/>
      <c r="I13" s="67"/>
      <c r="J13" s="67"/>
      <c r="K13" s="67"/>
    </row>
    <row r="14" spans="1:11" ht="15.75" customHeight="1" x14ac:dyDescent="0.2">
      <c r="A14" s="67"/>
      <c r="B14" s="69" t="s">
        <v>13</v>
      </c>
      <c r="C14" s="69">
        <v>6000</v>
      </c>
      <c r="D14" s="69">
        <v>1360.0000000000005</v>
      </c>
      <c r="E14" s="69">
        <v>3000</v>
      </c>
      <c r="F14" s="69">
        <f>SUMPRODUCT(C13:E13,C14:E14)</f>
        <v>340800</v>
      </c>
      <c r="G14" s="69"/>
      <c r="H14" s="69"/>
      <c r="I14" s="67"/>
      <c r="J14" s="67"/>
      <c r="K14" s="67"/>
    </row>
    <row r="15" spans="1:11" ht="15.75" customHeight="1" x14ac:dyDescent="0.2">
      <c r="A15" s="67"/>
      <c r="B15" s="69" t="s">
        <v>14</v>
      </c>
      <c r="C15" s="67">
        <f t="shared" ref="C15:E15" si="6">C14*C13</f>
        <v>120000</v>
      </c>
      <c r="D15" s="67">
        <f t="shared" si="6"/>
        <v>40800.000000000015</v>
      </c>
      <c r="E15" s="67">
        <f t="shared" si="6"/>
        <v>180000</v>
      </c>
      <c r="F15" s="67"/>
      <c r="G15" s="67"/>
      <c r="H15" s="67"/>
      <c r="I15" s="67"/>
      <c r="J15" s="67"/>
      <c r="K15" s="67"/>
    </row>
    <row r="16" spans="1:11" ht="15.75" customHeight="1" x14ac:dyDescent="0.2">
      <c r="A16" s="67"/>
      <c r="B16" s="69" t="s">
        <v>154</v>
      </c>
      <c r="C16" s="67">
        <f t="shared" ref="C16:E16" si="7">C4*6</f>
        <v>36000</v>
      </c>
      <c r="D16" s="67">
        <f t="shared" si="7"/>
        <v>24000</v>
      </c>
      <c r="E16" s="67">
        <f t="shared" si="7"/>
        <v>18000</v>
      </c>
      <c r="F16" s="67"/>
      <c r="G16" s="67"/>
      <c r="H16" s="67"/>
      <c r="I16" s="67"/>
      <c r="J16" s="67"/>
      <c r="K16" s="67"/>
    </row>
    <row r="17" spans="1:11" ht="15.75" customHeight="1" x14ac:dyDescent="0.2">
      <c r="A17" s="67"/>
      <c r="B17" s="69" t="s">
        <v>16</v>
      </c>
      <c r="C17" s="67"/>
      <c r="D17" s="67"/>
      <c r="E17" s="67"/>
      <c r="F17" s="67">
        <f>SUMPRODUCT(C14:E14,C13:E13)-SUM(C16:E16)</f>
        <v>262800</v>
      </c>
      <c r="G17" s="67"/>
      <c r="H17" s="67"/>
      <c r="I17" s="67"/>
      <c r="J17" s="67"/>
      <c r="K17" s="67"/>
    </row>
    <row r="18" spans="1:11" ht="15.75" customHeight="1" x14ac:dyDescent="0.2">
      <c r="A18" s="67"/>
      <c r="B18" s="67"/>
      <c r="C18" s="67"/>
      <c r="D18" s="67"/>
      <c r="E18" s="67"/>
      <c r="F18" s="67"/>
      <c r="G18" s="67"/>
      <c r="H18" s="67"/>
      <c r="I18" s="67"/>
      <c r="J18" s="67"/>
      <c r="K18" s="67"/>
    </row>
    <row r="19" spans="1:11" ht="15.75" customHeight="1" x14ac:dyDescent="0.2">
      <c r="A19" s="67"/>
      <c r="B19" s="69" t="s">
        <v>192</v>
      </c>
      <c r="C19" s="67" t="s">
        <v>193</v>
      </c>
      <c r="D19" s="67"/>
      <c r="E19" s="67"/>
      <c r="F19" s="67"/>
      <c r="G19" s="67"/>
      <c r="H19" s="67"/>
      <c r="I19" s="67"/>
      <c r="J19" s="67"/>
      <c r="K19" s="67"/>
    </row>
    <row r="20" spans="1:11" ht="15.75" customHeight="1" x14ac:dyDescent="0.2">
      <c r="A20" s="67"/>
      <c r="B20" s="69"/>
      <c r="C20" s="68" t="s">
        <v>141</v>
      </c>
      <c r="D20" s="68" t="s">
        <v>142</v>
      </c>
      <c r="E20" s="68" t="s">
        <v>143</v>
      </c>
      <c r="F20" s="68" t="s">
        <v>161</v>
      </c>
      <c r="G20" s="68"/>
      <c r="H20" s="68" t="s">
        <v>162</v>
      </c>
      <c r="I20" s="67"/>
      <c r="J20" s="67"/>
      <c r="K20" s="67"/>
    </row>
    <row r="21" spans="1:11" ht="15.75" customHeight="1" x14ac:dyDescent="0.2">
      <c r="A21" s="67"/>
      <c r="B21" s="67"/>
      <c r="C21" s="67">
        <v>1</v>
      </c>
      <c r="D21" s="67">
        <v>0</v>
      </c>
      <c r="E21" s="67">
        <v>0</v>
      </c>
      <c r="F21" s="67">
        <f>SUMPRODUCT(C21:E21,$C$14:$E$14)</f>
        <v>6000</v>
      </c>
      <c r="G21" s="70" t="s">
        <v>164</v>
      </c>
      <c r="H21" s="67">
        <v>6000</v>
      </c>
      <c r="I21" s="67"/>
      <c r="J21" s="67"/>
      <c r="K21" s="67"/>
    </row>
    <row r="22" spans="1:11" ht="15.75" customHeight="1" x14ac:dyDescent="0.2">
      <c r="A22" s="67"/>
      <c r="B22" s="67"/>
      <c r="C22" s="67">
        <v>0</v>
      </c>
      <c r="D22" s="67">
        <v>1</v>
      </c>
      <c r="E22" s="67">
        <v>0</v>
      </c>
      <c r="F22" s="67">
        <f t="shared" ref="F22:F24" si="8">SUMPRODUCT($C$14:$E$14,C22:E22)</f>
        <v>1360.0000000000005</v>
      </c>
      <c r="G22" s="70" t="s">
        <v>164</v>
      </c>
      <c r="H22" s="67">
        <v>4000</v>
      </c>
      <c r="I22" s="67"/>
      <c r="J22" s="67"/>
      <c r="K22" s="67"/>
    </row>
    <row r="23" spans="1:11" ht="15.75" customHeight="1" x14ac:dyDescent="0.2">
      <c r="A23" s="67"/>
      <c r="B23" s="67"/>
      <c r="C23" s="67">
        <v>0</v>
      </c>
      <c r="D23" s="67">
        <v>0</v>
      </c>
      <c r="E23" s="67">
        <v>1</v>
      </c>
      <c r="F23" s="67">
        <f t="shared" si="8"/>
        <v>3000</v>
      </c>
      <c r="G23" s="70" t="s">
        <v>164</v>
      </c>
      <c r="H23" s="67">
        <v>3000</v>
      </c>
      <c r="I23" s="67"/>
      <c r="J23" s="67"/>
      <c r="K23" s="67"/>
    </row>
    <row r="24" spans="1:11" ht="15.75" customHeight="1" x14ac:dyDescent="0.2">
      <c r="A24" s="67"/>
      <c r="B24" s="67"/>
      <c r="C24" s="67">
        <v>1.5</v>
      </c>
      <c r="D24" s="67">
        <v>2.5</v>
      </c>
      <c r="E24" s="67">
        <v>2</v>
      </c>
      <c r="F24" s="67">
        <f t="shared" si="8"/>
        <v>18400</v>
      </c>
      <c r="G24" s="70" t="s">
        <v>164</v>
      </c>
      <c r="H24" s="67">
        <v>18400</v>
      </c>
      <c r="I24" s="67"/>
      <c r="J24" s="67"/>
      <c r="K24" s="67"/>
    </row>
    <row r="25" spans="1:11" ht="15.75" customHeight="1" x14ac:dyDescent="0.2">
      <c r="A25" s="67"/>
      <c r="B25" s="67"/>
      <c r="C25" s="67"/>
      <c r="D25" s="67"/>
      <c r="E25" s="67"/>
      <c r="F25" s="67"/>
      <c r="G25" s="67"/>
      <c r="H25" s="67"/>
      <c r="I25" s="67"/>
      <c r="J25" s="67"/>
      <c r="K25" s="67"/>
    </row>
    <row r="26" spans="1:11" ht="15.75" customHeight="1" x14ac:dyDescent="0.2">
      <c r="A26" s="67"/>
      <c r="B26" s="67"/>
      <c r="C26" s="67"/>
      <c r="D26" s="67"/>
      <c r="E26" s="67"/>
      <c r="F26" s="67"/>
      <c r="G26" s="67"/>
      <c r="H26" s="67"/>
      <c r="I26" s="67"/>
      <c r="J26" s="67"/>
      <c r="K26" s="67"/>
    </row>
    <row r="27" spans="1:11" ht="15.75" customHeight="1" x14ac:dyDescent="0.2">
      <c r="A27" s="67"/>
      <c r="B27" s="67"/>
      <c r="C27" s="67"/>
      <c r="D27" s="67"/>
      <c r="E27" s="67"/>
      <c r="F27" s="67"/>
      <c r="G27" s="67"/>
      <c r="H27" s="67"/>
      <c r="I27" s="67"/>
      <c r="J27" s="67"/>
      <c r="K27" s="67"/>
    </row>
    <row r="28" spans="1:11" ht="15.75" customHeight="1" x14ac:dyDescent="0.2">
      <c r="A28" s="67"/>
      <c r="B28" s="67"/>
      <c r="C28" s="67"/>
      <c r="D28" s="67"/>
      <c r="E28" s="67"/>
      <c r="F28" s="67"/>
      <c r="G28" s="67"/>
      <c r="H28" s="67"/>
      <c r="I28" s="67"/>
      <c r="J28" s="67"/>
      <c r="K28" s="67"/>
    </row>
    <row r="29" spans="1:11" ht="15.75" customHeight="1" x14ac:dyDescent="0.2">
      <c r="A29" s="67"/>
      <c r="B29" s="67"/>
      <c r="C29" s="67"/>
      <c r="D29" s="67"/>
      <c r="E29" s="67"/>
      <c r="F29" s="67"/>
      <c r="G29" s="67"/>
      <c r="H29" s="67"/>
      <c r="I29" s="67"/>
      <c r="J29" s="67"/>
      <c r="K29" s="67"/>
    </row>
    <row r="30" spans="1:11" ht="15.75" customHeight="1" x14ac:dyDescent="0.2">
      <c r="A30" s="67"/>
      <c r="B30" s="67"/>
      <c r="C30" s="67"/>
      <c r="D30" s="67"/>
      <c r="E30" s="67"/>
      <c r="F30" s="67"/>
      <c r="G30" s="67"/>
      <c r="H30" s="67"/>
      <c r="I30" s="67"/>
      <c r="J30" s="67"/>
      <c r="K30" s="67"/>
    </row>
    <row r="31" spans="1:11" ht="15.75" customHeight="1" x14ac:dyDescent="0.2">
      <c r="A31" s="67"/>
      <c r="B31" s="67"/>
      <c r="C31" s="67"/>
      <c r="D31" s="67"/>
      <c r="E31" s="67"/>
      <c r="F31" s="67"/>
      <c r="G31" s="67"/>
      <c r="H31" s="67"/>
      <c r="I31" s="67"/>
      <c r="J31" s="67"/>
      <c r="K31" s="67"/>
    </row>
    <row r="32" spans="1:11" ht="15.75" customHeight="1" x14ac:dyDescent="0.2">
      <c r="A32" s="67"/>
      <c r="B32" s="67"/>
      <c r="C32" s="67"/>
      <c r="D32" s="67"/>
      <c r="E32" s="67"/>
      <c r="F32" s="67"/>
      <c r="G32" s="67"/>
      <c r="H32" s="67"/>
      <c r="I32" s="67"/>
      <c r="J32" s="67"/>
      <c r="K32" s="67"/>
    </row>
    <row r="33" spans="1:11" ht="15.75" customHeight="1" x14ac:dyDescent="0.2">
      <c r="A33" s="67"/>
      <c r="B33" s="67"/>
      <c r="C33" s="67"/>
      <c r="D33" s="67"/>
      <c r="E33" s="67"/>
      <c r="F33" s="67"/>
      <c r="G33" s="67"/>
      <c r="H33" s="67"/>
      <c r="I33" s="67"/>
      <c r="J33" s="67"/>
      <c r="K33" s="67"/>
    </row>
    <row r="34" spans="1:11" ht="15.75" customHeight="1" x14ac:dyDescent="0.2">
      <c r="A34" s="67"/>
      <c r="B34" s="67"/>
      <c r="C34" s="67"/>
      <c r="D34" s="67"/>
      <c r="E34" s="67"/>
      <c r="F34" s="67"/>
      <c r="G34" s="67"/>
      <c r="H34" s="67"/>
      <c r="I34" s="67"/>
      <c r="J34" s="67"/>
      <c r="K34" s="67"/>
    </row>
    <row r="35" spans="1:11" ht="15.75" customHeight="1" x14ac:dyDescent="0.2">
      <c r="A35" s="67"/>
      <c r="B35" s="67"/>
      <c r="C35" s="67"/>
      <c r="D35" s="67"/>
      <c r="E35" s="67"/>
      <c r="F35" s="67"/>
      <c r="G35" s="67"/>
      <c r="H35" s="67"/>
      <c r="I35" s="67"/>
      <c r="J35" s="67"/>
      <c r="K35" s="67"/>
    </row>
    <row r="36" spans="1:11" ht="15.75" customHeight="1" x14ac:dyDescent="0.2">
      <c r="A36" s="67"/>
      <c r="B36" s="67"/>
      <c r="C36" s="67"/>
      <c r="D36" s="67"/>
      <c r="E36" s="67"/>
      <c r="F36" s="67"/>
      <c r="G36" s="67"/>
      <c r="H36" s="67"/>
      <c r="I36" s="67"/>
      <c r="J36" s="67"/>
      <c r="K36" s="67"/>
    </row>
    <row r="37" spans="1:11" ht="15.75" customHeight="1" x14ac:dyDescent="0.2">
      <c r="A37" s="67"/>
      <c r="B37" s="67"/>
      <c r="C37" s="67"/>
      <c r="D37" s="67"/>
      <c r="E37" s="67"/>
      <c r="F37" s="67"/>
      <c r="G37" s="67"/>
      <c r="H37" s="67"/>
      <c r="I37" s="67"/>
      <c r="J37" s="67"/>
      <c r="K37" s="67"/>
    </row>
    <row r="38" spans="1:11" ht="15.75" customHeight="1" x14ac:dyDescent="0.2">
      <c r="A38" s="67"/>
      <c r="B38" s="67"/>
      <c r="C38" s="67"/>
      <c r="D38" s="67"/>
      <c r="E38" s="67"/>
      <c r="F38" s="67"/>
      <c r="G38" s="67"/>
      <c r="H38" s="67"/>
      <c r="I38" s="67"/>
      <c r="J38" s="67"/>
      <c r="K38" s="67"/>
    </row>
    <row r="39" spans="1:11" ht="15.75" customHeight="1" x14ac:dyDescent="0.2">
      <c r="A39" s="67"/>
      <c r="B39" s="67"/>
      <c r="C39" s="67"/>
      <c r="D39" s="67"/>
      <c r="E39" s="67"/>
      <c r="F39" s="67"/>
      <c r="G39" s="67"/>
      <c r="H39" s="67"/>
      <c r="I39" s="67"/>
      <c r="J39" s="67"/>
      <c r="K39" s="67"/>
    </row>
    <row r="40" spans="1:11" ht="15.75" customHeight="1" x14ac:dyDescent="0.2">
      <c r="A40" s="67"/>
      <c r="B40" s="67"/>
      <c r="C40" s="67"/>
      <c r="D40" s="67"/>
      <c r="E40" s="67"/>
      <c r="F40" s="67"/>
      <c r="G40" s="67"/>
      <c r="H40" s="67"/>
      <c r="I40" s="67"/>
      <c r="J40" s="67"/>
      <c r="K40" s="67"/>
    </row>
    <row r="41" spans="1:11" ht="15.75" customHeight="1" x14ac:dyDescent="0.2">
      <c r="A41" s="67"/>
      <c r="B41" s="67"/>
      <c r="C41" s="67"/>
      <c r="D41" s="67"/>
      <c r="E41" s="67"/>
      <c r="F41" s="67"/>
      <c r="G41" s="67"/>
      <c r="H41" s="67"/>
      <c r="I41" s="67"/>
      <c r="J41" s="67"/>
      <c r="K41" s="67"/>
    </row>
    <row r="42" spans="1:11" ht="15.75" customHeight="1" x14ac:dyDescent="0.2">
      <c r="A42" s="67"/>
      <c r="B42" s="67"/>
      <c r="C42" s="67"/>
      <c r="D42" s="67"/>
      <c r="E42" s="67"/>
      <c r="F42" s="67"/>
      <c r="G42" s="67"/>
      <c r="H42" s="67"/>
      <c r="I42" s="67"/>
      <c r="J42" s="67"/>
      <c r="K42" s="67"/>
    </row>
    <row r="43" spans="1:11" ht="15.75" customHeight="1" x14ac:dyDescent="0.2">
      <c r="A43" s="67"/>
      <c r="B43" s="67"/>
      <c r="C43" s="67"/>
      <c r="D43" s="67"/>
      <c r="E43" s="67"/>
      <c r="F43" s="67"/>
      <c r="G43" s="67"/>
      <c r="H43" s="67"/>
      <c r="I43" s="67"/>
      <c r="J43" s="67"/>
      <c r="K43" s="67"/>
    </row>
    <row r="44" spans="1:11" ht="15.75" customHeight="1" x14ac:dyDescent="0.2">
      <c r="A44" s="67"/>
      <c r="B44" s="67"/>
      <c r="C44" s="67"/>
      <c r="D44" s="67"/>
      <c r="E44" s="67"/>
      <c r="F44" s="67"/>
      <c r="G44" s="67"/>
      <c r="H44" s="67"/>
      <c r="I44" s="67"/>
      <c r="J44" s="67"/>
      <c r="K44" s="67"/>
    </row>
    <row r="45" spans="1:11" ht="15.75" customHeight="1" x14ac:dyDescent="0.2">
      <c r="A45" s="67"/>
      <c r="B45" s="67"/>
      <c r="C45" s="67"/>
      <c r="D45" s="67"/>
      <c r="E45" s="67"/>
      <c r="F45" s="67"/>
      <c r="G45" s="67"/>
      <c r="H45" s="67"/>
      <c r="I45" s="67"/>
      <c r="J45" s="67"/>
      <c r="K45" s="67"/>
    </row>
    <row r="46" spans="1:11" ht="15.75" customHeight="1" x14ac:dyDescent="0.2">
      <c r="A46" s="67"/>
      <c r="B46" s="67"/>
      <c r="C46" s="67"/>
      <c r="D46" s="67"/>
      <c r="E46" s="67"/>
      <c r="F46" s="67"/>
      <c r="G46" s="67"/>
      <c r="H46" s="67"/>
      <c r="I46" s="67"/>
      <c r="J46" s="67"/>
      <c r="K46" s="67"/>
    </row>
    <row r="47" spans="1:11" ht="15.75" customHeight="1" x14ac:dyDescent="0.2">
      <c r="A47" s="67"/>
      <c r="B47" s="67"/>
      <c r="C47" s="67"/>
      <c r="D47" s="67"/>
      <c r="E47" s="67"/>
      <c r="F47" s="67"/>
      <c r="G47" s="67"/>
      <c r="H47" s="67"/>
      <c r="I47" s="67"/>
      <c r="J47" s="67"/>
      <c r="K47" s="67"/>
    </row>
    <row r="48" spans="1:11" ht="15.75" customHeight="1" x14ac:dyDescent="0.2">
      <c r="A48" s="67"/>
      <c r="B48" s="67"/>
      <c r="C48" s="67"/>
      <c r="D48" s="67"/>
      <c r="E48" s="67"/>
      <c r="F48" s="67"/>
      <c r="G48" s="67"/>
      <c r="H48" s="67"/>
      <c r="I48" s="67"/>
      <c r="J48" s="67"/>
      <c r="K48" s="67"/>
    </row>
    <row r="49" spans="1:11" ht="15.75" customHeight="1" x14ac:dyDescent="0.2">
      <c r="A49" s="67"/>
      <c r="B49" s="67"/>
      <c r="C49" s="67"/>
      <c r="D49" s="67"/>
      <c r="E49" s="67"/>
      <c r="F49" s="67"/>
      <c r="G49" s="67"/>
      <c r="H49" s="67"/>
      <c r="I49" s="67"/>
      <c r="J49" s="67"/>
      <c r="K49" s="67"/>
    </row>
    <row r="50" spans="1:11" ht="15.75" customHeight="1" x14ac:dyDescent="0.2">
      <c r="A50" s="67"/>
      <c r="B50" s="67"/>
      <c r="C50" s="67"/>
      <c r="D50" s="67"/>
      <c r="E50" s="67"/>
      <c r="F50" s="67"/>
      <c r="G50" s="67"/>
      <c r="H50" s="67"/>
      <c r="I50" s="67"/>
      <c r="J50" s="67"/>
      <c r="K50" s="67"/>
    </row>
    <row r="51" spans="1:11" ht="15.75" customHeight="1" x14ac:dyDescent="0.2">
      <c r="A51" s="67"/>
      <c r="B51" s="67"/>
      <c r="C51" s="67"/>
      <c r="D51" s="67"/>
      <c r="E51" s="67"/>
      <c r="F51" s="67"/>
      <c r="G51" s="67"/>
      <c r="H51" s="67"/>
      <c r="I51" s="67"/>
      <c r="J51" s="67"/>
      <c r="K51" s="67"/>
    </row>
    <row r="52" spans="1:11" ht="15.75" customHeight="1" x14ac:dyDescent="0.2">
      <c r="A52" s="67"/>
      <c r="B52" s="67"/>
      <c r="C52" s="67"/>
      <c r="D52" s="67"/>
      <c r="E52" s="67"/>
      <c r="F52" s="67"/>
      <c r="G52" s="67"/>
      <c r="H52" s="67"/>
      <c r="I52" s="67"/>
      <c r="J52" s="67"/>
      <c r="K52" s="67"/>
    </row>
    <row r="53" spans="1:11" ht="15.75" customHeight="1" x14ac:dyDescent="0.2">
      <c r="A53" s="67"/>
      <c r="B53" s="67"/>
      <c r="C53" s="67"/>
      <c r="D53" s="67"/>
      <c r="E53" s="67"/>
      <c r="F53" s="67"/>
      <c r="G53" s="67"/>
      <c r="H53" s="67"/>
      <c r="I53" s="67"/>
      <c r="J53" s="67"/>
      <c r="K53" s="67"/>
    </row>
    <row r="54" spans="1:11" ht="15.75" customHeight="1" x14ac:dyDescent="0.2">
      <c r="A54" s="67"/>
      <c r="B54" s="67"/>
      <c r="C54" s="67"/>
      <c r="D54" s="67"/>
      <c r="E54" s="67"/>
      <c r="F54" s="67"/>
      <c r="G54" s="67"/>
      <c r="H54" s="67"/>
      <c r="I54" s="67"/>
      <c r="J54" s="67"/>
      <c r="K54" s="67"/>
    </row>
    <row r="55" spans="1:11" ht="15.75" customHeight="1" x14ac:dyDescent="0.2">
      <c r="A55" s="67"/>
      <c r="B55" s="67"/>
      <c r="C55" s="67"/>
      <c r="D55" s="67"/>
      <c r="E55" s="67"/>
      <c r="F55" s="67"/>
      <c r="G55" s="67"/>
      <c r="H55" s="67"/>
      <c r="I55" s="67"/>
      <c r="J55" s="67"/>
      <c r="K55" s="67"/>
    </row>
    <row r="56" spans="1:11" ht="15.75" customHeight="1" x14ac:dyDescent="0.2">
      <c r="A56" s="67"/>
      <c r="B56" s="67"/>
      <c r="C56" s="67"/>
      <c r="D56" s="67"/>
      <c r="E56" s="67"/>
      <c r="F56" s="67"/>
      <c r="G56" s="67"/>
      <c r="H56" s="67"/>
      <c r="I56" s="67"/>
      <c r="J56" s="67"/>
      <c r="K56" s="67"/>
    </row>
    <row r="57" spans="1:11" ht="15.75" customHeight="1" x14ac:dyDescent="0.2">
      <c r="A57" s="67"/>
      <c r="B57" s="67"/>
      <c r="C57" s="67"/>
      <c r="D57" s="67"/>
      <c r="E57" s="67"/>
      <c r="F57" s="67"/>
      <c r="G57" s="67"/>
      <c r="H57" s="67"/>
      <c r="I57" s="67"/>
      <c r="J57" s="67"/>
      <c r="K57" s="67"/>
    </row>
    <row r="58" spans="1:11" ht="15.75" customHeight="1" x14ac:dyDescent="0.2">
      <c r="A58" s="67"/>
      <c r="B58" s="67"/>
      <c r="C58" s="67"/>
      <c r="D58" s="67"/>
      <c r="E58" s="67"/>
      <c r="F58" s="67"/>
      <c r="G58" s="67"/>
      <c r="H58" s="67"/>
      <c r="I58" s="67"/>
      <c r="J58" s="67"/>
      <c r="K58" s="67"/>
    </row>
    <row r="59" spans="1:11" ht="15.75" customHeight="1" x14ac:dyDescent="0.2">
      <c r="A59" s="67"/>
      <c r="B59" s="67"/>
      <c r="C59" s="67"/>
      <c r="D59" s="67"/>
      <c r="E59" s="67"/>
      <c r="F59" s="67"/>
      <c r="G59" s="67"/>
      <c r="H59" s="67"/>
      <c r="I59" s="67"/>
      <c r="J59" s="67"/>
      <c r="K59" s="67"/>
    </row>
    <row r="60" spans="1:11" ht="15.75" customHeight="1" x14ac:dyDescent="0.2">
      <c r="A60" s="67"/>
      <c r="B60" s="67"/>
      <c r="C60" s="67"/>
      <c r="D60" s="67"/>
      <c r="E60" s="67"/>
      <c r="F60" s="67"/>
      <c r="G60" s="67"/>
      <c r="H60" s="67"/>
      <c r="I60" s="67"/>
      <c r="J60" s="67"/>
      <c r="K60" s="67"/>
    </row>
    <row r="61" spans="1:11" ht="15.75" customHeight="1" x14ac:dyDescent="0.2">
      <c r="A61" s="67"/>
      <c r="B61" s="67"/>
      <c r="C61" s="67"/>
      <c r="D61" s="67"/>
      <c r="E61" s="67"/>
      <c r="F61" s="67"/>
      <c r="G61" s="67"/>
      <c r="H61" s="67"/>
      <c r="I61" s="67"/>
      <c r="J61" s="67"/>
      <c r="K61" s="67"/>
    </row>
    <row r="62" spans="1:11" ht="15.75" customHeight="1" x14ac:dyDescent="0.2">
      <c r="A62" s="67"/>
      <c r="B62" s="67"/>
      <c r="C62" s="67"/>
      <c r="D62" s="67"/>
      <c r="E62" s="67"/>
      <c r="F62" s="67"/>
      <c r="G62" s="67"/>
      <c r="H62" s="67"/>
      <c r="I62" s="67"/>
      <c r="J62" s="67"/>
      <c r="K62" s="67"/>
    </row>
    <row r="63" spans="1:11" ht="15.75" customHeight="1" x14ac:dyDescent="0.2">
      <c r="A63" s="67"/>
      <c r="B63" s="67"/>
      <c r="C63" s="67"/>
      <c r="D63" s="67"/>
      <c r="E63" s="67"/>
      <c r="F63" s="67"/>
      <c r="G63" s="67"/>
      <c r="H63" s="67"/>
      <c r="I63" s="67"/>
      <c r="J63" s="67"/>
      <c r="K63" s="67"/>
    </row>
    <row r="64" spans="1:11" ht="15.75" customHeight="1" x14ac:dyDescent="0.2">
      <c r="A64" s="67"/>
      <c r="B64" s="67"/>
      <c r="C64" s="67"/>
      <c r="D64" s="67"/>
      <c r="E64" s="67"/>
      <c r="F64" s="67"/>
      <c r="G64" s="67"/>
      <c r="H64" s="67"/>
      <c r="I64" s="67"/>
      <c r="J64" s="67"/>
      <c r="K64" s="67"/>
    </row>
    <row r="65" spans="1:11" ht="15.75" customHeight="1" x14ac:dyDescent="0.2">
      <c r="A65" s="67"/>
      <c r="B65" s="67"/>
      <c r="C65" s="67"/>
      <c r="D65" s="67"/>
      <c r="E65" s="67"/>
      <c r="F65" s="67"/>
      <c r="G65" s="67"/>
      <c r="H65" s="67"/>
      <c r="I65" s="67"/>
      <c r="J65" s="67"/>
      <c r="K65" s="67"/>
    </row>
    <row r="66" spans="1:11" ht="15.75" customHeight="1" x14ac:dyDescent="0.2">
      <c r="A66" s="67"/>
      <c r="B66" s="67"/>
      <c r="C66" s="67"/>
      <c r="D66" s="67"/>
      <c r="E66" s="67"/>
      <c r="F66" s="67"/>
      <c r="G66" s="67"/>
      <c r="H66" s="67"/>
      <c r="I66" s="67"/>
      <c r="J66" s="67"/>
      <c r="K66" s="67"/>
    </row>
    <row r="67" spans="1:11" ht="15.75" customHeight="1" x14ac:dyDescent="0.2">
      <c r="A67" s="67"/>
      <c r="B67" s="67"/>
      <c r="C67" s="67"/>
      <c r="D67" s="67"/>
      <c r="E67" s="67"/>
      <c r="F67" s="67"/>
      <c r="G67" s="67"/>
      <c r="H67" s="67"/>
      <c r="I67" s="67"/>
      <c r="J67" s="67"/>
      <c r="K67" s="67"/>
    </row>
    <row r="68" spans="1:11" ht="15.75" customHeight="1" x14ac:dyDescent="0.2">
      <c r="A68" s="67"/>
      <c r="B68" s="67"/>
      <c r="C68" s="67"/>
      <c r="D68" s="67"/>
      <c r="E68" s="67"/>
      <c r="F68" s="67"/>
      <c r="G68" s="67"/>
      <c r="H68" s="67"/>
      <c r="I68" s="67"/>
      <c r="J68" s="67"/>
      <c r="K68" s="67"/>
    </row>
    <row r="69" spans="1:11" ht="15.75" customHeight="1" x14ac:dyDescent="0.2">
      <c r="A69" s="67"/>
      <c r="B69" s="67"/>
      <c r="C69" s="67"/>
      <c r="D69" s="67"/>
      <c r="E69" s="67"/>
      <c r="F69" s="67"/>
      <c r="G69" s="67"/>
      <c r="H69" s="67"/>
      <c r="I69" s="67"/>
      <c r="J69" s="67"/>
      <c r="K69" s="67"/>
    </row>
    <row r="70" spans="1:11" ht="15.75" customHeight="1" x14ac:dyDescent="0.2">
      <c r="A70" s="67"/>
      <c r="B70" s="67"/>
      <c r="C70" s="67"/>
      <c r="D70" s="67"/>
      <c r="E70" s="67"/>
      <c r="F70" s="67"/>
      <c r="G70" s="67"/>
      <c r="H70" s="67"/>
      <c r="I70" s="67"/>
      <c r="J70" s="67"/>
      <c r="K70" s="67"/>
    </row>
    <row r="71" spans="1:11" ht="15.75" customHeight="1" x14ac:dyDescent="0.2">
      <c r="A71" s="67"/>
      <c r="B71" s="67"/>
      <c r="C71" s="67"/>
      <c r="D71" s="67"/>
      <c r="E71" s="67"/>
      <c r="F71" s="67"/>
      <c r="G71" s="67"/>
      <c r="H71" s="67"/>
      <c r="I71" s="67"/>
      <c r="J71" s="67"/>
      <c r="K71" s="67"/>
    </row>
    <row r="72" spans="1:11" ht="15.75" customHeight="1" x14ac:dyDescent="0.2">
      <c r="A72" s="67"/>
      <c r="B72" s="67"/>
      <c r="C72" s="67"/>
      <c r="D72" s="67"/>
      <c r="E72" s="67"/>
      <c r="F72" s="67"/>
      <c r="G72" s="67"/>
      <c r="H72" s="67"/>
      <c r="I72" s="67"/>
      <c r="J72" s="67"/>
      <c r="K72" s="67"/>
    </row>
    <row r="73" spans="1:11" ht="15.75" customHeight="1" x14ac:dyDescent="0.2">
      <c r="A73" s="67"/>
      <c r="B73" s="67"/>
      <c r="C73" s="67"/>
      <c r="D73" s="67"/>
      <c r="E73" s="67"/>
      <c r="F73" s="67"/>
      <c r="G73" s="67"/>
      <c r="H73" s="67"/>
      <c r="I73" s="67"/>
      <c r="J73" s="67"/>
      <c r="K73" s="67"/>
    </row>
    <row r="74" spans="1:11" ht="15.75" customHeight="1" x14ac:dyDescent="0.2">
      <c r="A74" s="67"/>
      <c r="B74" s="67"/>
      <c r="C74" s="67"/>
      <c r="D74" s="67"/>
      <c r="E74" s="67"/>
      <c r="F74" s="67"/>
      <c r="G74" s="67"/>
      <c r="H74" s="67"/>
      <c r="I74" s="67"/>
      <c r="J74" s="67"/>
      <c r="K74" s="67"/>
    </row>
    <row r="75" spans="1:11" ht="15.75" customHeight="1" x14ac:dyDescent="0.2">
      <c r="A75" s="67"/>
      <c r="B75" s="67"/>
      <c r="C75" s="67"/>
      <c r="D75" s="67"/>
      <c r="E75" s="67"/>
      <c r="F75" s="67"/>
      <c r="G75" s="67"/>
      <c r="H75" s="67"/>
      <c r="I75" s="67"/>
      <c r="J75" s="67"/>
      <c r="K75" s="67"/>
    </row>
    <row r="76" spans="1:11" ht="15.75" customHeight="1" x14ac:dyDescent="0.2">
      <c r="A76" s="67"/>
      <c r="B76" s="67"/>
      <c r="C76" s="67"/>
      <c r="D76" s="67"/>
      <c r="E76" s="67"/>
      <c r="F76" s="67"/>
      <c r="G76" s="67"/>
      <c r="H76" s="67"/>
      <c r="I76" s="67"/>
      <c r="J76" s="67"/>
      <c r="K76" s="67"/>
    </row>
    <row r="77" spans="1:11" ht="15.75" customHeight="1" x14ac:dyDescent="0.2">
      <c r="A77" s="67"/>
      <c r="B77" s="67"/>
      <c r="C77" s="67"/>
      <c r="D77" s="67"/>
      <c r="E77" s="67"/>
      <c r="F77" s="67"/>
      <c r="G77" s="67"/>
      <c r="H77" s="67"/>
      <c r="I77" s="67"/>
      <c r="J77" s="67"/>
      <c r="K77" s="67"/>
    </row>
    <row r="78" spans="1:11" ht="15.75" customHeight="1" x14ac:dyDescent="0.2">
      <c r="A78" s="67"/>
      <c r="B78" s="67"/>
      <c r="C78" s="67"/>
      <c r="D78" s="67"/>
      <c r="E78" s="67"/>
      <c r="F78" s="67"/>
      <c r="G78" s="67"/>
      <c r="H78" s="67"/>
      <c r="I78" s="67"/>
      <c r="J78" s="67"/>
      <c r="K78" s="67"/>
    </row>
    <row r="79" spans="1:11" ht="15.75" customHeight="1" x14ac:dyDescent="0.2">
      <c r="A79" s="67"/>
      <c r="B79" s="67"/>
      <c r="C79" s="67"/>
      <c r="D79" s="67"/>
      <c r="E79" s="67"/>
      <c r="F79" s="67"/>
      <c r="G79" s="67"/>
      <c r="H79" s="67"/>
      <c r="I79" s="67"/>
      <c r="J79" s="67"/>
      <c r="K79" s="67"/>
    </row>
    <row r="80" spans="1:11" ht="15.75" customHeight="1" x14ac:dyDescent="0.2">
      <c r="A80" s="67"/>
      <c r="B80" s="67"/>
      <c r="C80" s="67"/>
      <c r="D80" s="67"/>
      <c r="E80" s="67"/>
      <c r="F80" s="67"/>
      <c r="G80" s="67"/>
      <c r="H80" s="67"/>
      <c r="I80" s="67"/>
      <c r="J80" s="67"/>
      <c r="K80" s="67"/>
    </row>
    <row r="81" spans="1:11" ht="15.75" customHeight="1" x14ac:dyDescent="0.2">
      <c r="A81" s="67"/>
      <c r="B81" s="67"/>
      <c r="C81" s="67"/>
      <c r="D81" s="67"/>
      <c r="E81" s="67"/>
      <c r="F81" s="67"/>
      <c r="G81" s="67"/>
      <c r="H81" s="67"/>
      <c r="I81" s="67"/>
      <c r="J81" s="67"/>
      <c r="K81" s="67"/>
    </row>
    <row r="82" spans="1:11" ht="15.75" customHeight="1" x14ac:dyDescent="0.2">
      <c r="A82" s="67"/>
      <c r="B82" s="67"/>
      <c r="C82" s="67"/>
      <c r="D82" s="67"/>
      <c r="E82" s="67"/>
      <c r="F82" s="67"/>
      <c r="G82" s="67"/>
      <c r="H82" s="67"/>
      <c r="I82" s="67"/>
      <c r="J82" s="67"/>
      <c r="K82" s="67"/>
    </row>
    <row r="83" spans="1:11" ht="15.75" customHeight="1" x14ac:dyDescent="0.2">
      <c r="A83" s="67"/>
      <c r="B83" s="67"/>
      <c r="C83" s="67"/>
      <c r="D83" s="67"/>
      <c r="E83" s="67"/>
      <c r="F83" s="67"/>
      <c r="G83" s="67"/>
      <c r="H83" s="67"/>
      <c r="I83" s="67"/>
      <c r="J83" s="67"/>
      <c r="K83" s="67"/>
    </row>
    <row r="84" spans="1:11" ht="15.75" customHeight="1" x14ac:dyDescent="0.2">
      <c r="A84" s="67"/>
      <c r="B84" s="67"/>
      <c r="C84" s="67"/>
      <c r="D84" s="67"/>
      <c r="E84" s="67"/>
      <c r="F84" s="67"/>
      <c r="G84" s="67"/>
      <c r="H84" s="67"/>
      <c r="I84" s="67"/>
      <c r="J84" s="67"/>
      <c r="K84" s="67"/>
    </row>
    <row r="85" spans="1:11" ht="15.75" customHeight="1" x14ac:dyDescent="0.2">
      <c r="A85" s="67"/>
      <c r="B85" s="67"/>
      <c r="C85" s="67"/>
      <c r="D85" s="67"/>
      <c r="E85" s="67"/>
      <c r="F85" s="67"/>
      <c r="G85" s="67"/>
      <c r="H85" s="67"/>
      <c r="I85" s="67"/>
      <c r="J85" s="67"/>
      <c r="K85" s="67"/>
    </row>
    <row r="86" spans="1:11" ht="15.75" customHeight="1" x14ac:dyDescent="0.2">
      <c r="A86" s="67"/>
      <c r="B86" s="67"/>
      <c r="C86" s="67"/>
      <c r="D86" s="67"/>
      <c r="E86" s="67"/>
      <c r="F86" s="67"/>
      <c r="G86" s="67"/>
      <c r="H86" s="67"/>
      <c r="I86" s="67"/>
      <c r="J86" s="67"/>
      <c r="K86" s="67"/>
    </row>
    <row r="87" spans="1:11" ht="15.75" customHeight="1" x14ac:dyDescent="0.2">
      <c r="A87" s="67"/>
      <c r="B87" s="67"/>
      <c r="C87" s="67"/>
      <c r="D87" s="67"/>
      <c r="E87" s="67"/>
      <c r="F87" s="67"/>
      <c r="G87" s="67"/>
      <c r="H87" s="67"/>
      <c r="I87" s="67"/>
      <c r="J87" s="67"/>
      <c r="K87" s="67"/>
    </row>
    <row r="88" spans="1:11" ht="15.75" customHeight="1" x14ac:dyDescent="0.2">
      <c r="A88" s="67"/>
      <c r="B88" s="67"/>
      <c r="C88" s="67"/>
      <c r="D88" s="67"/>
      <c r="E88" s="67"/>
      <c r="F88" s="67"/>
      <c r="G88" s="67"/>
      <c r="H88" s="67"/>
      <c r="I88" s="67"/>
      <c r="J88" s="67"/>
      <c r="K88" s="67"/>
    </row>
    <row r="89" spans="1:11" ht="15.75" customHeight="1" x14ac:dyDescent="0.2">
      <c r="A89" s="67"/>
      <c r="B89" s="67"/>
      <c r="C89" s="67"/>
      <c r="D89" s="67"/>
      <c r="E89" s="67"/>
      <c r="F89" s="67"/>
      <c r="G89" s="67"/>
      <c r="H89" s="67"/>
      <c r="I89" s="67"/>
      <c r="J89" s="67"/>
      <c r="K89" s="67"/>
    </row>
    <row r="90" spans="1:11" ht="15.75" customHeight="1" x14ac:dyDescent="0.2">
      <c r="A90" s="67"/>
      <c r="B90" s="67"/>
      <c r="C90" s="67"/>
      <c r="D90" s="67"/>
      <c r="E90" s="67"/>
      <c r="F90" s="67"/>
      <c r="G90" s="67"/>
      <c r="H90" s="67"/>
      <c r="I90" s="67"/>
      <c r="J90" s="67"/>
      <c r="K90" s="67"/>
    </row>
    <row r="91" spans="1:11" ht="15.75" customHeight="1" x14ac:dyDescent="0.2">
      <c r="A91" s="67"/>
      <c r="B91" s="67"/>
      <c r="C91" s="67"/>
      <c r="D91" s="67"/>
      <c r="E91" s="67"/>
      <c r="F91" s="67"/>
      <c r="G91" s="67"/>
      <c r="H91" s="67"/>
      <c r="I91" s="67"/>
      <c r="J91" s="67"/>
      <c r="K91" s="67"/>
    </row>
    <row r="92" spans="1:11" ht="15.75" customHeight="1" x14ac:dyDescent="0.2">
      <c r="A92" s="67"/>
      <c r="B92" s="67"/>
      <c r="C92" s="67"/>
      <c r="D92" s="67"/>
      <c r="E92" s="67"/>
      <c r="F92" s="67"/>
      <c r="G92" s="67"/>
      <c r="H92" s="67"/>
      <c r="I92" s="67"/>
      <c r="J92" s="67"/>
      <c r="K92" s="67"/>
    </row>
    <row r="93" spans="1:11" ht="15.75" customHeight="1" x14ac:dyDescent="0.2">
      <c r="A93" s="67"/>
      <c r="B93" s="67"/>
      <c r="C93" s="67"/>
      <c r="D93" s="67"/>
      <c r="E93" s="67"/>
      <c r="F93" s="67"/>
      <c r="G93" s="67"/>
      <c r="H93" s="67"/>
      <c r="I93" s="67"/>
      <c r="J93" s="67"/>
      <c r="K93" s="67"/>
    </row>
    <row r="94" spans="1:11" ht="15.75" customHeight="1" x14ac:dyDescent="0.2">
      <c r="A94" s="67"/>
      <c r="B94" s="67"/>
      <c r="C94" s="67"/>
      <c r="D94" s="67"/>
      <c r="E94" s="67"/>
      <c r="F94" s="67"/>
      <c r="G94" s="67"/>
      <c r="H94" s="67"/>
      <c r="I94" s="67"/>
      <c r="J94" s="67"/>
      <c r="K94" s="67"/>
    </row>
    <row r="95" spans="1:11" ht="15.75" customHeight="1" x14ac:dyDescent="0.2">
      <c r="A95" s="67"/>
      <c r="B95" s="67"/>
      <c r="C95" s="67"/>
      <c r="D95" s="67"/>
      <c r="E95" s="67"/>
      <c r="F95" s="67"/>
      <c r="G95" s="67"/>
      <c r="H95" s="67"/>
      <c r="I95" s="67"/>
      <c r="J95" s="67"/>
      <c r="K95" s="67"/>
    </row>
    <row r="96" spans="1:11" ht="15.75" customHeight="1" x14ac:dyDescent="0.2">
      <c r="A96" s="67"/>
      <c r="B96" s="67"/>
      <c r="C96" s="67"/>
      <c r="D96" s="67"/>
      <c r="E96" s="67"/>
      <c r="F96" s="67"/>
      <c r="G96" s="67"/>
      <c r="H96" s="67"/>
      <c r="I96" s="67"/>
      <c r="J96" s="67"/>
      <c r="K96" s="67"/>
    </row>
    <row r="97" spans="1:11" ht="15.75" customHeight="1" x14ac:dyDescent="0.2">
      <c r="A97" s="67"/>
      <c r="B97" s="67"/>
      <c r="C97" s="67"/>
      <c r="D97" s="67"/>
      <c r="E97" s="67"/>
      <c r="F97" s="67"/>
      <c r="G97" s="67"/>
      <c r="H97" s="67"/>
      <c r="I97" s="67"/>
      <c r="J97" s="67"/>
      <c r="K97" s="67"/>
    </row>
    <row r="98" spans="1:11" ht="15.75" customHeight="1" x14ac:dyDescent="0.2">
      <c r="A98" s="67"/>
      <c r="B98" s="67"/>
      <c r="C98" s="67"/>
      <c r="D98" s="67"/>
      <c r="E98" s="67"/>
      <c r="F98" s="67"/>
      <c r="G98" s="67"/>
      <c r="H98" s="67"/>
      <c r="I98" s="67"/>
      <c r="J98" s="67"/>
      <c r="K98" s="67"/>
    </row>
    <row r="99" spans="1:11" ht="15.75" customHeight="1" x14ac:dyDescent="0.2">
      <c r="A99" s="67"/>
      <c r="B99" s="67"/>
      <c r="C99" s="67"/>
      <c r="D99" s="67"/>
      <c r="E99" s="67"/>
      <c r="F99" s="67"/>
      <c r="G99" s="67"/>
      <c r="H99" s="67"/>
      <c r="I99" s="67"/>
      <c r="J99" s="67"/>
      <c r="K99" s="67"/>
    </row>
    <row r="100" spans="1:11" ht="15.75" customHeight="1" x14ac:dyDescent="0.2">
      <c r="A100" s="67"/>
      <c r="B100" s="67"/>
      <c r="C100" s="67"/>
      <c r="D100" s="67"/>
      <c r="E100" s="67"/>
      <c r="F100" s="67"/>
      <c r="G100" s="67"/>
      <c r="H100" s="67"/>
      <c r="I100" s="67"/>
      <c r="J100" s="67"/>
      <c r="K100" s="67"/>
    </row>
  </sheetData>
  <mergeCells count="1">
    <mergeCell ref="B2:G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J100"/>
  <sheetViews>
    <sheetView workbookViewId="0">
      <selection activeCell="F19" sqref="F19"/>
    </sheetView>
  </sheetViews>
  <sheetFormatPr baseColWidth="10" defaultColWidth="14.5" defaultRowHeight="15" customHeight="1" x14ac:dyDescent="0.2"/>
  <cols>
    <col min="1" max="2" width="8.83203125" customWidth="1"/>
    <col min="3" max="3" width="17.6640625" customWidth="1"/>
    <col min="4" max="10" width="8.83203125" customWidth="1"/>
  </cols>
  <sheetData>
    <row r="2" spans="2:10" x14ac:dyDescent="0.2">
      <c r="B2" s="131" t="s">
        <v>194</v>
      </c>
      <c r="C2" s="108"/>
      <c r="D2" s="108"/>
      <c r="E2" s="108"/>
      <c r="F2" s="108"/>
      <c r="G2" s="108"/>
      <c r="H2" s="108"/>
      <c r="I2" s="108"/>
      <c r="J2" s="109"/>
    </row>
    <row r="3" spans="2:10" x14ac:dyDescent="0.2">
      <c r="B3" s="110"/>
      <c r="C3" s="111"/>
      <c r="D3" s="111"/>
      <c r="E3" s="111"/>
      <c r="F3" s="111"/>
      <c r="G3" s="111"/>
      <c r="H3" s="111"/>
      <c r="I3" s="111"/>
      <c r="J3" s="112"/>
    </row>
    <row r="4" spans="2:10" x14ac:dyDescent="0.2">
      <c r="B4" s="110"/>
      <c r="C4" s="111"/>
      <c r="D4" s="111"/>
      <c r="E4" s="111"/>
      <c r="F4" s="111"/>
      <c r="G4" s="111"/>
      <c r="H4" s="111"/>
      <c r="I4" s="111"/>
      <c r="J4" s="112"/>
    </row>
    <row r="5" spans="2:10" x14ac:dyDescent="0.2">
      <c r="B5" s="110"/>
      <c r="C5" s="111"/>
      <c r="D5" s="111"/>
      <c r="E5" s="111"/>
      <c r="F5" s="111"/>
      <c r="G5" s="111"/>
      <c r="H5" s="111"/>
      <c r="I5" s="111"/>
      <c r="J5" s="112"/>
    </row>
    <row r="6" spans="2:10" x14ac:dyDescent="0.2">
      <c r="B6" s="110"/>
      <c r="C6" s="111"/>
      <c r="D6" s="111"/>
      <c r="E6" s="111"/>
      <c r="F6" s="111"/>
      <c r="G6" s="111"/>
      <c r="H6" s="111"/>
      <c r="I6" s="111"/>
      <c r="J6" s="112"/>
    </row>
    <row r="7" spans="2:10" x14ac:dyDescent="0.2">
      <c r="B7" s="110"/>
      <c r="C7" s="111"/>
      <c r="D7" s="111"/>
      <c r="E7" s="111"/>
      <c r="F7" s="111"/>
      <c r="G7" s="111"/>
      <c r="H7" s="111"/>
      <c r="I7" s="111"/>
      <c r="J7" s="112"/>
    </row>
    <row r="8" spans="2:10" x14ac:dyDescent="0.2">
      <c r="B8" s="110"/>
      <c r="C8" s="111"/>
      <c r="D8" s="111"/>
      <c r="E8" s="111"/>
      <c r="F8" s="111"/>
      <c r="G8" s="111"/>
      <c r="H8" s="111"/>
      <c r="I8" s="111"/>
      <c r="J8" s="112"/>
    </row>
    <row r="9" spans="2:10" x14ac:dyDescent="0.2">
      <c r="B9" s="110"/>
      <c r="C9" s="111"/>
      <c r="D9" s="111"/>
      <c r="E9" s="111"/>
      <c r="F9" s="111"/>
      <c r="G9" s="111"/>
      <c r="H9" s="111"/>
      <c r="I9" s="111"/>
      <c r="J9" s="112"/>
    </row>
    <row r="10" spans="2:10" x14ac:dyDescent="0.2">
      <c r="B10" s="110"/>
      <c r="C10" s="111"/>
      <c r="D10" s="111"/>
      <c r="E10" s="111"/>
      <c r="F10" s="111"/>
      <c r="G10" s="111"/>
      <c r="H10" s="111"/>
      <c r="I10" s="111"/>
      <c r="J10" s="112"/>
    </row>
    <row r="11" spans="2:10" x14ac:dyDescent="0.2">
      <c r="B11" s="110"/>
      <c r="C11" s="111"/>
      <c r="D11" s="111"/>
      <c r="E11" s="111"/>
      <c r="F11" s="111"/>
      <c r="G11" s="111"/>
      <c r="H11" s="111"/>
      <c r="I11" s="111"/>
      <c r="J11" s="112"/>
    </row>
    <row r="12" spans="2:10" x14ac:dyDescent="0.2">
      <c r="B12" s="110"/>
      <c r="C12" s="111"/>
      <c r="D12" s="111"/>
      <c r="E12" s="111"/>
      <c r="F12" s="111"/>
      <c r="G12" s="111"/>
      <c r="H12" s="111"/>
      <c r="I12" s="111"/>
      <c r="J12" s="112"/>
    </row>
    <row r="13" spans="2:10" x14ac:dyDescent="0.2">
      <c r="B13" s="110"/>
      <c r="C13" s="111"/>
      <c r="D13" s="111"/>
      <c r="E13" s="111"/>
      <c r="F13" s="111"/>
      <c r="G13" s="111"/>
      <c r="H13" s="111"/>
      <c r="I13" s="111"/>
      <c r="J13" s="112"/>
    </row>
    <row r="14" spans="2:10" x14ac:dyDescent="0.2">
      <c r="B14" s="110"/>
      <c r="C14" s="111"/>
      <c r="D14" s="111"/>
      <c r="E14" s="111"/>
      <c r="F14" s="111"/>
      <c r="G14" s="111"/>
      <c r="H14" s="111"/>
      <c r="I14" s="111"/>
      <c r="J14" s="112"/>
    </row>
    <row r="15" spans="2:10" x14ac:dyDescent="0.2">
      <c r="B15" s="110"/>
      <c r="C15" s="111"/>
      <c r="D15" s="111"/>
      <c r="E15" s="111"/>
      <c r="F15" s="111"/>
      <c r="G15" s="111"/>
      <c r="H15" s="111"/>
      <c r="I15" s="111"/>
      <c r="J15" s="112"/>
    </row>
    <row r="16" spans="2:10" x14ac:dyDescent="0.2">
      <c r="B16" s="113"/>
      <c r="C16" s="114"/>
      <c r="D16" s="114"/>
      <c r="E16" s="114"/>
      <c r="F16" s="114"/>
      <c r="G16" s="114"/>
      <c r="H16" s="114"/>
      <c r="I16" s="114"/>
      <c r="J16" s="115"/>
    </row>
    <row r="18" spans="1:10" x14ac:dyDescent="0.2">
      <c r="A18" s="52" t="s">
        <v>130</v>
      </c>
      <c r="B18" t="s">
        <v>179</v>
      </c>
      <c r="C18" s="103" t="s">
        <v>195</v>
      </c>
      <c r="D18" s="90"/>
      <c r="E18" s="90"/>
      <c r="F18" s="90"/>
      <c r="G18" s="90"/>
      <c r="H18" s="90"/>
      <c r="I18" s="90"/>
      <c r="J18" s="91"/>
    </row>
    <row r="19" spans="1:10" x14ac:dyDescent="0.2">
      <c r="C19" t="s">
        <v>29</v>
      </c>
      <c r="F19">
        <f>(250000*6)+(250000*4.7)</f>
        <v>2675000</v>
      </c>
    </row>
    <row r="20" spans="1:10" x14ac:dyDescent="0.2">
      <c r="C20" t="s">
        <v>196</v>
      </c>
      <c r="F20">
        <f>500000*(2+1.5+0.5)</f>
        <v>2000000</v>
      </c>
    </row>
    <row r="21" spans="1:10" ht="15.75" customHeight="1" x14ac:dyDescent="0.2">
      <c r="C21" t="s">
        <v>12</v>
      </c>
      <c r="F21">
        <f>F19-F20</f>
        <v>675000</v>
      </c>
    </row>
    <row r="22" spans="1:10" ht="15.75" customHeight="1" x14ac:dyDescent="0.2">
      <c r="C22" t="s">
        <v>197</v>
      </c>
      <c r="F22">
        <f>500000*0.6*1</f>
        <v>300000</v>
      </c>
    </row>
    <row r="23" spans="1:10" ht="15.75" customHeight="1" x14ac:dyDescent="0.2">
      <c r="C23" t="s">
        <v>16</v>
      </c>
      <c r="F23">
        <f>F21-F22</f>
        <v>375000</v>
      </c>
    </row>
    <row r="24" spans="1:10" ht="15.75" customHeight="1" x14ac:dyDescent="0.2">
      <c r="C24" s="103" t="s">
        <v>198</v>
      </c>
      <c r="D24" s="90"/>
      <c r="E24" s="90"/>
      <c r="F24" s="90"/>
      <c r="G24" s="90"/>
      <c r="H24" s="90"/>
      <c r="I24" s="90"/>
      <c r="J24" s="91"/>
    </row>
    <row r="25" spans="1:10" ht="15.75" customHeight="1" x14ac:dyDescent="0.2">
      <c r="C25" t="s">
        <v>29</v>
      </c>
      <c r="F25">
        <f>(500000*0.6*6)+(250000)*4.7</f>
        <v>2975000</v>
      </c>
    </row>
    <row r="26" spans="1:10" ht="15.75" customHeight="1" x14ac:dyDescent="0.2">
      <c r="C26" t="s">
        <v>196</v>
      </c>
      <c r="F26">
        <f>(500000*0.6+500000*0.5)*(2+1.5+0.5)+35000</f>
        <v>2235000</v>
      </c>
    </row>
    <row r="27" spans="1:10" ht="15.75" customHeight="1" x14ac:dyDescent="0.2">
      <c r="C27" t="s">
        <v>12</v>
      </c>
      <c r="F27">
        <f>F25-F26</f>
        <v>740000</v>
      </c>
    </row>
    <row r="28" spans="1:10" ht="15.75" customHeight="1" x14ac:dyDescent="0.2">
      <c r="C28" t="s">
        <v>197</v>
      </c>
      <c r="F28">
        <f>(500000*0.6*1)+20000</f>
        <v>320000</v>
      </c>
    </row>
    <row r="29" spans="1:10" ht="15.75" customHeight="1" x14ac:dyDescent="0.2">
      <c r="C29" t="s">
        <v>16</v>
      </c>
      <c r="F29">
        <f>F27-F28</f>
        <v>420000</v>
      </c>
    </row>
    <row r="30" spans="1:10" ht="15.75" customHeight="1" x14ac:dyDescent="0.2"/>
    <row r="31" spans="1:10" ht="15.75" customHeight="1" x14ac:dyDescent="0.2"/>
    <row r="32" spans="1:10"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sheetData>
  <mergeCells count="3">
    <mergeCell ref="B2:J16"/>
    <mergeCell ref="C18:J18"/>
    <mergeCell ref="C24:J24"/>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J100"/>
  <sheetViews>
    <sheetView workbookViewId="0">
      <selection activeCell="I31" sqref="I31"/>
    </sheetView>
  </sheetViews>
  <sheetFormatPr baseColWidth="10" defaultColWidth="14.5" defaultRowHeight="15" customHeight="1" x14ac:dyDescent="0.2"/>
  <cols>
    <col min="1" max="2" width="8.83203125" customWidth="1"/>
    <col min="3" max="3" width="18.1640625" customWidth="1"/>
    <col min="4" max="6" width="8.83203125" customWidth="1"/>
    <col min="7" max="7" width="10.6640625" customWidth="1"/>
    <col min="8" max="8" width="11.5" customWidth="1"/>
    <col min="9" max="9" width="10.33203125" customWidth="1"/>
    <col min="10" max="10" width="8.83203125" customWidth="1"/>
  </cols>
  <sheetData>
    <row r="2" spans="1:10" ht="15" customHeight="1" x14ac:dyDescent="0.2">
      <c r="B2" s="131" t="s">
        <v>199</v>
      </c>
      <c r="C2" s="108"/>
      <c r="D2" s="108"/>
      <c r="E2" s="108"/>
      <c r="F2" s="108"/>
      <c r="G2" s="108"/>
      <c r="H2" s="108"/>
      <c r="I2" s="108"/>
      <c r="J2" s="109"/>
    </row>
    <row r="3" spans="1:10" x14ac:dyDescent="0.2">
      <c r="B3" s="110"/>
      <c r="C3" s="111"/>
      <c r="D3" s="111"/>
      <c r="E3" s="111"/>
      <c r="F3" s="111"/>
      <c r="G3" s="111"/>
      <c r="H3" s="111"/>
      <c r="I3" s="111"/>
      <c r="J3" s="112"/>
    </row>
    <row r="4" spans="1:10" x14ac:dyDescent="0.2">
      <c r="B4" s="110"/>
      <c r="C4" s="111"/>
      <c r="D4" s="111"/>
      <c r="E4" s="111"/>
      <c r="F4" s="111"/>
      <c r="G4" s="111"/>
      <c r="H4" s="111"/>
      <c r="I4" s="111"/>
      <c r="J4" s="112"/>
    </row>
    <row r="5" spans="1:10" x14ac:dyDescent="0.2">
      <c r="B5" s="110"/>
      <c r="C5" s="111"/>
      <c r="D5" s="111"/>
      <c r="E5" s="111"/>
      <c r="F5" s="111"/>
      <c r="G5" s="111"/>
      <c r="H5" s="111"/>
      <c r="I5" s="111"/>
      <c r="J5" s="112"/>
    </row>
    <row r="6" spans="1:10" x14ac:dyDescent="0.2">
      <c r="B6" s="110"/>
      <c r="C6" s="111"/>
      <c r="D6" s="111"/>
      <c r="E6" s="111"/>
      <c r="F6" s="111"/>
      <c r="G6" s="111"/>
      <c r="H6" s="111"/>
      <c r="I6" s="111"/>
      <c r="J6" s="112"/>
    </row>
    <row r="7" spans="1:10" x14ac:dyDescent="0.2">
      <c r="B7" s="110"/>
      <c r="C7" s="111"/>
      <c r="D7" s="111"/>
      <c r="E7" s="111"/>
      <c r="F7" s="111"/>
      <c r="G7" s="111"/>
      <c r="H7" s="111"/>
      <c r="I7" s="111"/>
      <c r="J7" s="112"/>
    </row>
    <row r="8" spans="1:10" x14ac:dyDescent="0.2">
      <c r="B8" s="110"/>
      <c r="C8" s="111"/>
      <c r="D8" s="111"/>
      <c r="E8" s="111"/>
      <c r="F8" s="111"/>
      <c r="G8" s="111"/>
      <c r="H8" s="111"/>
      <c r="I8" s="111"/>
      <c r="J8" s="112"/>
    </row>
    <row r="9" spans="1:10" x14ac:dyDescent="0.2">
      <c r="B9" s="110"/>
      <c r="C9" s="111"/>
      <c r="D9" s="111"/>
      <c r="E9" s="111"/>
      <c r="F9" s="111"/>
      <c r="G9" s="111"/>
      <c r="H9" s="111"/>
      <c r="I9" s="111"/>
      <c r="J9" s="112"/>
    </row>
    <row r="10" spans="1:10" x14ac:dyDescent="0.2">
      <c r="B10" s="110"/>
      <c r="C10" s="111"/>
      <c r="D10" s="111"/>
      <c r="E10" s="111"/>
      <c r="F10" s="111"/>
      <c r="G10" s="111"/>
      <c r="H10" s="111"/>
      <c r="I10" s="111"/>
      <c r="J10" s="112"/>
    </row>
    <row r="11" spans="1:10" x14ac:dyDescent="0.2">
      <c r="B11" s="110"/>
      <c r="C11" s="111"/>
      <c r="D11" s="111"/>
      <c r="E11" s="111"/>
      <c r="F11" s="111"/>
      <c r="G11" s="111"/>
      <c r="H11" s="111"/>
      <c r="I11" s="111"/>
      <c r="J11" s="112"/>
    </row>
    <row r="12" spans="1:10" x14ac:dyDescent="0.2">
      <c r="B12" s="110"/>
      <c r="C12" s="111"/>
      <c r="D12" s="111"/>
      <c r="E12" s="111"/>
      <c r="F12" s="111"/>
      <c r="G12" s="111"/>
      <c r="H12" s="111"/>
      <c r="I12" s="111"/>
      <c r="J12" s="112"/>
    </row>
    <row r="13" spans="1:10" x14ac:dyDescent="0.2">
      <c r="B13" s="110"/>
      <c r="C13" s="111"/>
      <c r="D13" s="111"/>
      <c r="E13" s="111"/>
      <c r="F13" s="111"/>
      <c r="G13" s="111"/>
      <c r="H13" s="111"/>
      <c r="I13" s="111"/>
      <c r="J13" s="112"/>
    </row>
    <row r="14" spans="1:10" x14ac:dyDescent="0.2">
      <c r="B14" s="113"/>
      <c r="C14" s="114"/>
      <c r="D14" s="114"/>
      <c r="E14" s="114"/>
      <c r="F14" s="114"/>
      <c r="G14" s="114"/>
      <c r="H14" s="114"/>
      <c r="I14" s="114"/>
      <c r="J14" s="115"/>
    </row>
    <row r="16" spans="1:10" x14ac:dyDescent="0.2">
      <c r="A16" s="52" t="s">
        <v>130</v>
      </c>
      <c r="C16" s="103" t="s">
        <v>200</v>
      </c>
      <c r="D16" s="90"/>
      <c r="E16" s="90"/>
      <c r="F16" s="90"/>
      <c r="G16" s="90"/>
      <c r="H16" s="90"/>
      <c r="I16" s="91"/>
    </row>
    <row r="18" spans="3:9" x14ac:dyDescent="0.2">
      <c r="E18" t="s">
        <v>22</v>
      </c>
      <c r="G18" s="136" t="s">
        <v>5</v>
      </c>
      <c r="H18" s="111"/>
      <c r="I18" s="111"/>
    </row>
    <row r="19" spans="3:9" x14ac:dyDescent="0.2">
      <c r="G19" s="7" t="s">
        <v>201</v>
      </c>
      <c r="H19" s="7" t="s">
        <v>202</v>
      </c>
      <c r="I19" s="7" t="s">
        <v>120</v>
      </c>
    </row>
    <row r="20" spans="3:9" x14ac:dyDescent="0.2">
      <c r="C20" t="s">
        <v>203</v>
      </c>
      <c r="E20" s="7">
        <v>10000</v>
      </c>
      <c r="G20" s="7">
        <v>10000</v>
      </c>
      <c r="H20" s="7">
        <v>20000</v>
      </c>
      <c r="I20" s="7">
        <v>30000</v>
      </c>
    </row>
    <row r="21" spans="3:9" ht="15.75" customHeight="1" x14ac:dyDescent="0.2">
      <c r="E21" s="51" t="s">
        <v>204</v>
      </c>
      <c r="F21" s="51"/>
      <c r="G21" s="51" t="s">
        <v>204</v>
      </c>
      <c r="H21" s="51" t="s">
        <v>204</v>
      </c>
      <c r="I21" s="51" t="s">
        <v>204</v>
      </c>
    </row>
    <row r="22" spans="3:9" ht="15.75" customHeight="1" x14ac:dyDescent="0.2">
      <c r="C22" t="s">
        <v>56</v>
      </c>
      <c r="E22" s="71">
        <v>4.25</v>
      </c>
      <c r="F22" s="71"/>
      <c r="G22" s="71">
        <v>3.72</v>
      </c>
      <c r="H22" s="71">
        <v>3.55</v>
      </c>
      <c r="I22" s="71"/>
    </row>
    <row r="23" spans="3:9" ht="15.75" customHeight="1" x14ac:dyDescent="0.2">
      <c r="C23" t="s">
        <v>29</v>
      </c>
      <c r="E23">
        <f>E20*E22</f>
        <v>42500</v>
      </c>
      <c r="G23">
        <f t="shared" ref="G23:H23" si="0">G20*G22</f>
        <v>37200</v>
      </c>
      <c r="H23">
        <f t="shared" si="0"/>
        <v>71000</v>
      </c>
      <c r="I23">
        <f>SUM(G23:H23)</f>
        <v>108200</v>
      </c>
    </row>
    <row r="24" spans="3:9" ht="15.75" customHeight="1" x14ac:dyDescent="0.2">
      <c r="C24" t="s">
        <v>123</v>
      </c>
    </row>
    <row r="25" spans="3:9" ht="15.75" customHeight="1" x14ac:dyDescent="0.2">
      <c r="C25" t="s">
        <v>205</v>
      </c>
      <c r="E25">
        <v>15000</v>
      </c>
      <c r="G25">
        <f t="shared" ref="G25:G26" si="1">E25</f>
        <v>15000</v>
      </c>
      <c r="H25">
        <f>G25*2</f>
        <v>30000</v>
      </c>
      <c r="I25">
        <f t="shared" ref="I25:I27" si="2">SUM(G25:H25)</f>
        <v>45000</v>
      </c>
    </row>
    <row r="26" spans="3:9" ht="15.75" customHeight="1" x14ac:dyDescent="0.2">
      <c r="C26" t="s">
        <v>206</v>
      </c>
      <c r="E26">
        <v>11000</v>
      </c>
      <c r="G26">
        <f t="shared" si="1"/>
        <v>11000</v>
      </c>
      <c r="H26">
        <f t="shared" ref="H26:H27" si="3">E26*2</f>
        <v>22000</v>
      </c>
      <c r="I26">
        <f t="shared" si="2"/>
        <v>33000</v>
      </c>
    </row>
    <row r="27" spans="3:9" ht="15.75" customHeight="1" x14ac:dyDescent="0.2">
      <c r="C27" t="s">
        <v>88</v>
      </c>
      <c r="E27">
        <v>6000</v>
      </c>
      <c r="G27">
        <f>+E27</f>
        <v>6000</v>
      </c>
      <c r="H27">
        <f t="shared" si="3"/>
        <v>12000</v>
      </c>
      <c r="I27">
        <f t="shared" si="2"/>
        <v>18000</v>
      </c>
    </row>
    <row r="28" spans="3:9" ht="15.75" customHeight="1" x14ac:dyDescent="0.2">
      <c r="C28" t="s">
        <v>89</v>
      </c>
      <c r="E28">
        <f>SUM(E25:E27)</f>
        <v>32000</v>
      </c>
      <c r="G28">
        <f t="shared" ref="G28:I28" si="4">SUM(G25:G27)</f>
        <v>32000</v>
      </c>
      <c r="H28">
        <f t="shared" si="4"/>
        <v>64000</v>
      </c>
      <c r="I28">
        <f t="shared" si="4"/>
        <v>96000</v>
      </c>
    </row>
    <row r="29" spans="3:9" ht="15.75" customHeight="1" x14ac:dyDescent="0.2">
      <c r="C29" t="s">
        <v>12</v>
      </c>
      <c r="E29">
        <f>E23-E28</f>
        <v>10500</v>
      </c>
      <c r="G29">
        <f t="shared" ref="G29:I29" si="5">G23-G28</f>
        <v>5200</v>
      </c>
      <c r="H29">
        <f t="shared" si="5"/>
        <v>7000</v>
      </c>
      <c r="I29">
        <f t="shared" si="5"/>
        <v>12200</v>
      </c>
    </row>
    <row r="30" spans="3:9" ht="15.75" customHeight="1" x14ac:dyDescent="0.2">
      <c r="C30" t="s">
        <v>197</v>
      </c>
      <c r="E30">
        <v>8000</v>
      </c>
      <c r="G30">
        <f>E30</f>
        <v>8000</v>
      </c>
      <c r="H30">
        <f>E30*0.1</f>
        <v>800</v>
      </c>
      <c r="I30">
        <f>SUM(G30:H30)</f>
        <v>8800</v>
      </c>
    </row>
    <row r="31" spans="3:9" ht="15.75" customHeight="1" x14ac:dyDescent="0.2">
      <c r="C31" s="139" t="s">
        <v>16</v>
      </c>
      <c r="E31">
        <f>E29-E30</f>
        <v>2500</v>
      </c>
      <c r="G31">
        <f t="shared" ref="G31:I31" si="6">G29-G30</f>
        <v>-2800</v>
      </c>
      <c r="H31">
        <f t="shared" si="6"/>
        <v>6200</v>
      </c>
      <c r="I31">
        <f t="shared" si="6"/>
        <v>3400</v>
      </c>
    </row>
    <row r="32" spans="3:9" ht="15.75" customHeight="1" x14ac:dyDescent="0.2"/>
    <row r="33" spans="3:9" ht="15.75" customHeight="1" x14ac:dyDescent="0.2">
      <c r="C33" s="134" t="s">
        <v>207</v>
      </c>
      <c r="D33" s="108"/>
      <c r="E33" s="108"/>
      <c r="F33" s="108"/>
      <c r="G33" s="108"/>
      <c r="H33" s="108"/>
      <c r="I33" s="109"/>
    </row>
    <row r="34" spans="3:9" ht="15.75" customHeight="1" x14ac:dyDescent="0.2">
      <c r="C34" s="110"/>
      <c r="D34" s="111"/>
      <c r="E34" s="111"/>
      <c r="F34" s="111"/>
      <c r="G34" s="111"/>
      <c r="H34" s="111"/>
      <c r="I34" s="112"/>
    </row>
    <row r="35" spans="3:9" ht="15.75" customHeight="1" x14ac:dyDescent="0.2">
      <c r="C35" s="113"/>
      <c r="D35" s="114"/>
      <c r="E35" s="114"/>
      <c r="F35" s="114"/>
      <c r="G35" s="114"/>
      <c r="H35" s="114"/>
      <c r="I35" s="115"/>
    </row>
    <row r="36" spans="3:9" ht="15.75" customHeight="1" x14ac:dyDescent="0.2"/>
    <row r="37" spans="3:9" ht="15.75" customHeight="1" x14ac:dyDescent="0.2"/>
    <row r="38" spans="3:9" ht="15.75" customHeight="1" x14ac:dyDescent="0.2"/>
    <row r="39" spans="3:9" ht="15.75" customHeight="1" x14ac:dyDescent="0.2"/>
    <row r="40" spans="3:9" ht="15.75" customHeight="1" x14ac:dyDescent="0.2"/>
    <row r="41" spans="3:9" ht="15.75" customHeight="1" x14ac:dyDescent="0.2"/>
    <row r="42" spans="3:9" ht="15.75" customHeight="1" x14ac:dyDescent="0.2"/>
    <row r="43" spans="3:9" ht="15.75" customHeight="1" x14ac:dyDescent="0.2"/>
    <row r="44" spans="3:9" ht="15.75" customHeight="1" x14ac:dyDescent="0.2"/>
    <row r="45" spans="3:9" ht="15.75" customHeight="1" x14ac:dyDescent="0.2"/>
    <row r="46" spans="3:9" ht="15.75" customHeight="1" x14ac:dyDescent="0.2"/>
    <row r="47" spans="3:9" ht="15.75" customHeight="1" x14ac:dyDescent="0.2"/>
    <row r="48" spans="3: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sheetData>
  <mergeCells count="4">
    <mergeCell ref="B2:J14"/>
    <mergeCell ref="C16:I16"/>
    <mergeCell ref="G18:I18"/>
    <mergeCell ref="C33:I35"/>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21</vt:i4>
      </vt:variant>
    </vt:vector>
  </HeadingPairs>
  <TitlesOfParts>
    <vt:vector size="35" baseType="lpstr">
      <vt:lpstr>P1_Pdt Pricing</vt:lpstr>
      <vt:lpstr>P2_spl order</vt:lpstr>
      <vt:lpstr>P3_pdt pricing</vt:lpstr>
      <vt:lpstr>P4_pdt pricing</vt:lpstr>
      <vt:lpstr>P5_export</vt:lpstr>
      <vt:lpstr>P6_keyfactor_RM</vt:lpstr>
      <vt:lpstr>P6_keyfactor_L</vt:lpstr>
      <vt:lpstr>P7_export</vt:lpstr>
      <vt:lpstr>P8_export</vt:lpstr>
      <vt:lpstr>P9_Differential</vt:lpstr>
      <vt:lpstr>Scenario Summary</vt:lpstr>
      <vt:lpstr>P10_Differential.</vt:lpstr>
      <vt:lpstr>Scenario Summary_P10.</vt:lpstr>
      <vt:lpstr>P11_Differential</vt:lpstr>
      <vt:lpstr>P5_export!solver_adj</vt:lpstr>
      <vt:lpstr>P5_export!solver_lhs1</vt:lpstr>
      <vt:lpstr>P6_keyfactor_L!solver_lhs1</vt:lpstr>
      <vt:lpstr>P6_keyfactor_RM!solver_lhs1</vt:lpstr>
      <vt:lpstr>P6_keyfactor_L!solver_lhs2</vt:lpstr>
      <vt:lpstr>P6_keyfactor_RM!solver_lhs2</vt:lpstr>
      <vt:lpstr>P6_keyfactor_L!solver_lhs3</vt:lpstr>
      <vt:lpstr>P6_keyfactor_RM!solver_lhs3</vt:lpstr>
      <vt:lpstr>P6_keyfactor_L!solver_lhs4</vt:lpstr>
      <vt:lpstr>P6_keyfactor_RM!solver_lhs4</vt:lpstr>
      <vt:lpstr>P6_keyfactor_RM!solver_lhs5</vt:lpstr>
      <vt:lpstr>P5_export!solver_opt</vt:lpstr>
      <vt:lpstr>P6_keyfactor_L!solver_rhs1</vt:lpstr>
      <vt:lpstr>P6_keyfactor_RM!solver_rhs1</vt:lpstr>
      <vt:lpstr>P6_keyfactor_L!solver_rhs2</vt:lpstr>
      <vt:lpstr>P6_keyfactor_RM!solver_rhs2</vt:lpstr>
      <vt:lpstr>P6_keyfactor_L!solver_rhs3</vt:lpstr>
      <vt:lpstr>P6_keyfactor_RM!solver_rhs3</vt:lpstr>
      <vt:lpstr>P6_keyfactor_L!solver_rhs4</vt:lpstr>
      <vt:lpstr>P6_keyfactor_RM!solver_rhs4</vt:lpstr>
      <vt:lpstr>P6_keyfactor_RM!solver_rhs5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Prerna Nimesh</dc:creator>
  <cp:lastModifiedBy>Aabhas Basnet</cp:lastModifiedBy>
  <dcterms:created xsi:type="dcterms:W3CDTF">2015-06-05T18:17:20Z</dcterms:created>
  <dcterms:modified xsi:type="dcterms:W3CDTF">2024-12-04T12:57:29Z</dcterms:modified>
</cp:coreProperties>
</file>