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oonan/Dropbox/UBC/Side_Projects/SexEvolution/Data/"/>
    </mc:Choice>
  </mc:AlternateContent>
  <xr:revisionPtr revIDLastSave="0" documentId="8_{84E465E1-AF96-4E48-897A-38D53773939D}" xr6:coauthVersionLast="47" xr6:coauthVersionMax="47" xr10:uidLastSave="{00000000-0000-0000-0000-000000000000}"/>
  <bookViews>
    <workbookView xWindow="0" yWindow="500" windowWidth="28800" windowHeight="16000" xr2:uid="{D592AF53-BC52-9B42-B426-F76E6F99DB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15" i="1" l="1"/>
  <c r="U115" i="1"/>
  <c r="BT114" i="1"/>
  <c r="BU114" i="1" s="1"/>
  <c r="BR114" i="1"/>
  <c r="BQ114" i="1"/>
  <c r="AX114" i="1"/>
  <c r="AK114" i="1"/>
  <c r="AB114" i="1"/>
  <c r="W114" i="1"/>
  <c r="X114" i="1" s="1"/>
  <c r="T114" i="1"/>
  <c r="U114" i="1" s="1"/>
  <c r="BH113" i="1"/>
  <c r="BG113" i="1"/>
  <c r="AP113" i="1"/>
  <c r="AL113" i="1"/>
  <c r="AK113" i="1"/>
  <c r="AB113" i="1"/>
  <c r="W113" i="1"/>
  <c r="X113" i="1" s="1"/>
  <c r="V113" i="1"/>
  <c r="T113" i="1"/>
  <c r="U113" i="1" s="1"/>
  <c r="X112" i="1"/>
  <c r="U112" i="1"/>
  <c r="L112" i="1"/>
  <c r="BH111" i="1"/>
  <c r="BG111" i="1"/>
  <c r="AP111" i="1"/>
  <c r="AL111" i="1"/>
  <c r="AK111" i="1"/>
  <c r="W111" i="1"/>
  <c r="V111" i="1"/>
  <c r="AB111" i="1" s="1"/>
  <c r="T111" i="1"/>
  <c r="CA110" i="1"/>
  <c r="BQ110" i="1"/>
  <c r="AT110" i="1"/>
  <c r="AK110" i="1"/>
  <c r="W110" i="1"/>
  <c r="V110" i="1"/>
  <c r="T110" i="1"/>
  <c r="U110" i="1" s="1"/>
  <c r="BQ109" i="1"/>
  <c r="BG109" i="1"/>
  <c r="AV109" i="1"/>
  <c r="AU109" i="1"/>
  <c r="AT109" i="1"/>
  <c r="AN109" i="1"/>
  <c r="AM109" i="1"/>
  <c r="AK109" i="1"/>
  <c r="W109" i="1"/>
  <c r="X109" i="1" s="1"/>
  <c r="L109" i="1"/>
  <c r="BR108" i="1"/>
  <c r="BG108" i="1"/>
  <c r="AT108" i="1"/>
  <c r="X108" i="1"/>
  <c r="BR107" i="1"/>
  <c r="BP107" i="1"/>
  <c r="BH107" i="1"/>
  <c r="BG107" i="1"/>
  <c r="AV107" i="1"/>
  <c r="AU107" i="1"/>
  <c r="AS107" i="1"/>
  <c r="AT107" i="1" s="1"/>
  <c r="W107" i="1"/>
  <c r="X107" i="1" s="1"/>
  <c r="V107" i="1"/>
  <c r="T107" i="1"/>
  <c r="U107" i="1" s="1"/>
  <c r="BR106" i="1"/>
  <c r="BQ106" i="1"/>
  <c r="AW106" i="1"/>
  <c r="AU106" i="1"/>
  <c r="AT106" i="1"/>
  <c r="AK106" i="1"/>
  <c r="X106" i="1"/>
  <c r="L106" i="1"/>
  <c r="BR105" i="1"/>
  <c r="AT105" i="1"/>
  <c r="X105" i="1"/>
  <c r="L105" i="1"/>
  <c r="BQ104" i="1"/>
  <c r="X104" i="1"/>
  <c r="T104" i="1"/>
  <c r="U104" i="1" s="1"/>
  <c r="L104" i="1"/>
  <c r="AT103" i="1"/>
  <c r="X103" i="1"/>
  <c r="BQ102" i="1"/>
  <c r="BH102" i="1"/>
  <c r="AY102" i="1"/>
  <c r="X102" i="1"/>
  <c r="BU101" i="1"/>
  <c r="BR101" i="1"/>
  <c r="AQ101" i="1"/>
  <c r="AL101" i="1"/>
  <c r="AK101" i="1"/>
  <c r="X101" i="1"/>
  <c r="T101" i="1"/>
  <c r="U101" i="1" s="1"/>
  <c r="L101" i="1"/>
  <c r="BQ100" i="1"/>
  <c r="BP100" i="1"/>
  <c r="BH100" i="1"/>
  <c r="BG100" i="1"/>
  <c r="AS100" i="1"/>
  <c r="AQ100" i="1"/>
  <c r="AP100" i="1"/>
  <c r="AN100" i="1"/>
  <c r="AK100" i="1"/>
  <c r="X100" i="1"/>
  <c r="W100" i="1"/>
  <c r="BR99" i="1"/>
  <c r="BQ99" i="1"/>
  <c r="AV99" i="1"/>
  <c r="AU99" i="1"/>
  <c r="AS99" i="1"/>
  <c r="AQ99" i="1"/>
  <c r="AN99" i="1"/>
  <c r="AK99" i="1"/>
  <c r="W99" i="1"/>
  <c r="X99" i="1" s="1"/>
  <c r="BS97" i="1"/>
  <c r="BH97" i="1"/>
  <c r="AV97" i="1"/>
  <c r="AU97" i="1"/>
  <c r="AQ97" i="1"/>
  <c r="AT97" i="1" s="1"/>
  <c r="BS96" i="1"/>
  <c r="BH96" i="1"/>
  <c r="BG96" i="1"/>
  <c r="AS95" i="1"/>
  <c r="AQ95" i="1"/>
  <c r="BI93" i="1"/>
  <c r="V93" i="1"/>
  <c r="CA92" i="1"/>
  <c r="AV92" i="1"/>
  <c r="AT92" i="1"/>
  <c r="AT91" i="1"/>
  <c r="X91" i="1"/>
  <c r="CA90" i="1"/>
  <c r="BR90" i="1"/>
  <c r="AY90" i="1"/>
  <c r="AS90" i="1"/>
  <c r="AQ90" i="1"/>
  <c r="AT90" i="1" s="1"/>
  <c r="BR89" i="1"/>
  <c r="AV89" i="1"/>
  <c r="AU89" i="1"/>
  <c r="AT89" i="1"/>
  <c r="AK89" i="1"/>
  <c r="W89" i="1"/>
  <c r="V89" i="1"/>
  <c r="X89" i="1" s="1"/>
  <c r="L89" i="1"/>
  <c r="AW88" i="1"/>
  <c r="AV88" i="1"/>
  <c r="AU88" i="1"/>
  <c r="AS88" i="1"/>
  <c r="AT88" i="1" s="1"/>
  <c r="AQ88" i="1"/>
  <c r="AP88" i="1"/>
  <c r="AL88" i="1"/>
  <c r="AK88" i="1"/>
  <c r="V88" i="1"/>
  <c r="X88" i="1" s="1"/>
  <c r="T88" i="1"/>
  <c r="L88" i="1"/>
  <c r="CA87" i="1"/>
  <c r="BS87" i="1"/>
  <c r="BP87" i="1"/>
  <c r="BH87" i="1"/>
  <c r="AN87" i="1"/>
  <c r="AM87" i="1"/>
  <c r="AL87" i="1"/>
  <c r="AK87" i="1"/>
  <c r="V87" i="1"/>
  <c r="X87" i="1" s="1"/>
  <c r="CA86" i="1"/>
  <c r="BS86" i="1"/>
  <c r="AN86" i="1"/>
  <c r="AM86" i="1"/>
  <c r="X86" i="1"/>
  <c r="AS84" i="1"/>
  <c r="AQ84" i="1"/>
  <c r="AT84" i="1" s="1"/>
  <c r="AP84" i="1"/>
  <c r="AL84" i="1"/>
  <c r="AK84" i="1"/>
  <c r="AB84" i="1"/>
  <c r="W84" i="1"/>
  <c r="X84" i="1" s="1"/>
  <c r="V84" i="1"/>
  <c r="U84" i="1"/>
  <c r="AT83" i="1"/>
  <c r="X83" i="1"/>
  <c r="BP82" i="1"/>
  <c r="AK82" i="1"/>
  <c r="W82" i="1"/>
  <c r="X82" i="1" s="1"/>
  <c r="V82" i="1"/>
  <c r="U82" i="1"/>
  <c r="BH81" i="1"/>
  <c r="AY81" i="1"/>
  <c r="AQ81" i="1"/>
  <c r="AT81" i="1" s="1"/>
  <c r="AK81" i="1"/>
  <c r="W81" i="1"/>
  <c r="V81" i="1"/>
  <c r="AB81" i="1" s="1"/>
  <c r="X80" i="1"/>
  <c r="CA79" i="1"/>
  <c r="BZ79" i="1"/>
  <c r="AT79" i="1"/>
  <c r="AK78" i="1"/>
  <c r="V78" i="1"/>
  <c r="X77" i="1"/>
  <c r="X76" i="1"/>
  <c r="T76" i="1"/>
  <c r="U76" i="1" s="1"/>
  <c r="AN75" i="1"/>
  <c r="X75" i="1"/>
  <c r="V74" i="1"/>
  <c r="X74" i="1" s="1"/>
  <c r="T74" i="1"/>
  <c r="U74" i="1" s="1"/>
  <c r="AT73" i="1"/>
  <c r="X73" i="1"/>
  <c r="T73" i="1"/>
  <c r="U73" i="1" s="1"/>
  <c r="V72" i="1"/>
  <c r="X72" i="1" s="1"/>
  <c r="T72" i="1"/>
  <c r="BS71" i="1"/>
  <c r="BR71" i="1"/>
  <c r="AT71" i="1"/>
  <c r="BU70" i="1"/>
  <c r="AT70" i="1"/>
  <c r="AB70" i="1"/>
  <c r="X70" i="1"/>
  <c r="BU69" i="1"/>
  <c r="AT69" i="1"/>
  <c r="AN69" i="1"/>
  <c r="AU68" i="1"/>
  <c r="AS68" i="1"/>
  <c r="AT68" i="1" s="1"/>
  <c r="AN68" i="1"/>
  <c r="CC67" i="1"/>
  <c r="AB67" i="1"/>
  <c r="X67" i="1"/>
  <c r="U67" i="1"/>
  <c r="CA66" i="1"/>
  <c r="AQ66" i="1"/>
  <c r="AT64" i="1"/>
  <c r="AT63" i="1"/>
  <c r="X61" i="1"/>
  <c r="CC59" i="1"/>
  <c r="BU59" i="1"/>
  <c r="AQ59" i="1"/>
  <c r="X59" i="1"/>
  <c r="X58" i="1"/>
  <c r="BU57" i="1"/>
  <c r="AB57" i="1"/>
  <c r="W57" i="1"/>
  <c r="X57" i="1" s="1"/>
  <c r="AV56" i="1"/>
  <c r="AU56" i="1"/>
  <c r="AS56" i="1"/>
  <c r="AT56" i="1" s="1"/>
  <c r="AQ56" i="1"/>
  <c r="AB56" i="1"/>
  <c r="W56" i="1"/>
  <c r="V56" i="1"/>
  <c r="T56" i="1"/>
  <c r="X55" i="1"/>
  <c r="AT54" i="1"/>
  <c r="AB54" i="1"/>
  <c r="X54" i="1"/>
  <c r="AU53" i="1"/>
  <c r="AS53" i="1"/>
  <c r="AQ53" i="1"/>
  <c r="AT52" i="1"/>
  <c r="V52" i="1"/>
  <c r="X52" i="1" s="1"/>
  <c r="T52" i="1"/>
  <c r="U52" i="1" s="1"/>
  <c r="AQ51" i="1"/>
  <c r="W51" i="1"/>
  <c r="X51" i="1" s="1"/>
  <c r="T51" i="1"/>
  <c r="U51" i="1" s="1"/>
  <c r="BU50" i="1"/>
  <c r="AT50" i="1"/>
  <c r="W50" i="1"/>
  <c r="V50" i="1"/>
  <c r="X50" i="1" s="1"/>
  <c r="T50" i="1"/>
  <c r="U50" i="1" s="1"/>
  <c r="AT49" i="1"/>
  <c r="X49" i="1"/>
  <c r="BP48" i="1"/>
  <c r="BG48" i="1"/>
  <c r="AT48" i="1"/>
  <c r="X48" i="1"/>
  <c r="BG47" i="1"/>
  <c r="BG46" i="1"/>
  <c r="AT46" i="1"/>
  <c r="X46" i="1"/>
  <c r="BR45" i="1"/>
  <c r="BQ45" i="1"/>
  <c r="BI45" i="1"/>
  <c r="BH45" i="1"/>
  <c r="BG45" i="1"/>
  <c r="AY45" i="1"/>
  <c r="AU45" i="1"/>
  <c r="AS45" i="1"/>
  <c r="AQ45" i="1"/>
  <c r="AA45" i="1"/>
  <c r="V45" i="1"/>
  <c r="X45" i="1" s="1"/>
  <c r="BH44" i="1"/>
  <c r="BS43" i="1"/>
  <c r="BH43" i="1"/>
  <c r="BS42" i="1"/>
  <c r="BH42" i="1"/>
  <c r="BG42" i="1"/>
  <c r="BH41" i="1"/>
  <c r="W41" i="1"/>
  <c r="V41" i="1"/>
  <c r="U41" i="1"/>
  <c r="AU40" i="1"/>
  <c r="AS40" i="1"/>
  <c r="AQ40" i="1"/>
  <c r="AK40" i="1"/>
  <c r="W40" i="1"/>
  <c r="V40" i="1"/>
  <c r="AB40" i="1" s="1"/>
  <c r="X39" i="1"/>
  <c r="BU38" i="1"/>
  <c r="AT38" i="1"/>
  <c r="AA38" i="1"/>
  <c r="AB38" i="1" s="1"/>
  <c r="W38" i="1"/>
  <c r="X38" i="1" s="1"/>
  <c r="V38" i="1"/>
  <c r="U38" i="1" s="1"/>
  <c r="BR37" i="1"/>
  <c r="BQ37" i="1"/>
  <c r="AT37" i="1"/>
  <c r="X37" i="1"/>
  <c r="AT36" i="1"/>
  <c r="X36" i="1"/>
  <c r="BR35" i="1"/>
  <c r="AT35" i="1"/>
  <c r="L35" i="1"/>
  <c r="CA34" i="1"/>
  <c r="BS34" i="1"/>
  <c r="BQ34" i="1"/>
  <c r="BI34" i="1"/>
  <c r="AU34" i="1"/>
  <c r="AT34" i="1"/>
  <c r="AS34" i="1"/>
  <c r="AQ34" i="1"/>
  <c r="V34" i="1"/>
  <c r="X34" i="1" s="1"/>
  <c r="CA33" i="1"/>
  <c r="BT33" i="1"/>
  <c r="BU33" i="1" s="1"/>
  <c r="BR33" i="1"/>
  <c r="BQ33" i="1"/>
  <c r="BG33" i="1"/>
  <c r="AV33" i="1"/>
  <c r="AU33" i="1"/>
  <c r="AT33" i="1"/>
  <c r="AS33" i="1"/>
  <c r="AQ33" i="1"/>
  <c r="X33" i="1"/>
  <c r="AV32" i="1"/>
  <c r="AU32" i="1"/>
  <c r="AS32" i="1"/>
  <c r="AT32" i="1" s="1"/>
  <c r="AQ32" i="1"/>
  <c r="AK32" i="1"/>
  <c r="W32" i="1"/>
  <c r="X32" i="1" s="1"/>
  <c r="V32" i="1"/>
  <c r="AT31" i="1"/>
  <c r="X31" i="1"/>
  <c r="L31" i="1"/>
  <c r="BH30" i="1"/>
  <c r="BG30" i="1"/>
  <c r="AW30" i="1"/>
  <c r="AV30" i="1"/>
  <c r="AU30" i="1"/>
  <c r="AT30" i="1"/>
  <c r="AQ30" i="1" s="1"/>
  <c r="X30" i="1"/>
  <c r="L30" i="1"/>
  <c r="AT29" i="1"/>
  <c r="AK29" i="1"/>
  <c r="AB29" i="1"/>
  <c r="W29" i="1"/>
  <c r="X29" i="1" s="1"/>
  <c r="BP28" i="1"/>
  <c r="AY28" i="1"/>
  <c r="AT28" i="1"/>
  <c r="AK28" i="1"/>
  <c r="W28" i="1"/>
  <c r="X28" i="1" s="1"/>
  <c r="U28" i="1"/>
  <c r="BH27" i="1"/>
  <c r="AT27" i="1"/>
  <c r="AK27" i="1"/>
  <c r="V27" i="1"/>
  <c r="X27" i="1" s="1"/>
  <c r="BQ26" i="1"/>
  <c r="BP26" i="1"/>
  <c r="BG26" i="1"/>
  <c r="AT26" i="1"/>
  <c r="BP25" i="1"/>
  <c r="AW25" i="1"/>
  <c r="AV25" i="1"/>
  <c r="AU25" i="1"/>
  <c r="AS25" i="1"/>
  <c r="AQ25" i="1"/>
  <c r="AK25" i="1"/>
  <c r="V25" i="1"/>
  <c r="X25" i="1" s="1"/>
  <c r="L25" i="1"/>
  <c r="AQ24" i="1"/>
  <c r="AN24" i="1"/>
  <c r="AM24" i="1"/>
  <c r="X24" i="1"/>
  <c r="CA23" i="1"/>
  <c r="BH23" i="1"/>
  <c r="BG23" i="1"/>
  <c r="AN23" i="1"/>
  <c r="V22" i="1"/>
  <c r="X22" i="1" s="1"/>
  <c r="T22" i="1"/>
  <c r="CA21" i="1"/>
  <c r="BG21" i="1"/>
  <c r="AT21" i="1"/>
  <c r="AK21" i="1"/>
  <c r="AB21" i="1"/>
  <c r="X21" i="1"/>
  <c r="BU20" i="1"/>
  <c r="AT20" i="1"/>
  <c r="AP20" i="1"/>
  <c r="AL20" i="1"/>
  <c r="AK20" i="1"/>
  <c r="W20" i="1"/>
  <c r="X20" i="1" s="1"/>
  <c r="V20" i="1"/>
  <c r="AB20" i="1" s="1"/>
  <c r="T20" i="1"/>
  <c r="U20" i="1" s="1"/>
  <c r="CA19" i="1"/>
  <c r="AB19" i="1"/>
  <c r="X19" i="1"/>
  <c r="CA18" i="1"/>
  <c r="BS18" i="1"/>
  <c r="BP18" i="1"/>
  <c r="BI18" i="1"/>
  <c r="AA18" i="1"/>
  <c r="AB18" i="1" s="1"/>
  <c r="W18" i="1"/>
  <c r="X18" i="1" s="1"/>
  <c r="U18" i="1"/>
  <c r="BR17" i="1"/>
  <c r="BH17" i="1"/>
  <c r="BG17" i="1"/>
  <c r="AT17" i="1"/>
  <c r="X17" i="1"/>
  <c r="BU16" i="1"/>
  <c r="BR16" i="1"/>
  <c r="BG16" i="1"/>
  <c r="AT16" i="1"/>
  <c r="AB16" i="1"/>
  <c r="X16" i="1"/>
  <c r="AT15" i="1"/>
  <c r="BS14" i="1"/>
  <c r="AV14" i="1"/>
  <c r="AS14" i="1"/>
  <c r="AT14" i="1" s="1"/>
  <c r="AQ14" i="1"/>
  <c r="AM14" i="1"/>
  <c r="BU13" i="1"/>
  <c r="AY13" i="1"/>
  <c r="AW13" i="1"/>
  <c r="AV13" i="1"/>
  <c r="AU13" i="1"/>
  <c r="AS13" i="1"/>
  <c r="AT13" i="1" s="1"/>
  <c r="AQ13" i="1"/>
  <c r="AB13" i="1"/>
  <c r="X13" i="1"/>
  <c r="BS12" i="1"/>
  <c r="AT12" i="1"/>
  <c r="AB12" i="1"/>
  <c r="W12" i="1"/>
  <c r="X12" i="1" s="1"/>
  <c r="BU11" i="1"/>
  <c r="BG11" i="1"/>
  <c r="AT11" i="1"/>
  <c r="AK11" i="1"/>
  <c r="AB11" i="1"/>
  <c r="W11" i="1"/>
  <c r="X11" i="1" s="1"/>
  <c r="T11" i="1"/>
  <c r="U11" i="1" s="1"/>
  <c r="BU10" i="1"/>
  <c r="BH10" i="1"/>
  <c r="BG10" i="1"/>
  <c r="AY10" i="1"/>
  <c r="AV10" i="1"/>
  <c r="AT10" i="1"/>
  <c r="AB10" i="1"/>
  <c r="X10" i="1"/>
  <c r="U10" i="1"/>
  <c r="AT9" i="1"/>
  <c r="W9" i="1"/>
  <c r="X9" i="1" s="1"/>
  <c r="V9" i="1"/>
  <c r="T9" i="1"/>
  <c r="U9" i="1" s="1"/>
  <c r="BS8" i="1"/>
  <c r="AW8" i="1"/>
  <c r="AU8" i="1"/>
  <c r="AT8" i="1"/>
  <c r="AS8" i="1"/>
  <c r="W8" i="1"/>
  <c r="X8" i="1" s="1"/>
  <c r="CA7" i="1"/>
  <c r="BH7" i="1"/>
  <c r="AW7" i="1"/>
  <c r="AV7" i="1"/>
  <c r="AU7" i="1"/>
  <c r="AS7" i="1"/>
  <c r="AT7" i="1" s="1"/>
  <c r="AQ7" i="1"/>
  <c r="V7" i="1"/>
  <c r="X7" i="1" s="1"/>
  <c r="T7" i="1"/>
  <c r="U7" i="1" s="1"/>
  <c r="BU6" i="1"/>
  <c r="AT6" i="1"/>
  <c r="AP6" i="1"/>
  <c r="AL6" i="1"/>
  <c r="AK6" i="1"/>
  <c r="AB6" i="1"/>
  <c r="X6" i="1"/>
  <c r="U6" i="1"/>
  <c r="CA5" i="1"/>
  <c r="BS5" i="1"/>
  <c r="BH5" i="1"/>
  <c r="BG5" i="1"/>
  <c r="AW5" i="1"/>
  <c r="AV5" i="1"/>
  <c r="AU5" i="1"/>
  <c r="AS5" i="1"/>
  <c r="AQ5" i="1"/>
  <c r="AB5" i="1"/>
  <c r="X5" i="1"/>
  <c r="BT4" i="1"/>
  <c r="BU4" i="1" s="1"/>
  <c r="BN4" i="1"/>
  <c r="AT4" i="1"/>
  <c r="AK4" i="1"/>
  <c r="AA4" i="1"/>
  <c r="AB4" i="1" s="1"/>
  <c r="X4" i="1"/>
  <c r="U4" i="1"/>
  <c r="BU3" i="1"/>
  <c r="BT3" i="1"/>
  <c r="BS3" i="1"/>
  <c r="BQ3" i="1"/>
  <c r="AU3" i="1"/>
  <c r="AT3" i="1"/>
  <c r="AK3" i="1"/>
  <c r="AB3" i="1"/>
  <c r="X3" i="1"/>
  <c r="T3" i="1"/>
  <c r="U3" i="1" s="1"/>
  <c r="BT2" i="1"/>
  <c r="BU2" i="1" s="1"/>
  <c r="BN2" i="1"/>
  <c r="AT2" i="1"/>
  <c r="AP2" i="1"/>
  <c r="AL2" i="1"/>
  <c r="AK2" i="1"/>
  <c r="AA2" i="1"/>
  <c r="W2" i="1"/>
  <c r="V2" i="1"/>
  <c r="T2" i="1"/>
  <c r="U2" i="1" s="1"/>
  <c r="AT40" i="1" l="1"/>
  <c r="AT45" i="1"/>
  <c r="AT53" i="1"/>
  <c r="X56" i="1"/>
  <c r="U81" i="1"/>
  <c r="U88" i="1"/>
  <c r="AT99" i="1"/>
  <c r="U111" i="1"/>
  <c r="AT95" i="1"/>
  <c r="AT5" i="1"/>
  <c r="X110" i="1"/>
  <c r="X111" i="1"/>
  <c r="X41" i="1"/>
  <c r="X2" i="1"/>
  <c r="AT25" i="1"/>
  <c r="X40" i="1"/>
  <c r="U72" i="1"/>
  <c r="X81" i="1"/>
  <c r="AB2" i="1"/>
  <c r="U22" i="1"/>
  <c r="AB45" i="1"/>
  <c r="U56" i="1"/>
</calcChain>
</file>

<file path=xl/sharedStrings.xml><?xml version="1.0" encoding="utf-8"?>
<sst xmlns="http://schemas.openxmlformats.org/spreadsheetml/2006/main" count="4353" uniqueCount="426">
  <si>
    <t>Species</t>
  </si>
  <si>
    <t>Phylum</t>
  </si>
  <si>
    <t>Class</t>
  </si>
  <si>
    <t>Order</t>
  </si>
  <si>
    <t>Family</t>
  </si>
  <si>
    <t>Diet</t>
  </si>
  <si>
    <t>B</t>
  </si>
  <si>
    <t>P</t>
  </si>
  <si>
    <t>S</t>
  </si>
  <si>
    <t>A</t>
  </si>
  <si>
    <t>CG</t>
  </si>
  <si>
    <t>seasonality</t>
  </si>
  <si>
    <t>Population</t>
  </si>
  <si>
    <t>Hemisphere</t>
  </si>
  <si>
    <t>Bull</t>
  </si>
  <si>
    <t>Bos Taurus</t>
  </si>
  <si>
    <t>Chordata</t>
  </si>
  <si>
    <t>Mammalia</t>
  </si>
  <si>
    <t>Artiodactyla</t>
  </si>
  <si>
    <t>Bovidae</t>
  </si>
  <si>
    <t>H</t>
  </si>
  <si>
    <t>Y</t>
  </si>
  <si>
    <t>N</t>
  </si>
  <si>
    <t>E</t>
  </si>
  <si>
    <t>F</t>
  </si>
  <si>
    <t>V</t>
  </si>
  <si>
    <t>AV</t>
  </si>
  <si>
    <t>SP</t>
  </si>
  <si>
    <t>G</t>
  </si>
  <si>
    <t>MII</t>
  </si>
  <si>
    <t>I</t>
  </si>
  <si>
    <t>BC</t>
  </si>
  <si>
    <t>C</t>
  </si>
  <si>
    <t>SE</t>
  </si>
  <si>
    <t>LC</t>
  </si>
  <si>
    <t>Water Buffalo</t>
  </si>
  <si>
    <t>Bubalus bubalis</t>
  </si>
  <si>
    <t>W</t>
  </si>
  <si>
    <t>Goat</t>
  </si>
  <si>
    <t>Capra hircus</t>
  </si>
  <si>
    <t>M</t>
  </si>
  <si>
    <t>Iberian Ibex</t>
  </si>
  <si>
    <t>Capra pyrenaica</t>
  </si>
  <si>
    <t>NA</t>
  </si>
  <si>
    <t>EE</t>
  </si>
  <si>
    <t>Sheep</t>
  </si>
  <si>
    <t>Ovis Aries</t>
  </si>
  <si>
    <t>R</t>
  </si>
  <si>
    <t>MM</t>
  </si>
  <si>
    <t>Ovis musimon</t>
  </si>
  <si>
    <t>O</t>
  </si>
  <si>
    <t>Bison</t>
  </si>
  <si>
    <t>Bison bison</t>
  </si>
  <si>
    <t>NT</t>
  </si>
  <si>
    <t>Scimitar Oryx</t>
  </si>
  <si>
    <t>Oryx dammah</t>
  </si>
  <si>
    <t>EC</t>
  </si>
  <si>
    <t>EW</t>
  </si>
  <si>
    <t>Bactrian Camel</t>
  </si>
  <si>
    <t>Camelus bactrianus</t>
  </si>
  <si>
    <t>Camelidae</t>
  </si>
  <si>
    <t>Dromedary Camel</t>
  </si>
  <si>
    <t>Camelus dromedarius</t>
  </si>
  <si>
    <t>Llama</t>
  </si>
  <si>
    <t>Lama glama</t>
  </si>
  <si>
    <t>U</t>
  </si>
  <si>
    <t>Alpaca</t>
  </si>
  <si>
    <t>Vicugna pacos</t>
  </si>
  <si>
    <t>Vicuna</t>
  </si>
  <si>
    <t>Vicugna vicugna</t>
  </si>
  <si>
    <t>Guanaco</t>
  </si>
  <si>
    <t>Lama guanicoe</t>
  </si>
  <si>
    <t>Common Bottlenose Dolphin</t>
  </si>
  <si>
    <t>Tursiops truncatus</t>
  </si>
  <si>
    <t>Delphinidae</t>
  </si>
  <si>
    <t>PG</t>
  </si>
  <si>
    <t>BP</t>
  </si>
  <si>
    <t>DF</t>
  </si>
  <si>
    <t>EPC</t>
  </si>
  <si>
    <t>Orca/killer whale</t>
  </si>
  <si>
    <t>Orcinus orca</t>
  </si>
  <si>
    <t>Hippo</t>
  </si>
  <si>
    <t>Hippopotamus amphibius</t>
  </si>
  <si>
    <t>Hippopotamidae</t>
  </si>
  <si>
    <t>y</t>
  </si>
  <si>
    <t>Vaquita</t>
  </si>
  <si>
    <t>Phocoena sinus</t>
  </si>
  <si>
    <t>Phocoenidae</t>
  </si>
  <si>
    <t>CR</t>
  </si>
  <si>
    <t>Pig</t>
  </si>
  <si>
    <t>Sus Scrofa domesticus</t>
  </si>
  <si>
    <t>Suidae</t>
  </si>
  <si>
    <t>Wild boar</t>
  </si>
  <si>
    <t>Sus scrofa scrofa</t>
  </si>
  <si>
    <t>Warthog</t>
  </si>
  <si>
    <t>Phacochoerus africanus</t>
  </si>
  <si>
    <t>Javan pig</t>
  </si>
  <si>
    <t>Sus verrucosus</t>
  </si>
  <si>
    <t>EN</t>
  </si>
  <si>
    <t>Grey Wolf</t>
  </si>
  <si>
    <t>Canis lupus</t>
  </si>
  <si>
    <t>Carnivora</t>
  </si>
  <si>
    <t>Canidae</t>
  </si>
  <si>
    <t>SM</t>
  </si>
  <si>
    <t>GV</t>
  </si>
  <si>
    <t>Z</t>
  </si>
  <si>
    <t>Coyote</t>
  </si>
  <si>
    <t>Canis latrans</t>
  </si>
  <si>
    <t>African Wild/painted Dog</t>
  </si>
  <si>
    <t>Lycaon pictus</t>
  </si>
  <si>
    <t>Maned wolf</t>
  </si>
  <si>
    <t>Chrysocyon brachyurus</t>
  </si>
  <si>
    <t>Dog</t>
  </si>
  <si>
    <t>Canis familiaris</t>
  </si>
  <si>
    <t>Cat</t>
  </si>
  <si>
    <t>Felis catus</t>
  </si>
  <si>
    <t>Felidae</t>
  </si>
  <si>
    <t>Tiger</t>
  </si>
  <si>
    <t>Panthera tigris</t>
  </si>
  <si>
    <t>Lions</t>
  </si>
  <si>
    <t>Panthera Leo</t>
  </si>
  <si>
    <t>VU</t>
  </si>
  <si>
    <t>Jaguar</t>
  </si>
  <si>
    <t>Panthera onca</t>
  </si>
  <si>
    <t>Eurasian Lynx</t>
  </si>
  <si>
    <t>Lynx lynx</t>
  </si>
  <si>
    <t>Iberian Lynx</t>
  </si>
  <si>
    <t>Lynx pardinus</t>
  </si>
  <si>
    <t>Clouded leopard</t>
  </si>
  <si>
    <t>Neofelis nebulosa</t>
  </si>
  <si>
    <t>Cheetah</t>
  </si>
  <si>
    <t>Acinonyx jubatus</t>
  </si>
  <si>
    <t>Spotted hyena</t>
  </si>
  <si>
    <t>Crocuta crocuta</t>
  </si>
  <si>
    <t>Hyaenidae</t>
  </si>
  <si>
    <t>HC</t>
  </si>
  <si>
    <t>Mink</t>
  </si>
  <si>
    <t>Mustela vison</t>
  </si>
  <si>
    <t>Mustelidae</t>
  </si>
  <si>
    <t>European Badger</t>
  </si>
  <si>
    <t>Meles meles</t>
  </si>
  <si>
    <t>Ferret</t>
  </si>
  <si>
    <t>Mustela putorious furo</t>
  </si>
  <si>
    <t>European Otter</t>
  </si>
  <si>
    <t>Lutra lutra</t>
  </si>
  <si>
    <t>Walrus</t>
  </si>
  <si>
    <t>Odobenus rosmarus</t>
  </si>
  <si>
    <t>Odobenidae</t>
  </si>
  <si>
    <t>L</t>
  </si>
  <si>
    <t>California Sea Lion</t>
  </si>
  <si>
    <t>Zalophus californianus</t>
  </si>
  <si>
    <t>Otariidae</t>
  </si>
  <si>
    <t>Gray Seal</t>
  </si>
  <si>
    <t>Halichoerus grypus</t>
  </si>
  <si>
    <t>Phocidae</t>
  </si>
  <si>
    <t>Brown bear</t>
  </si>
  <si>
    <t>Ursus arctos</t>
  </si>
  <si>
    <t>Ursidae</t>
  </si>
  <si>
    <t>D</t>
  </si>
  <si>
    <t>Polar bear</t>
  </si>
  <si>
    <t>Ursus maritimus</t>
  </si>
  <si>
    <t>DZ</t>
  </si>
  <si>
    <t>Sloth bear</t>
  </si>
  <si>
    <t>Melursus ursinus</t>
  </si>
  <si>
    <t>YN</t>
  </si>
  <si>
    <t>Giant Panda</t>
  </si>
  <si>
    <t xml:space="preserve">Ailuropoda melanoleuca
</t>
  </si>
  <si>
    <t>Elk</t>
  </si>
  <si>
    <t>Cervus canadensis</t>
  </si>
  <si>
    <t>Cetartiodactyla</t>
  </si>
  <si>
    <t>Cervidae</t>
  </si>
  <si>
    <t>1</t>
  </si>
  <si>
    <t>Reindeer</t>
  </si>
  <si>
    <t>Rangifer tarandus</t>
  </si>
  <si>
    <t>Red Deer</t>
  </si>
  <si>
    <t>Cervus elaphus</t>
  </si>
  <si>
    <t>Fallow deer</t>
  </si>
  <si>
    <t>Dama dama</t>
  </si>
  <si>
    <t>Père David's deer</t>
  </si>
  <si>
    <t>Elaphurus davidianus</t>
  </si>
  <si>
    <t>Sika deer</t>
  </si>
  <si>
    <t>Cervus nippon</t>
  </si>
  <si>
    <t>1,5</t>
  </si>
  <si>
    <t>Korean water deer</t>
  </si>
  <si>
    <t>Hydropotes inermis argyropus</t>
  </si>
  <si>
    <t>Roe deer</t>
  </si>
  <si>
    <t>Capreolus capreolus</t>
  </si>
  <si>
    <t>White-tailed deer (North America)</t>
  </si>
  <si>
    <t>Odocoileus virginianus</t>
  </si>
  <si>
    <t>White-tailed deer (South America)</t>
  </si>
  <si>
    <t>DD</t>
  </si>
  <si>
    <t>Pampas deer</t>
  </si>
  <si>
    <t>Ozotoceros bezoarticus</t>
  </si>
  <si>
    <t>Marsh deer</t>
  </si>
  <si>
    <t>Blastocerus dichotomus</t>
  </si>
  <si>
    <t>NR</t>
  </si>
  <si>
    <t>Brown brocket deer</t>
  </si>
  <si>
    <t>Mazama gouazoubira</t>
  </si>
  <si>
    <t>Amazonian brown brocket deer</t>
  </si>
  <si>
    <t>Mazama nemorivaga</t>
  </si>
  <si>
    <t>Brazilian dwarf brocket deer</t>
  </si>
  <si>
    <t>Mazama nana</t>
  </si>
  <si>
    <t>Red brocket deer</t>
  </si>
  <si>
    <t>Mazama americana</t>
  </si>
  <si>
    <t>Small red brocket deer</t>
  </si>
  <si>
    <t>Mazama bororo</t>
  </si>
  <si>
    <t>Pudu deer</t>
  </si>
  <si>
    <t>Pudu puda</t>
  </si>
  <si>
    <t>North Andean deer</t>
  </si>
  <si>
    <t>Hippocamelus antisensis</t>
  </si>
  <si>
    <t>Sambas deer</t>
  </si>
  <si>
    <t>Rusa unicolor niger</t>
  </si>
  <si>
    <t>255</t>
  </si>
  <si>
    <t>Eld's deer</t>
  </si>
  <si>
    <t>Cervus eldii thamin</t>
  </si>
  <si>
    <t>Axis deer</t>
  </si>
  <si>
    <t>Axis axis</t>
  </si>
  <si>
    <t>Tufted deer</t>
  </si>
  <si>
    <t>Elaphodus cephalophus</t>
  </si>
  <si>
    <t>YNN</t>
  </si>
  <si>
    <t>Thorold's deer</t>
  </si>
  <si>
    <t>Cervus albirostris</t>
  </si>
  <si>
    <t>Indian Hog Deer</t>
  </si>
  <si>
    <t>Axis porcinus porcinus</t>
  </si>
  <si>
    <t>Swamp deer</t>
  </si>
  <si>
    <t>Rucervus duvaucelii</t>
  </si>
  <si>
    <t>Reeves's muntjac</t>
  </si>
  <si>
    <t>Muntiacus reevesi</t>
  </si>
  <si>
    <t>Indian muntjac</t>
  </si>
  <si>
    <t>Muntiacus muntjak</t>
  </si>
  <si>
    <t>Greater Horseshoe Bat</t>
  </si>
  <si>
    <t>Rhinolophus ferrumequinum</t>
  </si>
  <si>
    <t>Chiroptera</t>
  </si>
  <si>
    <t>Rhinolophidae</t>
  </si>
  <si>
    <t>Nine-banded armadillo</t>
  </si>
  <si>
    <t>Dasypus novemcinctus</t>
  </si>
  <si>
    <t>Cingulata</t>
  </si>
  <si>
    <t>Dasypodidae</t>
  </si>
  <si>
    <t>SH</t>
  </si>
  <si>
    <t>Six-banded armadillo</t>
  </si>
  <si>
    <t>Euphractus sexcinctus</t>
  </si>
  <si>
    <t>Chlamyphoridae</t>
  </si>
  <si>
    <t>Virginia Opossum</t>
  </si>
  <si>
    <t>Didelphis virginiana</t>
  </si>
  <si>
    <t>Didelphimorphia</t>
  </si>
  <si>
    <t>Didelphidae</t>
  </si>
  <si>
    <t>2U</t>
  </si>
  <si>
    <t>CV</t>
  </si>
  <si>
    <t>Tammar Wallaby</t>
  </si>
  <si>
    <t>Macropus eugenii</t>
  </si>
  <si>
    <t>Diprotodontia</t>
  </si>
  <si>
    <t>Macropodidae</t>
  </si>
  <si>
    <t>Common brushtail possum</t>
  </si>
  <si>
    <t>Trichosurus vulpecula</t>
  </si>
  <si>
    <t>Phalangeridae</t>
  </si>
  <si>
    <t>WS</t>
  </si>
  <si>
    <t>European Hare</t>
  </si>
  <si>
    <t>Lepus europaeus</t>
  </si>
  <si>
    <t>Lagomorpha</t>
  </si>
  <si>
    <t>Leporidae</t>
  </si>
  <si>
    <t>DU</t>
  </si>
  <si>
    <t>European Rabbit</t>
  </si>
  <si>
    <t>Oryctolagus cuniculus</t>
  </si>
  <si>
    <t>N/R</t>
  </si>
  <si>
    <t>Eastern Cottontail</t>
  </si>
  <si>
    <t>Sylvilagus floridanus</t>
  </si>
  <si>
    <t>Platypus</t>
  </si>
  <si>
    <t>Ornithorhynchus anatinus</t>
  </si>
  <si>
    <t>Monotremata</t>
  </si>
  <si>
    <t>Ornithorhynchidae</t>
  </si>
  <si>
    <t>EGG</t>
  </si>
  <si>
    <t>Short-beaked echidna</t>
  </si>
  <si>
    <t>Tachyglossus aculeatus</t>
  </si>
  <si>
    <t>Tachyglossidae</t>
  </si>
  <si>
    <t>Horse</t>
  </si>
  <si>
    <t>Equus caballus</t>
  </si>
  <si>
    <t>Perissodactyla</t>
  </si>
  <si>
    <t>Equidae</t>
  </si>
  <si>
    <t>Donkey</t>
  </si>
  <si>
    <t>Equus asinus</t>
  </si>
  <si>
    <t>White rhinoceros</t>
  </si>
  <si>
    <t>Ceratotherium simum</t>
  </si>
  <si>
    <t>Rhinocerotidae</t>
  </si>
  <si>
    <t>Central American tapir</t>
  </si>
  <si>
    <t>Tapirus bairdii</t>
  </si>
  <si>
    <t>Tapiridae</t>
  </si>
  <si>
    <t>Lowland Tapir</t>
  </si>
  <si>
    <t>Tapirus terrestris</t>
  </si>
  <si>
    <t>Brown-throated sloth</t>
  </si>
  <si>
    <t>Bradypus variegatus</t>
  </si>
  <si>
    <t>Pilosa</t>
  </si>
  <si>
    <t>Bradypodidae</t>
  </si>
  <si>
    <t>SC/EC</t>
  </si>
  <si>
    <t>Maned sloth</t>
  </si>
  <si>
    <t>Bradypus torquatus</t>
  </si>
  <si>
    <t>Pale-throated sloth</t>
  </si>
  <si>
    <t>Bradypus tridactylus</t>
  </si>
  <si>
    <t>Southern two-toed sloth</t>
  </si>
  <si>
    <t xml:space="preserve">Choloepus didactylus </t>
  </si>
  <si>
    <t>Megalonychidae</t>
  </si>
  <si>
    <t>Giant anteater</t>
  </si>
  <si>
    <t>Myrmecophaga tridactyla</t>
  </si>
  <si>
    <t>Myrmecophaga</t>
  </si>
  <si>
    <t>Lesser anteater</t>
  </si>
  <si>
    <t>Tamandua tetradactyla</t>
  </si>
  <si>
    <t>Myrmecophagidae</t>
  </si>
  <si>
    <t>Olive baboon</t>
  </si>
  <si>
    <t>Papio anubis</t>
  </si>
  <si>
    <t>Primates</t>
  </si>
  <si>
    <t>Cercopithecidae</t>
  </si>
  <si>
    <t>Rhesus macaque</t>
  </si>
  <si>
    <t>Macaca mulatta</t>
  </si>
  <si>
    <t>Humans</t>
  </si>
  <si>
    <t xml:space="preserve">Homo sapiens </t>
  </si>
  <si>
    <t>Hominidae</t>
  </si>
  <si>
    <t>ALL</t>
  </si>
  <si>
    <t>Ring-tailed lemur</t>
  </si>
  <si>
    <t>Lemur catta</t>
  </si>
  <si>
    <t>Lemuridae</t>
  </si>
  <si>
    <t>Common brown lemur</t>
  </si>
  <si>
    <t>Eulemur fulvus</t>
  </si>
  <si>
    <t>Y?</t>
  </si>
  <si>
    <t>Greater Slow loris</t>
  </si>
  <si>
    <t xml:space="preserve">Nycticebus coucang
</t>
  </si>
  <si>
    <t>Lorisidae</t>
  </si>
  <si>
    <t>Gorilla</t>
  </si>
  <si>
    <t>Gorilla gorilla</t>
  </si>
  <si>
    <t>Pongidae</t>
  </si>
  <si>
    <t>Chimpanzee</t>
  </si>
  <si>
    <t>Pan troglodytes</t>
  </si>
  <si>
    <t>African elephant</t>
  </si>
  <si>
    <t>Loxodonta africana</t>
  </si>
  <si>
    <t>Proboscidea</t>
  </si>
  <si>
    <t>Elephantidae</t>
  </si>
  <si>
    <t>Asian elephant</t>
  </si>
  <si>
    <t>Elephas maximus</t>
  </si>
  <si>
    <t>Guinea Pig</t>
  </si>
  <si>
    <t>Cavia porcellus</t>
  </si>
  <si>
    <t>Rodentia</t>
  </si>
  <si>
    <t>Caviidae</t>
  </si>
  <si>
    <t>Capybara</t>
  </si>
  <si>
    <t>Hydrochoerus hydrochaeris</t>
  </si>
  <si>
    <t>Golden Hamster</t>
  </si>
  <si>
    <t>Mesocricetus auratus</t>
  </si>
  <si>
    <t>Cricetidae</t>
  </si>
  <si>
    <t>Naked Mole Rat</t>
  </si>
  <si>
    <t>Heterocephalus glaber</t>
  </si>
  <si>
    <t>Heterocephalidae</t>
  </si>
  <si>
    <t>Rat</t>
  </si>
  <si>
    <t>Rattus norvegicus</t>
  </si>
  <si>
    <t>Muridae</t>
  </si>
  <si>
    <t>Mouse</t>
  </si>
  <si>
    <t>Mus musculus</t>
  </si>
  <si>
    <t>Blind Mole Rat</t>
  </si>
  <si>
    <t>Spalax ehrenbergi</t>
  </si>
  <si>
    <t>Spalacidae</t>
  </si>
  <si>
    <t>HP</t>
  </si>
  <si>
    <t>Common_Name</t>
  </si>
  <si>
    <t>Chromossome_number_F</t>
  </si>
  <si>
    <t>Chromossome_number_M</t>
  </si>
  <si>
    <t>Genes_(coding)</t>
  </si>
  <si>
    <t>Genes_(non_coding)</t>
  </si>
  <si>
    <t>Lifespan_(years)</t>
  </si>
  <si>
    <t>Accesory_glands_number</t>
  </si>
  <si>
    <t>Combined_Accessory_gland_mass_(g)</t>
  </si>
  <si>
    <t>Acessory_glands_%BW</t>
  </si>
  <si>
    <t>Male_Body_mass_(g)</t>
  </si>
  <si>
    <t>Combined_testis_mass_(g)</t>
  </si>
  <si>
    <t>testis_%BW</t>
  </si>
  <si>
    <t>Testis_location</t>
  </si>
  <si>
    <t>epidydydmis</t>
  </si>
  <si>
    <t>Combined_epididymis_weight_(g)</t>
  </si>
  <si>
    <t>Penis_Bulbus_glands</t>
  </si>
  <si>
    <t>penis_bone</t>
  </si>
  <si>
    <t>penis</t>
  </si>
  <si>
    <t>Penis_morphology</t>
  </si>
  <si>
    <t>Ejaculation_site</t>
  </si>
  <si>
    <t>Ejaculate_characteristics</t>
  </si>
  <si>
    <t>Fractioned_Ejaculate</t>
  </si>
  <si>
    <t>Seminiferous_epithelium_cycle_length_(days)</t>
  </si>
  <si>
    <t>spermatogenesis_lenght_(days)</t>
  </si>
  <si>
    <t>epididymal_transit/maturation_length_(days)</t>
  </si>
  <si>
    <t>sperm_head_length_(um)</t>
  </si>
  <si>
    <t>sperm_head_tail</t>
  </si>
  <si>
    <t>sperm_head_shape</t>
  </si>
  <si>
    <t>Sperm_number_cauda_(M)</t>
  </si>
  <si>
    <t>Ejaculate_collection_method</t>
  </si>
  <si>
    <t>Ejaculate_volume_(mL)</t>
  </si>
  <si>
    <t>Total_sperm_ejaculate_(M)</t>
  </si>
  <si>
    <t>Motility</t>
  </si>
  <si>
    <t>Normal</t>
  </si>
  <si>
    <t>Viability</t>
  </si>
  <si>
    <t>Sperm_storage_(days)</t>
  </si>
  <si>
    <t>Intromission_duration_(sec)</t>
  </si>
  <si>
    <t>Multiple_intromission</t>
  </si>
  <si>
    <t>mating_strategy</t>
  </si>
  <si>
    <t>Induced_ovulation</t>
  </si>
  <si>
    <t>solitary_group</t>
  </si>
  <si>
    <t>offspring_number</t>
  </si>
  <si>
    <t>multiples_males</t>
  </si>
  <si>
    <t>earliest_puberty_age _M_(months)</t>
  </si>
  <si>
    <t>earliest_puberty_age_F_(months)</t>
  </si>
  <si>
    <t>Female_Body_Mass_(g)</t>
  </si>
  <si>
    <t>multiple_ovulation</t>
  </si>
  <si>
    <t>oocyte_stage_ovulation</t>
  </si>
  <si>
    <t>diapause</t>
  </si>
  <si>
    <t>oviduct</t>
  </si>
  <si>
    <t>oviduct_lenght_(mm)</t>
  </si>
  <si>
    <t>internal_external_fertilization</t>
  </si>
  <si>
    <t>Cycle_Length_(days)</t>
  </si>
  <si>
    <t>Length_receptvivity_(days)</t>
  </si>
  <si>
    <t>reproductive_senescence_F_(months)</t>
  </si>
  <si>
    <t>gestation_length_(days)</t>
  </si>
  <si>
    <t>Combined_ovary_weight_(g)</t>
  </si>
  <si>
    <t>ovary_%BW</t>
  </si>
  <si>
    <t>uterus_morphology</t>
  </si>
  <si>
    <t>placenta_morphology</t>
  </si>
  <si>
    <t>placenta_molecular</t>
  </si>
  <si>
    <t>Age_eyes_open_(days)</t>
  </si>
  <si>
    <t>Lactation_length_(weeks)</t>
  </si>
  <si>
    <t>Endangered_Status</t>
  </si>
  <si>
    <t xml:space="preserve">Mouflon </t>
  </si>
  <si>
    <t>SRY</t>
  </si>
  <si>
    <t>epidydymis_%BW</t>
  </si>
  <si>
    <t>Sperm_Concentration_ejaculate_(M/ml)</t>
  </si>
  <si>
    <t>folliculogenesis _length_(days)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</si>
</sst>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 applyFont="1" applyBorder="1"/>
    <xf numFmtId="2" fontId="0" fillId="0" borderId="0" xfId="0" applyNumberFormat="1" applyFont="1" applyBorder="1" applyAlignment="1">
      <alignment horizontal="right"/>
    </xf>
    <xf numFmtId="2" fontId="2" fillId="0" borderId="0" xfId="1" applyNumberFormat="1" applyFont="1" applyFill="1" applyBorder="1"/>
    <xf numFmtId="2" fontId="0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7" fillId="0" borderId="0" xfId="0" quotePrefix="1" applyNumberFormat="1" applyFont="1" applyBorder="1"/>
    <xf numFmtId="2" fontId="5" fillId="0" borderId="0" xfId="0" applyNumberFormat="1" applyFont="1" applyBorder="1"/>
    <xf numFmtId="2" fontId="3" fillId="0" borderId="0" xfId="0" applyNumberFormat="1" applyFont="1" applyBorder="1" applyAlignment="1">
      <alignment wrapText="1"/>
    </xf>
    <xf numFmtId="2" fontId="3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wrapText="1"/>
    </xf>
    <xf numFmtId="2" fontId="4" fillId="0" borderId="0" xfId="0" applyNumberFormat="1" applyFont="1" applyBorder="1" applyAlignment="1">
      <alignment wrapText="1"/>
    </xf>
    <xf numFmtId="2" fontId="3" fillId="0" borderId="0" xfId="0" applyNumberFormat="1" applyFont="1" applyBorder="1" applyAlignment="1">
      <alignment horizontal="right" wrapText="1"/>
    </xf>
    <xf numFmtId="2" fontId="0" fillId="0" borderId="0" xfId="0" applyNumberFormat="1" applyFont="1" applyFill="1" applyBorder="1"/>
    <xf numFmtId="2" fontId="0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0" fillId="0" borderId="0" xfId="1" applyNumberFormat="1" applyFont="1" applyFill="1" applyBorder="1" applyAlignment="1">
      <alignment vertical="center"/>
    </xf>
    <xf numFmtId="2" fontId="6" fillId="0" borderId="0" xfId="0" applyNumberFormat="1" applyFont="1" applyBorder="1"/>
    <xf numFmtId="2" fontId="6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vertical="center" wrapText="1"/>
    </xf>
    <xf numFmtId="2" fontId="6" fillId="0" borderId="0" xfId="0" applyNumberFormat="1" applyFont="1" applyBorder="1" applyAlignment="1">
      <alignment vertical="center" wrapText="1"/>
    </xf>
    <xf numFmtId="2" fontId="5" fillId="0" borderId="0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E909-CECC-5A44-8524-82AA3E155FE5}">
  <dimension ref="A1:CD115"/>
  <sheetViews>
    <sheetView tabSelected="1" workbookViewId="0">
      <selection activeCell="B21" sqref="B21"/>
    </sheetView>
  </sheetViews>
  <sheetFormatPr baseColWidth="10" defaultRowHeight="16" x14ac:dyDescent="0.2"/>
  <cols>
    <col min="1" max="1" width="30" style="1" bestFit="1" customWidth="1"/>
    <col min="2" max="2" width="25.83203125" style="1" bestFit="1" customWidth="1"/>
    <col min="3" max="5" width="10.83203125" style="1"/>
    <col min="6" max="6" width="16.33203125" style="1" bestFit="1" customWidth="1"/>
    <col min="7" max="80" width="10.83203125" style="1"/>
    <col min="81" max="81" width="23.5" style="1" bestFit="1" customWidth="1"/>
    <col min="82" max="16384" width="10.83203125" style="1"/>
  </cols>
  <sheetData>
    <row r="1" spans="1:82" ht="85" x14ac:dyDescent="0.2">
      <c r="A1" s="8" t="s">
        <v>357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358</v>
      </c>
      <c r="H1" s="8" t="s">
        <v>359</v>
      </c>
      <c r="I1" s="9" t="s">
        <v>360</v>
      </c>
      <c r="J1" s="9" t="s">
        <v>361</v>
      </c>
      <c r="K1" s="8" t="s">
        <v>422</v>
      </c>
      <c r="L1" s="8" t="s">
        <v>362</v>
      </c>
      <c r="M1" s="10" t="s">
        <v>5</v>
      </c>
      <c r="N1" s="8" t="s">
        <v>363</v>
      </c>
      <c r="O1" s="11" t="s">
        <v>6</v>
      </c>
      <c r="P1" s="11" t="s">
        <v>7</v>
      </c>
      <c r="Q1" s="11" t="s">
        <v>8</v>
      </c>
      <c r="R1" s="11" t="s">
        <v>9</v>
      </c>
      <c r="S1" s="11" t="s">
        <v>10</v>
      </c>
      <c r="T1" s="11" t="s">
        <v>364</v>
      </c>
      <c r="U1" s="11" t="s">
        <v>365</v>
      </c>
      <c r="V1" s="11" t="s">
        <v>366</v>
      </c>
      <c r="W1" s="11" t="s">
        <v>367</v>
      </c>
      <c r="X1" s="11" t="s">
        <v>368</v>
      </c>
      <c r="Y1" s="11" t="s">
        <v>369</v>
      </c>
      <c r="Z1" s="11" t="s">
        <v>370</v>
      </c>
      <c r="AA1" s="11" t="s">
        <v>371</v>
      </c>
      <c r="AB1" s="11" t="s">
        <v>423</v>
      </c>
      <c r="AC1" s="11" t="s">
        <v>372</v>
      </c>
      <c r="AD1" s="8" t="s">
        <v>374</v>
      </c>
      <c r="AE1" s="11" t="s">
        <v>373</v>
      </c>
      <c r="AF1" s="8" t="s">
        <v>375</v>
      </c>
      <c r="AG1" s="8" t="s">
        <v>376</v>
      </c>
      <c r="AH1" s="8" t="s">
        <v>377</v>
      </c>
      <c r="AI1" s="8" t="s">
        <v>378</v>
      </c>
      <c r="AJ1" s="8" t="s">
        <v>379</v>
      </c>
      <c r="AK1" s="8" t="s">
        <v>380</v>
      </c>
      <c r="AL1" s="8" t="s">
        <v>381</v>
      </c>
      <c r="AM1" s="8" t="s">
        <v>382</v>
      </c>
      <c r="AN1" s="11" t="s">
        <v>383</v>
      </c>
      <c r="AO1" s="8" t="s">
        <v>384</v>
      </c>
      <c r="AP1" s="8" t="s">
        <v>385</v>
      </c>
      <c r="AQ1" s="12" t="s">
        <v>424</v>
      </c>
      <c r="AR1" s="12" t="s">
        <v>386</v>
      </c>
      <c r="AS1" s="8" t="s">
        <v>387</v>
      </c>
      <c r="AT1" s="8" t="s">
        <v>388</v>
      </c>
      <c r="AU1" s="8" t="s">
        <v>389</v>
      </c>
      <c r="AV1" s="8" t="s">
        <v>390</v>
      </c>
      <c r="AW1" s="8" t="s">
        <v>391</v>
      </c>
      <c r="AX1" s="8" t="s">
        <v>392</v>
      </c>
      <c r="AY1" s="8" t="s">
        <v>393</v>
      </c>
      <c r="AZ1" s="8" t="s">
        <v>394</v>
      </c>
      <c r="BA1" s="8" t="s">
        <v>395</v>
      </c>
      <c r="BB1" s="8" t="s">
        <v>396</v>
      </c>
      <c r="BC1" s="8" t="s">
        <v>397</v>
      </c>
      <c r="BD1" s="8" t="s">
        <v>398</v>
      </c>
      <c r="BE1" s="8" t="s">
        <v>11</v>
      </c>
      <c r="BF1" s="8" t="s">
        <v>399</v>
      </c>
      <c r="BG1" s="8" t="s">
        <v>400</v>
      </c>
      <c r="BH1" s="8" t="s">
        <v>401</v>
      </c>
      <c r="BI1" s="8" t="s">
        <v>402</v>
      </c>
      <c r="BJ1" s="8" t="s">
        <v>403</v>
      </c>
      <c r="BK1" s="8" t="s">
        <v>404</v>
      </c>
      <c r="BL1" s="8" t="s">
        <v>405</v>
      </c>
      <c r="BM1" s="8" t="s">
        <v>406</v>
      </c>
      <c r="BN1" s="8" t="s">
        <v>407</v>
      </c>
      <c r="BO1" s="8" t="s">
        <v>408</v>
      </c>
      <c r="BP1" s="8" t="s">
        <v>409</v>
      </c>
      <c r="BQ1" s="8" t="s">
        <v>410</v>
      </c>
      <c r="BR1" s="8" t="s">
        <v>411</v>
      </c>
      <c r="BS1" s="8" t="s">
        <v>412</v>
      </c>
      <c r="BT1" s="8" t="s">
        <v>413</v>
      </c>
      <c r="BU1" s="8" t="s">
        <v>414</v>
      </c>
      <c r="BV1" s="8" t="s">
        <v>415</v>
      </c>
      <c r="BW1" s="8" t="s">
        <v>425</v>
      </c>
      <c r="BX1" s="8" t="s">
        <v>416</v>
      </c>
      <c r="BY1" s="8" t="s">
        <v>417</v>
      </c>
      <c r="BZ1" s="8" t="s">
        <v>418</v>
      </c>
      <c r="CA1" s="8" t="s">
        <v>419</v>
      </c>
      <c r="CB1" s="8" t="s">
        <v>420</v>
      </c>
      <c r="CC1" s="8" t="s">
        <v>12</v>
      </c>
      <c r="CD1" s="8" t="s">
        <v>13</v>
      </c>
    </row>
    <row r="2" spans="1:82" x14ac:dyDescent="0.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60</v>
      </c>
      <c r="H2" s="1">
        <v>60</v>
      </c>
      <c r="I2" s="13">
        <v>21880</v>
      </c>
      <c r="J2" s="14">
        <v>5235</v>
      </c>
      <c r="L2" s="1">
        <v>22</v>
      </c>
      <c r="M2" s="1" t="s">
        <v>20</v>
      </c>
      <c r="N2" s="1">
        <v>4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22</v>
      </c>
      <c r="T2" s="1">
        <f>(81.8+87)/2</f>
        <v>84.4</v>
      </c>
      <c r="U2" s="1">
        <f>(T2/V2)*100</f>
        <v>1.1118649426612304E-2</v>
      </c>
      <c r="V2" s="5">
        <f>(680385 + 837785)/2</f>
        <v>759085</v>
      </c>
      <c r="W2" s="5">
        <f>(717+681)/2</f>
        <v>699</v>
      </c>
      <c r="X2" s="1">
        <f t="shared" ref="X2:X61" si="0">(W2/V2)*100</f>
        <v>9.2084549161161128E-2</v>
      </c>
      <c r="Y2" s="1" t="s">
        <v>23</v>
      </c>
      <c r="Z2" s="1" t="s">
        <v>21</v>
      </c>
      <c r="AA2" s="1">
        <f>36.6</f>
        <v>36.6</v>
      </c>
      <c r="AB2" s="1">
        <f>(AA2/V2)*100</f>
        <v>4.8215944195972782E-3</v>
      </c>
      <c r="AC2" s="1" t="s">
        <v>22</v>
      </c>
      <c r="AD2" s="1" t="s">
        <v>21</v>
      </c>
      <c r="AE2" s="1" t="s">
        <v>22</v>
      </c>
      <c r="AF2" s="1" t="s">
        <v>24</v>
      </c>
      <c r="AG2" s="1" t="s">
        <v>25</v>
      </c>
      <c r="AH2" s="1" t="s">
        <v>22</v>
      </c>
      <c r="AI2" s="1" t="s">
        <v>22</v>
      </c>
      <c r="AJ2" s="1">
        <v>13.4</v>
      </c>
      <c r="AK2" s="1">
        <f>AJ2*4.5</f>
        <v>60.300000000000004</v>
      </c>
      <c r="AL2" s="1">
        <f>AVERAGE(8.3, 9.5)</f>
        <v>8.9</v>
      </c>
      <c r="AM2" s="1">
        <v>6.77</v>
      </c>
      <c r="AN2" s="1">
        <v>53.53</v>
      </c>
      <c r="AO2" s="1" t="s">
        <v>7</v>
      </c>
      <c r="AP2" s="1">
        <f>AVERAGE(51775, 38000)</f>
        <v>44887.5</v>
      </c>
      <c r="AQ2" s="2">
        <v>1300</v>
      </c>
      <c r="AR2" s="2" t="s">
        <v>26</v>
      </c>
      <c r="AS2" s="1">
        <v>6</v>
      </c>
      <c r="AT2" s="1">
        <f t="shared" ref="AT2:AT16" si="1">AS2*AQ2</f>
        <v>7800</v>
      </c>
      <c r="AU2" s="1">
        <v>60</v>
      </c>
      <c r="AV2" s="1">
        <v>90</v>
      </c>
      <c r="AW2" s="1">
        <v>67</v>
      </c>
      <c r="AX2" s="1">
        <v>2.1</v>
      </c>
      <c r="AY2" s="1">
        <v>2.5</v>
      </c>
      <c r="AZ2" s="1" t="s">
        <v>22</v>
      </c>
      <c r="BA2" s="1" t="s">
        <v>27</v>
      </c>
      <c r="BB2" s="1" t="s">
        <v>22</v>
      </c>
      <c r="BC2" s="1" t="s">
        <v>28</v>
      </c>
      <c r="BD2" s="1" t="s">
        <v>8</v>
      </c>
      <c r="BE2" s="1" t="s">
        <v>22</v>
      </c>
      <c r="BF2" s="1" t="s">
        <v>22</v>
      </c>
      <c r="BG2" s="1">
        <v>10.5</v>
      </c>
      <c r="BH2" s="1">
        <v>8.6999999999999993</v>
      </c>
      <c r="BI2" s="1">
        <v>327500</v>
      </c>
      <c r="BJ2" s="1" t="s">
        <v>22</v>
      </c>
      <c r="BK2" s="1" t="s">
        <v>29</v>
      </c>
      <c r="BL2" s="1" t="s">
        <v>22</v>
      </c>
      <c r="BM2" s="1" t="s">
        <v>21</v>
      </c>
      <c r="BN2" s="1">
        <f>(255+200)/2</f>
        <v>227.5</v>
      </c>
      <c r="BO2" s="1" t="s">
        <v>30</v>
      </c>
      <c r="BP2" s="1">
        <v>21</v>
      </c>
      <c r="BQ2" s="1">
        <v>1</v>
      </c>
      <c r="BS2" s="1">
        <v>283</v>
      </c>
      <c r="BT2" s="1">
        <f>(13.8+17.25)/2</f>
        <v>15.525</v>
      </c>
      <c r="BU2" s="1">
        <f>(BT2/BI2)*100</f>
        <v>4.7404580152671759E-3</v>
      </c>
      <c r="BV2" s="1" t="s">
        <v>31</v>
      </c>
      <c r="BW2" s="1">
        <v>90</v>
      </c>
      <c r="BX2" s="1" t="s">
        <v>32</v>
      </c>
      <c r="BY2" s="1" t="s">
        <v>33</v>
      </c>
      <c r="BZ2" s="1">
        <v>0</v>
      </c>
      <c r="CA2" s="1">
        <v>43</v>
      </c>
      <c r="CB2" s="1" t="s">
        <v>34</v>
      </c>
      <c r="CC2" s="1">
        <v>1430000000</v>
      </c>
      <c r="CD2" s="1" t="s">
        <v>9</v>
      </c>
    </row>
    <row r="3" spans="1:82" x14ac:dyDescent="0.2">
      <c r="A3" s="1" t="s">
        <v>35</v>
      </c>
      <c r="B3" s="1" t="s">
        <v>36</v>
      </c>
      <c r="C3" s="1" t="s">
        <v>16</v>
      </c>
      <c r="D3" s="1" t="s">
        <v>17</v>
      </c>
      <c r="E3" s="1" t="s">
        <v>18</v>
      </c>
      <c r="F3" s="1" t="s">
        <v>19</v>
      </c>
      <c r="G3" s="1">
        <v>50</v>
      </c>
      <c r="H3" s="1">
        <v>50</v>
      </c>
      <c r="I3" s="13">
        <v>20801</v>
      </c>
      <c r="J3" s="15">
        <v>8443</v>
      </c>
      <c r="L3" s="1">
        <v>29</v>
      </c>
      <c r="M3" s="1" t="s">
        <v>20</v>
      </c>
      <c r="N3" s="1">
        <v>4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22</v>
      </c>
      <c r="T3" s="1">
        <f>AVERAGE(3.23, 6.31, 13.16, 15)</f>
        <v>9.4250000000000007</v>
      </c>
      <c r="U3" s="1">
        <f>(T3/V3)*100</f>
        <v>1.3860294117647059E-3</v>
      </c>
      <c r="V3" s="5">
        <v>680000</v>
      </c>
      <c r="W3" s="5">
        <v>652</v>
      </c>
      <c r="X3" s="1">
        <f t="shared" si="0"/>
        <v>9.5882352941176474E-2</v>
      </c>
      <c r="Y3" s="1" t="s">
        <v>23</v>
      </c>
      <c r="Z3" s="1" t="s">
        <v>21</v>
      </c>
      <c r="AA3" s="1">
        <v>64</v>
      </c>
      <c r="AB3" s="1">
        <f>(AA3/V3)*100</f>
        <v>9.4117647058823539E-3</v>
      </c>
      <c r="AC3" s="1" t="s">
        <v>22</v>
      </c>
      <c r="AD3" s="1" t="s">
        <v>21</v>
      </c>
      <c r="AE3" s="1" t="s">
        <v>22</v>
      </c>
      <c r="AF3" s="1" t="s">
        <v>24</v>
      </c>
      <c r="AG3" s="1" t="s">
        <v>25</v>
      </c>
      <c r="AH3" s="1" t="s">
        <v>22</v>
      </c>
      <c r="AI3" s="1" t="s">
        <v>22</v>
      </c>
      <c r="AJ3" s="1">
        <v>8.6</v>
      </c>
      <c r="AK3" s="1">
        <f>AJ3*4.5</f>
        <v>38.699999999999996</v>
      </c>
      <c r="AL3" s="1">
        <v>9.3000000000000007</v>
      </c>
      <c r="AM3" s="1">
        <v>7.59</v>
      </c>
      <c r="AN3" s="1">
        <v>63.73</v>
      </c>
      <c r="AO3" s="1" t="s">
        <v>7</v>
      </c>
      <c r="AP3" s="1">
        <v>6545.45</v>
      </c>
      <c r="AQ3" s="2">
        <v>1423.78</v>
      </c>
      <c r="AR3" s="2" t="s">
        <v>26</v>
      </c>
      <c r="AS3" s="1">
        <v>4.24</v>
      </c>
      <c r="AT3" s="1">
        <f t="shared" si="1"/>
        <v>6036.8272000000006</v>
      </c>
      <c r="AU3" s="1">
        <f>(71.6+78)/2</f>
        <v>74.8</v>
      </c>
      <c r="AV3" s="1">
        <v>85.43</v>
      </c>
      <c r="AW3" s="1">
        <v>85</v>
      </c>
      <c r="AY3" s="1">
        <v>0.5</v>
      </c>
      <c r="AZ3" s="1" t="s">
        <v>22</v>
      </c>
      <c r="BA3" s="1" t="s">
        <v>27</v>
      </c>
      <c r="BB3" s="1" t="s">
        <v>22</v>
      </c>
      <c r="BC3" s="1" t="s">
        <v>28</v>
      </c>
      <c r="BD3" s="1" t="s">
        <v>8</v>
      </c>
      <c r="BE3" s="1" t="s">
        <v>37</v>
      </c>
      <c r="BF3" s="1" t="s">
        <v>22</v>
      </c>
      <c r="BG3" s="1">
        <v>24</v>
      </c>
      <c r="BH3" s="1">
        <v>15</v>
      </c>
      <c r="BI3" s="1">
        <v>800000</v>
      </c>
      <c r="BJ3" s="1" t="s">
        <v>22</v>
      </c>
      <c r="BK3" s="1" t="s">
        <v>29</v>
      </c>
      <c r="BL3" s="1" t="s">
        <v>22</v>
      </c>
      <c r="BM3" s="1" t="s">
        <v>21</v>
      </c>
      <c r="BN3" s="1">
        <v>210</v>
      </c>
      <c r="BO3" s="1" t="s">
        <v>30</v>
      </c>
      <c r="BP3" s="1">
        <v>21</v>
      </c>
      <c r="BQ3" s="1">
        <f>AVERAGE(1.73, 0.8)</f>
        <v>1.2650000000000001</v>
      </c>
      <c r="BS3" s="1">
        <f>(300+330)/2</f>
        <v>315</v>
      </c>
      <c r="BT3" s="1">
        <f>3.5*2</f>
        <v>7</v>
      </c>
      <c r="BU3" s="1">
        <f>(BT3/BI3)*100</f>
        <v>8.7499999999999991E-4</v>
      </c>
      <c r="BV3" s="1" t="s">
        <v>31</v>
      </c>
      <c r="BX3" s="1" t="s">
        <v>32</v>
      </c>
      <c r="BY3" s="1" t="s">
        <v>33</v>
      </c>
      <c r="BZ3" s="1">
        <v>0</v>
      </c>
      <c r="CA3" s="1">
        <v>38</v>
      </c>
      <c r="CB3" s="1" t="s">
        <v>34</v>
      </c>
      <c r="CC3" s="13">
        <v>208098759</v>
      </c>
      <c r="CD3" s="1" t="s">
        <v>9</v>
      </c>
    </row>
    <row r="4" spans="1:82" x14ac:dyDescent="0.2">
      <c r="A4" s="1" t="s">
        <v>38</v>
      </c>
      <c r="B4" s="1" t="s">
        <v>39</v>
      </c>
      <c r="C4" s="1" t="s">
        <v>16</v>
      </c>
      <c r="D4" s="1" t="s">
        <v>17</v>
      </c>
      <c r="E4" s="1" t="s">
        <v>18</v>
      </c>
      <c r="F4" s="1" t="s">
        <v>19</v>
      </c>
      <c r="G4" s="1">
        <v>60</v>
      </c>
      <c r="H4" s="1">
        <v>60</v>
      </c>
      <c r="I4" s="13">
        <v>21361</v>
      </c>
      <c r="J4" s="14">
        <v>5688</v>
      </c>
      <c r="L4" s="1">
        <v>18</v>
      </c>
      <c r="M4" s="1" t="s">
        <v>20</v>
      </c>
      <c r="N4" s="1">
        <v>4</v>
      </c>
      <c r="O4" s="1" t="s">
        <v>21</v>
      </c>
      <c r="P4" s="1" t="s">
        <v>21</v>
      </c>
      <c r="Q4" s="1" t="s">
        <v>21</v>
      </c>
      <c r="R4" s="1" t="s">
        <v>21</v>
      </c>
      <c r="S4" s="1" t="s">
        <v>22</v>
      </c>
      <c r="T4" s="1">
        <v>19.2</v>
      </c>
      <c r="U4" s="1">
        <f>(T4/V4)*100</f>
        <v>7.5531077891424075E-2</v>
      </c>
      <c r="V4" s="5">
        <v>25420</v>
      </c>
      <c r="W4" s="5">
        <v>156.80000000000001</v>
      </c>
      <c r="X4" s="1">
        <f t="shared" si="0"/>
        <v>0.61683713611329671</v>
      </c>
      <c r="Y4" s="1" t="s">
        <v>23</v>
      </c>
      <c r="Z4" s="1" t="s">
        <v>21</v>
      </c>
      <c r="AA4" s="1">
        <f>8.57*2</f>
        <v>17.14</v>
      </c>
      <c r="AB4" s="1">
        <f>(AA4/V4)*100</f>
        <v>6.7427222659323369E-2</v>
      </c>
      <c r="AC4" s="1" t="s">
        <v>22</v>
      </c>
      <c r="AD4" s="1" t="s">
        <v>21</v>
      </c>
      <c r="AE4" s="1" t="s">
        <v>22</v>
      </c>
      <c r="AF4" s="1" t="s">
        <v>24</v>
      </c>
      <c r="AG4" s="1" t="s">
        <v>25</v>
      </c>
      <c r="AH4" s="1" t="s">
        <v>22</v>
      </c>
      <c r="AI4" s="1" t="s">
        <v>22</v>
      </c>
      <c r="AJ4" s="1">
        <v>10.6</v>
      </c>
      <c r="AK4" s="1">
        <f>AJ4*4.5</f>
        <v>47.699999999999996</v>
      </c>
      <c r="AM4" s="1">
        <v>8.27</v>
      </c>
      <c r="AN4" s="1">
        <v>59.39</v>
      </c>
      <c r="AO4" s="13" t="s">
        <v>7</v>
      </c>
      <c r="AP4" s="1">
        <v>23680</v>
      </c>
      <c r="AQ4" s="2">
        <v>1877</v>
      </c>
      <c r="AR4" s="2" t="s">
        <v>26</v>
      </c>
      <c r="AS4" s="1">
        <v>1.55</v>
      </c>
      <c r="AT4" s="1">
        <f t="shared" si="1"/>
        <v>2909.35</v>
      </c>
      <c r="AU4" s="1">
        <v>67</v>
      </c>
      <c r="AV4" s="1">
        <v>93</v>
      </c>
      <c r="AW4" s="13">
        <v>65</v>
      </c>
      <c r="AY4" s="1">
        <v>0.5</v>
      </c>
      <c r="AZ4" s="1" t="s">
        <v>22</v>
      </c>
      <c r="BA4" s="1" t="s">
        <v>27</v>
      </c>
      <c r="BB4" s="1" t="s">
        <v>22</v>
      </c>
      <c r="BC4" s="1" t="s">
        <v>28</v>
      </c>
      <c r="BD4" s="1" t="s">
        <v>40</v>
      </c>
      <c r="BE4" s="1" t="s">
        <v>37</v>
      </c>
      <c r="BF4" s="1" t="s">
        <v>22</v>
      </c>
      <c r="BG4" s="1">
        <v>7.5</v>
      </c>
      <c r="BH4" s="1">
        <v>7.2</v>
      </c>
      <c r="BI4" s="1">
        <v>25000</v>
      </c>
      <c r="BJ4" s="1" t="s">
        <v>21</v>
      </c>
      <c r="BK4" s="1" t="s">
        <v>29</v>
      </c>
      <c r="BL4" s="1" t="s">
        <v>22</v>
      </c>
      <c r="BM4" s="1" t="s">
        <v>21</v>
      </c>
      <c r="BN4" s="1">
        <f>(276.65+101.5)/2</f>
        <v>189.07499999999999</v>
      </c>
      <c r="BO4" s="1" t="s">
        <v>30</v>
      </c>
      <c r="BP4" s="1">
        <v>21</v>
      </c>
      <c r="BQ4" s="1">
        <v>1.17</v>
      </c>
      <c r="BS4" s="1">
        <v>150.4</v>
      </c>
      <c r="BT4" s="1">
        <f>(1.3+1.19)/2</f>
        <v>1.2450000000000001</v>
      </c>
      <c r="BU4" s="1">
        <f>(BT4/BI4)*100</f>
        <v>4.9800000000000001E-3</v>
      </c>
      <c r="BV4" s="1" t="s">
        <v>31</v>
      </c>
      <c r="BX4" s="1" t="s">
        <v>32</v>
      </c>
      <c r="BY4" s="1" t="s">
        <v>33</v>
      </c>
      <c r="BZ4" s="1">
        <v>0</v>
      </c>
      <c r="CA4" s="1">
        <v>40</v>
      </c>
      <c r="CB4" s="1" t="s">
        <v>34</v>
      </c>
      <c r="CC4" s="13">
        <v>1000000000</v>
      </c>
      <c r="CD4" s="1" t="s">
        <v>9</v>
      </c>
    </row>
    <row r="5" spans="1:82" x14ac:dyDescent="0.2">
      <c r="A5" s="1" t="s">
        <v>41</v>
      </c>
      <c r="B5" s="1" t="s">
        <v>42</v>
      </c>
      <c r="C5" s="1" t="s">
        <v>16</v>
      </c>
      <c r="D5" s="1" t="s">
        <v>17</v>
      </c>
      <c r="E5" s="1" t="s">
        <v>18</v>
      </c>
      <c r="F5" s="1" t="s">
        <v>19</v>
      </c>
      <c r="G5" s="1">
        <v>60</v>
      </c>
      <c r="H5" s="1">
        <v>60</v>
      </c>
      <c r="I5" s="14" t="s">
        <v>43</v>
      </c>
      <c r="J5" s="14" t="s">
        <v>43</v>
      </c>
      <c r="L5" s="1">
        <v>16</v>
      </c>
      <c r="M5" s="1" t="s">
        <v>20</v>
      </c>
      <c r="N5" s="1">
        <v>4</v>
      </c>
      <c r="O5" s="1" t="s">
        <v>21</v>
      </c>
      <c r="P5" s="1" t="s">
        <v>21</v>
      </c>
      <c r="Q5" s="1" t="s">
        <v>21</v>
      </c>
      <c r="R5" s="1" t="s">
        <v>21</v>
      </c>
      <c r="S5" s="1" t="s">
        <v>22</v>
      </c>
      <c r="V5" s="5">
        <v>50000</v>
      </c>
      <c r="W5" s="5">
        <v>39.64</v>
      </c>
      <c r="X5" s="1">
        <f t="shared" si="0"/>
        <v>7.9280000000000003E-2</v>
      </c>
      <c r="Y5" s="1" t="s">
        <v>23</v>
      </c>
      <c r="Z5" s="1" t="s">
        <v>21</v>
      </c>
      <c r="AA5" s="1">
        <v>52.521666666666675</v>
      </c>
      <c r="AB5" s="1">
        <f>(AA5/V5)*100</f>
        <v>0.10504333333333335</v>
      </c>
      <c r="AC5" s="1" t="s">
        <v>22</v>
      </c>
      <c r="AD5" s="1" t="s">
        <v>21</v>
      </c>
      <c r="AE5" s="1" t="s">
        <v>22</v>
      </c>
      <c r="AF5" s="1" t="s">
        <v>24</v>
      </c>
      <c r="AG5" s="1" t="s">
        <v>25</v>
      </c>
      <c r="AH5" s="1" t="s">
        <v>22</v>
      </c>
      <c r="AI5" s="1" t="s">
        <v>22</v>
      </c>
      <c r="AJ5" s="1" t="s">
        <v>43</v>
      </c>
      <c r="AK5" s="1" t="s">
        <v>43</v>
      </c>
      <c r="AM5" s="1">
        <v>6.44</v>
      </c>
      <c r="AN5" s="1">
        <v>64.3</v>
      </c>
      <c r="AO5" s="13" t="s">
        <v>7</v>
      </c>
      <c r="AP5" s="1">
        <v>1193.6500000000001</v>
      </c>
      <c r="AQ5" s="2">
        <f>AVERAGE(903, 1187, 710.58)</f>
        <v>933.52666666666664</v>
      </c>
      <c r="AR5" s="2" t="s">
        <v>44</v>
      </c>
      <c r="AS5" s="1">
        <f>AVERAGE(1.07, 1.1, 0.79)</f>
        <v>0.98666666666666669</v>
      </c>
      <c r="AT5" s="1">
        <f t="shared" si="1"/>
        <v>921.0796444444444</v>
      </c>
      <c r="AU5" s="1">
        <f>AVERAGE(72.1, 60.7, 81.07)</f>
        <v>71.290000000000006</v>
      </c>
      <c r="AV5" s="1">
        <f>100-11.33</f>
        <v>88.67</v>
      </c>
      <c r="AW5" s="1">
        <f>AVERAGE(67, 51.4, 69.36)</f>
        <v>62.586666666666666</v>
      </c>
      <c r="BA5" s="1" t="s">
        <v>27</v>
      </c>
      <c r="BB5" s="1" t="s">
        <v>22</v>
      </c>
      <c r="BC5" s="1" t="s">
        <v>28</v>
      </c>
      <c r="BD5" s="1" t="s">
        <v>40</v>
      </c>
      <c r="BE5" s="1" t="s">
        <v>37</v>
      </c>
      <c r="BF5" s="1" t="s">
        <v>21</v>
      </c>
      <c r="BG5" s="1">
        <f>1.5*12</f>
        <v>18</v>
      </c>
      <c r="BH5" s="1">
        <f>1.5*12</f>
        <v>18</v>
      </c>
      <c r="BI5" s="1">
        <v>31300</v>
      </c>
      <c r="BJ5" s="1" t="s">
        <v>21</v>
      </c>
      <c r="BL5" s="1" t="s">
        <v>22</v>
      </c>
      <c r="BM5" s="1" t="s">
        <v>21</v>
      </c>
      <c r="BO5" s="1" t="s">
        <v>30</v>
      </c>
      <c r="BP5" s="1">
        <v>19.399999999999999</v>
      </c>
      <c r="BS5" s="1">
        <f>(161+168)/2</f>
        <v>164.5</v>
      </c>
      <c r="BV5" s="1" t="s">
        <v>31</v>
      </c>
      <c r="BX5" s="1" t="s">
        <v>32</v>
      </c>
      <c r="BY5" s="1" t="s">
        <v>33</v>
      </c>
      <c r="BZ5" s="1">
        <v>0</v>
      </c>
      <c r="CA5" s="1">
        <f>3.5*4</f>
        <v>14</v>
      </c>
      <c r="CB5" s="1" t="s">
        <v>34</v>
      </c>
      <c r="CC5" s="3">
        <v>50000</v>
      </c>
      <c r="CD5" s="1" t="s">
        <v>22</v>
      </c>
    </row>
    <row r="6" spans="1:82" ht="34" x14ac:dyDescent="0.2">
      <c r="A6" s="1" t="s">
        <v>45</v>
      </c>
      <c r="B6" s="1" t="s">
        <v>46</v>
      </c>
      <c r="C6" s="1" t="s">
        <v>16</v>
      </c>
      <c r="D6" s="1" t="s">
        <v>17</v>
      </c>
      <c r="E6" s="5" t="s">
        <v>18</v>
      </c>
      <c r="F6" s="5" t="s">
        <v>19</v>
      </c>
      <c r="G6" s="5">
        <v>54</v>
      </c>
      <c r="H6" s="5">
        <v>54</v>
      </c>
      <c r="I6" s="13">
        <v>21257</v>
      </c>
      <c r="J6" s="15">
        <v>8720</v>
      </c>
      <c r="K6" s="5"/>
      <c r="L6" s="5">
        <v>22.8</v>
      </c>
      <c r="M6" s="5" t="s">
        <v>20</v>
      </c>
      <c r="N6" s="1">
        <v>4</v>
      </c>
      <c r="O6" s="1" t="s">
        <v>21</v>
      </c>
      <c r="P6" s="1" t="s">
        <v>21</v>
      </c>
      <c r="Q6" s="1" t="s">
        <v>21</v>
      </c>
      <c r="R6" s="1" t="s">
        <v>21</v>
      </c>
      <c r="S6" s="1" t="s">
        <v>22</v>
      </c>
      <c r="T6" s="1">
        <v>20.190000000000001</v>
      </c>
      <c r="U6" s="1">
        <f t="shared" ref="U6:U67" si="2">(T6/V6)*100</f>
        <v>3.5313871932555578E-2</v>
      </c>
      <c r="V6" s="5">
        <v>57173</v>
      </c>
      <c r="W6" s="1">
        <v>222.99</v>
      </c>
      <c r="X6" s="1">
        <f t="shared" si="0"/>
        <v>0.39002676088363386</v>
      </c>
      <c r="Y6" s="1" t="s">
        <v>23</v>
      </c>
      <c r="Z6" s="1" t="s">
        <v>21</v>
      </c>
      <c r="AA6" s="1">
        <v>39.36</v>
      </c>
      <c r="AB6" s="1">
        <f>(AA6/V6)*100</f>
        <v>6.8843684956185619E-2</v>
      </c>
      <c r="AC6" s="1" t="s">
        <v>22</v>
      </c>
      <c r="AD6" s="1" t="s">
        <v>21</v>
      </c>
      <c r="AE6" s="1" t="s">
        <v>22</v>
      </c>
      <c r="AF6" s="1" t="s">
        <v>24</v>
      </c>
      <c r="AG6" s="1" t="s">
        <v>25</v>
      </c>
      <c r="AH6" s="1" t="s">
        <v>22</v>
      </c>
      <c r="AI6" s="1" t="s">
        <v>22</v>
      </c>
      <c r="AJ6" s="1">
        <v>10.4</v>
      </c>
      <c r="AK6" s="1">
        <f>AJ6*4.5</f>
        <v>46.800000000000004</v>
      </c>
      <c r="AL6" s="1">
        <f>AVERAGE(16.4, 13.4)</f>
        <v>14.899999999999999</v>
      </c>
      <c r="AM6" s="1">
        <v>8.1999999999999993</v>
      </c>
      <c r="AN6" s="1">
        <v>64.680000000000007</v>
      </c>
      <c r="AO6" s="1" t="s">
        <v>47</v>
      </c>
      <c r="AP6" s="1">
        <f>AVERAGE(126000, 145500)</f>
        <v>135750</v>
      </c>
      <c r="AQ6" s="2">
        <v>5102.26</v>
      </c>
      <c r="AR6" s="2" t="s">
        <v>26</v>
      </c>
      <c r="AS6" s="1">
        <v>0.75</v>
      </c>
      <c r="AT6" s="1">
        <f t="shared" si="1"/>
        <v>3826.6950000000002</v>
      </c>
      <c r="AU6" s="1">
        <v>80.5</v>
      </c>
      <c r="AV6" s="13">
        <v>80</v>
      </c>
      <c r="AW6" s="1">
        <v>75.2</v>
      </c>
      <c r="AX6" s="1">
        <v>2</v>
      </c>
      <c r="AY6" s="1">
        <v>0.5</v>
      </c>
      <c r="AZ6" s="1" t="s">
        <v>22</v>
      </c>
      <c r="BA6" s="1" t="s">
        <v>48</v>
      </c>
      <c r="BB6" s="1" t="s">
        <v>22</v>
      </c>
      <c r="BC6" s="1" t="s">
        <v>28</v>
      </c>
      <c r="BD6" s="1" t="s">
        <v>40</v>
      </c>
      <c r="BE6" s="1" t="s">
        <v>37</v>
      </c>
      <c r="BF6" s="1" t="s">
        <v>22</v>
      </c>
      <c r="BG6" s="1">
        <v>6.15</v>
      </c>
      <c r="BH6" s="1">
        <v>5.8</v>
      </c>
      <c r="BI6" s="1">
        <v>47500</v>
      </c>
      <c r="BJ6" s="1" t="s">
        <v>21</v>
      </c>
      <c r="BK6" s="1" t="s">
        <v>29</v>
      </c>
      <c r="BL6" s="1" t="s">
        <v>22</v>
      </c>
      <c r="BM6" s="1" t="s">
        <v>21</v>
      </c>
      <c r="BN6" s="1">
        <v>198</v>
      </c>
      <c r="BO6" s="1" t="s">
        <v>30</v>
      </c>
      <c r="BP6" s="1">
        <v>17</v>
      </c>
      <c r="BQ6" s="1">
        <v>1.25</v>
      </c>
      <c r="BS6" s="1">
        <v>145</v>
      </c>
      <c r="BT6" s="1">
        <v>1.7929999999999999</v>
      </c>
      <c r="BU6" s="1">
        <f>(BT6/BI6)*100</f>
        <v>3.7747368421052626E-3</v>
      </c>
      <c r="BV6" s="1" t="s">
        <v>31</v>
      </c>
      <c r="BW6" s="1">
        <v>168.5</v>
      </c>
      <c r="BX6" s="1" t="s">
        <v>32</v>
      </c>
      <c r="BY6" s="1" t="s">
        <v>33</v>
      </c>
      <c r="BZ6" s="1">
        <v>0</v>
      </c>
      <c r="CA6" s="1">
        <v>21</v>
      </c>
      <c r="CB6" s="1" t="s">
        <v>34</v>
      </c>
      <c r="CC6" s="13">
        <v>1200000000</v>
      </c>
      <c r="CD6" s="1" t="s">
        <v>9</v>
      </c>
    </row>
    <row r="7" spans="1:82" ht="34" x14ac:dyDescent="0.2">
      <c r="A7" s="1" t="s">
        <v>421</v>
      </c>
      <c r="B7" s="1" t="s">
        <v>49</v>
      </c>
      <c r="C7" s="1" t="s">
        <v>16</v>
      </c>
      <c r="D7" s="1" t="s">
        <v>17</v>
      </c>
      <c r="E7" s="5" t="s">
        <v>18</v>
      </c>
      <c r="F7" s="5" t="s">
        <v>19</v>
      </c>
      <c r="G7" s="5">
        <v>54</v>
      </c>
      <c r="H7" s="5">
        <v>54</v>
      </c>
      <c r="I7" s="16">
        <v>21257</v>
      </c>
      <c r="J7" s="15">
        <v>8720</v>
      </c>
      <c r="K7" s="5"/>
      <c r="L7" s="5">
        <v>20</v>
      </c>
      <c r="M7" s="5" t="s">
        <v>20</v>
      </c>
      <c r="N7" s="1">
        <v>4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22</v>
      </c>
      <c r="T7" s="1">
        <f>4.35+7.6</f>
        <v>11.95</v>
      </c>
      <c r="U7" s="1">
        <f t="shared" si="2"/>
        <v>2.9146341463414636E-2</v>
      </c>
      <c r="V7" s="5">
        <f>AVERAGE(32000, 50000)</f>
        <v>41000</v>
      </c>
      <c r="W7" s="1">
        <v>105.85</v>
      </c>
      <c r="X7" s="1">
        <f t="shared" si="0"/>
        <v>0.25817073170731708</v>
      </c>
      <c r="Y7" s="1" t="s">
        <v>23</v>
      </c>
      <c r="Z7" s="1" t="s">
        <v>21</v>
      </c>
      <c r="AC7" s="1" t="s">
        <v>22</v>
      </c>
      <c r="AD7" s="1" t="s">
        <v>21</v>
      </c>
      <c r="AE7" s="1" t="s">
        <v>22</v>
      </c>
      <c r="AF7" s="1" t="s">
        <v>24</v>
      </c>
      <c r="AG7" s="1" t="s">
        <v>25</v>
      </c>
      <c r="AH7" s="1" t="s">
        <v>22</v>
      </c>
      <c r="AI7" s="1" t="s">
        <v>22</v>
      </c>
      <c r="AJ7" s="1" t="s">
        <v>43</v>
      </c>
      <c r="AK7" s="1" t="s">
        <v>43</v>
      </c>
      <c r="AM7" s="1">
        <v>9</v>
      </c>
      <c r="AN7" s="1">
        <v>67</v>
      </c>
      <c r="AO7" s="13" t="s">
        <v>50</v>
      </c>
      <c r="AP7" s="1" t="s">
        <v>43</v>
      </c>
      <c r="AQ7" s="2">
        <f>AVERAGE(1215, 956, 400)</f>
        <v>857</v>
      </c>
      <c r="AR7" s="2" t="s">
        <v>44</v>
      </c>
      <c r="AS7" s="6">
        <f>AVERAGE(1.83, 1, 0.87)</f>
        <v>1.2333333333333334</v>
      </c>
      <c r="AT7" s="1">
        <f t="shared" si="1"/>
        <v>1056.9666666666667</v>
      </c>
      <c r="AU7" s="1">
        <f>AVERAGE(50.7, 53.6,85)</f>
        <v>63.1</v>
      </c>
      <c r="AV7" s="1">
        <f>100-(AVERAGE(58.6, 38.1))</f>
        <v>51.65</v>
      </c>
      <c r="AW7" s="1">
        <f>AVERAGE(53.1, 42.4, 86, 78.8)</f>
        <v>65.075000000000003</v>
      </c>
      <c r="BA7" s="1" t="s">
        <v>27</v>
      </c>
      <c r="BB7" s="1" t="s">
        <v>22</v>
      </c>
      <c r="BC7" s="1" t="s">
        <v>28</v>
      </c>
      <c r="BD7" s="1" t="s">
        <v>8</v>
      </c>
      <c r="BE7" s="1" t="s">
        <v>37</v>
      </c>
      <c r="BF7" s="1" t="s">
        <v>21</v>
      </c>
      <c r="BG7" s="1">
        <v>7</v>
      </c>
      <c r="BH7" s="1">
        <f>248.5/30</f>
        <v>8.2833333333333332</v>
      </c>
      <c r="BI7" s="1">
        <v>35000</v>
      </c>
      <c r="BL7" s="1" t="s">
        <v>22</v>
      </c>
      <c r="BO7" s="1" t="s">
        <v>30</v>
      </c>
      <c r="BP7" s="1">
        <v>17</v>
      </c>
      <c r="BQ7" s="1">
        <v>1.5</v>
      </c>
      <c r="BS7" s="1">
        <v>155</v>
      </c>
      <c r="BV7" s="1" t="s">
        <v>31</v>
      </c>
      <c r="BZ7" s="1">
        <v>0</v>
      </c>
      <c r="CA7" s="1">
        <f>3*4</f>
        <v>12</v>
      </c>
      <c r="CC7" s="13">
        <v>7000</v>
      </c>
      <c r="CD7" s="1" t="s">
        <v>22</v>
      </c>
    </row>
    <row r="8" spans="1:82" x14ac:dyDescent="0.2">
      <c r="A8" s="1" t="s">
        <v>51</v>
      </c>
      <c r="B8" s="1" t="s">
        <v>52</v>
      </c>
      <c r="C8" s="1" t="s">
        <v>16</v>
      </c>
      <c r="D8" s="1" t="s">
        <v>17</v>
      </c>
      <c r="E8" s="1" t="s">
        <v>18</v>
      </c>
      <c r="F8" s="1" t="s">
        <v>19</v>
      </c>
      <c r="G8" s="1">
        <v>60</v>
      </c>
      <c r="H8" s="1">
        <v>60</v>
      </c>
      <c r="I8" s="13">
        <v>20782</v>
      </c>
      <c r="J8" s="15">
        <v>1677</v>
      </c>
      <c r="L8" s="1">
        <v>25</v>
      </c>
      <c r="M8" s="1" t="s">
        <v>20</v>
      </c>
      <c r="N8" s="1">
        <v>4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22</v>
      </c>
      <c r="V8" s="5">
        <v>731400</v>
      </c>
      <c r="W8" s="5">
        <f>(523.6+439.75)/2</f>
        <v>481.67500000000001</v>
      </c>
      <c r="X8" s="1">
        <f t="shared" si="0"/>
        <v>6.5856576428766744E-2</v>
      </c>
      <c r="Y8" s="1" t="s">
        <v>23</v>
      </c>
      <c r="Z8" s="1" t="s">
        <v>21</v>
      </c>
      <c r="AC8" s="1" t="s">
        <v>22</v>
      </c>
      <c r="AD8" s="1" t="s">
        <v>21</v>
      </c>
      <c r="AE8" s="1" t="s">
        <v>22</v>
      </c>
      <c r="AF8" s="1" t="s">
        <v>24</v>
      </c>
      <c r="AH8" s="1" t="s">
        <v>22</v>
      </c>
      <c r="AI8" s="1" t="s">
        <v>22</v>
      </c>
      <c r="AJ8" s="1" t="s">
        <v>43</v>
      </c>
      <c r="AK8" s="1" t="s">
        <v>43</v>
      </c>
      <c r="AM8" s="1">
        <v>8.0500000000000007</v>
      </c>
      <c r="AN8" s="1">
        <v>70.06</v>
      </c>
      <c r="AO8" s="1" t="s">
        <v>47</v>
      </c>
      <c r="AP8" s="1" t="s">
        <v>43</v>
      </c>
      <c r="AQ8" s="2">
        <v>641.77499999999998</v>
      </c>
      <c r="AR8" s="2" t="s">
        <v>44</v>
      </c>
      <c r="AS8" s="1">
        <f>(4.93+2)/2</f>
        <v>3.4649999999999999</v>
      </c>
      <c r="AT8" s="1">
        <f t="shared" si="1"/>
        <v>2223.7503749999996</v>
      </c>
      <c r="AU8" s="1">
        <f>(87.8+69)/2</f>
        <v>78.400000000000006</v>
      </c>
      <c r="AV8" s="1">
        <v>74</v>
      </c>
      <c r="AW8" s="1">
        <f>(88+40)/2</f>
        <v>64</v>
      </c>
      <c r="AY8" s="1">
        <v>5</v>
      </c>
      <c r="AZ8" s="1" t="s">
        <v>22</v>
      </c>
      <c r="BA8" s="1" t="s">
        <v>27</v>
      </c>
      <c r="BB8" s="1" t="s">
        <v>22</v>
      </c>
      <c r="BC8" s="1" t="s">
        <v>28</v>
      </c>
      <c r="BD8" s="1" t="s">
        <v>8</v>
      </c>
      <c r="BE8" s="1" t="s">
        <v>8</v>
      </c>
      <c r="BF8" s="1" t="s">
        <v>21</v>
      </c>
      <c r="BG8" s="1">
        <v>16.5</v>
      </c>
      <c r="BH8" s="1">
        <v>24</v>
      </c>
      <c r="BI8" s="1">
        <v>452800</v>
      </c>
      <c r="BJ8" s="1" t="s">
        <v>22</v>
      </c>
      <c r="BK8" s="1" t="s">
        <v>29</v>
      </c>
      <c r="BL8" s="1" t="s">
        <v>22</v>
      </c>
      <c r="BM8" s="1" t="s">
        <v>21</v>
      </c>
      <c r="BN8" s="1">
        <v>25.26</v>
      </c>
      <c r="BO8" s="1" t="s">
        <v>30</v>
      </c>
      <c r="BP8" s="1">
        <v>20.8</v>
      </c>
      <c r="BQ8" s="1" t="s">
        <v>43</v>
      </c>
      <c r="BS8" s="1">
        <f>(266.3+280)/2</f>
        <v>273.14999999999998</v>
      </c>
      <c r="BV8" s="1" t="s">
        <v>31</v>
      </c>
      <c r="BX8" s="1" t="s">
        <v>32</v>
      </c>
      <c r="BY8" s="1" t="s">
        <v>33</v>
      </c>
      <c r="BZ8" s="1">
        <v>0</v>
      </c>
      <c r="CB8" s="1" t="s">
        <v>53</v>
      </c>
      <c r="CC8" s="1">
        <v>30000</v>
      </c>
      <c r="CD8" s="1" t="s">
        <v>22</v>
      </c>
    </row>
    <row r="9" spans="1:82" x14ac:dyDescent="0.2">
      <c r="A9" s="1" t="s">
        <v>54</v>
      </c>
      <c r="B9" s="1" t="s">
        <v>55</v>
      </c>
      <c r="C9" s="1" t="s">
        <v>16</v>
      </c>
      <c r="D9" s="1" t="s">
        <v>17</v>
      </c>
      <c r="E9" s="1" t="s">
        <v>18</v>
      </c>
      <c r="F9" s="1" t="s">
        <v>19</v>
      </c>
      <c r="G9" s="1">
        <v>58</v>
      </c>
      <c r="H9" s="1">
        <v>58</v>
      </c>
      <c r="I9" s="17">
        <v>21161</v>
      </c>
      <c r="J9" s="17">
        <v>7559</v>
      </c>
      <c r="L9" s="1">
        <v>27.5</v>
      </c>
      <c r="M9" s="1" t="s">
        <v>20</v>
      </c>
      <c r="N9" s="1">
        <v>4</v>
      </c>
      <c r="O9" s="1" t="s">
        <v>21</v>
      </c>
      <c r="P9" s="1" t="s">
        <v>21</v>
      </c>
      <c r="Q9" s="1" t="s">
        <v>21</v>
      </c>
      <c r="R9" s="1" t="s">
        <v>21</v>
      </c>
      <c r="S9" s="1" t="s">
        <v>22</v>
      </c>
      <c r="T9" s="1">
        <f>18.6+29.8</f>
        <v>48.400000000000006</v>
      </c>
      <c r="U9" s="1">
        <f t="shared" si="2"/>
        <v>3.1842105263157901E-2</v>
      </c>
      <c r="V9" s="5">
        <f>AVERAGE(129000, 175000)</f>
        <v>152000</v>
      </c>
      <c r="W9" s="5">
        <f>AVERAGE(98, 89.6, 53.4)</f>
        <v>80.333333333333329</v>
      </c>
      <c r="X9" s="1">
        <f t="shared" si="0"/>
        <v>5.2850877192982454E-2</v>
      </c>
      <c r="Y9" s="1" t="s">
        <v>23</v>
      </c>
      <c r="Z9" s="1" t="s">
        <v>21</v>
      </c>
      <c r="AC9" s="1" t="s">
        <v>22</v>
      </c>
      <c r="AD9" s="1" t="s">
        <v>21</v>
      </c>
      <c r="AE9" s="1" t="s">
        <v>22</v>
      </c>
      <c r="AF9" s="1" t="s">
        <v>24</v>
      </c>
      <c r="AH9" s="1" t="s">
        <v>22</v>
      </c>
      <c r="AI9" s="1" t="s">
        <v>22</v>
      </c>
      <c r="AJ9" s="1" t="s">
        <v>43</v>
      </c>
      <c r="AK9" s="1" t="s">
        <v>43</v>
      </c>
      <c r="AM9" s="1">
        <v>7.5</v>
      </c>
      <c r="AN9" s="1">
        <v>59.5</v>
      </c>
      <c r="AO9" s="13" t="s">
        <v>7</v>
      </c>
      <c r="AP9" s="1">
        <v>2290</v>
      </c>
      <c r="AQ9" s="2">
        <v>780</v>
      </c>
      <c r="AR9" s="2" t="s">
        <v>44</v>
      </c>
      <c r="AS9" s="1">
        <v>7.7</v>
      </c>
      <c r="AT9" s="1">
        <f t="shared" si="1"/>
        <v>6006</v>
      </c>
      <c r="AU9" s="1">
        <v>77.5</v>
      </c>
      <c r="AV9" s="1">
        <v>76</v>
      </c>
      <c r="AW9" s="1">
        <v>87</v>
      </c>
      <c r="AZ9" s="1" t="s">
        <v>22</v>
      </c>
      <c r="BA9" s="1" t="s">
        <v>27</v>
      </c>
      <c r="BB9" s="1" t="s">
        <v>22</v>
      </c>
      <c r="BC9" s="1" t="s">
        <v>28</v>
      </c>
      <c r="BD9" s="1" t="s">
        <v>8</v>
      </c>
      <c r="BE9" s="1" t="s">
        <v>8</v>
      </c>
      <c r="BF9" s="1" t="s">
        <v>22</v>
      </c>
      <c r="BG9" s="1">
        <v>21</v>
      </c>
      <c r="BH9" s="1">
        <v>21</v>
      </c>
      <c r="BI9" s="1">
        <v>115000</v>
      </c>
      <c r="BJ9" s="1" t="s">
        <v>22</v>
      </c>
      <c r="BK9" s="1" t="s">
        <v>29</v>
      </c>
      <c r="BL9" s="1" t="s">
        <v>22</v>
      </c>
      <c r="BM9" s="1" t="s">
        <v>21</v>
      </c>
      <c r="BO9" s="1" t="s">
        <v>30</v>
      </c>
      <c r="BP9" s="1">
        <v>22.7</v>
      </c>
      <c r="BQ9" s="1">
        <v>2.3999999999999998E-3</v>
      </c>
      <c r="BS9" s="1">
        <v>270</v>
      </c>
      <c r="BV9" s="1" t="s">
        <v>31</v>
      </c>
      <c r="BX9" s="1" t="s">
        <v>32</v>
      </c>
      <c r="BY9" s="1" t="s">
        <v>56</v>
      </c>
      <c r="BZ9" s="1">
        <v>0</v>
      </c>
      <c r="CA9" s="1">
        <v>15</v>
      </c>
      <c r="CB9" s="1" t="s">
        <v>57</v>
      </c>
      <c r="CC9" s="13">
        <v>1800</v>
      </c>
      <c r="CD9" s="1" t="s">
        <v>22</v>
      </c>
    </row>
    <row r="10" spans="1:82" x14ac:dyDescent="0.2">
      <c r="A10" s="1" t="s">
        <v>58</v>
      </c>
      <c r="B10" s="1" t="s">
        <v>59</v>
      </c>
      <c r="C10" s="1" t="s">
        <v>16</v>
      </c>
      <c r="D10" s="1" t="s">
        <v>17</v>
      </c>
      <c r="E10" s="1" t="s">
        <v>18</v>
      </c>
      <c r="F10" s="1" t="s">
        <v>60</v>
      </c>
      <c r="G10" s="1">
        <v>74</v>
      </c>
      <c r="H10" s="1">
        <v>74</v>
      </c>
      <c r="I10" s="13">
        <v>20062</v>
      </c>
      <c r="J10" s="15">
        <v>9180</v>
      </c>
      <c r="L10" s="1">
        <v>35.4</v>
      </c>
      <c r="M10" s="1" t="s">
        <v>20</v>
      </c>
      <c r="N10" s="1">
        <v>3</v>
      </c>
      <c r="O10" s="1" t="s">
        <v>21</v>
      </c>
      <c r="P10" s="1" t="s">
        <v>21</v>
      </c>
      <c r="Q10" s="1" t="s">
        <v>22</v>
      </c>
      <c r="R10" s="1" t="s">
        <v>21</v>
      </c>
      <c r="S10" s="1" t="s">
        <v>22</v>
      </c>
      <c r="T10" s="1">
        <v>30</v>
      </c>
      <c r="U10" s="1">
        <f t="shared" si="2"/>
        <v>3.6764705882352936E-3</v>
      </c>
      <c r="V10" s="5">
        <v>816000</v>
      </c>
      <c r="W10" s="1">
        <v>182</v>
      </c>
      <c r="X10" s="1">
        <f t="shared" si="0"/>
        <v>2.2303921568627452E-2</v>
      </c>
      <c r="Y10" s="1" t="s">
        <v>23</v>
      </c>
      <c r="Z10" s="1" t="s">
        <v>21</v>
      </c>
      <c r="AA10" s="1">
        <v>28</v>
      </c>
      <c r="AB10" s="1">
        <f t="shared" ref="AB10:AB21" si="3">(AA10/V10)*100</f>
        <v>3.4313725490196078E-3</v>
      </c>
      <c r="AC10" s="1" t="s">
        <v>22</v>
      </c>
      <c r="AD10" s="1" t="s">
        <v>21</v>
      </c>
      <c r="AE10" s="1" t="s">
        <v>22</v>
      </c>
      <c r="AF10" s="1" t="s">
        <v>24</v>
      </c>
      <c r="AG10" s="1" t="s">
        <v>32</v>
      </c>
      <c r="AH10" s="1" t="s">
        <v>22</v>
      </c>
      <c r="AJ10" s="1" t="s">
        <v>43</v>
      </c>
      <c r="AK10" s="1" t="s">
        <v>43</v>
      </c>
      <c r="AM10" s="1">
        <v>5.62</v>
      </c>
      <c r="AN10" s="1">
        <v>42.9</v>
      </c>
      <c r="AO10" s="1" t="s">
        <v>47</v>
      </c>
      <c r="AP10" s="1" t="s">
        <v>43</v>
      </c>
      <c r="AQ10" s="2">
        <v>415</v>
      </c>
      <c r="AR10" s="2" t="s">
        <v>26</v>
      </c>
      <c r="AS10" s="1">
        <v>8.1999999999999993</v>
      </c>
      <c r="AT10" s="1">
        <f t="shared" si="1"/>
        <v>3402.9999999999995</v>
      </c>
      <c r="AU10" s="1">
        <v>62</v>
      </c>
      <c r="AV10" s="1">
        <f>(88.4+95)/2</f>
        <v>91.7</v>
      </c>
      <c r="AW10" s="1">
        <v>86</v>
      </c>
      <c r="AX10" s="1">
        <v>2</v>
      </c>
      <c r="AY10" s="1">
        <f>60*3</f>
        <v>180</v>
      </c>
      <c r="AZ10" s="1" t="s">
        <v>22</v>
      </c>
      <c r="BA10" s="1" t="s">
        <v>27</v>
      </c>
      <c r="BB10" s="1" t="s">
        <v>21</v>
      </c>
      <c r="BC10" s="1" t="s">
        <v>28</v>
      </c>
      <c r="BD10" s="1" t="s">
        <v>8</v>
      </c>
      <c r="BE10" s="1" t="s">
        <v>37</v>
      </c>
      <c r="BF10" s="1" t="s">
        <v>22</v>
      </c>
      <c r="BG10" s="1">
        <f>4*12</f>
        <v>48</v>
      </c>
      <c r="BH10" s="1">
        <f>4*12</f>
        <v>48</v>
      </c>
      <c r="BI10" s="1">
        <v>450000</v>
      </c>
      <c r="BJ10" s="1" t="s">
        <v>22</v>
      </c>
      <c r="BK10" s="1" t="s">
        <v>29</v>
      </c>
      <c r="BL10" s="1" t="s">
        <v>22</v>
      </c>
      <c r="BM10" s="1" t="s">
        <v>21</v>
      </c>
      <c r="BN10" s="1">
        <v>230</v>
      </c>
      <c r="BO10" s="1" t="s">
        <v>30</v>
      </c>
      <c r="BP10" s="1">
        <v>28</v>
      </c>
      <c r="BQ10" s="1">
        <v>5</v>
      </c>
      <c r="BS10" s="1">
        <v>400</v>
      </c>
      <c r="BT10" s="1">
        <v>12.4</v>
      </c>
      <c r="BU10" s="1">
        <f t="shared" ref="BU10:BU16" si="4">(BT10/BI10)*100</f>
        <v>2.7555555555555554E-3</v>
      </c>
      <c r="BV10" s="1" t="s">
        <v>31</v>
      </c>
      <c r="BX10" s="1" t="s">
        <v>25</v>
      </c>
      <c r="BY10" s="1" t="s">
        <v>56</v>
      </c>
      <c r="BZ10" s="1">
        <v>0</v>
      </c>
      <c r="CA10" s="1">
        <v>65</v>
      </c>
      <c r="CB10" s="1" t="s">
        <v>34</v>
      </c>
      <c r="CC10" s="13">
        <v>1000</v>
      </c>
      <c r="CD10" s="1" t="s">
        <v>22</v>
      </c>
    </row>
    <row r="11" spans="1:82" x14ac:dyDescent="0.2">
      <c r="A11" s="1" t="s">
        <v>61</v>
      </c>
      <c r="B11" s="1" t="s">
        <v>62</v>
      </c>
      <c r="C11" s="1" t="s">
        <v>16</v>
      </c>
      <c r="D11" s="1" t="s">
        <v>17</v>
      </c>
      <c r="E11" s="1" t="s">
        <v>18</v>
      </c>
      <c r="F11" s="1" t="s">
        <v>60</v>
      </c>
      <c r="G11" s="1">
        <v>74</v>
      </c>
      <c r="H11" s="1">
        <v>74</v>
      </c>
      <c r="I11" s="14" t="s">
        <v>43</v>
      </c>
      <c r="J11" s="14" t="s">
        <v>43</v>
      </c>
      <c r="L11" s="1">
        <v>45</v>
      </c>
      <c r="M11" s="1" t="s">
        <v>20</v>
      </c>
      <c r="N11" s="1">
        <v>3</v>
      </c>
      <c r="O11" s="1" t="s">
        <v>21</v>
      </c>
      <c r="P11" s="1" t="s">
        <v>21</v>
      </c>
      <c r="Q11" s="1" t="s">
        <v>22</v>
      </c>
      <c r="R11" s="1" t="s">
        <v>21</v>
      </c>
      <c r="S11" s="1" t="s">
        <v>22</v>
      </c>
      <c r="T11" s="1">
        <f>21.15+5.6</f>
        <v>26.75</v>
      </c>
      <c r="U11" s="1">
        <f t="shared" si="2"/>
        <v>4.1153846153846154E-3</v>
      </c>
      <c r="V11" s="5">
        <v>650000</v>
      </c>
      <c r="W11" s="1">
        <f>(121.7+95+74)*2/3</f>
        <v>193.79999999999998</v>
      </c>
      <c r="X11" s="1">
        <f t="shared" si="0"/>
        <v>2.9815384615384612E-2</v>
      </c>
      <c r="Y11" s="1" t="s">
        <v>23</v>
      </c>
      <c r="Z11" s="1" t="s">
        <v>21</v>
      </c>
      <c r="AA11" s="1">
        <v>15.3</v>
      </c>
      <c r="AB11" s="1">
        <f t="shared" si="3"/>
        <v>2.3538461538461538E-3</v>
      </c>
      <c r="AC11" s="1" t="s">
        <v>22</v>
      </c>
      <c r="AD11" s="1" t="s">
        <v>21</v>
      </c>
      <c r="AE11" s="1" t="s">
        <v>22</v>
      </c>
      <c r="AF11" s="1" t="s">
        <v>24</v>
      </c>
      <c r="AG11" s="1" t="s">
        <v>32</v>
      </c>
      <c r="AH11" s="1" t="s">
        <v>28</v>
      </c>
      <c r="AJ11" s="1">
        <v>13.49</v>
      </c>
      <c r="AK11" s="1">
        <f>AJ11*4.5</f>
        <v>60.704999999999998</v>
      </c>
      <c r="AL11" s="1">
        <v>4.26</v>
      </c>
      <c r="AM11" s="1">
        <v>5.81</v>
      </c>
      <c r="AN11" s="1">
        <v>49</v>
      </c>
      <c r="AO11" s="1" t="s">
        <v>47</v>
      </c>
      <c r="AP11" s="1">
        <v>2197.4</v>
      </c>
      <c r="AQ11" s="2">
        <v>403</v>
      </c>
      <c r="AR11" s="2" t="s">
        <v>26</v>
      </c>
      <c r="AS11" s="1">
        <v>8.5</v>
      </c>
      <c r="AT11" s="1">
        <f t="shared" si="1"/>
        <v>3425.5</v>
      </c>
      <c r="AU11" s="1">
        <v>83</v>
      </c>
      <c r="AV11" s="1">
        <v>89.3</v>
      </c>
      <c r="AW11" s="1">
        <v>59</v>
      </c>
      <c r="AY11" s="1">
        <v>1920</v>
      </c>
      <c r="AZ11" s="1" t="s">
        <v>22</v>
      </c>
      <c r="BA11" s="1" t="s">
        <v>27</v>
      </c>
      <c r="BB11" s="1" t="s">
        <v>21</v>
      </c>
      <c r="BC11" s="1" t="s">
        <v>28</v>
      </c>
      <c r="BD11" s="1" t="s">
        <v>8</v>
      </c>
      <c r="BE11" s="1" t="s">
        <v>37</v>
      </c>
      <c r="BF11" s="1" t="s">
        <v>22</v>
      </c>
      <c r="BG11" s="1">
        <f>3*12</f>
        <v>36</v>
      </c>
      <c r="BH11" s="1">
        <v>24</v>
      </c>
      <c r="BI11" s="1">
        <v>361000</v>
      </c>
      <c r="BJ11" s="1" t="s">
        <v>22</v>
      </c>
      <c r="BK11" s="1" t="s">
        <v>29</v>
      </c>
      <c r="BL11" s="1" t="s">
        <v>22</v>
      </c>
      <c r="BM11" s="1" t="s">
        <v>21</v>
      </c>
      <c r="BN11" s="1">
        <v>220</v>
      </c>
      <c r="BO11" s="1" t="s">
        <v>30</v>
      </c>
      <c r="BP11" s="1">
        <v>22</v>
      </c>
      <c r="BQ11" s="1">
        <v>3.5</v>
      </c>
      <c r="BS11" s="1">
        <v>389.4</v>
      </c>
      <c r="BT11" s="1">
        <v>7</v>
      </c>
      <c r="BU11" s="1">
        <f t="shared" si="4"/>
        <v>1.9390581717451524E-3</v>
      </c>
      <c r="BV11" s="1" t="s">
        <v>31</v>
      </c>
      <c r="BX11" s="1" t="s">
        <v>25</v>
      </c>
      <c r="BY11" s="1" t="s">
        <v>56</v>
      </c>
      <c r="BZ11" s="1">
        <v>0</v>
      </c>
      <c r="CA11" s="1">
        <v>69</v>
      </c>
      <c r="CB11" s="1" t="s">
        <v>34</v>
      </c>
      <c r="CC11" s="13">
        <v>15000000</v>
      </c>
      <c r="CD11" s="1" t="s">
        <v>9</v>
      </c>
    </row>
    <row r="12" spans="1:82" x14ac:dyDescent="0.2">
      <c r="A12" s="1" t="s">
        <v>63</v>
      </c>
      <c r="B12" s="1" t="s">
        <v>64</v>
      </c>
      <c r="C12" s="1" t="s">
        <v>16</v>
      </c>
      <c r="D12" s="1" t="s">
        <v>17</v>
      </c>
      <c r="E12" s="1" t="s">
        <v>18</v>
      </c>
      <c r="F12" s="1" t="s">
        <v>60</v>
      </c>
      <c r="G12" s="1">
        <v>74</v>
      </c>
      <c r="H12" s="1">
        <v>74</v>
      </c>
      <c r="I12" s="14" t="s">
        <v>43</v>
      </c>
      <c r="J12" s="14" t="s">
        <v>43</v>
      </c>
      <c r="L12" s="1">
        <v>16</v>
      </c>
      <c r="M12" s="1" t="s">
        <v>20</v>
      </c>
      <c r="N12" s="1">
        <v>3</v>
      </c>
      <c r="O12" s="1" t="s">
        <v>21</v>
      </c>
      <c r="P12" s="1" t="s">
        <v>21</v>
      </c>
      <c r="Q12" s="1" t="s">
        <v>22</v>
      </c>
      <c r="R12" s="1" t="s">
        <v>21</v>
      </c>
      <c r="S12" s="1" t="s">
        <v>22</v>
      </c>
      <c r="V12" s="5">
        <v>133000</v>
      </c>
      <c r="W12" s="1">
        <f>(35.6+48)/2</f>
        <v>41.8</v>
      </c>
      <c r="X12" s="1">
        <f t="shared" si="0"/>
        <v>3.1428571428571424E-2</v>
      </c>
      <c r="Y12" s="1" t="s">
        <v>23</v>
      </c>
      <c r="Z12" s="1" t="s">
        <v>21</v>
      </c>
      <c r="AA12" s="1">
        <v>25</v>
      </c>
      <c r="AB12" s="1">
        <f t="shared" si="3"/>
        <v>1.879699248120301E-2</v>
      </c>
      <c r="AC12" s="1" t="s">
        <v>22</v>
      </c>
      <c r="AD12" s="1" t="s">
        <v>21</v>
      </c>
      <c r="AE12" s="1" t="s">
        <v>22</v>
      </c>
      <c r="AF12" s="1" t="s">
        <v>24</v>
      </c>
      <c r="AG12" s="1" t="s">
        <v>65</v>
      </c>
      <c r="AI12" s="1" t="s">
        <v>21</v>
      </c>
      <c r="AJ12" s="1" t="s">
        <v>43</v>
      </c>
      <c r="AK12" s="1" t="s">
        <v>43</v>
      </c>
      <c r="AM12" s="1">
        <v>5.3</v>
      </c>
      <c r="AN12" s="1">
        <v>49.47</v>
      </c>
      <c r="AO12" s="1" t="s">
        <v>47</v>
      </c>
      <c r="AP12" s="1" t="s">
        <v>43</v>
      </c>
      <c r="AQ12" s="2">
        <v>85.7</v>
      </c>
      <c r="AR12" s="2" t="s">
        <v>26</v>
      </c>
      <c r="AS12" s="1">
        <v>3.3</v>
      </c>
      <c r="AT12" s="1">
        <f t="shared" si="1"/>
        <v>282.81</v>
      </c>
      <c r="AU12" s="1">
        <v>33</v>
      </c>
      <c r="AV12" s="1">
        <v>52</v>
      </c>
      <c r="AW12" s="1">
        <v>64</v>
      </c>
      <c r="AY12" s="1">
        <v>1200</v>
      </c>
      <c r="AZ12" s="1" t="s">
        <v>22</v>
      </c>
      <c r="BA12" s="1" t="s">
        <v>27</v>
      </c>
      <c r="BB12" s="1" t="s">
        <v>21</v>
      </c>
      <c r="BC12" s="1" t="s">
        <v>28</v>
      </c>
      <c r="BD12" s="1" t="s">
        <v>8</v>
      </c>
      <c r="BE12" s="1" t="s">
        <v>37</v>
      </c>
      <c r="BF12" s="1" t="s">
        <v>22</v>
      </c>
      <c r="BG12" s="1">
        <v>36</v>
      </c>
      <c r="BH12" s="1">
        <v>12</v>
      </c>
      <c r="BI12" s="1">
        <v>104600</v>
      </c>
      <c r="BJ12" s="1" t="s">
        <v>22</v>
      </c>
      <c r="BK12" s="1" t="s">
        <v>29</v>
      </c>
      <c r="BL12" s="1" t="s">
        <v>22</v>
      </c>
      <c r="BM12" s="1" t="s">
        <v>21</v>
      </c>
      <c r="BN12" s="1">
        <v>140</v>
      </c>
      <c r="BO12" s="1" t="s">
        <v>30</v>
      </c>
      <c r="BP12" s="1">
        <v>16</v>
      </c>
      <c r="BQ12" s="1" t="s">
        <v>43</v>
      </c>
      <c r="BS12" s="1">
        <f>(342+355)/2</f>
        <v>348.5</v>
      </c>
      <c r="BV12" s="1" t="s">
        <v>31</v>
      </c>
      <c r="BX12" s="1" t="s">
        <v>25</v>
      </c>
      <c r="BY12" s="1" t="s">
        <v>56</v>
      </c>
      <c r="BZ12" s="1">
        <v>0</v>
      </c>
      <c r="CA12" s="1">
        <v>27</v>
      </c>
      <c r="CB12" s="1" t="s">
        <v>34</v>
      </c>
      <c r="CC12" s="13">
        <v>39599</v>
      </c>
      <c r="CD12" s="1" t="s">
        <v>8</v>
      </c>
    </row>
    <row r="13" spans="1:82" x14ac:dyDescent="0.2">
      <c r="A13" s="1" t="s">
        <v>66</v>
      </c>
      <c r="B13" s="1" t="s">
        <v>67</v>
      </c>
      <c r="C13" s="1" t="s">
        <v>16</v>
      </c>
      <c r="D13" s="1" t="s">
        <v>17</v>
      </c>
      <c r="E13" s="1" t="s">
        <v>18</v>
      </c>
      <c r="F13" s="1" t="s">
        <v>60</v>
      </c>
      <c r="G13" s="1">
        <v>74</v>
      </c>
      <c r="H13" s="1">
        <v>74</v>
      </c>
      <c r="I13" s="15">
        <v>19504</v>
      </c>
      <c r="J13" s="15">
        <v>8644</v>
      </c>
      <c r="L13" s="1">
        <v>25.8</v>
      </c>
      <c r="M13" s="1" t="s">
        <v>20</v>
      </c>
      <c r="N13" s="1">
        <v>3</v>
      </c>
      <c r="O13" s="1" t="s">
        <v>21</v>
      </c>
      <c r="P13" s="1" t="s">
        <v>21</v>
      </c>
      <c r="Q13" s="1" t="s">
        <v>22</v>
      </c>
      <c r="R13" s="1" t="s">
        <v>21</v>
      </c>
      <c r="S13" s="1" t="s">
        <v>22</v>
      </c>
      <c r="V13" s="5">
        <v>145500</v>
      </c>
      <c r="W13" s="1">
        <v>34</v>
      </c>
      <c r="X13" s="1">
        <f t="shared" si="0"/>
        <v>2.3367697594501718E-2</v>
      </c>
      <c r="Y13" s="1" t="s">
        <v>23</v>
      </c>
      <c r="Z13" s="1" t="s">
        <v>21</v>
      </c>
      <c r="AA13" s="1">
        <v>25</v>
      </c>
      <c r="AB13" s="1">
        <f t="shared" si="3"/>
        <v>1.7182130584192441E-2</v>
      </c>
      <c r="AC13" s="1" t="s">
        <v>22</v>
      </c>
      <c r="AD13" s="1" t="s">
        <v>21</v>
      </c>
      <c r="AE13" s="1" t="s">
        <v>22</v>
      </c>
      <c r="AF13" s="1" t="s">
        <v>24</v>
      </c>
      <c r="AG13" s="1" t="s">
        <v>65</v>
      </c>
      <c r="AJ13" s="1" t="s">
        <v>43</v>
      </c>
      <c r="AK13" s="1" t="s">
        <v>43</v>
      </c>
      <c r="AM13" s="1">
        <v>5.75</v>
      </c>
      <c r="AN13" s="13">
        <v>45</v>
      </c>
      <c r="AO13" s="1" t="s">
        <v>7</v>
      </c>
      <c r="AP13" s="1" t="s">
        <v>43</v>
      </c>
      <c r="AQ13" s="2">
        <f>AVERAGE(7.71, 14.31, 17.6, 6.33, 10.71, 8.54, 100.32, 47.48, 32.25)</f>
        <v>27.249999999999996</v>
      </c>
      <c r="AR13" s="2" t="s">
        <v>26</v>
      </c>
      <c r="AS13" s="1">
        <f>AVERAGE(1.9, 1.79, 1.78, 2.03, 1.88, 1.66)</f>
        <v>1.8399999999999999</v>
      </c>
      <c r="AT13" s="1">
        <f t="shared" si="1"/>
        <v>50.139999999999986</v>
      </c>
      <c r="AU13" s="1">
        <f>AVERAGE( 46.9, 12.44)</f>
        <v>29.669999999999998</v>
      </c>
      <c r="AV13" s="1">
        <f>AVERAGE(51, 59.3, 56.6, 58, 75.9)</f>
        <v>60.160000000000004</v>
      </c>
      <c r="AW13" s="1">
        <f>AVERAGE(69.6, 70.16)</f>
        <v>69.88</v>
      </c>
      <c r="AY13" s="1">
        <f>AVERAGE(13.1, 11, 12.3, 10.13, 11.09, 14.57, 21.6)*60</f>
        <v>803.91428571428571</v>
      </c>
      <c r="BA13" s="1" t="s">
        <v>27</v>
      </c>
      <c r="BB13" s="1" t="s">
        <v>21</v>
      </c>
      <c r="BC13" s="1" t="s">
        <v>28</v>
      </c>
      <c r="BD13" s="1" t="s">
        <v>8</v>
      </c>
      <c r="BE13" s="1" t="s">
        <v>22</v>
      </c>
      <c r="BF13" s="1" t="s">
        <v>22</v>
      </c>
      <c r="BG13" s="1">
        <v>30</v>
      </c>
      <c r="BH13" s="1">
        <v>12</v>
      </c>
      <c r="BI13" s="1">
        <v>60000</v>
      </c>
      <c r="BJ13" s="1" t="s">
        <v>22</v>
      </c>
      <c r="BL13" s="1" t="s">
        <v>22</v>
      </c>
      <c r="BM13" s="1" t="s">
        <v>21</v>
      </c>
      <c r="BN13" s="1">
        <v>204</v>
      </c>
      <c r="BO13" s="1" t="s">
        <v>30</v>
      </c>
      <c r="BP13" s="1">
        <v>18</v>
      </c>
      <c r="BQ13" s="1" t="s">
        <v>43</v>
      </c>
      <c r="BS13" s="1">
        <v>350</v>
      </c>
      <c r="BT13" s="1">
        <v>25.9</v>
      </c>
      <c r="BU13" s="1">
        <f t="shared" si="4"/>
        <v>4.3166666666666666E-2</v>
      </c>
      <c r="BV13" s="1" t="s">
        <v>31</v>
      </c>
      <c r="BX13" s="1" t="s">
        <v>25</v>
      </c>
      <c r="BY13" s="1" t="s">
        <v>56</v>
      </c>
      <c r="BZ13" s="1">
        <v>0</v>
      </c>
      <c r="CA13" s="1">
        <v>49</v>
      </c>
      <c r="CB13" s="1" t="s">
        <v>34</v>
      </c>
      <c r="CC13" s="13">
        <v>3000000</v>
      </c>
      <c r="CD13" s="1" t="s">
        <v>8</v>
      </c>
    </row>
    <row r="14" spans="1:82" x14ac:dyDescent="0.2">
      <c r="A14" s="1" t="s">
        <v>68</v>
      </c>
      <c r="B14" s="1" t="s">
        <v>69</v>
      </c>
      <c r="C14" s="1" t="s">
        <v>16</v>
      </c>
      <c r="D14" s="1" t="s">
        <v>17</v>
      </c>
      <c r="E14" s="1" t="s">
        <v>18</v>
      </c>
      <c r="F14" s="1" t="s">
        <v>60</v>
      </c>
      <c r="G14" s="1">
        <v>74</v>
      </c>
      <c r="H14" s="1">
        <v>74</v>
      </c>
      <c r="I14" s="14" t="s">
        <v>43</v>
      </c>
      <c r="J14" s="14" t="s">
        <v>43</v>
      </c>
      <c r="L14" s="1">
        <v>17</v>
      </c>
      <c r="M14" s="1" t="s">
        <v>20</v>
      </c>
      <c r="N14" s="1">
        <v>3</v>
      </c>
      <c r="O14" s="1" t="s">
        <v>21</v>
      </c>
      <c r="P14" s="1" t="s">
        <v>21</v>
      </c>
      <c r="Q14" s="1" t="s">
        <v>22</v>
      </c>
      <c r="R14" s="1" t="s">
        <v>21</v>
      </c>
      <c r="S14" s="1" t="s">
        <v>22</v>
      </c>
      <c r="V14" s="5">
        <v>50000</v>
      </c>
      <c r="Y14" s="1" t="s">
        <v>23</v>
      </c>
      <c r="Z14" s="1" t="s">
        <v>21</v>
      </c>
      <c r="AD14" s="1" t="s">
        <v>21</v>
      </c>
      <c r="AE14" s="1" t="s">
        <v>22</v>
      </c>
      <c r="AF14" s="1" t="s">
        <v>24</v>
      </c>
      <c r="AJ14" s="1" t="s">
        <v>43</v>
      </c>
      <c r="AK14" s="1" t="s">
        <v>43</v>
      </c>
      <c r="AM14" s="1">
        <f>AVERAGE(4.75, 5.29)</f>
        <v>5.0199999999999996</v>
      </c>
      <c r="AN14" s="13">
        <v>40</v>
      </c>
      <c r="AO14" s="1" t="s">
        <v>7</v>
      </c>
      <c r="AP14" s="1" t="s">
        <v>43</v>
      </c>
      <c r="AQ14" s="2">
        <f>AVERAGE(10, 140, 1.6)</f>
        <v>50.533333333333331</v>
      </c>
      <c r="AR14" s="2" t="s">
        <v>44</v>
      </c>
      <c r="AS14" s="1">
        <f>AVERAGE(1, 2.5, 0.85)</f>
        <v>1.45</v>
      </c>
      <c r="AT14" s="1">
        <f t="shared" si="1"/>
        <v>73.273333333333326</v>
      </c>
      <c r="AU14" s="1">
        <v>28.08</v>
      </c>
      <c r="AV14" s="1">
        <f>AVERAGE(66, 62.77)</f>
        <v>64.385000000000005</v>
      </c>
      <c r="AW14" s="1" t="s">
        <v>43</v>
      </c>
      <c r="AY14" s="1">
        <v>1500</v>
      </c>
      <c r="BA14" s="1" t="s">
        <v>27</v>
      </c>
      <c r="BB14" s="1" t="s">
        <v>21</v>
      </c>
      <c r="BC14" s="1" t="s">
        <v>28</v>
      </c>
      <c r="BD14" s="1" t="s">
        <v>8</v>
      </c>
      <c r="BE14" s="1" t="s">
        <v>8</v>
      </c>
      <c r="BF14" s="1" t="s">
        <v>22</v>
      </c>
      <c r="BG14" s="1">
        <v>24</v>
      </c>
      <c r="BH14" s="1">
        <v>24</v>
      </c>
      <c r="BI14" s="1">
        <v>50000</v>
      </c>
      <c r="BJ14" s="1" t="s">
        <v>22</v>
      </c>
      <c r="BL14" s="1" t="s">
        <v>22</v>
      </c>
      <c r="BM14" s="1" t="s">
        <v>21</v>
      </c>
      <c r="BO14" s="1" t="s">
        <v>30</v>
      </c>
      <c r="BP14" s="1">
        <v>37</v>
      </c>
      <c r="BQ14" s="1">
        <v>35</v>
      </c>
      <c r="BS14" s="1">
        <f>AVERAGE(342,342, 345, 330, 350)</f>
        <v>341.8</v>
      </c>
      <c r="BV14" s="1" t="s">
        <v>31</v>
      </c>
      <c r="BX14" s="1" t="s">
        <v>25</v>
      </c>
      <c r="BY14" s="1" t="s">
        <v>56</v>
      </c>
      <c r="BZ14" s="1">
        <v>0</v>
      </c>
      <c r="CA14" s="1">
        <v>56</v>
      </c>
      <c r="CB14" s="1" t="s">
        <v>34</v>
      </c>
      <c r="CC14" s="13">
        <v>343499</v>
      </c>
      <c r="CD14" s="1" t="s">
        <v>8</v>
      </c>
    </row>
    <row r="15" spans="1:82" x14ac:dyDescent="0.2">
      <c r="A15" s="1" t="s">
        <v>70</v>
      </c>
      <c r="B15" s="1" t="s">
        <v>71</v>
      </c>
      <c r="C15" s="1" t="s">
        <v>16</v>
      </c>
      <c r="D15" s="1" t="s">
        <v>17</v>
      </c>
      <c r="E15" s="1" t="s">
        <v>18</v>
      </c>
      <c r="F15" s="1" t="s">
        <v>60</v>
      </c>
      <c r="G15" s="1">
        <v>74</v>
      </c>
      <c r="H15" s="1">
        <v>74</v>
      </c>
      <c r="I15" s="14" t="s">
        <v>43</v>
      </c>
      <c r="J15" s="14" t="s">
        <v>43</v>
      </c>
      <c r="L15" s="1">
        <v>28</v>
      </c>
      <c r="M15" s="1" t="s">
        <v>20</v>
      </c>
      <c r="N15" s="1">
        <v>3</v>
      </c>
      <c r="O15" s="1" t="s">
        <v>21</v>
      </c>
      <c r="P15" s="1" t="s">
        <v>21</v>
      </c>
      <c r="Q15" s="1" t="s">
        <v>22</v>
      </c>
      <c r="R15" s="1" t="s">
        <v>21</v>
      </c>
      <c r="S15" s="1" t="s">
        <v>22</v>
      </c>
      <c r="V15" s="5">
        <v>120000</v>
      </c>
      <c r="Y15" s="1" t="s">
        <v>23</v>
      </c>
      <c r="Z15" s="1" t="s">
        <v>21</v>
      </c>
      <c r="AD15" s="1" t="s">
        <v>21</v>
      </c>
      <c r="AE15" s="1" t="s">
        <v>22</v>
      </c>
      <c r="AF15" s="1" t="s">
        <v>24</v>
      </c>
      <c r="AJ15" s="1" t="s">
        <v>43</v>
      </c>
      <c r="AK15" s="1" t="s">
        <v>43</v>
      </c>
      <c r="AM15" s="13">
        <v>6.05</v>
      </c>
      <c r="AN15" s="1">
        <v>56</v>
      </c>
      <c r="AO15" s="13" t="s">
        <v>50</v>
      </c>
      <c r="AP15" s="1" t="s">
        <v>43</v>
      </c>
      <c r="AQ15" s="13">
        <v>275</v>
      </c>
      <c r="AR15" s="2" t="s">
        <v>26</v>
      </c>
      <c r="AS15" s="13">
        <v>3</v>
      </c>
      <c r="AT15" s="1">
        <f t="shared" si="1"/>
        <v>825</v>
      </c>
      <c r="AU15" s="13">
        <v>60</v>
      </c>
      <c r="AV15" s="1" t="s">
        <v>43</v>
      </c>
      <c r="AW15" s="1" t="s">
        <v>43</v>
      </c>
      <c r="BA15" s="1" t="s">
        <v>27</v>
      </c>
      <c r="BB15" s="1" t="s">
        <v>21</v>
      </c>
      <c r="BC15" s="1" t="s">
        <v>28</v>
      </c>
      <c r="BD15" s="1" t="s">
        <v>8</v>
      </c>
      <c r="BE15" s="1" t="s">
        <v>8</v>
      </c>
      <c r="BF15" s="1" t="s">
        <v>22</v>
      </c>
      <c r="BG15" s="1">
        <v>24</v>
      </c>
      <c r="BH15" s="1">
        <v>24</v>
      </c>
      <c r="BI15" s="1">
        <v>120000</v>
      </c>
      <c r="BL15" s="1" t="s">
        <v>22</v>
      </c>
      <c r="BM15" s="1" t="s">
        <v>21</v>
      </c>
      <c r="BO15" s="1" t="s">
        <v>30</v>
      </c>
      <c r="BP15" s="1">
        <v>36</v>
      </c>
      <c r="BQ15" s="1">
        <v>36</v>
      </c>
      <c r="BS15" s="1">
        <v>308</v>
      </c>
      <c r="BV15" s="1" t="s">
        <v>31</v>
      </c>
      <c r="BX15" s="1" t="s">
        <v>25</v>
      </c>
      <c r="BY15" s="1" t="s">
        <v>56</v>
      </c>
      <c r="BZ15" s="1">
        <v>0</v>
      </c>
      <c r="CA15" s="1">
        <v>42</v>
      </c>
      <c r="CB15" s="1" t="s">
        <v>34</v>
      </c>
      <c r="CC15" s="13">
        <v>562750</v>
      </c>
      <c r="CD15" s="1" t="s">
        <v>8</v>
      </c>
    </row>
    <row r="16" spans="1:82" x14ac:dyDescent="0.2">
      <c r="A16" s="1" t="s">
        <v>72</v>
      </c>
      <c r="B16" s="1" t="s">
        <v>73</v>
      </c>
      <c r="C16" s="1" t="s">
        <v>16</v>
      </c>
      <c r="D16" s="1" t="s">
        <v>17</v>
      </c>
      <c r="E16" s="1" t="s">
        <v>18</v>
      </c>
      <c r="F16" s="1" t="s">
        <v>74</v>
      </c>
      <c r="G16" s="1">
        <v>44</v>
      </c>
      <c r="H16" s="1">
        <v>44</v>
      </c>
      <c r="I16" s="17">
        <v>19240</v>
      </c>
      <c r="J16" s="17">
        <v>6398</v>
      </c>
      <c r="L16" s="1">
        <v>45</v>
      </c>
      <c r="M16" s="1" t="s">
        <v>32</v>
      </c>
      <c r="N16" s="1">
        <v>3</v>
      </c>
      <c r="O16" s="1" t="s">
        <v>21</v>
      </c>
      <c r="P16" s="1" t="s">
        <v>21</v>
      </c>
      <c r="Q16" s="1" t="s">
        <v>22</v>
      </c>
      <c r="R16" s="1" t="s">
        <v>21</v>
      </c>
      <c r="S16" s="1" t="s">
        <v>22</v>
      </c>
      <c r="V16" s="1">
        <v>166300</v>
      </c>
      <c r="W16" s="1">
        <v>1033</v>
      </c>
      <c r="X16" s="1">
        <f t="shared" si="0"/>
        <v>0.62116656644618162</v>
      </c>
      <c r="Y16" s="1" t="s">
        <v>30</v>
      </c>
      <c r="Z16" s="1" t="s">
        <v>21</v>
      </c>
      <c r="AA16" s="1">
        <v>73</v>
      </c>
      <c r="AB16" s="1">
        <f t="shared" si="3"/>
        <v>4.3896572459410706E-2</v>
      </c>
      <c r="AD16" s="1" t="s">
        <v>21</v>
      </c>
      <c r="AE16" s="1" t="s">
        <v>22</v>
      </c>
      <c r="AF16" s="1" t="s">
        <v>24</v>
      </c>
      <c r="AG16" s="1" t="s">
        <v>25</v>
      </c>
      <c r="AJ16" s="1" t="s">
        <v>43</v>
      </c>
      <c r="AK16" s="1" t="s">
        <v>43</v>
      </c>
      <c r="AM16" s="1">
        <v>4.72</v>
      </c>
      <c r="AN16" s="1">
        <v>62.74</v>
      </c>
      <c r="AO16" s="13" t="s">
        <v>50</v>
      </c>
      <c r="AP16" s="1" t="s">
        <v>43</v>
      </c>
      <c r="AQ16" s="2">
        <v>224.7</v>
      </c>
      <c r="AR16" s="2" t="s">
        <v>26</v>
      </c>
      <c r="AS16" s="1">
        <v>4.3</v>
      </c>
      <c r="AT16" s="1">
        <f t="shared" si="1"/>
        <v>966.20999999999992</v>
      </c>
      <c r="AU16" s="1">
        <v>84</v>
      </c>
      <c r="AV16" s="1">
        <v>98</v>
      </c>
      <c r="AW16" s="1">
        <v>92</v>
      </c>
      <c r="AY16" s="1">
        <v>10</v>
      </c>
      <c r="AZ16" s="1" t="s">
        <v>21</v>
      </c>
      <c r="BA16" s="1" t="s">
        <v>75</v>
      </c>
      <c r="BB16" s="1" t="s">
        <v>22</v>
      </c>
      <c r="BC16" s="1" t="s">
        <v>28</v>
      </c>
      <c r="BD16" s="1" t="s">
        <v>8</v>
      </c>
      <c r="BE16" s="1" t="s">
        <v>8</v>
      </c>
      <c r="BF16" s="1" t="s">
        <v>21</v>
      </c>
      <c r="BG16" s="1">
        <f>10*12</f>
        <v>120</v>
      </c>
      <c r="BH16" s="1">
        <v>102</v>
      </c>
      <c r="BI16" s="1">
        <v>175000</v>
      </c>
      <c r="BJ16" s="1" t="s">
        <v>22</v>
      </c>
      <c r="BL16" s="1" t="s">
        <v>22</v>
      </c>
      <c r="BM16" s="1" t="s">
        <v>21</v>
      </c>
      <c r="BO16" s="1" t="s">
        <v>30</v>
      </c>
      <c r="BP16" s="1">
        <v>31.5</v>
      </c>
      <c r="BQ16" s="1">
        <v>10</v>
      </c>
      <c r="BR16" s="1">
        <f>41.8*12</f>
        <v>501.59999999999997</v>
      </c>
      <c r="BS16" s="1">
        <v>365</v>
      </c>
      <c r="BT16" s="1">
        <v>7.8</v>
      </c>
      <c r="BU16" s="1">
        <f t="shared" si="4"/>
        <v>4.4571428571428574E-3</v>
      </c>
      <c r="BV16" s="1" t="s">
        <v>76</v>
      </c>
      <c r="BX16" s="1" t="s">
        <v>77</v>
      </c>
      <c r="BY16" s="1" t="s">
        <v>78</v>
      </c>
      <c r="BZ16" s="1">
        <v>0</v>
      </c>
      <c r="CA16" s="1">
        <v>76</v>
      </c>
      <c r="CB16" s="1" t="s">
        <v>34</v>
      </c>
      <c r="CC16" s="13">
        <v>600000</v>
      </c>
      <c r="CD16" s="1" t="s">
        <v>9</v>
      </c>
    </row>
    <row r="17" spans="1:82" x14ac:dyDescent="0.2">
      <c r="A17" s="1" t="s">
        <v>79</v>
      </c>
      <c r="B17" s="1" t="s">
        <v>80</v>
      </c>
      <c r="C17" s="1" t="s">
        <v>16</v>
      </c>
      <c r="D17" s="1" t="s">
        <v>17</v>
      </c>
      <c r="E17" s="1" t="s">
        <v>18</v>
      </c>
      <c r="F17" s="1" t="s">
        <v>74</v>
      </c>
      <c r="G17" s="1">
        <v>44</v>
      </c>
      <c r="H17" s="1">
        <v>44</v>
      </c>
      <c r="I17" s="17">
        <v>19204</v>
      </c>
      <c r="J17" s="17">
        <v>6952</v>
      </c>
      <c r="L17" s="1">
        <v>63</v>
      </c>
      <c r="M17" s="1" t="s">
        <v>32</v>
      </c>
      <c r="P17" s="1" t="s">
        <v>21</v>
      </c>
      <c r="V17" s="1">
        <v>7365000</v>
      </c>
      <c r="W17" s="1">
        <v>20000</v>
      </c>
      <c r="X17" s="1">
        <f t="shared" si="0"/>
        <v>0.27155465037338761</v>
      </c>
      <c r="Y17" s="1" t="s">
        <v>30</v>
      </c>
      <c r="Z17" s="1" t="s">
        <v>21</v>
      </c>
      <c r="AD17" s="1" t="s">
        <v>21</v>
      </c>
      <c r="AE17" s="1" t="s">
        <v>22</v>
      </c>
      <c r="AF17" s="1" t="s">
        <v>24</v>
      </c>
      <c r="AJ17" s="1" t="s">
        <v>43</v>
      </c>
      <c r="AK17" s="1" t="s">
        <v>43</v>
      </c>
      <c r="AM17" s="1">
        <v>3.8</v>
      </c>
      <c r="AN17" s="1">
        <v>78</v>
      </c>
      <c r="AO17" s="13" t="s">
        <v>47</v>
      </c>
      <c r="AP17" s="1" t="s">
        <v>43</v>
      </c>
      <c r="AQ17" s="2">
        <v>988</v>
      </c>
      <c r="AR17" s="2" t="s">
        <v>26</v>
      </c>
      <c r="AS17" s="1">
        <v>13.9</v>
      </c>
      <c r="AT17" s="1">
        <f>AS17*AQ17</f>
        <v>13733.2</v>
      </c>
      <c r="AU17" s="1">
        <v>91</v>
      </c>
      <c r="AV17" s="1">
        <v>88</v>
      </c>
      <c r="AW17" s="1">
        <v>90</v>
      </c>
      <c r="AZ17" s="1" t="s">
        <v>21</v>
      </c>
      <c r="BA17" s="1" t="s">
        <v>75</v>
      </c>
      <c r="BC17" s="1" t="s">
        <v>28</v>
      </c>
      <c r="BD17" s="1" t="s">
        <v>8</v>
      </c>
      <c r="BE17" s="1" t="s">
        <v>8</v>
      </c>
      <c r="BF17" s="1" t="s">
        <v>21</v>
      </c>
      <c r="BG17" s="1">
        <f>16*12</f>
        <v>192</v>
      </c>
      <c r="BH17" s="1">
        <f>17*12</f>
        <v>204</v>
      </c>
      <c r="BI17" s="1">
        <v>4250000</v>
      </c>
      <c r="BJ17" s="1" t="s">
        <v>22</v>
      </c>
      <c r="BL17" s="1" t="s">
        <v>22</v>
      </c>
      <c r="BM17" s="1" t="s">
        <v>21</v>
      </c>
      <c r="BO17" s="1" t="s">
        <v>30</v>
      </c>
      <c r="BP17" s="1">
        <v>41</v>
      </c>
      <c r="BQ17" s="1" t="s">
        <v>43</v>
      </c>
      <c r="BR17" s="1">
        <f>AVERAGE(540, 480)</f>
        <v>510</v>
      </c>
      <c r="BS17" s="1">
        <v>517</v>
      </c>
      <c r="BV17" s="1" t="s">
        <v>76</v>
      </c>
      <c r="BX17" s="1" t="s">
        <v>77</v>
      </c>
      <c r="BY17" s="1" t="s">
        <v>78</v>
      </c>
      <c r="BZ17" s="1">
        <v>0</v>
      </c>
      <c r="CA17" s="1">
        <v>72</v>
      </c>
      <c r="CC17" s="13">
        <v>50000</v>
      </c>
      <c r="CD17" s="1" t="s">
        <v>9</v>
      </c>
    </row>
    <row r="18" spans="1:82" x14ac:dyDescent="0.2">
      <c r="A18" s="1" t="s">
        <v>81</v>
      </c>
      <c r="B18" s="1" t="s">
        <v>82</v>
      </c>
      <c r="C18" s="1" t="s">
        <v>16</v>
      </c>
      <c r="D18" s="1" t="s">
        <v>17</v>
      </c>
      <c r="E18" s="1" t="s">
        <v>18</v>
      </c>
      <c r="F18" s="1" t="s">
        <v>83</v>
      </c>
      <c r="G18" s="1">
        <v>36</v>
      </c>
      <c r="H18" s="1">
        <v>36</v>
      </c>
      <c r="I18" s="14" t="s">
        <v>43</v>
      </c>
      <c r="J18" s="14" t="s">
        <v>43</v>
      </c>
      <c r="L18" s="1">
        <v>61.2</v>
      </c>
      <c r="M18" s="1" t="s">
        <v>50</v>
      </c>
      <c r="N18" s="1">
        <v>2</v>
      </c>
      <c r="O18" s="1" t="s">
        <v>21</v>
      </c>
      <c r="P18" s="1" t="s">
        <v>22</v>
      </c>
      <c r="Q18" s="1" t="s">
        <v>21</v>
      </c>
      <c r="R18" s="1" t="s">
        <v>22</v>
      </c>
      <c r="S18" s="1" t="s">
        <v>22</v>
      </c>
      <c r="T18" s="1">
        <v>220</v>
      </c>
      <c r="U18" s="1">
        <f t="shared" si="2"/>
        <v>1.375E-2</v>
      </c>
      <c r="V18" s="1">
        <v>1600000</v>
      </c>
      <c r="W18" s="1">
        <f>AVERAGE(550, 650)</f>
        <v>600</v>
      </c>
      <c r="X18" s="1">
        <f t="shared" si="0"/>
        <v>3.7499999999999999E-2</v>
      </c>
      <c r="Y18" s="1" t="s">
        <v>30</v>
      </c>
      <c r="Z18" s="1" t="s">
        <v>84</v>
      </c>
      <c r="AA18" s="1">
        <f>135*2</f>
        <v>270</v>
      </c>
      <c r="AB18" s="1">
        <f t="shared" si="3"/>
        <v>1.6875000000000001E-2</v>
      </c>
      <c r="AD18" s="1" t="s">
        <v>21</v>
      </c>
      <c r="AF18" s="1" t="s">
        <v>24</v>
      </c>
      <c r="AM18" s="13">
        <v>52</v>
      </c>
      <c r="AN18" s="1">
        <v>33.49</v>
      </c>
      <c r="AO18" s="13" t="s">
        <v>47</v>
      </c>
      <c r="AP18" s="13">
        <v>11030</v>
      </c>
      <c r="AQ18" s="2" t="s">
        <v>43</v>
      </c>
      <c r="AR18" s="2" t="s">
        <v>43</v>
      </c>
      <c r="AS18" s="2" t="s">
        <v>43</v>
      </c>
      <c r="AT18" s="2" t="s">
        <v>43</v>
      </c>
      <c r="AU18" s="13">
        <v>88</v>
      </c>
      <c r="AV18" s="13">
        <v>84.9</v>
      </c>
      <c r="AW18" s="13">
        <v>86.5</v>
      </c>
      <c r="BA18" s="1" t="s">
        <v>75</v>
      </c>
      <c r="BC18" s="1" t="s">
        <v>28</v>
      </c>
      <c r="BD18" s="1" t="s">
        <v>8</v>
      </c>
      <c r="BE18" s="1" t="s">
        <v>22</v>
      </c>
      <c r="BG18" s="1">
        <v>43</v>
      </c>
      <c r="BH18" s="1">
        <v>43</v>
      </c>
      <c r="BI18" s="1">
        <f>AVERAGE(1300000, 1500000)</f>
        <v>1400000</v>
      </c>
      <c r="BJ18" s="1" t="s">
        <v>22</v>
      </c>
      <c r="BL18" s="1" t="s">
        <v>22</v>
      </c>
      <c r="BM18" s="1" t="s">
        <v>21</v>
      </c>
      <c r="BN18" s="1">
        <v>425</v>
      </c>
      <c r="BO18" s="1" t="s">
        <v>30</v>
      </c>
      <c r="BP18" s="1">
        <f>AVERAGE(35.3, 31.8, 33.4)</f>
        <v>33.5</v>
      </c>
      <c r="BQ18" s="1" t="s">
        <v>43</v>
      </c>
      <c r="BS18" s="1">
        <f>AVERAGE(227, 240)</f>
        <v>233.5</v>
      </c>
      <c r="BZ18" s="1">
        <v>0</v>
      </c>
      <c r="CA18" s="1">
        <f>341/7</f>
        <v>48.714285714285715</v>
      </c>
      <c r="CC18" s="13">
        <v>122500</v>
      </c>
    </row>
    <row r="19" spans="1:82" x14ac:dyDescent="0.2">
      <c r="A19" s="1" t="s">
        <v>85</v>
      </c>
      <c r="B19" s="1" t="s">
        <v>86</v>
      </c>
      <c r="C19" s="1" t="s">
        <v>16</v>
      </c>
      <c r="D19" s="1" t="s">
        <v>17</v>
      </c>
      <c r="E19" s="1" t="s">
        <v>18</v>
      </c>
      <c r="F19" s="1" t="s">
        <v>87</v>
      </c>
      <c r="G19" s="1">
        <v>22</v>
      </c>
      <c r="H19" s="1">
        <v>22</v>
      </c>
      <c r="I19" s="14" t="s">
        <v>43</v>
      </c>
      <c r="J19" s="14" t="s">
        <v>43</v>
      </c>
      <c r="L19" s="1">
        <v>21</v>
      </c>
      <c r="M19" s="1" t="s">
        <v>32</v>
      </c>
      <c r="P19" s="1" t="s">
        <v>21</v>
      </c>
      <c r="V19" s="1">
        <v>46500</v>
      </c>
      <c r="W19" s="1">
        <v>950</v>
      </c>
      <c r="X19" s="1">
        <f t="shared" si="0"/>
        <v>2.043010752688172</v>
      </c>
      <c r="Y19" s="1" t="s">
        <v>30</v>
      </c>
      <c r="Z19" s="1" t="s">
        <v>84</v>
      </c>
      <c r="AA19" s="1">
        <v>100</v>
      </c>
      <c r="AB19" s="1">
        <f t="shared" si="3"/>
        <v>0.21505376344086022</v>
      </c>
      <c r="AD19" s="1" t="s">
        <v>21</v>
      </c>
      <c r="AJ19" s="1" t="s">
        <v>43</v>
      </c>
      <c r="AK19" s="1" t="s">
        <v>43</v>
      </c>
      <c r="AM19" s="1" t="s">
        <v>43</v>
      </c>
      <c r="AN19" s="1" t="s">
        <v>43</v>
      </c>
      <c r="AO19" s="1" t="s">
        <v>43</v>
      </c>
      <c r="AP19" s="1" t="s">
        <v>43</v>
      </c>
      <c r="AQ19" s="1" t="s">
        <v>43</v>
      </c>
      <c r="AR19" s="1" t="s">
        <v>43</v>
      </c>
      <c r="AS19" s="1" t="s">
        <v>43</v>
      </c>
      <c r="AT19" s="1" t="s">
        <v>43</v>
      </c>
      <c r="AU19" s="1" t="s">
        <v>43</v>
      </c>
      <c r="AV19" s="1" t="s">
        <v>43</v>
      </c>
      <c r="AW19" s="1" t="s">
        <v>43</v>
      </c>
      <c r="BA19" s="1" t="s">
        <v>27</v>
      </c>
      <c r="BC19" s="1" t="s">
        <v>8</v>
      </c>
      <c r="BD19" s="1" t="s">
        <v>8</v>
      </c>
      <c r="BE19" s="1" t="s">
        <v>8</v>
      </c>
      <c r="BG19" s="1">
        <v>36</v>
      </c>
      <c r="BH19" s="1">
        <v>36</v>
      </c>
      <c r="BI19" s="1">
        <v>46500</v>
      </c>
      <c r="BL19" s="1" t="s">
        <v>22</v>
      </c>
      <c r="BO19" s="1" t="s">
        <v>30</v>
      </c>
      <c r="BP19" s="1" t="s">
        <v>43</v>
      </c>
      <c r="BQ19" s="1" t="s">
        <v>43</v>
      </c>
      <c r="BS19" s="1">
        <v>334.5</v>
      </c>
      <c r="BV19" s="1" t="s">
        <v>76</v>
      </c>
      <c r="BX19" s="1" t="s">
        <v>77</v>
      </c>
      <c r="BY19" s="1" t="s">
        <v>78</v>
      </c>
      <c r="BZ19" s="1">
        <v>0</v>
      </c>
      <c r="CA19" s="1">
        <f>AVERAGE(48, 34)</f>
        <v>41</v>
      </c>
      <c r="CB19" s="1" t="s">
        <v>88</v>
      </c>
      <c r="CC19" s="13">
        <v>10</v>
      </c>
      <c r="CD19" s="1" t="s">
        <v>22</v>
      </c>
    </row>
    <row r="20" spans="1:82" ht="34" x14ac:dyDescent="0.2">
      <c r="A20" s="1" t="s">
        <v>89</v>
      </c>
      <c r="B20" s="1" t="s">
        <v>90</v>
      </c>
      <c r="C20" s="1" t="s">
        <v>16</v>
      </c>
      <c r="D20" s="1" t="s">
        <v>17</v>
      </c>
      <c r="E20" s="5" t="s">
        <v>18</v>
      </c>
      <c r="F20" s="5" t="s">
        <v>91</v>
      </c>
      <c r="G20" s="5">
        <v>36</v>
      </c>
      <c r="H20" s="5">
        <v>36</v>
      </c>
      <c r="I20" s="17">
        <v>20790</v>
      </c>
      <c r="J20" s="17">
        <v>6460</v>
      </c>
      <c r="K20" s="5"/>
      <c r="L20" s="5">
        <v>27</v>
      </c>
      <c r="M20" s="5" t="s">
        <v>50</v>
      </c>
      <c r="N20" s="1">
        <v>3</v>
      </c>
      <c r="O20" s="1" t="s">
        <v>21</v>
      </c>
      <c r="P20" s="1" t="s">
        <v>21</v>
      </c>
      <c r="Q20" s="1" t="s">
        <v>21</v>
      </c>
      <c r="R20" s="1" t="s">
        <v>22</v>
      </c>
      <c r="S20" s="1" t="s">
        <v>22</v>
      </c>
      <c r="T20" s="1">
        <f>20+18.09</f>
        <v>38.090000000000003</v>
      </c>
      <c r="U20" s="1">
        <f t="shared" si="2"/>
        <v>1.0336499321573949E-2</v>
      </c>
      <c r="V20" s="5">
        <f>AVERAGE(397000, 340000)</f>
        <v>368500</v>
      </c>
      <c r="W20" s="1">
        <f>AVERAGE(128.2, 144, 154.5)</f>
        <v>142.23333333333332</v>
      </c>
      <c r="X20" s="1">
        <f t="shared" si="0"/>
        <v>3.8597919493441879E-2</v>
      </c>
      <c r="Y20" s="1" t="s">
        <v>23</v>
      </c>
      <c r="Z20" s="1" t="s">
        <v>21</v>
      </c>
      <c r="AA20" s="1">
        <v>84.6</v>
      </c>
      <c r="AB20" s="1">
        <f t="shared" si="3"/>
        <v>2.2957937584803252E-2</v>
      </c>
      <c r="AD20" s="1" t="s">
        <v>21</v>
      </c>
      <c r="AE20" s="1" t="s">
        <v>22</v>
      </c>
      <c r="AF20" s="1" t="s">
        <v>24</v>
      </c>
      <c r="AG20" s="1" t="s">
        <v>32</v>
      </c>
      <c r="AH20" s="1" t="s">
        <v>28</v>
      </c>
      <c r="AI20" s="1" t="s">
        <v>21</v>
      </c>
      <c r="AJ20" s="1">
        <v>9.0500000000000007</v>
      </c>
      <c r="AK20" s="1">
        <f>AJ20*4.5</f>
        <v>40.725000000000001</v>
      </c>
      <c r="AL20" s="1">
        <f>AVERAGE(11.8, 10.4)</f>
        <v>11.100000000000001</v>
      </c>
      <c r="AM20" s="1">
        <v>8.5</v>
      </c>
      <c r="AN20" s="1">
        <v>54.6</v>
      </c>
      <c r="AO20" s="1" t="s">
        <v>7</v>
      </c>
      <c r="AP20" s="1">
        <f>AVERAGE(104000, 124733.33)</f>
        <v>114366.66500000001</v>
      </c>
      <c r="AQ20" s="13">
        <v>374.23</v>
      </c>
      <c r="AR20" s="2" t="s">
        <v>26</v>
      </c>
      <c r="AS20" s="13">
        <v>231.98</v>
      </c>
      <c r="AT20" s="1">
        <f>AS20*AQ20</f>
        <v>86813.875400000004</v>
      </c>
      <c r="AU20" s="1">
        <v>80</v>
      </c>
      <c r="AV20" s="1">
        <v>97</v>
      </c>
      <c r="AW20" s="1">
        <v>85</v>
      </c>
      <c r="AX20" s="1">
        <v>2</v>
      </c>
      <c r="BA20" s="1" t="s">
        <v>27</v>
      </c>
      <c r="BB20" s="1" t="s">
        <v>22</v>
      </c>
      <c r="BC20" s="1" t="s">
        <v>28</v>
      </c>
      <c r="BD20" s="1" t="s">
        <v>40</v>
      </c>
      <c r="BE20" s="1" t="s">
        <v>22</v>
      </c>
      <c r="BG20" s="1">
        <v>20</v>
      </c>
      <c r="BH20" s="1">
        <v>20</v>
      </c>
      <c r="BI20" s="1">
        <v>51700</v>
      </c>
      <c r="BJ20" s="1" t="s">
        <v>21</v>
      </c>
      <c r="BK20" s="1" t="s">
        <v>29</v>
      </c>
      <c r="BL20" s="1" t="s">
        <v>22</v>
      </c>
      <c r="BM20" s="1" t="s">
        <v>21</v>
      </c>
      <c r="BN20" s="1">
        <v>210</v>
      </c>
      <c r="BO20" s="1" t="s">
        <v>30</v>
      </c>
      <c r="BP20" s="1">
        <v>21</v>
      </c>
      <c r="BQ20" s="1">
        <v>2.1</v>
      </c>
      <c r="BS20" s="1">
        <v>114</v>
      </c>
      <c r="BT20" s="1">
        <v>3.6</v>
      </c>
      <c r="BU20" s="1">
        <f>(BT20/BI20)*100</f>
        <v>6.9632495164410058E-3</v>
      </c>
      <c r="BV20" s="1" t="s">
        <v>76</v>
      </c>
      <c r="BX20" s="1" t="s">
        <v>77</v>
      </c>
      <c r="BY20" s="1" t="s">
        <v>56</v>
      </c>
      <c r="BZ20" s="1">
        <v>0</v>
      </c>
      <c r="CA20" s="1">
        <v>7</v>
      </c>
      <c r="CB20" s="1" t="s">
        <v>34</v>
      </c>
      <c r="CC20" s="13">
        <v>1000000000</v>
      </c>
      <c r="CD20" s="1" t="s">
        <v>9</v>
      </c>
    </row>
    <row r="21" spans="1:82" ht="34" x14ac:dyDescent="0.2">
      <c r="A21" s="1" t="s">
        <v>92</v>
      </c>
      <c r="B21" s="1" t="s">
        <v>93</v>
      </c>
      <c r="C21" s="1" t="s">
        <v>16</v>
      </c>
      <c r="D21" s="1" t="s">
        <v>17</v>
      </c>
      <c r="E21" s="5" t="s">
        <v>18</v>
      </c>
      <c r="F21" s="5" t="s">
        <v>91</v>
      </c>
      <c r="G21" s="5">
        <v>36</v>
      </c>
      <c r="H21" s="5">
        <v>36</v>
      </c>
      <c r="I21" s="14" t="s">
        <v>43</v>
      </c>
      <c r="J21" s="14" t="s">
        <v>43</v>
      </c>
      <c r="K21" s="5"/>
      <c r="L21" s="5">
        <v>20</v>
      </c>
      <c r="M21" s="5" t="s">
        <v>50</v>
      </c>
      <c r="N21" s="1">
        <v>3</v>
      </c>
      <c r="O21" s="1" t="s">
        <v>21</v>
      </c>
      <c r="P21" s="1" t="s">
        <v>21</v>
      </c>
      <c r="Q21" s="1" t="s">
        <v>21</v>
      </c>
      <c r="R21" s="1" t="s">
        <v>22</v>
      </c>
      <c r="S21" s="1" t="s">
        <v>22</v>
      </c>
      <c r="V21" s="5">
        <v>87500</v>
      </c>
      <c r="W21" s="13">
        <v>278.7</v>
      </c>
      <c r="X21" s="1">
        <f t="shared" si="0"/>
        <v>0.31851428571428569</v>
      </c>
      <c r="Y21" s="1" t="s">
        <v>23</v>
      </c>
      <c r="Z21" s="1" t="s">
        <v>21</v>
      </c>
      <c r="AA21" s="13">
        <v>66.099999999999994</v>
      </c>
      <c r="AB21" s="1">
        <f t="shared" si="3"/>
        <v>7.5542857142857134E-2</v>
      </c>
      <c r="AD21" s="1" t="s">
        <v>21</v>
      </c>
      <c r="AE21" s="1" t="s">
        <v>22</v>
      </c>
      <c r="AF21" s="1" t="s">
        <v>24</v>
      </c>
      <c r="AG21" s="1" t="s">
        <v>32</v>
      </c>
      <c r="AJ21" s="13">
        <v>9.1</v>
      </c>
      <c r="AK21" s="1">
        <f>AJ21*4.5</f>
        <v>40.949999999999996</v>
      </c>
      <c r="AM21" s="13">
        <v>8.4</v>
      </c>
      <c r="AN21" s="1" t="s">
        <v>43</v>
      </c>
      <c r="AO21" s="1" t="s">
        <v>7</v>
      </c>
      <c r="AP21" s="1" t="s">
        <v>43</v>
      </c>
      <c r="AQ21" s="13">
        <v>300</v>
      </c>
      <c r="AR21" s="2" t="s">
        <v>26</v>
      </c>
      <c r="AS21" s="13">
        <v>190</v>
      </c>
      <c r="AT21" s="1">
        <f t="shared" ref="AT21" si="5">AS21*AQ21</f>
        <v>57000</v>
      </c>
      <c r="AU21" s="13">
        <v>80</v>
      </c>
      <c r="AV21" s="13">
        <v>91.5</v>
      </c>
      <c r="AW21" s="13">
        <v>95.7</v>
      </c>
      <c r="BA21" s="1" t="s">
        <v>27</v>
      </c>
      <c r="BB21" s="1" t="s">
        <v>22</v>
      </c>
      <c r="BC21" s="1" t="s">
        <v>28</v>
      </c>
      <c r="BD21" s="1" t="s">
        <v>40</v>
      </c>
      <c r="BE21" s="1" t="s">
        <v>37</v>
      </c>
      <c r="BG21" s="1">
        <f>AVERAGE(10, 5)</f>
        <v>7.5</v>
      </c>
      <c r="BH21" s="1">
        <v>10</v>
      </c>
      <c r="BI21" s="1">
        <v>70000</v>
      </c>
      <c r="BJ21" s="1" t="s">
        <v>21</v>
      </c>
      <c r="BL21" s="1" t="s">
        <v>22</v>
      </c>
      <c r="BM21" s="1" t="s">
        <v>21</v>
      </c>
      <c r="BO21" s="1" t="s">
        <v>30</v>
      </c>
      <c r="BP21" s="1">
        <v>21</v>
      </c>
      <c r="BQ21" s="1">
        <v>2.5</v>
      </c>
      <c r="BS21" s="1">
        <v>115</v>
      </c>
      <c r="BV21" s="1" t="s">
        <v>76</v>
      </c>
      <c r="BX21" s="1" t="s">
        <v>77</v>
      </c>
      <c r="BY21" s="1" t="s">
        <v>56</v>
      </c>
      <c r="BZ21" s="1">
        <v>0</v>
      </c>
      <c r="CA21" s="1">
        <f>AVERAGE(8, 12)</f>
        <v>10</v>
      </c>
      <c r="CB21" s="1" t="s">
        <v>34</v>
      </c>
      <c r="CC21" s="1" t="s">
        <v>43</v>
      </c>
      <c r="CD21" s="1" t="s">
        <v>9</v>
      </c>
    </row>
    <row r="22" spans="1:82" ht="34" x14ac:dyDescent="0.2">
      <c r="A22" s="1" t="s">
        <v>94</v>
      </c>
      <c r="B22" s="1" t="s">
        <v>95</v>
      </c>
      <c r="C22" s="1" t="s">
        <v>16</v>
      </c>
      <c r="D22" s="1" t="s">
        <v>17</v>
      </c>
      <c r="E22" s="5" t="s">
        <v>18</v>
      </c>
      <c r="F22" s="5" t="s">
        <v>91</v>
      </c>
      <c r="G22" s="5">
        <v>34</v>
      </c>
      <c r="H22" s="5">
        <v>34</v>
      </c>
      <c r="I22" s="14" t="s">
        <v>43</v>
      </c>
      <c r="J22" s="14" t="s">
        <v>43</v>
      </c>
      <c r="K22" s="5"/>
      <c r="L22" s="5">
        <v>20.9</v>
      </c>
      <c r="M22" s="5" t="s">
        <v>50</v>
      </c>
      <c r="O22" s="1" t="s">
        <v>21</v>
      </c>
      <c r="P22" s="1" t="s">
        <v>21</v>
      </c>
      <c r="T22" s="1">
        <f>14.9+17</f>
        <v>31.9</v>
      </c>
      <c r="U22" s="1">
        <f t="shared" si="2"/>
        <v>2.1266666666666666E-2</v>
      </c>
      <c r="V22" s="5">
        <f>AVERAGE(140000, 160000)</f>
        <v>150000</v>
      </c>
      <c r="W22" s="1">
        <v>164.8</v>
      </c>
      <c r="X22" s="1">
        <f t="shared" si="0"/>
        <v>0.10986666666666668</v>
      </c>
      <c r="Y22" s="1" t="s">
        <v>23</v>
      </c>
      <c r="Z22" s="1" t="s">
        <v>21</v>
      </c>
      <c r="AD22" s="1" t="s">
        <v>21</v>
      </c>
      <c r="AE22" s="1" t="s">
        <v>22</v>
      </c>
      <c r="AF22" s="1" t="s">
        <v>24</v>
      </c>
      <c r="AG22" s="1" t="s">
        <v>32</v>
      </c>
      <c r="AM22" s="1">
        <v>8.2100000000000009</v>
      </c>
      <c r="AN22" s="1">
        <v>50.8</v>
      </c>
      <c r="AO22" s="13" t="s">
        <v>7</v>
      </c>
      <c r="AP22" s="13">
        <v>1290</v>
      </c>
      <c r="AQ22" s="1" t="s">
        <v>43</v>
      </c>
      <c r="AR22" s="1" t="s">
        <v>43</v>
      </c>
      <c r="AS22" s="1" t="s">
        <v>43</v>
      </c>
      <c r="AT22" s="1" t="s">
        <v>43</v>
      </c>
      <c r="AU22" s="1" t="s">
        <v>43</v>
      </c>
      <c r="AV22" s="1" t="s">
        <v>43</v>
      </c>
      <c r="AW22" s="1" t="s">
        <v>43</v>
      </c>
      <c r="BA22" s="1" t="s">
        <v>75</v>
      </c>
      <c r="BB22" s="1" t="s">
        <v>22</v>
      </c>
      <c r="BC22" s="1" t="s">
        <v>28</v>
      </c>
      <c r="BD22" s="1" t="s">
        <v>40</v>
      </c>
      <c r="BE22" s="1" t="s">
        <v>37</v>
      </c>
      <c r="BG22" s="1">
        <v>18</v>
      </c>
      <c r="BH22" s="1">
        <v>18</v>
      </c>
      <c r="BI22" s="1">
        <v>105000</v>
      </c>
      <c r="BJ22" s="1" t="s">
        <v>21</v>
      </c>
      <c r="BL22" s="1" t="s">
        <v>22</v>
      </c>
      <c r="BM22" s="1" t="s">
        <v>21</v>
      </c>
      <c r="BO22" s="1" t="s">
        <v>30</v>
      </c>
      <c r="BP22" s="1">
        <v>35</v>
      </c>
      <c r="BQ22" s="1">
        <v>3</v>
      </c>
      <c r="BS22" s="1">
        <v>167.5</v>
      </c>
      <c r="BV22" s="1" t="s">
        <v>76</v>
      </c>
      <c r="BX22" s="1" t="s">
        <v>77</v>
      </c>
      <c r="BY22" s="1" t="s">
        <v>56</v>
      </c>
      <c r="BZ22" s="1">
        <v>0</v>
      </c>
      <c r="CA22" s="1">
        <v>24</v>
      </c>
      <c r="CB22" s="1" t="s">
        <v>34</v>
      </c>
      <c r="CC22" s="13">
        <v>22250</v>
      </c>
      <c r="CD22" s="1" t="s">
        <v>8</v>
      </c>
    </row>
    <row r="23" spans="1:82" ht="34" x14ac:dyDescent="0.2">
      <c r="A23" s="1" t="s">
        <v>96</v>
      </c>
      <c r="B23" s="1" t="s">
        <v>97</v>
      </c>
      <c r="C23" s="1" t="s">
        <v>16</v>
      </c>
      <c r="D23" s="1" t="s">
        <v>17</v>
      </c>
      <c r="E23" s="5" t="s">
        <v>18</v>
      </c>
      <c r="F23" s="5" t="s">
        <v>91</v>
      </c>
      <c r="G23" s="5">
        <v>38</v>
      </c>
      <c r="H23" s="5">
        <v>38</v>
      </c>
      <c r="I23" s="14" t="s">
        <v>43</v>
      </c>
      <c r="J23" s="14" t="s">
        <v>43</v>
      </c>
      <c r="K23" s="5"/>
      <c r="L23" s="5">
        <v>17</v>
      </c>
      <c r="M23" s="5" t="s">
        <v>50</v>
      </c>
      <c r="O23" s="1" t="s">
        <v>21</v>
      </c>
      <c r="P23" s="1" t="s">
        <v>21</v>
      </c>
      <c r="V23" s="5">
        <v>108200</v>
      </c>
      <c r="Y23" s="1" t="s">
        <v>23</v>
      </c>
      <c r="Z23" s="1" t="s">
        <v>21</v>
      </c>
      <c r="AD23" s="1" t="s">
        <v>21</v>
      </c>
      <c r="AE23" s="1" t="s">
        <v>22</v>
      </c>
      <c r="AF23" s="1" t="s">
        <v>24</v>
      </c>
      <c r="AG23" s="1" t="s">
        <v>32</v>
      </c>
      <c r="AM23" s="1">
        <v>9.9499999999999993</v>
      </c>
      <c r="AN23" s="1">
        <f>AM23+48</f>
        <v>57.95</v>
      </c>
      <c r="AO23" s="1" t="s">
        <v>50</v>
      </c>
      <c r="AP23" s="1" t="s">
        <v>43</v>
      </c>
      <c r="AQ23" s="1" t="s">
        <v>43</v>
      </c>
      <c r="AR23" s="1" t="s">
        <v>43</v>
      </c>
      <c r="AS23" s="1" t="s">
        <v>43</v>
      </c>
      <c r="AT23" s="1" t="s">
        <v>43</v>
      </c>
      <c r="AU23" s="1" t="s">
        <v>43</v>
      </c>
      <c r="AV23" s="1" t="s">
        <v>43</v>
      </c>
      <c r="AW23" s="1" t="s">
        <v>43</v>
      </c>
      <c r="BA23" s="1" t="s">
        <v>75</v>
      </c>
      <c r="BB23" s="1" t="s">
        <v>22</v>
      </c>
      <c r="BC23" s="1" t="s">
        <v>28</v>
      </c>
      <c r="BD23" s="1" t="s">
        <v>40</v>
      </c>
      <c r="BE23" s="1" t="s">
        <v>8</v>
      </c>
      <c r="BG23" s="1">
        <f>5*12</f>
        <v>60</v>
      </c>
      <c r="BH23" s="1">
        <f>274/30</f>
        <v>9.1333333333333329</v>
      </c>
      <c r="BI23" s="1">
        <v>44000</v>
      </c>
      <c r="BJ23" s="1" t="s">
        <v>21</v>
      </c>
      <c r="BL23" s="1" t="s">
        <v>22</v>
      </c>
      <c r="BM23" s="1" t="s">
        <v>21</v>
      </c>
      <c r="BO23" s="1" t="s">
        <v>30</v>
      </c>
      <c r="BP23" s="1" t="s">
        <v>43</v>
      </c>
      <c r="BQ23" s="1" t="s">
        <v>43</v>
      </c>
      <c r="BS23" s="1">
        <v>122</v>
      </c>
      <c r="BV23" s="1" t="s">
        <v>76</v>
      </c>
      <c r="BX23" s="1" t="s">
        <v>77</v>
      </c>
      <c r="BY23" s="1" t="s">
        <v>56</v>
      </c>
      <c r="BZ23" s="1">
        <v>0</v>
      </c>
      <c r="CA23" s="1">
        <f>3.5*4</f>
        <v>14</v>
      </c>
      <c r="CB23" s="1" t="s">
        <v>98</v>
      </c>
      <c r="CC23" s="1" t="s">
        <v>43</v>
      </c>
      <c r="CD23" s="1" t="s">
        <v>8</v>
      </c>
    </row>
    <row r="24" spans="1:82" x14ac:dyDescent="0.2">
      <c r="A24" s="1" t="s">
        <v>99</v>
      </c>
      <c r="B24" s="1" t="s">
        <v>100</v>
      </c>
      <c r="C24" s="1" t="s">
        <v>16</v>
      </c>
      <c r="D24" s="1" t="s">
        <v>17</v>
      </c>
      <c r="E24" s="1" t="s">
        <v>101</v>
      </c>
      <c r="F24" s="1" t="s">
        <v>102</v>
      </c>
      <c r="G24" s="1">
        <v>78</v>
      </c>
      <c r="H24" s="1">
        <v>78</v>
      </c>
      <c r="I24" s="18">
        <v>20593</v>
      </c>
      <c r="J24" s="18">
        <v>15499</v>
      </c>
      <c r="L24" s="1">
        <v>20</v>
      </c>
      <c r="M24" s="1" t="s">
        <v>32</v>
      </c>
      <c r="N24" s="1">
        <v>1</v>
      </c>
      <c r="P24" s="1" t="s">
        <v>21</v>
      </c>
      <c r="Q24" s="1" t="s">
        <v>22</v>
      </c>
      <c r="V24" s="5">
        <v>42872</v>
      </c>
      <c r="W24" s="5">
        <v>44.28</v>
      </c>
      <c r="X24" s="1">
        <f t="shared" si="0"/>
        <v>0.10328419481246502</v>
      </c>
      <c r="Y24" s="1" t="s">
        <v>23</v>
      </c>
      <c r="Z24" s="1" t="s">
        <v>21</v>
      </c>
      <c r="AC24" s="1" t="s">
        <v>21</v>
      </c>
      <c r="AD24" s="1" t="s">
        <v>21</v>
      </c>
      <c r="AE24" s="1" t="s">
        <v>21</v>
      </c>
      <c r="AF24" s="1" t="s">
        <v>40</v>
      </c>
      <c r="AG24" s="1" t="s">
        <v>25</v>
      </c>
      <c r="AH24" s="1" t="s">
        <v>22</v>
      </c>
      <c r="AK24" s="1">
        <v>54</v>
      </c>
      <c r="AM24" s="1">
        <f>AVERAGE(5, 6.1)</f>
        <v>5.55</v>
      </c>
      <c r="AN24" s="1">
        <f>AVERAGE(61.4, 51.2)</f>
        <v>56.3</v>
      </c>
      <c r="AO24" s="1" t="s">
        <v>47</v>
      </c>
      <c r="AP24" s="1" t="s">
        <v>43</v>
      </c>
      <c r="AQ24" s="2">
        <f>AT24/AS24</f>
        <v>126.51333333333334</v>
      </c>
      <c r="AR24" s="2" t="s">
        <v>44</v>
      </c>
      <c r="AS24" s="1">
        <v>15</v>
      </c>
      <c r="AT24" s="1">
        <v>1897.7</v>
      </c>
      <c r="AU24" s="1">
        <v>89</v>
      </c>
      <c r="AV24" s="1">
        <v>77</v>
      </c>
      <c r="AW24" s="1">
        <v>87</v>
      </c>
      <c r="AX24" s="1">
        <v>11</v>
      </c>
      <c r="BA24" s="1" t="s">
        <v>103</v>
      </c>
      <c r="BB24" s="1" t="s">
        <v>22</v>
      </c>
      <c r="BC24" s="1" t="s">
        <v>28</v>
      </c>
      <c r="BD24" s="1" t="s">
        <v>40</v>
      </c>
      <c r="BE24" s="1" t="s">
        <v>37</v>
      </c>
      <c r="BF24" s="1" t="s">
        <v>22</v>
      </c>
      <c r="BG24" s="1">
        <v>7</v>
      </c>
      <c r="BH24" s="1">
        <v>6</v>
      </c>
      <c r="BI24" s="1">
        <v>39300</v>
      </c>
      <c r="BJ24" s="1" t="s">
        <v>21</v>
      </c>
      <c r="BK24" s="1" t="s">
        <v>104</v>
      </c>
      <c r="BL24" s="1" t="s">
        <v>22</v>
      </c>
      <c r="BM24" s="1" t="s">
        <v>21</v>
      </c>
      <c r="BN24" s="1">
        <v>55</v>
      </c>
      <c r="BO24" s="1" t="s">
        <v>30</v>
      </c>
      <c r="BP24" s="1">
        <v>113</v>
      </c>
      <c r="BQ24" s="1">
        <v>7</v>
      </c>
      <c r="BS24" s="1">
        <v>63</v>
      </c>
      <c r="BV24" s="1" t="s">
        <v>31</v>
      </c>
      <c r="BW24" s="1">
        <v>170</v>
      </c>
      <c r="BX24" s="1" t="s">
        <v>105</v>
      </c>
      <c r="BY24" s="1" t="s">
        <v>56</v>
      </c>
      <c r="BZ24" s="1">
        <v>14</v>
      </c>
      <c r="CA24" s="1">
        <v>8</v>
      </c>
      <c r="CB24" s="1" t="s">
        <v>34</v>
      </c>
      <c r="CC24" s="1">
        <v>471000000</v>
      </c>
      <c r="CD24" s="1" t="s">
        <v>9</v>
      </c>
    </row>
    <row r="25" spans="1:82" x14ac:dyDescent="0.2">
      <c r="A25" s="1" t="s">
        <v>106</v>
      </c>
      <c r="B25" s="1" t="s">
        <v>107</v>
      </c>
      <c r="C25" s="1" t="s">
        <v>16</v>
      </c>
      <c r="D25" s="1" t="s">
        <v>17</v>
      </c>
      <c r="E25" s="1" t="s">
        <v>101</v>
      </c>
      <c r="F25" s="1" t="s">
        <v>102</v>
      </c>
      <c r="G25" s="1">
        <v>78</v>
      </c>
      <c r="H25" s="1">
        <v>78</v>
      </c>
      <c r="I25" s="14" t="s">
        <v>43</v>
      </c>
      <c r="J25" s="14" t="s">
        <v>43</v>
      </c>
      <c r="L25" s="1">
        <f>AVERAGE(18, 21.8)</f>
        <v>19.899999999999999</v>
      </c>
      <c r="M25" s="1" t="s">
        <v>32</v>
      </c>
      <c r="P25" s="1" t="s">
        <v>21</v>
      </c>
      <c r="Q25" s="1" t="s">
        <v>22</v>
      </c>
      <c r="V25" s="5">
        <f>(10600+14000)/2</f>
        <v>12300</v>
      </c>
      <c r="W25" s="5">
        <v>15.4</v>
      </c>
      <c r="X25" s="1">
        <f t="shared" si="0"/>
        <v>0.12520325203252031</v>
      </c>
      <c r="Y25" s="1" t="s">
        <v>23</v>
      </c>
      <c r="Z25" s="1" t="s">
        <v>21</v>
      </c>
      <c r="AD25" s="1" t="s">
        <v>21</v>
      </c>
      <c r="AE25" s="1" t="s">
        <v>21</v>
      </c>
      <c r="AF25" s="1" t="s">
        <v>40</v>
      </c>
      <c r="AH25" s="1" t="s">
        <v>22</v>
      </c>
      <c r="AJ25" s="1">
        <v>13.6</v>
      </c>
      <c r="AK25" s="1">
        <f>AJ25*4.5</f>
        <v>61.199999999999996</v>
      </c>
      <c r="AL25" s="1">
        <v>14</v>
      </c>
      <c r="AM25" s="1" t="s">
        <v>43</v>
      </c>
      <c r="AN25" s="1" t="s">
        <v>43</v>
      </c>
      <c r="AO25" s="1" t="s">
        <v>43</v>
      </c>
      <c r="AP25" s="1" t="s">
        <v>43</v>
      </c>
      <c r="AQ25" s="2">
        <f>AVERAGE(549.2, 445.1, 466.7, 371.8, 91.9)</f>
        <v>384.94</v>
      </c>
      <c r="AR25" s="13" t="s">
        <v>44</v>
      </c>
      <c r="AS25" s="1">
        <f>AVERAGE(1.2, 1.2, 1.6)</f>
        <v>1.3333333333333333</v>
      </c>
      <c r="AT25" s="1">
        <f t="shared" ref="AT25" si="6">AS25*AQ25</f>
        <v>513.25333333333333</v>
      </c>
      <c r="AU25" s="1">
        <f>AVERAGE(90.4, 86.1, 82, 78.6, 56.4)</f>
        <v>78.7</v>
      </c>
      <c r="AV25" s="1">
        <f>AVERAGE(78, 87.9, 83, 83.2, 61.9)</f>
        <v>78.8</v>
      </c>
      <c r="AW25" s="1">
        <f>AVERAGE(84.8, 81.9, 79.2, 74, 49.8)</f>
        <v>73.94</v>
      </c>
      <c r="BA25" s="1" t="s">
        <v>103</v>
      </c>
      <c r="BB25" s="1" t="s">
        <v>22</v>
      </c>
      <c r="BC25" s="1" t="s">
        <v>28</v>
      </c>
      <c r="BD25" s="1" t="s">
        <v>40</v>
      </c>
      <c r="BE25" s="1" t="s">
        <v>37</v>
      </c>
      <c r="BF25" s="1" t="s">
        <v>22</v>
      </c>
      <c r="BG25" s="1">
        <v>9</v>
      </c>
      <c r="BH25" s="1">
        <v>9</v>
      </c>
      <c r="BI25" s="1">
        <v>12500</v>
      </c>
      <c r="BJ25" s="1" t="s">
        <v>21</v>
      </c>
      <c r="BL25" s="1" t="s">
        <v>22</v>
      </c>
      <c r="BM25" s="1" t="s">
        <v>21</v>
      </c>
      <c r="BO25" s="1" t="s">
        <v>30</v>
      </c>
      <c r="BP25" s="1">
        <f>18*7</f>
        <v>126</v>
      </c>
      <c r="BQ25" s="1">
        <v>7.6</v>
      </c>
      <c r="BS25" s="1">
        <v>61.5</v>
      </c>
      <c r="BV25" s="1" t="s">
        <v>31</v>
      </c>
      <c r="BX25" s="1" t="s">
        <v>105</v>
      </c>
      <c r="BY25" s="1" t="s">
        <v>56</v>
      </c>
      <c r="BZ25" s="1">
        <v>12</v>
      </c>
      <c r="CA25" s="1">
        <v>30</v>
      </c>
      <c r="CB25" s="1" t="s">
        <v>34</v>
      </c>
      <c r="CC25" s="1" t="s">
        <v>43</v>
      </c>
      <c r="CD25" s="1" t="s">
        <v>22</v>
      </c>
    </row>
    <row r="26" spans="1:82" x14ac:dyDescent="0.2">
      <c r="A26" s="1" t="s">
        <v>108</v>
      </c>
      <c r="B26" s="1" t="s">
        <v>109</v>
      </c>
      <c r="C26" s="1" t="s">
        <v>16</v>
      </c>
      <c r="D26" s="1" t="s">
        <v>17</v>
      </c>
      <c r="E26" s="1" t="s">
        <v>101</v>
      </c>
      <c r="F26" s="1" t="s">
        <v>102</v>
      </c>
      <c r="G26" s="1">
        <v>78</v>
      </c>
      <c r="H26" s="1">
        <v>78</v>
      </c>
      <c r="I26" s="14" t="s">
        <v>43</v>
      </c>
      <c r="J26" s="14" t="s">
        <v>43</v>
      </c>
      <c r="L26" s="1">
        <v>17</v>
      </c>
      <c r="M26" s="1" t="s">
        <v>32</v>
      </c>
      <c r="P26" s="1" t="s">
        <v>21</v>
      </c>
      <c r="Q26" s="1" t="s">
        <v>22</v>
      </c>
      <c r="V26" s="5">
        <v>26000</v>
      </c>
      <c r="W26" s="5"/>
      <c r="Y26" s="1" t="s">
        <v>23</v>
      </c>
      <c r="Z26" s="1" t="s">
        <v>21</v>
      </c>
      <c r="AD26" s="1" t="s">
        <v>21</v>
      </c>
      <c r="AE26" s="1" t="s">
        <v>21</v>
      </c>
      <c r="AF26" s="1" t="s">
        <v>40</v>
      </c>
      <c r="AH26" s="1" t="s">
        <v>22</v>
      </c>
      <c r="AM26" s="1" t="s">
        <v>43</v>
      </c>
      <c r="AN26" s="1" t="s">
        <v>43</v>
      </c>
      <c r="AO26" s="13" t="s">
        <v>47</v>
      </c>
      <c r="AP26" s="1" t="s">
        <v>43</v>
      </c>
      <c r="AQ26" s="2">
        <v>212</v>
      </c>
      <c r="AR26" s="2" t="s">
        <v>44</v>
      </c>
      <c r="AS26" s="1">
        <v>0.6</v>
      </c>
      <c r="AT26" s="1">
        <f>AS26*AQ26</f>
        <v>127.19999999999999</v>
      </c>
      <c r="AU26" s="1">
        <v>69.5</v>
      </c>
      <c r="AV26" s="1">
        <v>76.2</v>
      </c>
      <c r="AW26" s="1">
        <v>81</v>
      </c>
      <c r="BA26" s="1" t="s">
        <v>103</v>
      </c>
      <c r="BB26" s="1" t="s">
        <v>22</v>
      </c>
      <c r="BC26" s="1" t="s">
        <v>28</v>
      </c>
      <c r="BD26" s="1" t="s">
        <v>40</v>
      </c>
      <c r="BE26" s="1" t="s">
        <v>37</v>
      </c>
      <c r="BF26" s="1" t="s">
        <v>22</v>
      </c>
      <c r="BG26" s="1">
        <f>639/30</f>
        <v>21.3</v>
      </c>
      <c r="BH26" s="1">
        <v>21.3</v>
      </c>
      <c r="BI26" s="1">
        <v>26000</v>
      </c>
      <c r="BJ26" s="1" t="s">
        <v>21</v>
      </c>
      <c r="BL26" s="1" t="s">
        <v>22</v>
      </c>
      <c r="BM26" s="1" t="s">
        <v>21</v>
      </c>
      <c r="BO26" s="1" t="s">
        <v>30</v>
      </c>
      <c r="BP26" s="1">
        <f>84+7</f>
        <v>91</v>
      </c>
      <c r="BQ26" s="1">
        <f>AVERAGE(4, 6)</f>
        <v>5</v>
      </c>
      <c r="BS26" s="1">
        <v>71</v>
      </c>
      <c r="BV26" s="1" t="s">
        <v>31</v>
      </c>
      <c r="BX26" s="1" t="s">
        <v>105</v>
      </c>
      <c r="BY26" s="1" t="s">
        <v>56</v>
      </c>
      <c r="BZ26" s="1">
        <v>21</v>
      </c>
      <c r="CA26" s="1">
        <v>10</v>
      </c>
      <c r="CB26" s="1" t="s">
        <v>98</v>
      </c>
      <c r="CC26" s="13">
        <v>1409</v>
      </c>
      <c r="CD26" s="1" t="s">
        <v>8</v>
      </c>
    </row>
    <row r="27" spans="1:82" x14ac:dyDescent="0.2">
      <c r="A27" s="1" t="s">
        <v>110</v>
      </c>
      <c r="B27" s="1" t="s">
        <v>111</v>
      </c>
      <c r="C27" s="1" t="s">
        <v>16</v>
      </c>
      <c r="D27" s="1" t="s">
        <v>17</v>
      </c>
      <c r="E27" s="1" t="s">
        <v>101</v>
      </c>
      <c r="F27" s="1" t="s">
        <v>102</v>
      </c>
      <c r="G27" s="1">
        <v>76</v>
      </c>
      <c r="H27" s="1">
        <v>76</v>
      </c>
      <c r="I27" s="14" t="s">
        <v>43</v>
      </c>
      <c r="J27" s="14" t="s">
        <v>43</v>
      </c>
      <c r="L27" s="1">
        <v>16.8</v>
      </c>
      <c r="M27" s="1" t="s">
        <v>32</v>
      </c>
      <c r="P27" s="1" t="s">
        <v>21</v>
      </c>
      <c r="Q27" s="1" t="s">
        <v>22</v>
      </c>
      <c r="V27" s="5">
        <f>(31500+23000)/2</f>
        <v>27250</v>
      </c>
      <c r="W27" s="5">
        <v>12.7</v>
      </c>
      <c r="X27" s="1">
        <f t="shared" si="0"/>
        <v>4.6605504587155962E-2</v>
      </c>
      <c r="Y27" s="1" t="s">
        <v>23</v>
      </c>
      <c r="Z27" s="1" t="s">
        <v>21</v>
      </c>
      <c r="AD27" s="1" t="s">
        <v>21</v>
      </c>
      <c r="AE27" s="1" t="s">
        <v>21</v>
      </c>
      <c r="AF27" s="1" t="s">
        <v>40</v>
      </c>
      <c r="AH27" s="1" t="s">
        <v>22</v>
      </c>
      <c r="AJ27" s="1">
        <v>8.99</v>
      </c>
      <c r="AK27" s="1">
        <f>AJ27*4.5</f>
        <v>40.454999999999998</v>
      </c>
      <c r="AM27" s="1">
        <v>5.0999999999999996</v>
      </c>
      <c r="AN27" s="1">
        <v>56</v>
      </c>
      <c r="AO27" s="13" t="s">
        <v>50</v>
      </c>
      <c r="AP27" s="1" t="s">
        <v>43</v>
      </c>
      <c r="AQ27" s="2">
        <v>56.84</v>
      </c>
      <c r="AR27" s="2" t="s">
        <v>26</v>
      </c>
      <c r="AS27" s="1">
        <v>1.3</v>
      </c>
      <c r="AT27" s="1">
        <f>AS27*AQ27</f>
        <v>73.89200000000001</v>
      </c>
      <c r="AU27" s="1">
        <v>76.099999999999994</v>
      </c>
      <c r="AV27" s="1">
        <v>36.5</v>
      </c>
      <c r="AW27" s="1">
        <v>82</v>
      </c>
      <c r="BA27" s="1" t="s">
        <v>103</v>
      </c>
      <c r="BB27" s="1" t="s">
        <v>22</v>
      </c>
      <c r="BC27" s="1" t="s">
        <v>8</v>
      </c>
      <c r="BD27" s="1" t="s">
        <v>40</v>
      </c>
      <c r="BE27" s="1" t="s">
        <v>37</v>
      </c>
      <c r="BH27" s="1">
        <f>730/30</f>
        <v>24.333333333333332</v>
      </c>
      <c r="BI27" s="1">
        <v>23000</v>
      </c>
      <c r="BJ27" s="1" t="s">
        <v>21</v>
      </c>
      <c r="BK27" s="1" t="s">
        <v>104</v>
      </c>
      <c r="BL27" s="1" t="s">
        <v>22</v>
      </c>
      <c r="BM27" s="1" t="s">
        <v>21</v>
      </c>
      <c r="BO27" s="1" t="s">
        <v>30</v>
      </c>
      <c r="BP27" s="1">
        <v>100</v>
      </c>
      <c r="BQ27" s="1">
        <v>10</v>
      </c>
      <c r="BS27" s="1">
        <v>65</v>
      </c>
      <c r="BV27" s="1" t="s">
        <v>31</v>
      </c>
      <c r="BX27" s="1" t="s">
        <v>105</v>
      </c>
      <c r="BY27" s="1" t="s">
        <v>56</v>
      </c>
      <c r="BZ27" s="1">
        <v>9</v>
      </c>
      <c r="CA27" s="1">
        <v>15</v>
      </c>
      <c r="CB27" s="1" t="s">
        <v>53</v>
      </c>
      <c r="CC27" s="13">
        <v>17000</v>
      </c>
      <c r="CD27" s="1" t="s">
        <v>8</v>
      </c>
    </row>
    <row r="28" spans="1:82" x14ac:dyDescent="0.2">
      <c r="A28" s="1" t="s">
        <v>112</v>
      </c>
      <c r="B28" s="1" t="s">
        <v>113</v>
      </c>
      <c r="C28" s="1" t="s">
        <v>16</v>
      </c>
      <c r="D28" s="1" t="s">
        <v>17</v>
      </c>
      <c r="E28" s="1" t="s">
        <v>101</v>
      </c>
      <c r="F28" s="1" t="s">
        <v>102</v>
      </c>
      <c r="G28" s="1">
        <v>78</v>
      </c>
      <c r="H28" s="1">
        <v>78</v>
      </c>
      <c r="I28" s="14">
        <v>20949</v>
      </c>
      <c r="J28" s="14">
        <v>15885</v>
      </c>
      <c r="L28" s="1">
        <v>20</v>
      </c>
      <c r="M28" s="1" t="s">
        <v>32</v>
      </c>
      <c r="N28" s="1">
        <v>2</v>
      </c>
      <c r="O28" s="1" t="s">
        <v>22</v>
      </c>
      <c r="P28" s="1" t="s">
        <v>21</v>
      </c>
      <c r="Q28" s="1" t="s">
        <v>22</v>
      </c>
      <c r="R28" s="1" t="s">
        <v>21</v>
      </c>
      <c r="S28" s="1" t="s">
        <v>22</v>
      </c>
      <c r="T28" s="1">
        <v>9.43</v>
      </c>
      <c r="U28" s="1">
        <f t="shared" si="2"/>
        <v>4.3617021276595745E-2</v>
      </c>
      <c r="V28" s="5">
        <v>21620</v>
      </c>
      <c r="W28" s="5">
        <f>AVERAGE(20.12, 7.98, 27.66)</f>
        <v>18.58666666666667</v>
      </c>
      <c r="X28" s="1">
        <f t="shared" si="0"/>
        <v>8.5969781066913373E-2</v>
      </c>
      <c r="Y28" s="1" t="s">
        <v>23</v>
      </c>
      <c r="Z28" s="1" t="s">
        <v>21</v>
      </c>
      <c r="AC28" s="1" t="s">
        <v>21</v>
      </c>
      <c r="AD28" s="1" t="s">
        <v>21</v>
      </c>
      <c r="AE28" s="1" t="s">
        <v>21</v>
      </c>
      <c r="AF28" s="1" t="s">
        <v>40</v>
      </c>
      <c r="AG28" s="1" t="s">
        <v>65</v>
      </c>
      <c r="AJ28" s="1">
        <v>13.6</v>
      </c>
      <c r="AK28" s="1">
        <f>AJ28*4.5</f>
        <v>61.199999999999996</v>
      </c>
      <c r="AM28" s="1">
        <v>5.8</v>
      </c>
      <c r="AN28" s="1">
        <v>55.3</v>
      </c>
      <c r="AO28" s="13" t="s">
        <v>50</v>
      </c>
      <c r="AP28" s="1">
        <v>2119</v>
      </c>
      <c r="AQ28" s="13">
        <v>151.4</v>
      </c>
      <c r="AR28" s="2" t="s">
        <v>26</v>
      </c>
      <c r="AS28" s="1">
        <v>4.79</v>
      </c>
      <c r="AT28" s="1">
        <f>AS28*AQ28</f>
        <v>725.20600000000002</v>
      </c>
      <c r="AU28" s="1">
        <v>84</v>
      </c>
      <c r="AV28" s="1">
        <v>75</v>
      </c>
      <c r="AW28" s="1">
        <v>92</v>
      </c>
      <c r="AX28" s="1">
        <v>11</v>
      </c>
      <c r="AY28" s="1">
        <f>14.3*60</f>
        <v>858</v>
      </c>
      <c r="AZ28" s="1" t="s">
        <v>22</v>
      </c>
      <c r="BA28" s="1" t="s">
        <v>103</v>
      </c>
      <c r="BB28" s="1" t="s">
        <v>22</v>
      </c>
      <c r="BC28" s="1" t="s">
        <v>28</v>
      </c>
      <c r="BD28" s="1" t="s">
        <v>40</v>
      </c>
      <c r="BE28" s="1" t="s">
        <v>22</v>
      </c>
      <c r="BF28" s="1" t="s">
        <v>21</v>
      </c>
      <c r="BG28" s="1">
        <v>6</v>
      </c>
      <c r="BH28" s="1">
        <v>6</v>
      </c>
      <c r="BI28" s="1">
        <v>12450</v>
      </c>
      <c r="BJ28" s="1" t="s">
        <v>21</v>
      </c>
      <c r="BK28" s="1" t="s">
        <v>104</v>
      </c>
      <c r="BL28" s="1" t="s">
        <v>22</v>
      </c>
      <c r="BM28" s="1" t="s">
        <v>21</v>
      </c>
      <c r="BO28" s="1" t="s">
        <v>30</v>
      </c>
      <c r="BP28" s="1">
        <f>6*30</f>
        <v>180</v>
      </c>
      <c r="BQ28" s="1">
        <v>9</v>
      </c>
      <c r="BS28" s="1">
        <v>63</v>
      </c>
      <c r="BV28" s="1" t="s">
        <v>31</v>
      </c>
      <c r="BX28" s="1" t="s">
        <v>105</v>
      </c>
      <c r="BY28" s="1" t="s">
        <v>56</v>
      </c>
      <c r="BZ28" s="1">
        <v>12</v>
      </c>
      <c r="CA28" s="1">
        <v>8</v>
      </c>
      <c r="CB28" s="1" t="s">
        <v>34</v>
      </c>
      <c r="CC28" s="13">
        <v>900000000</v>
      </c>
      <c r="CD28" s="1" t="s">
        <v>9</v>
      </c>
    </row>
    <row r="29" spans="1:82" x14ac:dyDescent="0.2">
      <c r="A29" s="1" t="s">
        <v>114</v>
      </c>
      <c r="B29" s="1" t="s">
        <v>115</v>
      </c>
      <c r="C29" s="1" t="s">
        <v>16</v>
      </c>
      <c r="D29" s="1" t="s">
        <v>17</v>
      </c>
      <c r="E29" s="1" t="s">
        <v>101</v>
      </c>
      <c r="F29" s="1" t="s">
        <v>116</v>
      </c>
      <c r="G29" s="1">
        <v>38</v>
      </c>
      <c r="H29" s="1">
        <v>38</v>
      </c>
      <c r="I29" s="14">
        <v>19748</v>
      </c>
      <c r="J29" s="14">
        <v>11669</v>
      </c>
      <c r="L29" s="1">
        <v>30</v>
      </c>
      <c r="M29" s="1" t="s">
        <v>32</v>
      </c>
      <c r="N29" s="1">
        <v>2</v>
      </c>
      <c r="O29" s="1" t="s">
        <v>21</v>
      </c>
      <c r="P29" s="1" t="s">
        <v>21</v>
      </c>
      <c r="Q29" s="1" t="s">
        <v>22</v>
      </c>
      <c r="V29" s="5">
        <v>3100</v>
      </c>
      <c r="W29" s="1">
        <f>AVERAGE(2.31, 2.34)</f>
        <v>2.3250000000000002</v>
      </c>
      <c r="X29" s="1">
        <f t="shared" si="0"/>
        <v>7.4999999999999997E-2</v>
      </c>
      <c r="Y29" s="1" t="s">
        <v>23</v>
      </c>
      <c r="Z29" s="1" t="s">
        <v>21</v>
      </c>
      <c r="AA29" s="1">
        <v>0.31</v>
      </c>
      <c r="AB29" s="1">
        <f t="shared" ref="AB29" si="7">AA29/V29*100</f>
        <v>0.01</v>
      </c>
      <c r="AD29" s="1" t="s">
        <v>21</v>
      </c>
      <c r="AE29" s="1" t="s">
        <v>84</v>
      </c>
      <c r="AF29" s="1" t="s">
        <v>40</v>
      </c>
      <c r="AH29" s="1" t="s">
        <v>22</v>
      </c>
      <c r="AI29" s="1" t="s">
        <v>22</v>
      </c>
      <c r="AJ29" s="1">
        <v>10.4</v>
      </c>
      <c r="AK29" s="1">
        <f>AJ29*4.5</f>
        <v>46.800000000000004</v>
      </c>
      <c r="AM29" s="1">
        <v>5</v>
      </c>
      <c r="AN29" s="1">
        <v>53</v>
      </c>
      <c r="AO29" s="13" t="s">
        <v>50</v>
      </c>
      <c r="AP29" s="1">
        <v>282.60000000000002</v>
      </c>
      <c r="AQ29" s="13">
        <v>223.8</v>
      </c>
      <c r="AR29" s="2" t="s">
        <v>44</v>
      </c>
      <c r="AS29" s="1">
        <v>8.8999999999999996E-2</v>
      </c>
      <c r="AT29" s="1">
        <f>AS29*AQ29</f>
        <v>19.918199999999999</v>
      </c>
      <c r="AU29" s="1">
        <v>82</v>
      </c>
      <c r="AV29" s="1">
        <v>75</v>
      </c>
      <c r="AW29" s="1">
        <v>81</v>
      </c>
      <c r="AZ29" s="1" t="s">
        <v>22</v>
      </c>
      <c r="BA29" s="1" t="s">
        <v>75</v>
      </c>
      <c r="BB29" s="1" t="s">
        <v>21</v>
      </c>
      <c r="BC29" s="1" t="s">
        <v>8</v>
      </c>
      <c r="BD29" s="1" t="s">
        <v>40</v>
      </c>
      <c r="BE29" s="1" t="s">
        <v>8</v>
      </c>
      <c r="BF29" s="1" t="s">
        <v>21</v>
      </c>
      <c r="BG29" s="1">
        <v>8</v>
      </c>
      <c r="BH29" s="1">
        <v>4</v>
      </c>
      <c r="BI29" s="1">
        <v>3231</v>
      </c>
      <c r="BJ29" s="1" t="s">
        <v>21</v>
      </c>
      <c r="BK29" s="1" t="s">
        <v>29</v>
      </c>
      <c r="BL29" s="1" t="s">
        <v>22</v>
      </c>
      <c r="BM29" s="1" t="s">
        <v>21</v>
      </c>
      <c r="BO29" s="1" t="s">
        <v>30</v>
      </c>
      <c r="BP29" s="1">
        <v>14</v>
      </c>
      <c r="BQ29" s="1">
        <v>5</v>
      </c>
      <c r="BS29" s="1">
        <v>64</v>
      </c>
      <c r="BV29" s="1" t="s">
        <v>31</v>
      </c>
      <c r="BX29" s="1" t="s">
        <v>105</v>
      </c>
      <c r="BY29" s="1" t="s">
        <v>56</v>
      </c>
      <c r="BZ29" s="1">
        <v>12</v>
      </c>
      <c r="CA29" s="1">
        <v>8</v>
      </c>
      <c r="CB29" s="1" t="s">
        <v>34</v>
      </c>
      <c r="CC29" s="13">
        <v>400000000</v>
      </c>
      <c r="CD29" s="1" t="s">
        <v>9</v>
      </c>
    </row>
    <row r="30" spans="1:82" x14ac:dyDescent="0.2">
      <c r="A30" s="1" t="s">
        <v>117</v>
      </c>
      <c r="B30" s="1" t="s">
        <v>118</v>
      </c>
      <c r="C30" s="1" t="s">
        <v>16</v>
      </c>
      <c r="D30" s="1" t="s">
        <v>17</v>
      </c>
      <c r="E30" s="1" t="s">
        <v>101</v>
      </c>
      <c r="F30" s="1" t="s">
        <v>116</v>
      </c>
      <c r="G30" s="1">
        <v>38</v>
      </c>
      <c r="H30" s="1">
        <v>38</v>
      </c>
      <c r="I30" s="14">
        <v>18573</v>
      </c>
      <c r="J30" s="14">
        <v>2975</v>
      </c>
      <c r="L30" s="1">
        <f>AVERAGE(16, 18)</f>
        <v>17</v>
      </c>
      <c r="M30" s="1" t="s">
        <v>32</v>
      </c>
      <c r="O30" s="1" t="s">
        <v>21</v>
      </c>
      <c r="P30" s="1" t="s">
        <v>21</v>
      </c>
      <c r="Q30" s="1" t="s">
        <v>22</v>
      </c>
      <c r="V30" s="5">
        <v>340500</v>
      </c>
      <c r="W30" s="1">
        <v>24.4</v>
      </c>
      <c r="X30" s="1">
        <f t="shared" si="0"/>
        <v>7.1659324522760645E-3</v>
      </c>
      <c r="Y30" s="1" t="s">
        <v>23</v>
      </c>
      <c r="Z30" s="1" t="s">
        <v>21</v>
      </c>
      <c r="AD30" s="1" t="s">
        <v>21</v>
      </c>
      <c r="AE30" s="1" t="s">
        <v>84</v>
      </c>
      <c r="AF30" s="1" t="s">
        <v>40</v>
      </c>
      <c r="AM30" s="1">
        <v>3.95</v>
      </c>
      <c r="AN30" s="1">
        <v>59.25</v>
      </c>
      <c r="AO30" s="13" t="s">
        <v>47</v>
      </c>
      <c r="AP30" s="1">
        <v>53.3</v>
      </c>
      <c r="AQ30" s="2">
        <f>AT30/AS30</f>
        <v>75.982758620689665</v>
      </c>
      <c r="AR30" s="2" t="s">
        <v>44</v>
      </c>
      <c r="AS30" s="13">
        <v>5.8</v>
      </c>
      <c r="AT30" s="1">
        <f>AVERAGE(294.3, 587.1)</f>
        <v>440.70000000000005</v>
      </c>
      <c r="AU30" s="1">
        <f>AVERAGE(82.4, 78)</f>
        <v>80.2</v>
      </c>
      <c r="AV30" s="1">
        <f>AVERAGE(91.2, 59)</f>
        <v>75.099999999999994</v>
      </c>
      <c r="AW30" s="1">
        <f>AVERAGE(86.3, 57)</f>
        <v>71.650000000000006</v>
      </c>
      <c r="AZ30" s="1" t="s">
        <v>22</v>
      </c>
      <c r="BA30" s="1" t="s">
        <v>75</v>
      </c>
      <c r="BB30" s="1" t="s">
        <v>21</v>
      </c>
      <c r="BC30" s="1" t="s">
        <v>8</v>
      </c>
      <c r="BD30" s="1" t="s">
        <v>40</v>
      </c>
      <c r="BE30" s="1" t="s">
        <v>8</v>
      </c>
      <c r="BF30" s="1" t="s">
        <v>22</v>
      </c>
      <c r="BG30" s="1">
        <f>4*12</f>
        <v>48</v>
      </c>
      <c r="BH30" s="1">
        <f>3*12</f>
        <v>36</v>
      </c>
      <c r="BI30" s="1">
        <v>133500</v>
      </c>
      <c r="BJ30" s="1" t="s">
        <v>21</v>
      </c>
      <c r="BL30" s="1" t="s">
        <v>22</v>
      </c>
      <c r="BM30" s="1" t="s">
        <v>21</v>
      </c>
      <c r="BO30" s="1" t="s">
        <v>30</v>
      </c>
      <c r="BP30" s="1">
        <v>25</v>
      </c>
      <c r="BQ30" s="1">
        <v>5.3</v>
      </c>
      <c r="BS30" s="1">
        <v>108</v>
      </c>
      <c r="BV30" s="1" t="s">
        <v>31</v>
      </c>
      <c r="BX30" s="1" t="s">
        <v>105</v>
      </c>
      <c r="BY30" s="1" t="s">
        <v>56</v>
      </c>
      <c r="BZ30" s="1">
        <v>10</v>
      </c>
      <c r="CA30" s="1">
        <v>18</v>
      </c>
      <c r="CB30" s="1" t="s">
        <v>98</v>
      </c>
      <c r="CC30" s="13">
        <v>3159</v>
      </c>
      <c r="CD30" s="1" t="s">
        <v>9</v>
      </c>
    </row>
    <row r="31" spans="1:82" x14ac:dyDescent="0.2">
      <c r="A31" s="1" t="s">
        <v>119</v>
      </c>
      <c r="B31" s="1" t="s">
        <v>120</v>
      </c>
      <c r="C31" s="1" t="s">
        <v>16</v>
      </c>
      <c r="D31" s="1" t="s">
        <v>17</v>
      </c>
      <c r="E31" s="1" t="s">
        <v>101</v>
      </c>
      <c r="F31" s="1" t="s">
        <v>116</v>
      </c>
      <c r="G31" s="1">
        <v>38</v>
      </c>
      <c r="H31" s="1">
        <v>38</v>
      </c>
      <c r="I31" s="14">
        <v>19491</v>
      </c>
      <c r="J31" s="14">
        <v>8948</v>
      </c>
      <c r="L31" s="1">
        <f>AVERAGE(13, 17, 18, 16, 30, 27)</f>
        <v>20.166666666666668</v>
      </c>
      <c r="M31" s="1" t="s">
        <v>32</v>
      </c>
      <c r="O31" s="1" t="s">
        <v>21</v>
      </c>
      <c r="P31" s="1" t="s">
        <v>21</v>
      </c>
      <c r="Q31" s="1" t="s">
        <v>22</v>
      </c>
      <c r="V31" s="5">
        <v>204000</v>
      </c>
      <c r="W31" s="1">
        <v>27.6</v>
      </c>
      <c r="X31" s="1">
        <f t="shared" si="0"/>
        <v>1.3529411764705884E-2</v>
      </c>
      <c r="Y31" s="1" t="s">
        <v>23</v>
      </c>
      <c r="Z31" s="1" t="s">
        <v>21</v>
      </c>
      <c r="AD31" s="1" t="s">
        <v>21</v>
      </c>
      <c r="AE31" s="1" t="s">
        <v>84</v>
      </c>
      <c r="AF31" s="1" t="s">
        <v>40</v>
      </c>
      <c r="AM31" s="1">
        <v>4.2</v>
      </c>
      <c r="AN31" s="1">
        <v>54.7</v>
      </c>
      <c r="AO31" s="13" t="s">
        <v>47</v>
      </c>
      <c r="AP31" s="1">
        <v>2930</v>
      </c>
      <c r="AQ31" s="2">
        <v>1940</v>
      </c>
      <c r="AR31" s="2" t="s">
        <v>44</v>
      </c>
      <c r="AS31" s="1">
        <v>0.42286000000000001</v>
      </c>
      <c r="AT31" s="1">
        <f>AS31*AQ31</f>
        <v>820.34840000000008</v>
      </c>
      <c r="AU31" s="1">
        <v>60</v>
      </c>
      <c r="AV31" s="1">
        <v>44</v>
      </c>
      <c r="AW31" s="1">
        <v>66.3</v>
      </c>
      <c r="BA31" s="1" t="s">
        <v>27</v>
      </c>
      <c r="BB31" s="1" t="s">
        <v>21</v>
      </c>
      <c r="BC31" s="1" t="s">
        <v>28</v>
      </c>
      <c r="BD31" s="1" t="s">
        <v>40</v>
      </c>
      <c r="BE31" s="1" t="s">
        <v>22</v>
      </c>
      <c r="BF31" s="1" t="s">
        <v>22</v>
      </c>
      <c r="BI31" s="1">
        <v>152000</v>
      </c>
      <c r="BJ31" s="1" t="s">
        <v>21</v>
      </c>
      <c r="BL31" s="1" t="s">
        <v>22</v>
      </c>
      <c r="BM31" s="1" t="s">
        <v>21</v>
      </c>
      <c r="BO31" s="1" t="s">
        <v>30</v>
      </c>
      <c r="BP31" s="1">
        <v>17.5</v>
      </c>
      <c r="BQ31" s="1">
        <v>4.4000000000000004</v>
      </c>
      <c r="BS31" s="1">
        <v>110</v>
      </c>
      <c r="BV31" s="1" t="s">
        <v>31</v>
      </c>
      <c r="BX31" s="1" t="s">
        <v>105</v>
      </c>
      <c r="BY31" s="1" t="s">
        <v>56</v>
      </c>
      <c r="BZ31" s="1">
        <v>0</v>
      </c>
      <c r="CA31" s="1">
        <v>32</v>
      </c>
      <c r="CB31" s="1" t="s">
        <v>121</v>
      </c>
      <c r="CC31" s="13">
        <v>39000</v>
      </c>
      <c r="CD31" s="1" t="s">
        <v>9</v>
      </c>
    </row>
    <row r="32" spans="1:82" x14ac:dyDescent="0.2">
      <c r="A32" s="1" t="s">
        <v>122</v>
      </c>
      <c r="B32" s="1" t="s">
        <v>123</v>
      </c>
      <c r="C32" s="1" t="s">
        <v>16</v>
      </c>
      <c r="D32" s="1" t="s">
        <v>17</v>
      </c>
      <c r="E32" s="1" t="s">
        <v>101</v>
      </c>
      <c r="F32" s="1" t="s">
        <v>116</v>
      </c>
      <c r="G32" s="1">
        <v>38</v>
      </c>
      <c r="H32" s="1">
        <v>38</v>
      </c>
      <c r="I32" s="14" t="s">
        <v>43</v>
      </c>
      <c r="J32" s="14" t="s">
        <v>43</v>
      </c>
      <c r="L32" s="1">
        <v>20</v>
      </c>
      <c r="M32" s="1" t="s">
        <v>32</v>
      </c>
      <c r="P32" s="1" t="s">
        <v>21</v>
      </c>
      <c r="Q32" s="1" t="s">
        <v>22</v>
      </c>
      <c r="V32" s="5">
        <f>(77000+120000)/2</f>
        <v>98500</v>
      </c>
      <c r="W32" s="1">
        <f>(35.4+27.6)/2</f>
        <v>31.5</v>
      </c>
      <c r="X32" s="1">
        <f t="shared" si="0"/>
        <v>3.1979695431472083E-2</v>
      </c>
      <c r="Y32" s="1" t="s">
        <v>23</v>
      </c>
      <c r="Z32" s="1" t="s">
        <v>21</v>
      </c>
      <c r="AD32" s="1" t="s">
        <v>21</v>
      </c>
      <c r="AE32" s="1" t="s">
        <v>84</v>
      </c>
      <c r="AF32" s="1" t="s">
        <v>40</v>
      </c>
      <c r="AJ32" s="1">
        <v>12.8</v>
      </c>
      <c r="AK32" s="1">
        <f>AJ32*4.5</f>
        <v>57.6</v>
      </c>
      <c r="AM32" s="1">
        <v>3.8</v>
      </c>
      <c r="AN32" s="1">
        <v>55.7</v>
      </c>
      <c r="AO32" s="13" t="s">
        <v>50</v>
      </c>
      <c r="AP32" s="1" t="s">
        <v>43</v>
      </c>
      <c r="AQ32" s="2">
        <f>AVERAGE(8, 35)</f>
        <v>21.5</v>
      </c>
      <c r="AR32" s="2" t="s">
        <v>44</v>
      </c>
      <c r="AS32" s="1">
        <f>AVERAGE(8.3, 4.1)</f>
        <v>6.2</v>
      </c>
      <c r="AT32" s="1">
        <f>AS32*AQ32</f>
        <v>133.30000000000001</v>
      </c>
      <c r="AU32" s="1">
        <f>AVERAGE(64, 73)</f>
        <v>68.5</v>
      </c>
      <c r="AV32" s="1">
        <f>AVERAGE(50, 73.5)</f>
        <v>61.75</v>
      </c>
      <c r="AW32" s="1" t="s">
        <v>43</v>
      </c>
      <c r="BA32" s="1" t="s">
        <v>75</v>
      </c>
      <c r="BB32" s="1" t="s">
        <v>21</v>
      </c>
      <c r="BC32" s="1" t="s">
        <v>8</v>
      </c>
      <c r="BD32" s="1" t="s">
        <v>40</v>
      </c>
      <c r="BE32" s="1" t="s">
        <v>22</v>
      </c>
      <c r="BG32" s="1">
        <v>24</v>
      </c>
      <c r="BH32" s="1">
        <v>22</v>
      </c>
      <c r="BI32" s="1">
        <v>68000</v>
      </c>
      <c r="BJ32" s="1" t="s">
        <v>21</v>
      </c>
      <c r="BL32" s="1" t="s">
        <v>22</v>
      </c>
      <c r="BM32" s="1" t="s">
        <v>21</v>
      </c>
      <c r="BO32" s="1" t="s">
        <v>30</v>
      </c>
      <c r="BP32" s="1">
        <v>38.28</v>
      </c>
      <c r="BQ32" s="1">
        <v>10.42</v>
      </c>
      <c r="BS32" s="1">
        <v>99</v>
      </c>
      <c r="BV32" s="1" t="s">
        <v>31</v>
      </c>
      <c r="BX32" s="1" t="s">
        <v>105</v>
      </c>
      <c r="BY32" s="1" t="s">
        <v>56</v>
      </c>
      <c r="BZ32" s="1">
        <v>8</v>
      </c>
      <c r="CA32" s="1">
        <v>22</v>
      </c>
      <c r="CB32" s="1" t="s">
        <v>53</v>
      </c>
      <c r="CC32" s="13">
        <v>173000</v>
      </c>
      <c r="CD32" s="1" t="s">
        <v>9</v>
      </c>
    </row>
    <row r="33" spans="1:82" x14ac:dyDescent="0.2">
      <c r="A33" s="1" t="s">
        <v>124</v>
      </c>
      <c r="B33" s="1" t="s">
        <v>125</v>
      </c>
      <c r="C33" s="1" t="s">
        <v>16</v>
      </c>
      <c r="D33" s="1" t="s">
        <v>17</v>
      </c>
      <c r="E33" s="1" t="s">
        <v>101</v>
      </c>
      <c r="F33" s="1" t="s">
        <v>116</v>
      </c>
      <c r="G33" s="1">
        <v>38</v>
      </c>
      <c r="H33" s="1">
        <v>38</v>
      </c>
      <c r="I33" s="14" t="s">
        <v>43</v>
      </c>
      <c r="J33" s="14" t="s">
        <v>43</v>
      </c>
      <c r="L33" s="1">
        <v>26.8</v>
      </c>
      <c r="M33" s="1" t="s">
        <v>32</v>
      </c>
      <c r="P33" s="1" t="s">
        <v>21</v>
      </c>
      <c r="Q33" s="1" t="s">
        <v>22</v>
      </c>
      <c r="V33" s="5">
        <v>24000</v>
      </c>
      <c r="W33" s="1">
        <v>4.4000000000000004</v>
      </c>
      <c r="X33" s="1">
        <f t="shared" si="0"/>
        <v>1.8333333333333333E-2</v>
      </c>
      <c r="Y33" s="1" t="s">
        <v>23</v>
      </c>
      <c r="Z33" s="1" t="s">
        <v>21</v>
      </c>
      <c r="AD33" s="1" t="s">
        <v>21</v>
      </c>
      <c r="AE33" s="1" t="s">
        <v>84</v>
      </c>
      <c r="AF33" s="1" t="s">
        <v>40</v>
      </c>
      <c r="AM33" s="1" t="s">
        <v>43</v>
      </c>
      <c r="AN33" s="1" t="s">
        <v>43</v>
      </c>
      <c r="AP33" s="1">
        <v>16.3</v>
      </c>
      <c r="AQ33" s="2">
        <f>AT33/AS33</f>
        <v>6.0659340659340666</v>
      </c>
      <c r="AR33" s="2" t="s">
        <v>44</v>
      </c>
      <c r="AS33" s="1">
        <f>AVERAGE(0.47, 0.26, 0.18)</f>
        <v>0.30333333333333329</v>
      </c>
      <c r="AT33" s="1">
        <f>AVERAGE(0.02, 2.5, 3)</f>
        <v>1.8399999999999999</v>
      </c>
      <c r="AU33" s="1">
        <f>AVERAGE(90, 50, 77)</f>
        <v>72.333333333333329</v>
      </c>
      <c r="AV33" s="1">
        <f>AVERAGE(4, 17.5, 29)</f>
        <v>16.833333333333332</v>
      </c>
      <c r="AW33" s="1" t="s">
        <v>43</v>
      </c>
      <c r="BA33" s="1" t="s">
        <v>27</v>
      </c>
      <c r="BB33" s="1" t="s">
        <v>21</v>
      </c>
      <c r="BC33" s="1" t="s">
        <v>8</v>
      </c>
      <c r="BD33" s="1" t="s">
        <v>40</v>
      </c>
      <c r="BE33" s="1" t="s">
        <v>37</v>
      </c>
      <c r="BF33" s="1" t="s">
        <v>22</v>
      </c>
      <c r="BG33" s="1">
        <f>3*12</f>
        <v>36</v>
      </c>
      <c r="BH33" s="1">
        <v>24</v>
      </c>
      <c r="BI33" s="1">
        <v>14500</v>
      </c>
      <c r="BJ33" s="1" t="s">
        <v>21</v>
      </c>
      <c r="BL33" s="1" t="s">
        <v>22</v>
      </c>
      <c r="BM33" s="1" t="s">
        <v>21</v>
      </c>
      <c r="BO33" s="1" t="s">
        <v>30</v>
      </c>
      <c r="BP33" s="1" t="s">
        <v>43</v>
      </c>
      <c r="BQ33" s="1">
        <f>AVERAGE(2,7)</f>
        <v>4.5</v>
      </c>
      <c r="BR33" s="1">
        <f>14*12</f>
        <v>168</v>
      </c>
      <c r="BS33" s="1">
        <v>70.5</v>
      </c>
      <c r="BT33" s="1">
        <f>AVERAGE(0.74, 0.94, 1.17, 0.91, 1.77, 0.7, 0.87, 1.07, 0.77)</f>
        <v>0.99333333333333329</v>
      </c>
      <c r="BU33" s="1">
        <f t="shared" ref="BU33" si="8">(BT33/BI33)*100</f>
        <v>6.8505747126436775E-3</v>
      </c>
      <c r="BV33" s="1" t="s">
        <v>31</v>
      </c>
      <c r="BX33" s="1" t="s">
        <v>105</v>
      </c>
      <c r="BY33" s="1" t="s">
        <v>56</v>
      </c>
      <c r="BZ33" s="1">
        <v>11</v>
      </c>
      <c r="CA33" s="1">
        <f>(AVERAGE(68,72))/7</f>
        <v>10</v>
      </c>
      <c r="CB33" s="1" t="s">
        <v>34</v>
      </c>
      <c r="CC33" s="13">
        <v>50000</v>
      </c>
      <c r="CD33" s="1" t="s">
        <v>22</v>
      </c>
    </row>
    <row r="34" spans="1:82" x14ac:dyDescent="0.2">
      <c r="A34" s="1" t="s">
        <v>126</v>
      </c>
      <c r="B34" s="1" t="s">
        <v>127</v>
      </c>
      <c r="C34" s="1" t="s">
        <v>16</v>
      </c>
      <c r="D34" s="1" t="s">
        <v>17</v>
      </c>
      <c r="E34" s="1" t="s">
        <v>101</v>
      </c>
      <c r="F34" s="1" t="s">
        <v>116</v>
      </c>
      <c r="G34" s="1">
        <v>38</v>
      </c>
      <c r="H34" s="1">
        <v>38</v>
      </c>
      <c r="I34" s="14" t="s">
        <v>43</v>
      </c>
      <c r="J34" s="14" t="s">
        <v>43</v>
      </c>
      <c r="L34" s="1">
        <v>13</v>
      </c>
      <c r="M34" s="1" t="s">
        <v>32</v>
      </c>
      <c r="P34" s="1" t="s">
        <v>21</v>
      </c>
      <c r="Q34" s="1" t="s">
        <v>22</v>
      </c>
      <c r="V34" s="5">
        <f>AVERAGE(7000, 15900 )</f>
        <v>11450</v>
      </c>
      <c r="W34" s="1">
        <v>2.1</v>
      </c>
      <c r="X34" s="1">
        <f t="shared" si="0"/>
        <v>1.8340611353711792E-2</v>
      </c>
      <c r="Y34" s="1" t="s">
        <v>23</v>
      </c>
      <c r="Z34" s="1" t="s">
        <v>21</v>
      </c>
      <c r="AD34" s="1" t="s">
        <v>21</v>
      </c>
      <c r="AI34" s="1" t="s">
        <v>21</v>
      </c>
      <c r="AM34" s="1">
        <v>5</v>
      </c>
      <c r="AN34" s="1">
        <v>65</v>
      </c>
      <c r="AO34" s="1" t="s">
        <v>50</v>
      </c>
      <c r="AP34" s="1">
        <v>10.199999999999999</v>
      </c>
      <c r="AQ34" s="2">
        <f>AVERAGE(6.6, 15.93, 11.7, 29.5)</f>
        <v>15.932500000000001</v>
      </c>
      <c r="AR34" s="2" t="s">
        <v>44</v>
      </c>
      <c r="AS34" s="1">
        <f>AVERAGE(0.2797, 0.946, 0.3332, 0.3335)</f>
        <v>0.47309999999999997</v>
      </c>
      <c r="AT34" s="1">
        <f>AS34*AQ34</f>
        <v>7.5376657499999995</v>
      </c>
      <c r="AU34" s="1">
        <f>AVERAGE(70.1, 83.2, 86, 79.77)</f>
        <v>79.767499999999998</v>
      </c>
      <c r="AV34" s="1">
        <v>35.03</v>
      </c>
      <c r="AW34" s="1">
        <v>46.4</v>
      </c>
      <c r="BA34" s="1" t="s">
        <v>27</v>
      </c>
      <c r="BB34" s="1" t="s">
        <v>21</v>
      </c>
      <c r="BC34" s="1" t="s">
        <v>8</v>
      </c>
      <c r="BD34" s="1" t="s">
        <v>40</v>
      </c>
      <c r="BE34" s="1" t="s">
        <v>37</v>
      </c>
      <c r="BG34" s="1">
        <v>36</v>
      </c>
      <c r="BH34" s="1">
        <v>36</v>
      </c>
      <c r="BI34" s="1">
        <f>AVERAGE(9200, 10000)</f>
        <v>9600</v>
      </c>
      <c r="BJ34" s="1" t="s">
        <v>21</v>
      </c>
      <c r="BL34" s="1" t="s">
        <v>22</v>
      </c>
      <c r="BM34" s="1" t="s">
        <v>21</v>
      </c>
      <c r="BO34" s="1" t="s">
        <v>30</v>
      </c>
      <c r="BP34" s="1" t="s">
        <v>43</v>
      </c>
      <c r="BQ34" s="1">
        <f>AVERAGE(3, 7)</f>
        <v>5</v>
      </c>
      <c r="BS34" s="1">
        <f>AVERAGE(63, 73)</f>
        <v>68</v>
      </c>
      <c r="BV34" s="1" t="s">
        <v>31</v>
      </c>
      <c r="BX34" s="1" t="s">
        <v>105</v>
      </c>
      <c r="BY34" s="1" t="s">
        <v>56</v>
      </c>
      <c r="BZ34" s="1">
        <v>19.16</v>
      </c>
      <c r="CA34" s="1">
        <f>(AVERAGE(65, 63))/7</f>
        <v>9.1428571428571423</v>
      </c>
      <c r="CB34" s="1" t="s">
        <v>98</v>
      </c>
      <c r="CC34" s="13">
        <v>156</v>
      </c>
      <c r="CD34" s="1" t="s">
        <v>22</v>
      </c>
    </row>
    <row r="35" spans="1:82" x14ac:dyDescent="0.2">
      <c r="A35" s="1" t="s">
        <v>128</v>
      </c>
      <c r="B35" s="1" t="s">
        <v>129</v>
      </c>
      <c r="C35" s="1" t="s">
        <v>16</v>
      </c>
      <c r="D35" s="1" t="s">
        <v>17</v>
      </c>
      <c r="E35" s="1" t="s">
        <v>101</v>
      </c>
      <c r="F35" s="1" t="s">
        <v>116</v>
      </c>
      <c r="G35" s="1">
        <v>38</v>
      </c>
      <c r="H35" s="1">
        <v>38</v>
      </c>
      <c r="I35" s="14" t="s">
        <v>43</v>
      </c>
      <c r="J35" s="14" t="s">
        <v>43</v>
      </c>
      <c r="L35" s="1">
        <f>AVERAGE(13, 15)</f>
        <v>14</v>
      </c>
      <c r="M35" s="1" t="s">
        <v>32</v>
      </c>
      <c r="P35" s="1" t="s">
        <v>21</v>
      </c>
      <c r="Q35" s="1" t="s">
        <v>22</v>
      </c>
      <c r="V35" s="5">
        <v>23000</v>
      </c>
      <c r="Y35" s="1" t="s">
        <v>23</v>
      </c>
      <c r="Z35" s="1" t="s">
        <v>21</v>
      </c>
      <c r="AD35" s="1" t="s">
        <v>21</v>
      </c>
      <c r="AE35" s="1" t="s">
        <v>84</v>
      </c>
      <c r="AF35" s="1" t="s">
        <v>40</v>
      </c>
      <c r="AM35" s="1">
        <v>3.4</v>
      </c>
      <c r="AN35" s="1">
        <v>45</v>
      </c>
      <c r="AO35" s="13" t="s">
        <v>50</v>
      </c>
      <c r="AP35" s="1" t="s">
        <v>43</v>
      </c>
      <c r="AQ35" s="2">
        <v>43</v>
      </c>
      <c r="AR35" s="2" t="s">
        <v>44</v>
      </c>
      <c r="AS35" s="1">
        <v>1.02</v>
      </c>
      <c r="AT35" s="1">
        <f>AS35*AQ35</f>
        <v>43.86</v>
      </c>
      <c r="AU35" s="1">
        <v>73.2</v>
      </c>
      <c r="AV35" s="1">
        <v>18.5</v>
      </c>
      <c r="AW35" s="1">
        <v>78.8</v>
      </c>
      <c r="BA35" s="1" t="s">
        <v>43</v>
      </c>
      <c r="BB35" s="1" t="s">
        <v>21</v>
      </c>
      <c r="BC35" s="1" t="s">
        <v>8</v>
      </c>
      <c r="BD35" s="1" t="s">
        <v>40</v>
      </c>
      <c r="BE35" s="1" t="s">
        <v>22</v>
      </c>
      <c r="BG35" s="1">
        <v>16</v>
      </c>
      <c r="BH35" s="1">
        <v>17</v>
      </c>
      <c r="BI35" s="1">
        <v>12000</v>
      </c>
      <c r="BJ35" s="1" t="s">
        <v>21</v>
      </c>
      <c r="BL35" s="1" t="s">
        <v>22</v>
      </c>
      <c r="BM35" s="1" t="s">
        <v>21</v>
      </c>
      <c r="BO35" s="1" t="s">
        <v>30</v>
      </c>
      <c r="BP35" s="1">
        <v>29.9</v>
      </c>
      <c r="BQ35" s="1">
        <v>6</v>
      </c>
      <c r="BR35" s="1">
        <f>12*12</f>
        <v>144</v>
      </c>
      <c r="BS35" s="1">
        <v>93</v>
      </c>
      <c r="BV35" s="1" t="s">
        <v>31</v>
      </c>
      <c r="BX35" s="1" t="s">
        <v>105</v>
      </c>
      <c r="BY35" s="1" t="s">
        <v>56</v>
      </c>
      <c r="BZ35" s="1">
        <v>10</v>
      </c>
      <c r="CA35" s="1">
        <v>12</v>
      </c>
      <c r="CB35" s="1" t="s">
        <v>121</v>
      </c>
      <c r="CC35" s="13">
        <v>5580</v>
      </c>
      <c r="CD35" s="1" t="s">
        <v>9</v>
      </c>
    </row>
    <row r="36" spans="1:82" x14ac:dyDescent="0.2">
      <c r="A36" s="1" t="s">
        <v>130</v>
      </c>
      <c r="B36" s="1" t="s">
        <v>131</v>
      </c>
      <c r="C36" s="1" t="s">
        <v>16</v>
      </c>
      <c r="D36" s="1" t="s">
        <v>17</v>
      </c>
      <c r="E36" s="1" t="s">
        <v>101</v>
      </c>
      <c r="F36" s="1" t="s">
        <v>116</v>
      </c>
      <c r="G36" s="1">
        <v>38</v>
      </c>
      <c r="H36" s="1">
        <v>38</v>
      </c>
      <c r="I36" s="14">
        <v>19529</v>
      </c>
      <c r="J36" s="14">
        <v>11000</v>
      </c>
      <c r="L36" s="1">
        <v>17</v>
      </c>
      <c r="M36" s="1" t="s">
        <v>32</v>
      </c>
      <c r="P36" s="1" t="s">
        <v>21</v>
      </c>
      <c r="Q36" s="1" t="s">
        <v>22</v>
      </c>
      <c r="V36" s="1">
        <v>43700</v>
      </c>
      <c r="W36" s="1">
        <v>15.51</v>
      </c>
      <c r="X36" s="1">
        <f t="shared" si="0"/>
        <v>3.549199084668192E-2</v>
      </c>
      <c r="Y36" s="1" t="s">
        <v>23</v>
      </c>
      <c r="Z36" s="1" t="s">
        <v>21</v>
      </c>
      <c r="AD36" s="1" t="s">
        <v>21</v>
      </c>
      <c r="AE36" s="1" t="s">
        <v>84</v>
      </c>
      <c r="AF36" s="1" t="s">
        <v>40</v>
      </c>
      <c r="AM36" s="1">
        <v>3.5</v>
      </c>
      <c r="AN36" s="1">
        <v>51.4</v>
      </c>
      <c r="AO36" s="13" t="s">
        <v>47</v>
      </c>
      <c r="AP36" s="1" t="s">
        <v>43</v>
      </c>
      <c r="AQ36" s="2">
        <v>33.1</v>
      </c>
      <c r="AR36" s="2" t="s">
        <v>26</v>
      </c>
      <c r="AS36" s="1">
        <v>2.2599999999999998</v>
      </c>
      <c r="AT36" s="1">
        <f>AS36*AQ36</f>
        <v>74.805999999999997</v>
      </c>
      <c r="AU36" s="1">
        <v>74</v>
      </c>
      <c r="AV36" s="1">
        <v>24</v>
      </c>
      <c r="AW36" s="1" t="s">
        <v>43</v>
      </c>
      <c r="BA36" s="1" t="s">
        <v>75</v>
      </c>
      <c r="BB36" s="1" t="s">
        <v>21</v>
      </c>
      <c r="BC36" s="1" t="s">
        <v>8</v>
      </c>
      <c r="BD36" s="1" t="s">
        <v>40</v>
      </c>
      <c r="BE36" s="1" t="s">
        <v>22</v>
      </c>
      <c r="BF36" s="1" t="s">
        <v>21</v>
      </c>
      <c r="BG36" s="1">
        <v>18</v>
      </c>
      <c r="BH36" s="1">
        <v>24</v>
      </c>
      <c r="BI36" s="1">
        <v>49000</v>
      </c>
      <c r="BJ36" s="1" t="s">
        <v>21</v>
      </c>
      <c r="BL36" s="1" t="s">
        <v>22</v>
      </c>
      <c r="BM36" s="1" t="s">
        <v>21</v>
      </c>
      <c r="BO36" s="1" t="s">
        <v>30</v>
      </c>
      <c r="BP36" s="1">
        <v>12</v>
      </c>
      <c r="BQ36" s="1">
        <v>4</v>
      </c>
      <c r="BS36" s="1">
        <v>94</v>
      </c>
      <c r="BV36" s="1" t="s">
        <v>31</v>
      </c>
      <c r="BX36" s="1" t="s">
        <v>105</v>
      </c>
      <c r="BY36" s="1" t="s">
        <v>56</v>
      </c>
      <c r="BZ36" s="1">
        <v>7.5</v>
      </c>
      <c r="CA36" s="1">
        <v>18</v>
      </c>
      <c r="CB36" s="1" t="s">
        <v>121</v>
      </c>
      <c r="CC36" s="13">
        <v>6674</v>
      </c>
      <c r="CD36" s="1" t="s">
        <v>9</v>
      </c>
    </row>
    <row r="37" spans="1:82" ht="17" x14ac:dyDescent="0.2">
      <c r="A37" s="1" t="s">
        <v>132</v>
      </c>
      <c r="B37" s="1" t="s">
        <v>133</v>
      </c>
      <c r="C37" s="1" t="s">
        <v>16</v>
      </c>
      <c r="D37" s="1" t="s">
        <v>17</v>
      </c>
      <c r="E37" s="1" t="s">
        <v>101</v>
      </c>
      <c r="F37" s="5" t="s">
        <v>134</v>
      </c>
      <c r="G37" s="5">
        <v>40</v>
      </c>
      <c r="H37" s="5">
        <v>40</v>
      </c>
      <c r="I37" s="14" t="s">
        <v>43</v>
      </c>
      <c r="J37" s="14" t="s">
        <v>43</v>
      </c>
      <c r="K37" s="5"/>
      <c r="L37" s="5">
        <v>40</v>
      </c>
      <c r="M37" s="1" t="s">
        <v>32</v>
      </c>
      <c r="P37" s="1" t="s">
        <v>21</v>
      </c>
      <c r="Q37" s="1" t="s">
        <v>22</v>
      </c>
      <c r="V37" s="5">
        <v>45000</v>
      </c>
      <c r="W37" s="1">
        <v>19.399999999999999</v>
      </c>
      <c r="X37" s="1">
        <f t="shared" si="0"/>
        <v>4.3111111111111107E-2</v>
      </c>
      <c r="Y37" s="1" t="s">
        <v>23</v>
      </c>
      <c r="Z37" s="1" t="s">
        <v>21</v>
      </c>
      <c r="AD37" s="1" t="s">
        <v>21</v>
      </c>
      <c r="AE37" s="1" t="s">
        <v>22</v>
      </c>
      <c r="AM37" s="1">
        <v>4.0999999999999996</v>
      </c>
      <c r="AN37" s="1">
        <v>53.7</v>
      </c>
      <c r="AO37" s="13" t="s">
        <v>50</v>
      </c>
      <c r="AP37" s="1" t="s">
        <v>43</v>
      </c>
      <c r="AQ37" s="2">
        <v>18.52</v>
      </c>
      <c r="AR37" s="2" t="s">
        <v>44</v>
      </c>
      <c r="AS37" s="1">
        <v>6.4</v>
      </c>
      <c r="AT37" s="1">
        <f>AS37*AQ37</f>
        <v>118.52800000000001</v>
      </c>
      <c r="AU37" s="1">
        <v>56.47</v>
      </c>
      <c r="AV37" s="1" t="s">
        <v>43</v>
      </c>
      <c r="AW37" s="1" t="s">
        <v>43</v>
      </c>
      <c r="AY37" s="1">
        <v>302.89999999999998</v>
      </c>
      <c r="AZ37" s="1" t="s">
        <v>21</v>
      </c>
      <c r="BA37" s="1" t="s">
        <v>27</v>
      </c>
      <c r="BB37" s="1" t="s">
        <v>22</v>
      </c>
      <c r="BC37" s="1" t="s">
        <v>28</v>
      </c>
      <c r="BD37" s="1" t="s">
        <v>40</v>
      </c>
      <c r="BE37" s="1" t="s">
        <v>22</v>
      </c>
      <c r="BF37" s="1" t="s">
        <v>21</v>
      </c>
      <c r="BG37" s="1">
        <v>24</v>
      </c>
      <c r="BH37" s="1">
        <v>21</v>
      </c>
      <c r="BI37" s="1">
        <v>67038</v>
      </c>
      <c r="BJ37" s="1" t="s">
        <v>21</v>
      </c>
      <c r="BL37" s="1" t="s">
        <v>22</v>
      </c>
      <c r="BM37" s="1" t="s">
        <v>21</v>
      </c>
      <c r="BO37" s="1" t="s">
        <v>30</v>
      </c>
      <c r="BP37" s="1">
        <v>23</v>
      </c>
      <c r="BQ37" s="1">
        <f>60/24</f>
        <v>2.5</v>
      </c>
      <c r="BR37" s="1">
        <f>16*12</f>
        <v>192</v>
      </c>
      <c r="BS37" s="1">
        <v>110</v>
      </c>
      <c r="BV37" s="1" t="s">
        <v>31</v>
      </c>
      <c r="BX37" s="1" t="s">
        <v>25</v>
      </c>
      <c r="BY37" s="1" t="s">
        <v>135</v>
      </c>
      <c r="BZ37" s="1">
        <v>0</v>
      </c>
      <c r="CA37" s="1">
        <v>55</v>
      </c>
      <c r="CB37" s="1" t="s">
        <v>34</v>
      </c>
      <c r="CC37" s="13">
        <v>47000</v>
      </c>
      <c r="CD37" s="1" t="s">
        <v>8</v>
      </c>
    </row>
    <row r="38" spans="1:82" x14ac:dyDescent="0.2">
      <c r="A38" s="1" t="s">
        <v>136</v>
      </c>
      <c r="B38" s="1" t="s">
        <v>137</v>
      </c>
      <c r="C38" s="1" t="s">
        <v>16</v>
      </c>
      <c r="D38" s="1" t="s">
        <v>17</v>
      </c>
      <c r="E38" s="1" t="s">
        <v>101</v>
      </c>
      <c r="F38" s="1" t="s">
        <v>138</v>
      </c>
      <c r="G38" s="1">
        <v>30</v>
      </c>
      <c r="H38" s="1">
        <v>30</v>
      </c>
      <c r="I38" s="14" t="s">
        <v>43</v>
      </c>
      <c r="J38" s="14" t="s">
        <v>43</v>
      </c>
      <c r="L38" s="1">
        <v>11.4</v>
      </c>
      <c r="M38" s="1" t="s">
        <v>32</v>
      </c>
      <c r="O38" s="1" t="s">
        <v>22</v>
      </c>
      <c r="P38" s="1" t="s">
        <v>21</v>
      </c>
      <c r="Q38" s="1" t="s">
        <v>22</v>
      </c>
      <c r="T38" s="1">
        <v>1.2999999999999999E-2</v>
      </c>
      <c r="U38" s="1">
        <f t="shared" si="2"/>
        <v>6.694129763130793E-4</v>
      </c>
      <c r="V38" s="5">
        <f>AVERAGE(1496, 2388)</f>
        <v>1942</v>
      </c>
      <c r="W38" s="1">
        <f>AVERAGE(0.029, 5.4)</f>
        <v>2.7145000000000001</v>
      </c>
      <c r="X38" s="1">
        <f t="shared" si="0"/>
        <v>0.139778578784758</v>
      </c>
      <c r="Y38" s="1" t="s">
        <v>23</v>
      </c>
      <c r="Z38" s="1" t="s">
        <v>21</v>
      </c>
      <c r="AA38" s="1">
        <f>AVERAGE(0.1, 1.3, 0.3, 0.5)</f>
        <v>0.55000000000000004</v>
      </c>
      <c r="AB38" s="1">
        <f t="shared" ref="AB38:AB40" si="9">AA38/V38*100</f>
        <v>2.8321318228630279E-2</v>
      </c>
      <c r="AD38" s="1" t="s">
        <v>21</v>
      </c>
      <c r="AE38" s="1" t="s">
        <v>21</v>
      </c>
      <c r="AM38" s="1">
        <v>7</v>
      </c>
      <c r="AN38" s="1">
        <v>43</v>
      </c>
      <c r="AO38" s="1" t="s">
        <v>50</v>
      </c>
      <c r="AP38" s="1">
        <v>100</v>
      </c>
      <c r="AQ38" s="2">
        <v>3.75</v>
      </c>
      <c r="AR38" s="2" t="s">
        <v>44</v>
      </c>
      <c r="AS38" s="1">
        <v>0.21</v>
      </c>
      <c r="AT38" s="1">
        <f>AS38*AQ38</f>
        <v>0.78749999999999998</v>
      </c>
      <c r="AU38" s="1">
        <v>60</v>
      </c>
      <c r="AV38" s="1" t="s">
        <v>43</v>
      </c>
      <c r="AW38" s="1" t="s">
        <v>43</v>
      </c>
      <c r="AZ38" s="1" t="s">
        <v>22</v>
      </c>
      <c r="BA38" s="1" t="s">
        <v>75</v>
      </c>
      <c r="BB38" s="1" t="s">
        <v>21</v>
      </c>
      <c r="BC38" s="1" t="s">
        <v>8</v>
      </c>
      <c r="BD38" s="1" t="s">
        <v>40</v>
      </c>
      <c r="BE38" s="1" t="s">
        <v>37</v>
      </c>
      <c r="BF38" s="1" t="s">
        <v>21</v>
      </c>
      <c r="BG38" s="1">
        <v>10</v>
      </c>
      <c r="BH38" s="1">
        <v>10</v>
      </c>
      <c r="BI38" s="1">
        <v>780</v>
      </c>
      <c r="BJ38" s="1" t="s">
        <v>21</v>
      </c>
      <c r="BL38" s="1" t="s">
        <v>21</v>
      </c>
      <c r="BM38" s="1" t="s">
        <v>21</v>
      </c>
      <c r="BO38" s="1" t="s">
        <v>30</v>
      </c>
      <c r="BP38" s="1">
        <v>28.58</v>
      </c>
      <c r="BQ38" s="1">
        <v>6.46</v>
      </c>
      <c r="BS38" s="1">
        <v>57</v>
      </c>
      <c r="BT38" s="1">
        <v>0.215</v>
      </c>
      <c r="BU38" s="1">
        <f t="shared" ref="BU38:BU70" si="10">(BT38/BI38)*100</f>
        <v>2.7564102564102563E-2</v>
      </c>
      <c r="BV38" s="1" t="s">
        <v>31</v>
      </c>
      <c r="BX38" s="1" t="s">
        <v>105</v>
      </c>
      <c r="BY38" s="1" t="s">
        <v>56</v>
      </c>
      <c r="BZ38" s="1">
        <v>25</v>
      </c>
      <c r="CA38" s="1">
        <v>9</v>
      </c>
      <c r="CB38" s="1" t="s">
        <v>34</v>
      </c>
      <c r="CC38" s="1" t="s">
        <v>43</v>
      </c>
      <c r="CD38" s="1" t="s">
        <v>9</v>
      </c>
    </row>
    <row r="39" spans="1:82" x14ac:dyDescent="0.2">
      <c r="A39" s="1" t="s">
        <v>139</v>
      </c>
      <c r="B39" s="1" t="s">
        <v>140</v>
      </c>
      <c r="C39" s="1" t="s">
        <v>16</v>
      </c>
      <c r="D39" s="1" t="s">
        <v>17</v>
      </c>
      <c r="E39" s="1" t="s">
        <v>101</v>
      </c>
      <c r="F39" s="1" t="s">
        <v>138</v>
      </c>
      <c r="G39" s="1">
        <v>44</v>
      </c>
      <c r="H39" s="1">
        <v>44</v>
      </c>
      <c r="I39" s="14" t="s">
        <v>43</v>
      </c>
      <c r="J39" s="14" t="s">
        <v>43</v>
      </c>
      <c r="L39" s="1">
        <v>16</v>
      </c>
      <c r="M39" s="1" t="s">
        <v>50</v>
      </c>
      <c r="O39" s="1" t="s">
        <v>22</v>
      </c>
      <c r="P39" s="1" t="s">
        <v>21</v>
      </c>
      <c r="Q39" s="1" t="s">
        <v>22</v>
      </c>
      <c r="V39" s="5">
        <v>18000</v>
      </c>
      <c r="W39" s="1">
        <v>10</v>
      </c>
      <c r="X39" s="1">
        <f t="shared" si="0"/>
        <v>5.5555555555555552E-2</v>
      </c>
      <c r="Y39" s="1" t="s">
        <v>23</v>
      </c>
      <c r="Z39" s="1" t="s">
        <v>21</v>
      </c>
      <c r="AD39" s="1" t="s">
        <v>21</v>
      </c>
      <c r="AE39" s="1" t="s">
        <v>84</v>
      </c>
      <c r="AM39" s="1" t="s">
        <v>43</v>
      </c>
      <c r="AN39" s="1" t="s">
        <v>43</v>
      </c>
      <c r="AO39" s="1" t="s">
        <v>43</v>
      </c>
      <c r="AP39" s="1">
        <v>8.8000000000000007</v>
      </c>
      <c r="AQ39" s="1" t="s">
        <v>43</v>
      </c>
      <c r="AR39" s="1" t="s">
        <v>43</v>
      </c>
      <c r="AS39" s="1" t="s">
        <v>43</v>
      </c>
      <c r="AT39" s="1" t="s">
        <v>43</v>
      </c>
      <c r="AU39" s="1" t="s">
        <v>43</v>
      </c>
      <c r="AV39" s="1" t="s">
        <v>43</v>
      </c>
      <c r="AW39" s="1" t="s">
        <v>43</v>
      </c>
      <c r="BA39" s="1" t="s">
        <v>27</v>
      </c>
      <c r="BB39" s="1" t="s">
        <v>21</v>
      </c>
      <c r="BC39" s="1" t="s">
        <v>28</v>
      </c>
      <c r="BD39" s="1" t="s">
        <v>40</v>
      </c>
      <c r="BE39" s="1" t="s">
        <v>22</v>
      </c>
      <c r="BG39" s="1">
        <v>11</v>
      </c>
      <c r="BH39" s="1">
        <v>11</v>
      </c>
      <c r="BI39" s="1">
        <v>9980</v>
      </c>
      <c r="BJ39" s="1" t="s">
        <v>21</v>
      </c>
      <c r="BL39" s="1" t="s">
        <v>21</v>
      </c>
      <c r="BM39" s="1" t="s">
        <v>21</v>
      </c>
      <c r="BO39" s="1" t="s">
        <v>30</v>
      </c>
      <c r="BP39" s="1" t="s">
        <v>43</v>
      </c>
      <c r="BQ39" s="1" t="s">
        <v>43</v>
      </c>
      <c r="BS39" s="1">
        <v>49</v>
      </c>
      <c r="BX39" s="1" t="s">
        <v>105</v>
      </c>
      <c r="BY39" s="1" t="s">
        <v>56</v>
      </c>
      <c r="BZ39" s="1">
        <v>35</v>
      </c>
      <c r="CA39" s="1">
        <v>13</v>
      </c>
      <c r="CB39" s="1" t="s">
        <v>34</v>
      </c>
      <c r="CC39" s="1" t="s">
        <v>43</v>
      </c>
      <c r="CD39" s="1" t="s">
        <v>22</v>
      </c>
    </row>
    <row r="40" spans="1:82" x14ac:dyDescent="0.2">
      <c r="A40" s="1" t="s">
        <v>141</v>
      </c>
      <c r="B40" s="1" t="s">
        <v>142</v>
      </c>
      <c r="C40" s="1" t="s">
        <v>16</v>
      </c>
      <c r="D40" s="1" t="s">
        <v>17</v>
      </c>
      <c r="E40" s="1" t="s">
        <v>101</v>
      </c>
      <c r="F40" s="1" t="s">
        <v>138</v>
      </c>
      <c r="G40" s="1">
        <v>40</v>
      </c>
      <c r="H40" s="1">
        <v>40</v>
      </c>
      <c r="I40" s="14">
        <v>19816</v>
      </c>
      <c r="J40" s="14">
        <v>4257</v>
      </c>
      <c r="L40" s="1">
        <v>11</v>
      </c>
      <c r="M40" s="1" t="s">
        <v>32</v>
      </c>
      <c r="O40" s="1" t="s">
        <v>22</v>
      </c>
      <c r="P40" s="1" t="s">
        <v>21</v>
      </c>
      <c r="Q40" s="1" t="s">
        <v>22</v>
      </c>
      <c r="V40" s="5">
        <f>(1047+2000)/2</f>
        <v>1523.5</v>
      </c>
      <c r="W40" s="1">
        <f>(3.28+4.6)</f>
        <v>7.879999999999999</v>
      </c>
      <c r="X40" s="1">
        <f t="shared" si="0"/>
        <v>0.51723006235641611</v>
      </c>
      <c r="Y40" s="1" t="s">
        <v>23</v>
      </c>
      <c r="Z40" s="1" t="s">
        <v>21</v>
      </c>
      <c r="AA40" s="1">
        <v>0.3</v>
      </c>
      <c r="AB40" s="1">
        <f t="shared" si="9"/>
        <v>1.9691499835904167E-2</v>
      </c>
      <c r="AD40" s="1" t="s">
        <v>21</v>
      </c>
      <c r="AE40" s="1" t="s">
        <v>84</v>
      </c>
      <c r="AJ40" s="1">
        <v>13</v>
      </c>
      <c r="AK40" s="1">
        <f>AJ40*4.5</f>
        <v>58.5</v>
      </c>
      <c r="AM40" s="1" t="s">
        <v>43</v>
      </c>
      <c r="AN40" s="1" t="s">
        <v>43</v>
      </c>
      <c r="AO40" s="1" t="s">
        <v>47</v>
      </c>
      <c r="AP40" s="1">
        <v>219</v>
      </c>
      <c r="AQ40" s="2">
        <f>AVERAGE(88.8, 706.1)</f>
        <v>397.45</v>
      </c>
      <c r="AR40" s="2" t="s">
        <v>44</v>
      </c>
      <c r="AS40" s="1">
        <f>AVERAGE(0.222, 0.05)</f>
        <v>0.13600000000000001</v>
      </c>
      <c r="AT40" s="1">
        <f>AS40*AQ40</f>
        <v>54.053200000000004</v>
      </c>
      <c r="AU40" s="1">
        <f>AVERAGE(38.5, 80.7)</f>
        <v>59.6</v>
      </c>
      <c r="AV40" s="1">
        <v>67.3</v>
      </c>
      <c r="AW40" s="1">
        <v>74.5</v>
      </c>
      <c r="AX40" s="1">
        <v>5.25</v>
      </c>
      <c r="BA40" s="1" t="s">
        <v>27</v>
      </c>
      <c r="BB40" s="1" t="s">
        <v>21</v>
      </c>
      <c r="BC40" s="1" t="s">
        <v>28</v>
      </c>
      <c r="BD40" s="1" t="s">
        <v>40</v>
      </c>
      <c r="BE40" s="1" t="s">
        <v>8</v>
      </c>
      <c r="BF40" s="1" t="s">
        <v>21</v>
      </c>
      <c r="BG40" s="1">
        <v>6</v>
      </c>
      <c r="BH40" s="1">
        <v>6</v>
      </c>
      <c r="BI40" s="1">
        <v>794</v>
      </c>
      <c r="BJ40" s="1" t="s">
        <v>21</v>
      </c>
      <c r="BL40" s="1" t="s">
        <v>22</v>
      </c>
      <c r="BM40" s="1" t="s">
        <v>21</v>
      </c>
      <c r="BO40" s="1" t="s">
        <v>30</v>
      </c>
      <c r="BP40" s="1" t="s">
        <v>43</v>
      </c>
      <c r="BQ40" s="1">
        <v>36</v>
      </c>
      <c r="BS40" s="1">
        <v>42</v>
      </c>
      <c r="BV40" s="1" t="s">
        <v>31</v>
      </c>
      <c r="BX40" s="1" t="s">
        <v>105</v>
      </c>
      <c r="BY40" s="1" t="s">
        <v>56</v>
      </c>
      <c r="BZ40" s="1">
        <v>35</v>
      </c>
      <c r="CA40" s="1">
        <v>6.5</v>
      </c>
      <c r="CB40" s="1" t="s">
        <v>34</v>
      </c>
      <c r="CC40" s="1" t="s">
        <v>43</v>
      </c>
      <c r="CD40" s="1" t="s">
        <v>9</v>
      </c>
    </row>
    <row r="41" spans="1:82" x14ac:dyDescent="0.2">
      <c r="A41" s="1" t="s">
        <v>143</v>
      </c>
      <c r="B41" s="1" t="s">
        <v>144</v>
      </c>
      <c r="C41" s="1" t="s">
        <v>16</v>
      </c>
      <c r="D41" s="1" t="s">
        <v>17</v>
      </c>
      <c r="E41" s="1" t="s">
        <v>101</v>
      </c>
      <c r="F41" s="1" t="s">
        <v>138</v>
      </c>
      <c r="G41" s="1">
        <v>38</v>
      </c>
      <c r="H41" s="1">
        <v>38</v>
      </c>
      <c r="I41" s="14" t="s">
        <v>43</v>
      </c>
      <c r="J41" s="14" t="s">
        <v>43</v>
      </c>
      <c r="L41" s="1">
        <v>22</v>
      </c>
      <c r="M41" s="1" t="s">
        <v>32</v>
      </c>
      <c r="O41" s="1" t="s">
        <v>22</v>
      </c>
      <c r="P41" s="1" t="s">
        <v>21</v>
      </c>
      <c r="Q41" s="1" t="s">
        <v>22</v>
      </c>
      <c r="T41" s="1">
        <v>4.21</v>
      </c>
      <c r="U41" s="1">
        <f t="shared" si="2"/>
        <v>4.8600288600288602E-2</v>
      </c>
      <c r="V41" s="5">
        <f>AVERAGE(7825, 9500)</f>
        <v>8662.5</v>
      </c>
      <c r="W41" s="1">
        <f>AVERAGE(4.05, 10.8)</f>
        <v>7.4250000000000007</v>
      </c>
      <c r="X41" s="1">
        <f t="shared" si="0"/>
        <v>8.5714285714285715E-2</v>
      </c>
      <c r="Y41" s="1" t="s">
        <v>23</v>
      </c>
      <c r="Z41" s="1" t="s">
        <v>21</v>
      </c>
      <c r="AD41" s="1" t="s">
        <v>21</v>
      </c>
      <c r="AE41" s="1" t="s">
        <v>21</v>
      </c>
      <c r="AM41" s="1">
        <v>6.49</v>
      </c>
      <c r="AN41" s="1">
        <v>70.34</v>
      </c>
      <c r="AO41" s="13" t="s">
        <v>47</v>
      </c>
      <c r="AP41" s="1" t="s">
        <v>43</v>
      </c>
      <c r="AQ41" s="1" t="s">
        <v>43</v>
      </c>
      <c r="AR41" s="1" t="s">
        <v>43</v>
      </c>
      <c r="AS41" s="1" t="s">
        <v>43</v>
      </c>
      <c r="AT41" s="1" t="s">
        <v>43</v>
      </c>
      <c r="AU41" s="1" t="s">
        <v>43</v>
      </c>
      <c r="AV41" s="1" t="s">
        <v>43</v>
      </c>
      <c r="AW41" s="1" t="s">
        <v>43</v>
      </c>
      <c r="BA41" s="1" t="s">
        <v>27</v>
      </c>
      <c r="BB41" s="1" t="s">
        <v>21</v>
      </c>
      <c r="BC41" s="1" t="s">
        <v>8</v>
      </c>
      <c r="BD41" s="1" t="s">
        <v>40</v>
      </c>
      <c r="BE41" s="1" t="s">
        <v>22</v>
      </c>
      <c r="BF41" s="1" t="s">
        <v>22</v>
      </c>
      <c r="BG41" s="1">
        <v>18</v>
      </c>
      <c r="BH41" s="1">
        <f>1.5*12</f>
        <v>18</v>
      </c>
      <c r="BI41" s="1">
        <v>6000</v>
      </c>
      <c r="BJ41" s="1" t="s">
        <v>21</v>
      </c>
      <c r="BL41" s="1" t="s">
        <v>22</v>
      </c>
      <c r="BM41" s="1" t="s">
        <v>21</v>
      </c>
      <c r="BO41" s="1" t="s">
        <v>30</v>
      </c>
      <c r="BP41" s="1" t="s">
        <v>43</v>
      </c>
      <c r="BQ41" s="1" t="s">
        <v>43</v>
      </c>
      <c r="BS41" s="1">
        <v>62</v>
      </c>
      <c r="BV41" s="1" t="s">
        <v>31</v>
      </c>
      <c r="BX41" s="1" t="s">
        <v>105</v>
      </c>
      <c r="BY41" s="1" t="s">
        <v>56</v>
      </c>
      <c r="BZ41" s="1">
        <v>32</v>
      </c>
      <c r="CA41" s="1">
        <v>16</v>
      </c>
      <c r="CB41" s="1" t="s">
        <v>53</v>
      </c>
      <c r="CC41" s="1" t="s">
        <v>43</v>
      </c>
      <c r="CD41" s="1" t="s">
        <v>9</v>
      </c>
    </row>
    <row r="42" spans="1:82" x14ac:dyDescent="0.2">
      <c r="A42" s="1" t="s">
        <v>145</v>
      </c>
      <c r="B42" s="1" t="s">
        <v>146</v>
      </c>
      <c r="C42" s="1" t="s">
        <v>16</v>
      </c>
      <c r="D42" s="1" t="s">
        <v>17</v>
      </c>
      <c r="E42" s="1" t="s">
        <v>101</v>
      </c>
      <c r="F42" s="1" t="s">
        <v>147</v>
      </c>
      <c r="G42" s="1">
        <v>32</v>
      </c>
      <c r="H42" s="1">
        <v>32</v>
      </c>
      <c r="I42" s="14">
        <v>19472</v>
      </c>
      <c r="J42" s="14">
        <v>233</v>
      </c>
      <c r="L42" s="1">
        <v>30.6</v>
      </c>
      <c r="M42" s="1" t="s">
        <v>32</v>
      </c>
      <c r="O42" s="1" t="s">
        <v>22</v>
      </c>
      <c r="P42" s="1" t="s">
        <v>21</v>
      </c>
      <c r="Q42" s="1" t="s">
        <v>22</v>
      </c>
      <c r="V42" s="1">
        <v>1224000</v>
      </c>
      <c r="Y42" s="1" t="s">
        <v>30</v>
      </c>
      <c r="Z42" s="1" t="s">
        <v>21</v>
      </c>
      <c r="AD42" s="1" t="s">
        <v>21</v>
      </c>
      <c r="AE42" s="1" t="s">
        <v>21</v>
      </c>
      <c r="AM42" s="1" t="s">
        <v>43</v>
      </c>
      <c r="AN42" s="1" t="s">
        <v>43</v>
      </c>
      <c r="AO42" s="1" t="s">
        <v>43</v>
      </c>
      <c r="AP42" s="1" t="s">
        <v>43</v>
      </c>
      <c r="AQ42" s="1" t="s">
        <v>43</v>
      </c>
      <c r="AR42" s="1" t="s">
        <v>43</v>
      </c>
      <c r="AS42" s="1" t="s">
        <v>43</v>
      </c>
      <c r="AT42" s="1" t="s">
        <v>43</v>
      </c>
      <c r="AU42" s="1" t="s">
        <v>43</v>
      </c>
      <c r="AV42" s="1" t="s">
        <v>43</v>
      </c>
      <c r="AW42" s="1" t="s">
        <v>43</v>
      </c>
      <c r="BA42" s="1" t="s">
        <v>27</v>
      </c>
      <c r="BC42" s="1" t="s">
        <v>28</v>
      </c>
      <c r="BD42" s="1" t="s">
        <v>8</v>
      </c>
      <c r="BE42" s="1" t="s">
        <v>37</v>
      </c>
      <c r="BG42" s="1">
        <f>7*12</f>
        <v>84</v>
      </c>
      <c r="BH42" s="1">
        <f>5*12</f>
        <v>60</v>
      </c>
      <c r="BI42" s="1">
        <v>862000</v>
      </c>
      <c r="BJ42" s="1" t="s">
        <v>22</v>
      </c>
      <c r="BL42" s="1" t="s">
        <v>21</v>
      </c>
      <c r="BM42" s="1" t="s">
        <v>21</v>
      </c>
      <c r="BO42" s="1" t="s">
        <v>30</v>
      </c>
      <c r="BP42" s="1" t="s">
        <v>43</v>
      </c>
      <c r="BQ42" s="1" t="s">
        <v>43</v>
      </c>
      <c r="BS42" s="1">
        <f>15*30</f>
        <v>450</v>
      </c>
      <c r="BV42" s="1" t="s">
        <v>31</v>
      </c>
      <c r="BX42" s="1" t="s">
        <v>148</v>
      </c>
      <c r="BY42" s="1" t="s">
        <v>78</v>
      </c>
      <c r="BZ42" s="1">
        <v>0</v>
      </c>
      <c r="CA42" s="1">
        <v>96</v>
      </c>
      <c r="CB42" s="1" t="s">
        <v>121</v>
      </c>
      <c r="CC42" s="13">
        <v>112500</v>
      </c>
      <c r="CD42" s="1" t="s">
        <v>22</v>
      </c>
    </row>
    <row r="43" spans="1:82" x14ac:dyDescent="0.2">
      <c r="A43" s="1" t="s">
        <v>149</v>
      </c>
      <c r="B43" s="1" t="s">
        <v>150</v>
      </c>
      <c r="C43" s="1" t="s">
        <v>16</v>
      </c>
      <c r="D43" s="1" t="s">
        <v>17</v>
      </c>
      <c r="E43" s="1" t="s">
        <v>101</v>
      </c>
      <c r="F43" s="1" t="s">
        <v>151</v>
      </c>
      <c r="G43" s="1">
        <v>36</v>
      </c>
      <c r="H43" s="1">
        <v>36</v>
      </c>
      <c r="I43" s="14">
        <v>21397</v>
      </c>
      <c r="J43" s="14">
        <v>5732</v>
      </c>
      <c r="L43" s="1">
        <v>30</v>
      </c>
      <c r="M43" s="1" t="s">
        <v>32</v>
      </c>
      <c r="P43" s="1" t="s">
        <v>21</v>
      </c>
      <c r="Q43" s="1" t="s">
        <v>22</v>
      </c>
      <c r="V43" s="1">
        <v>350000</v>
      </c>
      <c r="Y43" s="1" t="s">
        <v>30</v>
      </c>
      <c r="Z43" s="1" t="s">
        <v>21</v>
      </c>
      <c r="AD43" s="1" t="s">
        <v>21</v>
      </c>
      <c r="AE43" s="1" t="s">
        <v>21</v>
      </c>
      <c r="AM43" s="1">
        <v>4</v>
      </c>
      <c r="AN43" s="1">
        <v>36</v>
      </c>
      <c r="AO43" s="13" t="s">
        <v>47</v>
      </c>
      <c r="AP43" s="1" t="s">
        <v>43</v>
      </c>
      <c r="AQ43" s="1" t="s">
        <v>43</v>
      </c>
      <c r="AR43" s="1" t="s">
        <v>43</v>
      </c>
      <c r="AS43" s="1" t="s">
        <v>43</v>
      </c>
      <c r="AT43" s="1" t="s">
        <v>43</v>
      </c>
      <c r="AU43" s="1" t="s">
        <v>43</v>
      </c>
      <c r="AV43" s="1" t="s">
        <v>43</v>
      </c>
      <c r="AW43" s="1" t="s">
        <v>43</v>
      </c>
      <c r="BA43" s="1" t="s">
        <v>27</v>
      </c>
      <c r="BC43" s="1" t="s">
        <v>28</v>
      </c>
      <c r="BD43" s="1" t="s">
        <v>8</v>
      </c>
      <c r="BE43" s="1" t="s">
        <v>8</v>
      </c>
      <c r="BG43" s="1">
        <v>48</v>
      </c>
      <c r="BH43" s="1">
        <f>4*12</f>
        <v>48</v>
      </c>
      <c r="BI43" s="1">
        <v>100000</v>
      </c>
      <c r="BJ43" s="1" t="s">
        <v>22</v>
      </c>
      <c r="BL43" s="1" t="s">
        <v>21</v>
      </c>
      <c r="BM43" s="1" t="s">
        <v>21</v>
      </c>
      <c r="BO43" s="1" t="s">
        <v>30</v>
      </c>
      <c r="BP43" s="1" t="s">
        <v>43</v>
      </c>
      <c r="BQ43" s="1" t="s">
        <v>43</v>
      </c>
      <c r="BS43" s="1">
        <f>11*30</f>
        <v>330</v>
      </c>
      <c r="BV43" s="1" t="s">
        <v>31</v>
      </c>
      <c r="BX43" s="1" t="s">
        <v>148</v>
      </c>
      <c r="BY43" s="1" t="s">
        <v>78</v>
      </c>
      <c r="BZ43" s="1">
        <v>0</v>
      </c>
      <c r="CA43" s="1">
        <v>36</v>
      </c>
      <c r="CB43" s="1" t="s">
        <v>34</v>
      </c>
      <c r="CC43" s="13">
        <v>180000</v>
      </c>
      <c r="CD43" s="1" t="s">
        <v>22</v>
      </c>
    </row>
    <row r="44" spans="1:82" x14ac:dyDescent="0.2">
      <c r="A44" s="1" t="s">
        <v>152</v>
      </c>
      <c r="B44" s="1" t="s">
        <v>153</v>
      </c>
      <c r="C44" s="1" t="s">
        <v>16</v>
      </c>
      <c r="D44" s="1" t="s">
        <v>17</v>
      </c>
      <c r="E44" s="1" t="s">
        <v>101</v>
      </c>
      <c r="F44" s="1" t="s">
        <v>154</v>
      </c>
      <c r="G44" s="1">
        <v>32</v>
      </c>
      <c r="H44" s="1">
        <v>32</v>
      </c>
      <c r="I44" s="14">
        <v>21245</v>
      </c>
      <c r="J44" s="14">
        <v>12428</v>
      </c>
      <c r="L44" s="1">
        <v>43</v>
      </c>
      <c r="M44" s="1" t="s">
        <v>32</v>
      </c>
      <c r="P44" s="1" t="s">
        <v>21</v>
      </c>
      <c r="Q44" s="1" t="s">
        <v>22</v>
      </c>
      <c r="V44" s="1">
        <v>400000</v>
      </c>
      <c r="Y44" s="1" t="s">
        <v>30</v>
      </c>
      <c r="Z44" s="1" t="s">
        <v>21</v>
      </c>
      <c r="AD44" s="1" t="s">
        <v>21</v>
      </c>
      <c r="AE44" s="1" t="s">
        <v>21</v>
      </c>
      <c r="AM44" s="1" t="s">
        <v>43</v>
      </c>
      <c r="AN44" s="1" t="s">
        <v>43</v>
      </c>
      <c r="AO44" s="1" t="s">
        <v>43</v>
      </c>
      <c r="AP44" s="1" t="s">
        <v>43</v>
      </c>
      <c r="AQ44" s="1" t="s">
        <v>43</v>
      </c>
      <c r="AR44" s="1" t="s">
        <v>43</v>
      </c>
      <c r="AS44" s="1" t="s">
        <v>43</v>
      </c>
      <c r="AT44" s="1" t="s">
        <v>43</v>
      </c>
      <c r="AU44" s="1" t="s">
        <v>43</v>
      </c>
      <c r="AV44" s="1" t="s">
        <v>43</v>
      </c>
      <c r="AW44" s="1" t="s">
        <v>43</v>
      </c>
      <c r="BA44" s="1" t="s">
        <v>27</v>
      </c>
      <c r="BC44" s="1" t="s">
        <v>28</v>
      </c>
      <c r="BD44" s="1" t="s">
        <v>8</v>
      </c>
      <c r="BE44" s="1" t="s">
        <v>37</v>
      </c>
      <c r="BG44" s="1">
        <v>36</v>
      </c>
      <c r="BH44" s="1">
        <f>3*12</f>
        <v>36</v>
      </c>
      <c r="BI44" s="1">
        <v>245000</v>
      </c>
      <c r="BJ44" s="1" t="s">
        <v>22</v>
      </c>
      <c r="BL44" s="1" t="s">
        <v>21</v>
      </c>
      <c r="BM44" s="1" t="s">
        <v>21</v>
      </c>
      <c r="BO44" s="1" t="s">
        <v>30</v>
      </c>
      <c r="BP44" s="1" t="s">
        <v>43</v>
      </c>
      <c r="BQ44" s="1" t="s">
        <v>43</v>
      </c>
      <c r="BS44" s="1">
        <v>334.5</v>
      </c>
      <c r="BV44" s="1" t="s">
        <v>31</v>
      </c>
      <c r="BX44" s="1" t="s">
        <v>148</v>
      </c>
      <c r="BY44" s="1" t="s">
        <v>78</v>
      </c>
      <c r="BZ44" s="1">
        <v>0</v>
      </c>
      <c r="CA44" s="1">
        <v>2.5</v>
      </c>
      <c r="CB44" s="1" t="s">
        <v>34</v>
      </c>
      <c r="CC44" s="13">
        <v>316000</v>
      </c>
      <c r="CD44" s="1" t="s">
        <v>22</v>
      </c>
    </row>
    <row r="45" spans="1:82" x14ac:dyDescent="0.2">
      <c r="A45" s="1" t="s">
        <v>155</v>
      </c>
      <c r="B45" s="1" t="s">
        <v>156</v>
      </c>
      <c r="C45" s="1" t="s">
        <v>16</v>
      </c>
      <c r="D45" s="1" t="s">
        <v>17</v>
      </c>
      <c r="E45" s="1" t="s">
        <v>101</v>
      </c>
      <c r="F45" s="1" t="s">
        <v>157</v>
      </c>
      <c r="G45" s="1">
        <v>74</v>
      </c>
      <c r="H45" s="1">
        <v>74</v>
      </c>
      <c r="I45" s="14" t="s">
        <v>43</v>
      </c>
      <c r="J45" s="14" t="s">
        <v>43</v>
      </c>
      <c r="L45" s="1">
        <v>50</v>
      </c>
      <c r="M45" s="1" t="s">
        <v>50</v>
      </c>
      <c r="P45" s="1" t="s">
        <v>21</v>
      </c>
      <c r="Q45" s="1" t="s">
        <v>22</v>
      </c>
      <c r="V45" s="5">
        <f>AVERAGE(235900, 180900)</f>
        <v>208400</v>
      </c>
      <c r="W45" s="1">
        <v>68.599999999999994</v>
      </c>
      <c r="X45" s="1">
        <f t="shared" si="0"/>
        <v>3.291746641074856E-2</v>
      </c>
      <c r="Y45" s="1" t="s">
        <v>23</v>
      </c>
      <c r="Z45" s="1" t="s">
        <v>21</v>
      </c>
      <c r="AA45" s="1">
        <f>9.5*2</f>
        <v>19</v>
      </c>
      <c r="AB45" s="1">
        <f t="shared" ref="AB45:AB70" si="11">(AA45/V45)*100</f>
        <v>9.1170825335892512E-3</v>
      </c>
      <c r="AD45" s="1" t="s">
        <v>21</v>
      </c>
      <c r="AE45" s="1" t="s">
        <v>21</v>
      </c>
      <c r="AM45" s="1">
        <v>7</v>
      </c>
      <c r="AN45" s="1">
        <v>66</v>
      </c>
      <c r="AO45" s="13" t="s">
        <v>47</v>
      </c>
      <c r="AP45" s="1">
        <v>640</v>
      </c>
      <c r="AQ45" s="2">
        <f>AVERAGE(206.88, 163.68)</f>
        <v>185.28</v>
      </c>
      <c r="AR45" s="2" t="s">
        <v>44</v>
      </c>
      <c r="AS45" s="1">
        <f>AVERAGE(2.55, 2.35)</f>
        <v>2.4500000000000002</v>
      </c>
      <c r="AT45" s="1">
        <f>AS45*AQ45</f>
        <v>453.93600000000004</v>
      </c>
      <c r="AU45" s="1">
        <f>AVERAGE(74.4, 77.1, 80)</f>
        <v>77.166666666666671</v>
      </c>
      <c r="AV45" s="1">
        <v>78</v>
      </c>
      <c r="AW45" s="1">
        <v>90</v>
      </c>
      <c r="AY45" s="1">
        <f>17*60</f>
        <v>1020</v>
      </c>
      <c r="AZ45" s="1" t="s">
        <v>22</v>
      </c>
      <c r="BA45" s="1" t="s">
        <v>75</v>
      </c>
      <c r="BB45" s="1" t="s">
        <v>21</v>
      </c>
      <c r="BC45" s="1" t="s">
        <v>8</v>
      </c>
      <c r="BD45" s="1" t="s">
        <v>40</v>
      </c>
      <c r="BE45" s="1" t="s">
        <v>8</v>
      </c>
      <c r="BF45" s="1" t="s">
        <v>21</v>
      </c>
      <c r="BG45" s="1">
        <f>3.5*12</f>
        <v>42</v>
      </c>
      <c r="BH45" s="1">
        <f>3*12</f>
        <v>36</v>
      </c>
      <c r="BI45" s="5">
        <f>AVERAGE(133000, 182000)</f>
        <v>157500</v>
      </c>
      <c r="BJ45" s="1" t="s">
        <v>21</v>
      </c>
      <c r="BL45" s="1" t="s">
        <v>21</v>
      </c>
      <c r="BM45" s="1" t="s">
        <v>21</v>
      </c>
      <c r="BO45" s="1" t="s">
        <v>30</v>
      </c>
      <c r="BP45" s="1" t="s">
        <v>43</v>
      </c>
      <c r="BQ45" s="1">
        <f>AVERAGE(10, 30, 32, 14, 28, 25, 36)</f>
        <v>25</v>
      </c>
      <c r="BR45" s="1">
        <f>29*12</f>
        <v>348</v>
      </c>
      <c r="BS45" s="1">
        <v>225</v>
      </c>
      <c r="BV45" s="1" t="s">
        <v>31</v>
      </c>
      <c r="BX45" s="1" t="s">
        <v>158</v>
      </c>
      <c r="BY45" s="1" t="s">
        <v>56</v>
      </c>
      <c r="BZ45" s="1">
        <v>42</v>
      </c>
      <c r="CA45" s="1">
        <v>156</v>
      </c>
      <c r="CB45" s="1" t="s">
        <v>34</v>
      </c>
      <c r="CC45" s="13">
        <v>110000</v>
      </c>
      <c r="CD45" s="1" t="s">
        <v>22</v>
      </c>
    </row>
    <row r="46" spans="1:82" x14ac:dyDescent="0.2">
      <c r="A46" s="1" t="s">
        <v>159</v>
      </c>
      <c r="B46" s="1" t="s">
        <v>160</v>
      </c>
      <c r="C46" s="1" t="s">
        <v>16</v>
      </c>
      <c r="D46" s="1" t="s">
        <v>17</v>
      </c>
      <c r="E46" s="1" t="s">
        <v>101</v>
      </c>
      <c r="F46" s="1" t="s">
        <v>157</v>
      </c>
      <c r="G46" s="1">
        <v>74</v>
      </c>
      <c r="H46" s="1">
        <v>74</v>
      </c>
      <c r="I46" s="17">
        <v>20419</v>
      </c>
      <c r="J46" s="17">
        <v>6741</v>
      </c>
      <c r="L46" s="1">
        <v>38.200000000000003</v>
      </c>
      <c r="M46" s="1" t="s">
        <v>32</v>
      </c>
      <c r="P46" s="1" t="s">
        <v>21</v>
      </c>
      <c r="Q46" s="1" t="s">
        <v>22</v>
      </c>
      <c r="V46" s="5">
        <v>410000</v>
      </c>
      <c r="W46" s="1">
        <v>143.4</v>
      </c>
      <c r="X46" s="1">
        <f t="shared" si="0"/>
        <v>3.4975609756097564E-2</v>
      </c>
      <c r="Y46" s="1" t="s">
        <v>23</v>
      </c>
      <c r="Z46" s="1" t="s">
        <v>21</v>
      </c>
      <c r="AD46" s="1" t="s">
        <v>21</v>
      </c>
      <c r="AE46" s="1" t="s">
        <v>21</v>
      </c>
      <c r="AM46" s="1">
        <v>5</v>
      </c>
      <c r="AN46" s="1">
        <v>47</v>
      </c>
      <c r="AO46" s="13" t="s">
        <v>47</v>
      </c>
      <c r="AP46" s="1" t="s">
        <v>43</v>
      </c>
      <c r="AQ46" s="2">
        <v>630</v>
      </c>
      <c r="AR46" s="2" t="s">
        <v>44</v>
      </c>
      <c r="AS46" s="1">
        <v>0.50900000000000001</v>
      </c>
      <c r="AT46" s="1">
        <f>AS46*AQ46</f>
        <v>320.67</v>
      </c>
      <c r="AU46" s="1">
        <v>64</v>
      </c>
      <c r="AV46" s="1" t="s">
        <v>43</v>
      </c>
      <c r="AW46" s="1" t="s">
        <v>43</v>
      </c>
      <c r="BA46" s="1" t="s">
        <v>27</v>
      </c>
      <c r="BB46" s="1" t="s">
        <v>21</v>
      </c>
      <c r="BC46" s="1" t="s">
        <v>8</v>
      </c>
      <c r="BD46" s="1" t="s">
        <v>40</v>
      </c>
      <c r="BE46" s="1" t="s">
        <v>8</v>
      </c>
      <c r="BG46" s="1">
        <f>3.5*12</f>
        <v>42</v>
      </c>
      <c r="BH46" s="1">
        <v>42</v>
      </c>
      <c r="BI46" s="5">
        <v>320000</v>
      </c>
      <c r="BJ46" s="1" t="s">
        <v>21</v>
      </c>
      <c r="BL46" s="1" t="s">
        <v>21</v>
      </c>
      <c r="BM46" s="1" t="s">
        <v>21</v>
      </c>
      <c r="BO46" s="1" t="s">
        <v>30</v>
      </c>
      <c r="BP46" s="1" t="s">
        <v>43</v>
      </c>
      <c r="BQ46" s="1" t="s">
        <v>43</v>
      </c>
      <c r="BS46" s="1">
        <v>230</v>
      </c>
      <c r="BV46" s="1" t="s">
        <v>31</v>
      </c>
      <c r="BX46" s="1" t="s">
        <v>161</v>
      </c>
      <c r="BY46" s="1" t="s">
        <v>56</v>
      </c>
      <c r="BZ46" s="1">
        <v>30</v>
      </c>
      <c r="CA46" s="1">
        <v>130</v>
      </c>
      <c r="CB46" s="1" t="s">
        <v>121</v>
      </c>
      <c r="CC46" s="13">
        <v>26000</v>
      </c>
      <c r="CD46" s="1" t="s">
        <v>22</v>
      </c>
    </row>
    <row r="47" spans="1:82" x14ac:dyDescent="0.2">
      <c r="A47" s="1" t="s">
        <v>162</v>
      </c>
      <c r="B47" s="1" t="s">
        <v>163</v>
      </c>
      <c r="C47" s="1" t="s">
        <v>16</v>
      </c>
      <c r="D47" s="1" t="s">
        <v>17</v>
      </c>
      <c r="E47" s="1" t="s">
        <v>101</v>
      </c>
      <c r="F47" s="1" t="s">
        <v>157</v>
      </c>
      <c r="G47" s="1">
        <v>74</v>
      </c>
      <c r="H47" s="1">
        <v>74</v>
      </c>
      <c r="I47" s="14" t="s">
        <v>43</v>
      </c>
      <c r="J47" s="14" t="s">
        <v>43</v>
      </c>
      <c r="L47" s="1">
        <v>40</v>
      </c>
      <c r="M47" s="1" t="s">
        <v>50</v>
      </c>
      <c r="P47" s="1" t="s">
        <v>21</v>
      </c>
      <c r="Q47" s="1" t="s">
        <v>22</v>
      </c>
      <c r="V47" s="5">
        <v>140600</v>
      </c>
      <c r="Y47" s="1" t="s">
        <v>23</v>
      </c>
      <c r="Z47" s="1" t="s">
        <v>21</v>
      </c>
      <c r="AD47" s="1" t="s">
        <v>21</v>
      </c>
      <c r="AE47" s="1" t="s">
        <v>21</v>
      </c>
      <c r="AM47" s="1" t="s">
        <v>43</v>
      </c>
      <c r="AN47" s="1" t="s">
        <v>43</v>
      </c>
      <c r="AO47" s="1" t="s">
        <v>43</v>
      </c>
      <c r="AP47" s="1" t="s">
        <v>43</v>
      </c>
      <c r="AQ47" s="1" t="s">
        <v>43</v>
      </c>
      <c r="AR47" s="1" t="s">
        <v>43</v>
      </c>
      <c r="AS47" s="1" t="s">
        <v>43</v>
      </c>
      <c r="AT47" s="1" t="s">
        <v>43</v>
      </c>
      <c r="AU47" s="1" t="s">
        <v>43</v>
      </c>
      <c r="AV47" s="1" t="s">
        <v>43</v>
      </c>
      <c r="AW47" s="1" t="s">
        <v>43</v>
      </c>
      <c r="BA47" s="1" t="s">
        <v>43</v>
      </c>
      <c r="BD47" s="1" t="s">
        <v>40</v>
      </c>
      <c r="BE47" s="1" t="s">
        <v>164</v>
      </c>
      <c r="BG47" s="1">
        <f>1095/30</f>
        <v>36.5</v>
      </c>
      <c r="BH47" s="1">
        <v>36.5</v>
      </c>
      <c r="BI47" s="5">
        <v>95000</v>
      </c>
      <c r="BJ47" s="1" t="s">
        <v>21</v>
      </c>
      <c r="BL47" s="1" t="s">
        <v>21</v>
      </c>
      <c r="BM47" s="1" t="s">
        <v>21</v>
      </c>
      <c r="BO47" s="1" t="s">
        <v>30</v>
      </c>
      <c r="BP47" s="1" t="s">
        <v>43</v>
      </c>
      <c r="BQ47" s="1" t="s">
        <v>43</v>
      </c>
      <c r="BS47" s="1">
        <v>197</v>
      </c>
      <c r="BV47" s="1" t="s">
        <v>31</v>
      </c>
      <c r="BX47" s="1" t="s">
        <v>161</v>
      </c>
      <c r="BY47" s="1" t="s">
        <v>56</v>
      </c>
      <c r="BZ47" s="1">
        <v>24</v>
      </c>
      <c r="CA47" s="1">
        <v>52</v>
      </c>
      <c r="CB47" s="1" t="s">
        <v>121</v>
      </c>
      <c r="CC47" s="13">
        <v>20000</v>
      </c>
      <c r="CD47" s="1" t="s">
        <v>22</v>
      </c>
    </row>
    <row r="48" spans="1:82" x14ac:dyDescent="0.2">
      <c r="A48" s="1" t="s">
        <v>165</v>
      </c>
      <c r="B48" s="1" t="s">
        <v>166</v>
      </c>
      <c r="C48" s="1" t="s">
        <v>16</v>
      </c>
      <c r="D48" s="1" t="s">
        <v>17</v>
      </c>
      <c r="E48" s="1" t="s">
        <v>101</v>
      </c>
      <c r="F48" s="1" t="s">
        <v>157</v>
      </c>
      <c r="G48" s="1">
        <v>42</v>
      </c>
      <c r="H48" s="1">
        <v>42</v>
      </c>
      <c r="I48" s="17">
        <v>22453</v>
      </c>
      <c r="J48" s="17">
        <v>6763</v>
      </c>
      <c r="L48" s="1">
        <v>30</v>
      </c>
      <c r="M48" s="1" t="s">
        <v>20</v>
      </c>
      <c r="P48" s="1" t="s">
        <v>21</v>
      </c>
      <c r="Q48" s="1" t="s">
        <v>22</v>
      </c>
      <c r="V48" s="5">
        <v>111700</v>
      </c>
      <c r="W48" s="1">
        <v>330</v>
      </c>
      <c r="X48" s="1">
        <f t="shared" si="0"/>
        <v>0.29543419874664278</v>
      </c>
      <c r="Y48" s="1" t="s">
        <v>23</v>
      </c>
      <c r="Z48" s="1" t="s">
        <v>21</v>
      </c>
      <c r="AD48" s="1" t="s">
        <v>21</v>
      </c>
      <c r="AE48" s="1" t="s">
        <v>21</v>
      </c>
      <c r="AM48" s="1">
        <v>4</v>
      </c>
      <c r="AN48" s="1">
        <v>50.78</v>
      </c>
      <c r="AO48" s="13" t="s">
        <v>47</v>
      </c>
      <c r="AP48" s="1">
        <v>459.375</v>
      </c>
      <c r="AQ48" s="2">
        <v>1500</v>
      </c>
      <c r="AR48" s="2" t="s">
        <v>44</v>
      </c>
      <c r="AS48" s="1">
        <v>1.5</v>
      </c>
      <c r="AT48" s="1">
        <f>AQ48*AS48</f>
        <v>2250</v>
      </c>
      <c r="AU48" s="1">
        <v>79</v>
      </c>
      <c r="AV48" s="1">
        <v>86</v>
      </c>
      <c r="AW48" s="1">
        <v>84</v>
      </c>
      <c r="BA48" s="1" t="s">
        <v>27</v>
      </c>
      <c r="BC48" s="1" t="s">
        <v>8</v>
      </c>
      <c r="BD48" s="1" t="s">
        <v>40</v>
      </c>
      <c r="BE48" s="1" t="s">
        <v>8</v>
      </c>
      <c r="BF48" s="1" t="s">
        <v>21</v>
      </c>
      <c r="BG48" s="1">
        <f>5.5*12</f>
        <v>66</v>
      </c>
      <c r="BH48" s="1">
        <v>66</v>
      </c>
      <c r="BI48" s="5">
        <v>96800</v>
      </c>
      <c r="BJ48" s="1" t="s">
        <v>21</v>
      </c>
      <c r="BL48" s="1" t="s">
        <v>21</v>
      </c>
      <c r="BM48" s="1" t="s">
        <v>21</v>
      </c>
      <c r="BO48" s="1" t="s">
        <v>30</v>
      </c>
      <c r="BP48" s="1">
        <f>AVERAGE(7, 14)</f>
        <v>10.5</v>
      </c>
      <c r="BQ48" s="1">
        <v>2.5</v>
      </c>
      <c r="BS48" s="1">
        <v>127.5</v>
      </c>
      <c r="BX48" s="1" t="s">
        <v>105</v>
      </c>
      <c r="BY48" s="1" t="s">
        <v>56</v>
      </c>
      <c r="BZ48" s="1">
        <v>56</v>
      </c>
      <c r="CA48" s="1">
        <v>39</v>
      </c>
      <c r="CB48" s="1" t="s">
        <v>121</v>
      </c>
      <c r="CC48" s="13">
        <v>1000</v>
      </c>
      <c r="CD48" s="1" t="s">
        <v>22</v>
      </c>
    </row>
    <row r="49" spans="1:82" x14ac:dyDescent="0.2">
      <c r="A49" s="1" t="s">
        <v>167</v>
      </c>
      <c r="B49" s="1" t="s">
        <v>168</v>
      </c>
      <c r="C49" s="1" t="s">
        <v>16</v>
      </c>
      <c r="D49" s="1" t="s">
        <v>17</v>
      </c>
      <c r="E49" s="1" t="s">
        <v>169</v>
      </c>
      <c r="F49" s="1" t="s">
        <v>170</v>
      </c>
      <c r="G49" s="1">
        <v>60</v>
      </c>
      <c r="H49" s="1">
        <v>60</v>
      </c>
      <c r="I49" s="14" t="s">
        <v>43</v>
      </c>
      <c r="J49" s="14" t="s">
        <v>43</v>
      </c>
      <c r="L49" s="1">
        <v>18</v>
      </c>
      <c r="M49" s="1" t="s">
        <v>20</v>
      </c>
      <c r="N49" s="1">
        <v>4</v>
      </c>
      <c r="O49" s="1" t="s">
        <v>21</v>
      </c>
      <c r="P49" s="1" t="s">
        <v>21</v>
      </c>
      <c r="Q49" s="1" t="s">
        <v>21</v>
      </c>
      <c r="R49" s="1" t="s">
        <v>21</v>
      </c>
      <c r="S49" s="1" t="s">
        <v>22</v>
      </c>
      <c r="V49" s="5">
        <v>310000</v>
      </c>
      <c r="W49" s="1">
        <v>310</v>
      </c>
      <c r="X49" s="1">
        <f t="shared" si="0"/>
        <v>0.1</v>
      </c>
      <c r="Y49" s="1" t="s">
        <v>23</v>
      </c>
      <c r="Z49" s="1" t="s">
        <v>21</v>
      </c>
      <c r="AD49" s="1" t="s">
        <v>21</v>
      </c>
      <c r="AE49" s="1" t="s">
        <v>22</v>
      </c>
      <c r="AF49" s="1" t="s">
        <v>24</v>
      </c>
      <c r="AM49" s="1">
        <v>5.875</v>
      </c>
      <c r="AN49" s="1">
        <v>63</v>
      </c>
      <c r="AO49" s="1" t="s">
        <v>7</v>
      </c>
      <c r="AP49" s="1">
        <v>77.849999999999994</v>
      </c>
      <c r="AQ49" s="2">
        <v>2.27</v>
      </c>
      <c r="AR49" s="2" t="s">
        <v>26</v>
      </c>
      <c r="AS49" s="1">
        <v>4.34</v>
      </c>
      <c r="AT49" s="1">
        <f>AQ49*AS49</f>
        <v>9.851799999999999</v>
      </c>
      <c r="AU49" s="1">
        <v>60</v>
      </c>
      <c r="AV49" s="1">
        <v>95</v>
      </c>
      <c r="AW49" s="1" t="s">
        <v>43</v>
      </c>
      <c r="BA49" s="1" t="s">
        <v>27</v>
      </c>
      <c r="BB49" s="1" t="s">
        <v>22</v>
      </c>
      <c r="BC49" s="1" t="s">
        <v>28</v>
      </c>
      <c r="BD49" s="1" t="s">
        <v>8</v>
      </c>
      <c r="BE49" s="1" t="s">
        <v>37</v>
      </c>
      <c r="BF49" s="1" t="s">
        <v>22</v>
      </c>
      <c r="BI49" s="1">
        <v>241000</v>
      </c>
      <c r="BJ49" s="1" t="s">
        <v>22</v>
      </c>
      <c r="BL49" s="1" t="s">
        <v>22</v>
      </c>
      <c r="BM49" s="1" t="s">
        <v>21</v>
      </c>
      <c r="BO49" s="1" t="s">
        <v>30</v>
      </c>
      <c r="BP49" s="1">
        <v>18.3</v>
      </c>
      <c r="BQ49" s="2" t="s">
        <v>171</v>
      </c>
      <c r="BS49" s="2">
        <v>251</v>
      </c>
      <c r="BV49" s="1" t="s">
        <v>31</v>
      </c>
      <c r="BZ49" s="1">
        <v>0</v>
      </c>
      <c r="CA49" s="1">
        <v>8</v>
      </c>
      <c r="CB49" s="1" t="s">
        <v>34</v>
      </c>
      <c r="CC49" s="13">
        <v>1000000</v>
      </c>
      <c r="CD49" s="1" t="s">
        <v>22</v>
      </c>
    </row>
    <row r="50" spans="1:82" x14ac:dyDescent="0.2">
      <c r="A50" s="1" t="s">
        <v>172</v>
      </c>
      <c r="B50" s="1" t="s">
        <v>173</v>
      </c>
      <c r="C50" s="1" t="s">
        <v>16</v>
      </c>
      <c r="D50" s="1" t="s">
        <v>17</v>
      </c>
      <c r="E50" s="1" t="s">
        <v>169</v>
      </c>
      <c r="F50" s="1" t="s">
        <v>170</v>
      </c>
      <c r="G50" s="1">
        <v>70</v>
      </c>
      <c r="H50" s="1">
        <v>70</v>
      </c>
      <c r="I50" s="14" t="s">
        <v>43</v>
      </c>
      <c r="J50" s="14" t="s">
        <v>43</v>
      </c>
      <c r="L50" s="1">
        <v>20.2</v>
      </c>
      <c r="M50" s="1" t="s">
        <v>20</v>
      </c>
      <c r="N50" s="1">
        <v>3</v>
      </c>
      <c r="O50" s="1" t="s">
        <v>22</v>
      </c>
      <c r="P50" s="1" t="s">
        <v>21</v>
      </c>
      <c r="Q50" s="1" t="s">
        <v>21</v>
      </c>
      <c r="R50" s="1" t="s">
        <v>21</v>
      </c>
      <c r="S50" s="1" t="s">
        <v>22</v>
      </c>
      <c r="T50" s="1">
        <f>3.84+31.02</f>
        <v>34.86</v>
      </c>
      <c r="U50" s="1">
        <f t="shared" si="2"/>
        <v>2.6284637134778511E-2</v>
      </c>
      <c r="V50" s="1">
        <f>AVERAGE(115250, 150000)</f>
        <v>132625</v>
      </c>
      <c r="W50" s="1">
        <f>AVERAGE(74.825, 180)</f>
        <v>127.41249999999999</v>
      </c>
      <c r="X50" s="1">
        <f t="shared" si="0"/>
        <v>9.6069745523091415E-2</v>
      </c>
      <c r="Y50" s="1" t="s">
        <v>23</v>
      </c>
      <c r="Z50" s="1" t="s">
        <v>21</v>
      </c>
      <c r="AD50" s="1" t="s">
        <v>21</v>
      </c>
      <c r="AE50" s="1" t="s">
        <v>22</v>
      </c>
      <c r="AF50" s="1" t="s">
        <v>24</v>
      </c>
      <c r="AI50" s="1" t="s">
        <v>22</v>
      </c>
      <c r="AM50" s="1">
        <v>6</v>
      </c>
      <c r="AN50" s="1">
        <v>56</v>
      </c>
      <c r="AO50" s="13" t="s">
        <v>47</v>
      </c>
      <c r="AP50" s="1" t="s">
        <v>43</v>
      </c>
      <c r="AQ50" s="2">
        <v>467</v>
      </c>
      <c r="AR50" s="2" t="s">
        <v>26</v>
      </c>
      <c r="AS50" s="1">
        <v>0.5</v>
      </c>
      <c r="AT50" s="1">
        <f>AS50*AQ50</f>
        <v>233.5</v>
      </c>
      <c r="AU50" s="2">
        <v>50</v>
      </c>
      <c r="AV50" s="1">
        <v>70</v>
      </c>
      <c r="AW50" s="1" t="s">
        <v>43</v>
      </c>
      <c r="BA50" s="1" t="s">
        <v>27</v>
      </c>
      <c r="BB50" s="1" t="s">
        <v>22</v>
      </c>
      <c r="BC50" s="1" t="s">
        <v>28</v>
      </c>
      <c r="BD50" s="1" t="s">
        <v>8</v>
      </c>
      <c r="BE50" s="1" t="s">
        <v>37</v>
      </c>
      <c r="BF50" s="1" t="s">
        <v>22</v>
      </c>
      <c r="BG50" s="2">
        <v>17.5</v>
      </c>
      <c r="BH50" s="1">
        <v>8</v>
      </c>
      <c r="BI50" s="1">
        <v>120000</v>
      </c>
      <c r="BJ50" s="1" t="s">
        <v>22</v>
      </c>
      <c r="BL50" s="1" t="s">
        <v>22</v>
      </c>
      <c r="BM50" s="1" t="s">
        <v>21</v>
      </c>
      <c r="BO50" s="1" t="s">
        <v>30</v>
      </c>
      <c r="BP50" s="1">
        <v>21</v>
      </c>
      <c r="BQ50" s="1">
        <v>4.1000000000000002E-2</v>
      </c>
      <c r="BS50" s="2">
        <v>230</v>
      </c>
      <c r="BT50" s="1">
        <v>1.5</v>
      </c>
      <c r="BU50" s="1">
        <f t="shared" si="10"/>
        <v>1.25E-3</v>
      </c>
      <c r="BV50" s="1" t="s">
        <v>31</v>
      </c>
      <c r="BX50" s="1" t="s">
        <v>32</v>
      </c>
      <c r="BY50" s="1" t="s">
        <v>78</v>
      </c>
      <c r="BZ50" s="1">
        <v>0</v>
      </c>
      <c r="CA50" s="1">
        <v>21</v>
      </c>
      <c r="CB50" s="1" t="s">
        <v>121</v>
      </c>
      <c r="CC50" s="1">
        <v>2890400</v>
      </c>
      <c r="CD50" s="1" t="s">
        <v>22</v>
      </c>
    </row>
    <row r="51" spans="1:82" x14ac:dyDescent="0.2">
      <c r="A51" s="1" t="s">
        <v>174</v>
      </c>
      <c r="B51" s="1" t="s">
        <v>175</v>
      </c>
      <c r="C51" s="1" t="s">
        <v>16</v>
      </c>
      <c r="D51" s="1" t="s">
        <v>17</v>
      </c>
      <c r="E51" s="1" t="s">
        <v>169</v>
      </c>
      <c r="F51" s="1" t="s">
        <v>170</v>
      </c>
      <c r="G51" s="1">
        <v>68</v>
      </c>
      <c r="H51" s="1">
        <v>68</v>
      </c>
      <c r="I51" s="14" t="s">
        <v>43</v>
      </c>
      <c r="J51" s="14" t="s">
        <v>43</v>
      </c>
      <c r="L51" s="1">
        <v>24.7</v>
      </c>
      <c r="M51" s="1" t="s">
        <v>20</v>
      </c>
      <c r="N51" s="1">
        <v>4</v>
      </c>
      <c r="O51" s="1" t="s">
        <v>21</v>
      </c>
      <c r="P51" s="1" t="s">
        <v>21</v>
      </c>
      <c r="Q51" s="1" t="s">
        <v>21</v>
      </c>
      <c r="R51" s="1" t="s">
        <v>21</v>
      </c>
      <c r="S51" s="1" t="s">
        <v>22</v>
      </c>
      <c r="T51" s="1">
        <f>25.4+34.4</f>
        <v>59.8</v>
      </c>
      <c r="U51" s="1">
        <f t="shared" si="2"/>
        <v>4.9096880131362888E-2</v>
      </c>
      <c r="V51" s="5">
        <v>121800</v>
      </c>
      <c r="W51" s="1">
        <f>AVERAGE(156.6, 156.85)</f>
        <v>156.72499999999999</v>
      </c>
      <c r="X51" s="1">
        <f t="shared" si="0"/>
        <v>0.12867405582922825</v>
      </c>
      <c r="Y51" s="1" t="s">
        <v>23</v>
      </c>
      <c r="Z51" s="1" t="s">
        <v>21</v>
      </c>
      <c r="AD51" s="1" t="s">
        <v>21</v>
      </c>
      <c r="AE51" s="1" t="s">
        <v>22</v>
      </c>
      <c r="AF51" s="1" t="s">
        <v>24</v>
      </c>
      <c r="AI51" s="1" t="s">
        <v>21</v>
      </c>
      <c r="AM51" s="1">
        <v>8</v>
      </c>
      <c r="AN51" s="1">
        <v>62</v>
      </c>
      <c r="AO51" s="13" t="s">
        <v>7</v>
      </c>
      <c r="AP51" s="1">
        <v>571.20000000000005</v>
      </c>
      <c r="AQ51" s="2">
        <f>AT51/AS51</f>
        <v>318.52803738317755</v>
      </c>
      <c r="AR51" s="2" t="s">
        <v>26</v>
      </c>
      <c r="AS51" s="1">
        <v>2.14</v>
      </c>
      <c r="AT51" s="1">
        <v>681.65</v>
      </c>
      <c r="AU51" s="1">
        <v>80</v>
      </c>
      <c r="AV51" s="1">
        <v>81</v>
      </c>
      <c r="AW51" s="1">
        <v>74</v>
      </c>
      <c r="BA51" s="1" t="s">
        <v>27</v>
      </c>
      <c r="BB51" s="1" t="s">
        <v>22</v>
      </c>
      <c r="BC51" s="1" t="s">
        <v>28</v>
      </c>
      <c r="BD51" s="1" t="s">
        <v>8</v>
      </c>
      <c r="BE51" s="1" t="s">
        <v>37</v>
      </c>
      <c r="BF51" s="1" t="s">
        <v>21</v>
      </c>
      <c r="BG51" s="2">
        <v>12</v>
      </c>
      <c r="BH51" s="1">
        <v>16</v>
      </c>
      <c r="BI51" s="1">
        <v>125000</v>
      </c>
      <c r="BJ51" s="1" t="s">
        <v>22</v>
      </c>
      <c r="BL51" s="1" t="s">
        <v>22</v>
      </c>
      <c r="BM51" s="1" t="s">
        <v>21</v>
      </c>
      <c r="BN51" s="1">
        <v>97.9</v>
      </c>
      <c r="BO51" s="1" t="s">
        <v>30</v>
      </c>
      <c r="BP51" s="1">
        <v>18.3</v>
      </c>
      <c r="BQ51" s="1">
        <v>1</v>
      </c>
      <c r="BS51" s="1">
        <v>247</v>
      </c>
      <c r="BV51" s="1" t="s">
        <v>31</v>
      </c>
      <c r="BX51" s="1" t="s">
        <v>32</v>
      </c>
      <c r="BY51" s="1" t="s">
        <v>78</v>
      </c>
      <c r="BZ51" s="1">
        <v>0</v>
      </c>
      <c r="CA51" s="1">
        <v>16</v>
      </c>
      <c r="CB51" s="1" t="s">
        <v>34</v>
      </c>
      <c r="CC51" s="13">
        <v>2400000</v>
      </c>
      <c r="CD51" s="1" t="s">
        <v>22</v>
      </c>
    </row>
    <row r="52" spans="1:82" x14ac:dyDescent="0.2">
      <c r="A52" s="1" t="s">
        <v>176</v>
      </c>
      <c r="B52" s="1" t="s">
        <v>177</v>
      </c>
      <c r="C52" s="1" t="s">
        <v>16</v>
      </c>
      <c r="D52" s="1" t="s">
        <v>17</v>
      </c>
      <c r="E52" s="1" t="s">
        <v>169</v>
      </c>
      <c r="F52" s="1" t="s">
        <v>170</v>
      </c>
      <c r="G52" s="1">
        <v>68</v>
      </c>
      <c r="H52" s="1">
        <v>68</v>
      </c>
      <c r="I52" s="14" t="s">
        <v>43</v>
      </c>
      <c r="J52" s="14" t="s">
        <v>43</v>
      </c>
      <c r="L52" s="1">
        <v>25</v>
      </c>
      <c r="M52" s="1" t="s">
        <v>20</v>
      </c>
      <c r="N52" s="1">
        <v>3</v>
      </c>
      <c r="O52" s="1" t="s">
        <v>22</v>
      </c>
      <c r="P52" s="1" t="s">
        <v>21</v>
      </c>
      <c r="Q52" s="1" t="s">
        <v>21</v>
      </c>
      <c r="R52" s="1" t="s">
        <v>21</v>
      </c>
      <c r="S52" s="1" t="s">
        <v>22</v>
      </c>
      <c r="T52" s="1">
        <f>AVERAGE((15+0.7+5.9), (14.3+23.1))</f>
        <v>29.500000000000004</v>
      </c>
      <c r="U52" s="1">
        <f t="shared" si="2"/>
        <v>4.229390681003585E-2</v>
      </c>
      <c r="V52" s="5">
        <f>AVERAGE(59500, 80000)</f>
        <v>69750</v>
      </c>
      <c r="W52" s="1">
        <v>80</v>
      </c>
      <c r="X52" s="1">
        <f t="shared" si="0"/>
        <v>0.11469534050179211</v>
      </c>
      <c r="Y52" s="1" t="s">
        <v>23</v>
      </c>
      <c r="Z52" s="1" t="s">
        <v>21</v>
      </c>
      <c r="AD52" s="1" t="s">
        <v>21</v>
      </c>
      <c r="AE52" s="1" t="s">
        <v>22</v>
      </c>
      <c r="AI52" s="1" t="s">
        <v>22</v>
      </c>
      <c r="AM52" s="1">
        <v>8.61</v>
      </c>
      <c r="AN52" s="1">
        <v>70.510000000000005</v>
      </c>
      <c r="AO52" s="1" t="s">
        <v>47</v>
      </c>
      <c r="AP52" s="1" t="s">
        <v>43</v>
      </c>
      <c r="AQ52" s="2">
        <v>400</v>
      </c>
      <c r="AR52" s="2" t="s">
        <v>44</v>
      </c>
      <c r="AS52" s="1">
        <v>0.8</v>
      </c>
      <c r="AT52" s="1">
        <f t="shared" ref="AT52:AT54" si="12">AS52*AQ52</f>
        <v>320</v>
      </c>
      <c r="AU52" s="1">
        <v>70</v>
      </c>
      <c r="AV52" s="1">
        <v>80</v>
      </c>
      <c r="AW52" s="1" t="s">
        <v>43</v>
      </c>
      <c r="BA52" s="1" t="s">
        <v>27</v>
      </c>
      <c r="BB52" s="1" t="s">
        <v>22</v>
      </c>
      <c r="BC52" s="1" t="s">
        <v>28</v>
      </c>
      <c r="BD52" s="1" t="s">
        <v>8</v>
      </c>
      <c r="BE52" s="1" t="s">
        <v>37</v>
      </c>
      <c r="BF52" s="1" t="s">
        <v>21</v>
      </c>
      <c r="BG52" s="1">
        <v>16</v>
      </c>
      <c r="BH52" s="1">
        <v>16</v>
      </c>
      <c r="BI52" s="1">
        <v>50000</v>
      </c>
      <c r="BJ52" s="1" t="s">
        <v>21</v>
      </c>
      <c r="BL52" s="1" t="s">
        <v>22</v>
      </c>
      <c r="BM52" s="1" t="s">
        <v>21</v>
      </c>
      <c r="BN52" s="1">
        <v>109.6</v>
      </c>
      <c r="BO52" s="1" t="s">
        <v>30</v>
      </c>
      <c r="BP52" s="1">
        <v>22.4</v>
      </c>
      <c r="BQ52" s="1">
        <v>1</v>
      </c>
      <c r="BS52" s="1">
        <v>231</v>
      </c>
      <c r="BV52" s="1" t="s">
        <v>31</v>
      </c>
      <c r="BX52" s="1" t="s">
        <v>32</v>
      </c>
      <c r="BY52" s="1" t="s">
        <v>78</v>
      </c>
      <c r="BZ52" s="1">
        <v>0</v>
      </c>
      <c r="CA52" s="1">
        <v>15</v>
      </c>
      <c r="CB52" s="1" t="s">
        <v>34</v>
      </c>
      <c r="CD52" s="1" t="s">
        <v>22</v>
      </c>
    </row>
    <row r="53" spans="1:82" x14ac:dyDescent="0.2">
      <c r="A53" s="1" t="s">
        <v>178</v>
      </c>
      <c r="B53" s="1" t="s">
        <v>179</v>
      </c>
      <c r="C53" s="1" t="s">
        <v>16</v>
      </c>
      <c r="D53" s="1" t="s">
        <v>17</v>
      </c>
      <c r="E53" s="1" t="s">
        <v>169</v>
      </c>
      <c r="F53" s="1" t="s">
        <v>170</v>
      </c>
      <c r="G53" s="1">
        <v>68</v>
      </c>
      <c r="H53" s="1">
        <v>68</v>
      </c>
      <c r="I53" s="14" t="s">
        <v>43</v>
      </c>
      <c r="J53" s="14" t="s">
        <v>43</v>
      </c>
      <c r="L53" s="1">
        <v>23</v>
      </c>
      <c r="M53" s="1" t="s">
        <v>20</v>
      </c>
      <c r="P53" s="1" t="s">
        <v>21</v>
      </c>
      <c r="V53" s="5">
        <v>181437</v>
      </c>
      <c r="Y53" s="1" t="s">
        <v>23</v>
      </c>
      <c r="Z53" s="1" t="s">
        <v>21</v>
      </c>
      <c r="AD53" s="1" t="s">
        <v>21</v>
      </c>
      <c r="AE53" s="1" t="s">
        <v>22</v>
      </c>
      <c r="AI53" s="1" t="s">
        <v>22</v>
      </c>
      <c r="AM53" s="1">
        <v>7.83</v>
      </c>
      <c r="AN53" s="1">
        <v>59.63</v>
      </c>
      <c r="AO53" s="13" t="s">
        <v>7</v>
      </c>
      <c r="AP53" s="1" t="s">
        <v>43</v>
      </c>
      <c r="AQ53" s="2">
        <f>AVERAGE(950, 420)</f>
        <v>685</v>
      </c>
      <c r="AR53" s="2" t="s">
        <v>44</v>
      </c>
      <c r="AS53" s="1">
        <f>AVERAGE(3, 8)</f>
        <v>5.5</v>
      </c>
      <c r="AT53" s="1">
        <f t="shared" si="12"/>
        <v>3767.5</v>
      </c>
      <c r="AU53" s="1">
        <f>AVERAGE(95, 90)</f>
        <v>92.5</v>
      </c>
      <c r="AW53" s="1" t="s">
        <v>43</v>
      </c>
      <c r="BA53" s="1" t="s">
        <v>27</v>
      </c>
      <c r="BB53" s="1" t="s">
        <v>22</v>
      </c>
      <c r="BC53" s="1" t="s">
        <v>28</v>
      </c>
      <c r="BD53" s="1" t="s">
        <v>8</v>
      </c>
      <c r="BE53" s="1" t="s">
        <v>8</v>
      </c>
      <c r="BF53" s="1" t="s">
        <v>21</v>
      </c>
      <c r="BG53" s="1">
        <v>24</v>
      </c>
      <c r="BH53" s="1">
        <v>24</v>
      </c>
      <c r="BI53" s="1">
        <v>190000</v>
      </c>
      <c r="BJ53" s="1" t="s">
        <v>21</v>
      </c>
      <c r="BL53" s="1" t="s">
        <v>21</v>
      </c>
      <c r="BM53" s="1" t="s">
        <v>21</v>
      </c>
      <c r="BN53" s="1">
        <v>154.88</v>
      </c>
      <c r="BO53" s="1" t="s">
        <v>30</v>
      </c>
      <c r="BP53" s="1">
        <v>19.600000000000001</v>
      </c>
      <c r="BQ53" s="1" t="s">
        <v>43</v>
      </c>
      <c r="BS53" s="1">
        <v>280</v>
      </c>
      <c r="BV53" s="1" t="s">
        <v>31</v>
      </c>
      <c r="BX53" s="1" t="s">
        <v>32</v>
      </c>
      <c r="BY53" s="1" t="s">
        <v>78</v>
      </c>
      <c r="BZ53" s="1">
        <v>0</v>
      </c>
      <c r="CB53" s="1" t="s">
        <v>57</v>
      </c>
      <c r="CC53" s="13">
        <v>600</v>
      </c>
      <c r="CD53" s="1" t="s">
        <v>22</v>
      </c>
    </row>
    <row r="54" spans="1:82" x14ac:dyDescent="0.2">
      <c r="A54" s="1" t="s">
        <v>180</v>
      </c>
      <c r="B54" s="1" t="s">
        <v>181</v>
      </c>
      <c r="C54" s="1" t="s">
        <v>16</v>
      </c>
      <c r="D54" s="1" t="s">
        <v>17</v>
      </c>
      <c r="E54" s="1" t="s">
        <v>169</v>
      </c>
      <c r="F54" s="1" t="s">
        <v>170</v>
      </c>
      <c r="G54" s="1">
        <v>66</v>
      </c>
      <c r="H54" s="1">
        <v>66</v>
      </c>
      <c r="I54" s="14" t="s">
        <v>43</v>
      </c>
      <c r="J54" s="14" t="s">
        <v>43</v>
      </c>
      <c r="L54" s="1">
        <v>26.3</v>
      </c>
      <c r="M54" s="1" t="s">
        <v>20</v>
      </c>
      <c r="N54" s="1">
        <v>3</v>
      </c>
      <c r="O54" s="1" t="s">
        <v>22</v>
      </c>
      <c r="P54" s="1" t="s">
        <v>21</v>
      </c>
      <c r="Q54" s="1" t="s">
        <v>21</v>
      </c>
      <c r="R54" s="1" t="s">
        <v>21</v>
      </c>
      <c r="S54" s="1" t="s">
        <v>22</v>
      </c>
      <c r="V54" s="5">
        <v>80000</v>
      </c>
      <c r="W54" s="1">
        <v>23.6</v>
      </c>
      <c r="X54" s="1">
        <f t="shared" si="0"/>
        <v>2.9500000000000002E-2</v>
      </c>
      <c r="Y54" s="1" t="s">
        <v>23</v>
      </c>
      <c r="Z54" s="1" t="s">
        <v>21</v>
      </c>
      <c r="AA54" s="1">
        <v>3.07</v>
      </c>
      <c r="AB54" s="1">
        <f t="shared" si="11"/>
        <v>3.8374999999999998E-3</v>
      </c>
      <c r="AD54" s="1" t="s">
        <v>21</v>
      </c>
      <c r="AE54" s="1" t="s">
        <v>22</v>
      </c>
      <c r="AI54" s="1" t="s">
        <v>22</v>
      </c>
      <c r="AM54" s="1">
        <v>7</v>
      </c>
      <c r="AN54" s="1">
        <v>59</v>
      </c>
      <c r="AO54" s="13" t="s">
        <v>7</v>
      </c>
      <c r="AP54" s="1">
        <v>1290</v>
      </c>
      <c r="AQ54" s="2">
        <v>1471.3</v>
      </c>
      <c r="AR54" s="2" t="s">
        <v>44</v>
      </c>
      <c r="AS54" s="1">
        <v>0.5</v>
      </c>
      <c r="AT54" s="1">
        <f t="shared" si="12"/>
        <v>735.65</v>
      </c>
      <c r="AU54" s="1">
        <v>77</v>
      </c>
      <c r="AV54" s="1">
        <v>88</v>
      </c>
      <c r="AW54" s="1">
        <v>82</v>
      </c>
      <c r="AZ54" s="1" t="s">
        <v>21</v>
      </c>
      <c r="BA54" s="1" t="s">
        <v>27</v>
      </c>
      <c r="BB54" s="1" t="s">
        <v>22</v>
      </c>
      <c r="BC54" s="1" t="s">
        <v>28</v>
      </c>
      <c r="BD54" s="1" t="s">
        <v>8</v>
      </c>
      <c r="BE54" s="1" t="s">
        <v>37</v>
      </c>
      <c r="BF54" s="1" t="s">
        <v>21</v>
      </c>
      <c r="BG54" s="2">
        <v>8</v>
      </c>
      <c r="BH54" s="1">
        <v>16</v>
      </c>
      <c r="BI54" s="1">
        <v>81000</v>
      </c>
      <c r="BJ54" s="1" t="s">
        <v>22</v>
      </c>
      <c r="BL54" s="1" t="s">
        <v>22</v>
      </c>
      <c r="BM54" s="1" t="s">
        <v>21</v>
      </c>
      <c r="BN54" s="1">
        <v>66.47</v>
      </c>
      <c r="BO54" s="1" t="s">
        <v>30</v>
      </c>
      <c r="BP54" s="1">
        <v>15</v>
      </c>
      <c r="BQ54" s="2" t="s">
        <v>182</v>
      </c>
      <c r="BR54" s="2"/>
      <c r="BS54" s="1">
        <v>231</v>
      </c>
      <c r="BV54" s="1" t="s">
        <v>31</v>
      </c>
      <c r="BX54" s="1" t="s">
        <v>32</v>
      </c>
      <c r="BY54" s="1" t="s">
        <v>78</v>
      </c>
      <c r="BZ54" s="1">
        <v>0</v>
      </c>
      <c r="CA54" s="1">
        <v>40</v>
      </c>
      <c r="CB54" s="1" t="s">
        <v>34</v>
      </c>
      <c r="CD54" s="1" t="s">
        <v>22</v>
      </c>
    </row>
    <row r="55" spans="1:82" x14ac:dyDescent="0.2">
      <c r="A55" s="1" t="s">
        <v>183</v>
      </c>
      <c r="B55" s="1" t="s">
        <v>184</v>
      </c>
      <c r="C55" s="1" t="s">
        <v>16</v>
      </c>
      <c r="D55" s="1" t="s">
        <v>17</v>
      </c>
      <c r="E55" s="1" t="s">
        <v>169</v>
      </c>
      <c r="F55" s="1" t="s">
        <v>170</v>
      </c>
      <c r="G55" s="1">
        <v>70</v>
      </c>
      <c r="H55" s="1">
        <v>70</v>
      </c>
      <c r="I55" s="14" t="s">
        <v>43</v>
      </c>
      <c r="J55" s="14" t="s">
        <v>43</v>
      </c>
      <c r="L55" s="1">
        <v>11.5</v>
      </c>
      <c r="M55" s="1" t="s">
        <v>20</v>
      </c>
      <c r="N55" s="1">
        <v>4</v>
      </c>
      <c r="O55" s="1" t="s">
        <v>21</v>
      </c>
      <c r="P55" s="1" t="s">
        <v>21</v>
      </c>
      <c r="Q55" s="1" t="s">
        <v>21</v>
      </c>
      <c r="R55" s="1" t="s">
        <v>21</v>
      </c>
      <c r="S55" s="1" t="s">
        <v>22</v>
      </c>
      <c r="V55" s="5">
        <v>140000</v>
      </c>
      <c r="W55" s="1">
        <v>15</v>
      </c>
      <c r="X55" s="1">
        <f t="shared" si="0"/>
        <v>1.0714285714285714E-2</v>
      </c>
      <c r="Y55" s="1" t="s">
        <v>23</v>
      </c>
      <c r="Z55" s="1" t="s">
        <v>21</v>
      </c>
      <c r="AD55" s="1" t="s">
        <v>21</v>
      </c>
      <c r="AE55" s="1" t="s">
        <v>22</v>
      </c>
      <c r="AI55" s="1" t="s">
        <v>22</v>
      </c>
      <c r="AM55" s="1" t="s">
        <v>43</v>
      </c>
      <c r="AN55" s="1" t="s">
        <v>43</v>
      </c>
      <c r="AO55" s="1" t="s">
        <v>43</v>
      </c>
      <c r="AP55" s="1" t="s">
        <v>43</v>
      </c>
      <c r="AQ55" s="1" t="s">
        <v>43</v>
      </c>
      <c r="AR55" s="1" t="s">
        <v>43</v>
      </c>
      <c r="AS55" s="1" t="s">
        <v>43</v>
      </c>
      <c r="AT55" s="1" t="s">
        <v>43</v>
      </c>
      <c r="AU55" s="1" t="s">
        <v>43</v>
      </c>
      <c r="AV55" s="1" t="s">
        <v>43</v>
      </c>
      <c r="AW55" s="1" t="s">
        <v>43</v>
      </c>
      <c r="AY55" s="1">
        <v>2</v>
      </c>
      <c r="BA55" s="1" t="s">
        <v>27</v>
      </c>
      <c r="BB55" s="1" t="s">
        <v>22</v>
      </c>
      <c r="BC55" s="1" t="s">
        <v>8</v>
      </c>
      <c r="BD55" s="1" t="s">
        <v>40</v>
      </c>
      <c r="BE55" s="1" t="s">
        <v>8</v>
      </c>
      <c r="BG55" s="2">
        <v>5.5</v>
      </c>
      <c r="BH55" s="2">
        <v>7.5</v>
      </c>
      <c r="BI55" s="1">
        <v>15200</v>
      </c>
      <c r="BJ55" s="1" t="s">
        <v>21</v>
      </c>
      <c r="BL55" s="1" t="s">
        <v>22</v>
      </c>
      <c r="BM55" s="1" t="s">
        <v>21</v>
      </c>
      <c r="BO55" s="1" t="s">
        <v>30</v>
      </c>
      <c r="BP55" s="1" t="s">
        <v>43</v>
      </c>
      <c r="BQ55" s="1" t="s">
        <v>43</v>
      </c>
      <c r="BS55" s="1">
        <v>170</v>
      </c>
      <c r="BV55" s="1" t="s">
        <v>31</v>
      </c>
      <c r="BX55" s="1" t="s">
        <v>32</v>
      </c>
      <c r="BY55" s="1" t="s">
        <v>78</v>
      </c>
      <c r="BZ55" s="1">
        <v>0</v>
      </c>
      <c r="CB55" s="1" t="s">
        <v>121</v>
      </c>
      <c r="CC55" s="13">
        <v>5100</v>
      </c>
      <c r="CD55" s="1" t="s">
        <v>8</v>
      </c>
    </row>
    <row r="56" spans="1:82" x14ac:dyDescent="0.2">
      <c r="A56" s="1" t="s">
        <v>185</v>
      </c>
      <c r="B56" s="1" t="s">
        <v>186</v>
      </c>
      <c r="C56" s="1" t="s">
        <v>16</v>
      </c>
      <c r="D56" s="1" t="s">
        <v>17</v>
      </c>
      <c r="E56" s="1" t="s">
        <v>169</v>
      </c>
      <c r="F56" s="1" t="s">
        <v>170</v>
      </c>
      <c r="G56" s="1">
        <v>70</v>
      </c>
      <c r="H56" s="1">
        <v>70</v>
      </c>
      <c r="I56" s="14" t="s">
        <v>43</v>
      </c>
      <c r="J56" s="14" t="s">
        <v>43</v>
      </c>
      <c r="L56" s="1">
        <v>15</v>
      </c>
      <c r="M56" s="1" t="s">
        <v>20</v>
      </c>
      <c r="N56" s="1">
        <v>3</v>
      </c>
      <c r="O56" s="1" t="s">
        <v>22</v>
      </c>
      <c r="P56" s="1" t="s">
        <v>21</v>
      </c>
      <c r="Q56" s="1" t="s">
        <v>21</v>
      </c>
      <c r="R56" s="1" t="s">
        <v>21</v>
      </c>
      <c r="S56" s="1" t="s">
        <v>22</v>
      </c>
      <c r="T56" s="1">
        <f>1.92+9.28</f>
        <v>11.2</v>
      </c>
      <c r="U56" s="1">
        <f t="shared" si="2"/>
        <v>4.2666666666666665E-2</v>
      </c>
      <c r="V56" s="5">
        <f>AVERAGE(32500, 20000)</f>
        <v>26250</v>
      </c>
      <c r="W56" s="1">
        <f>AVERAGE(45, 26.8)</f>
        <v>35.9</v>
      </c>
      <c r="X56" s="1">
        <f t="shared" si="0"/>
        <v>0.13676190476190475</v>
      </c>
      <c r="Y56" s="1" t="s">
        <v>23</v>
      </c>
      <c r="Z56" s="1" t="s">
        <v>21</v>
      </c>
      <c r="AA56" s="1">
        <v>2.4</v>
      </c>
      <c r="AB56" s="1">
        <f t="shared" si="11"/>
        <v>9.1428571428571418E-3</v>
      </c>
      <c r="AD56" s="1" t="s">
        <v>21</v>
      </c>
      <c r="AE56" s="1" t="s">
        <v>22</v>
      </c>
      <c r="AF56" s="1" t="s">
        <v>24</v>
      </c>
      <c r="AI56" s="1" t="s">
        <v>22</v>
      </c>
      <c r="AM56" s="1">
        <v>10.1</v>
      </c>
      <c r="AN56" s="1">
        <v>81.900000000000006</v>
      </c>
      <c r="AO56" s="13" t="s">
        <v>7</v>
      </c>
      <c r="AP56" s="1">
        <v>493.3</v>
      </c>
      <c r="AQ56" s="2">
        <f>AVERAGE(500, 981.1)</f>
        <v>740.55</v>
      </c>
      <c r="AR56" s="2" t="s">
        <v>44</v>
      </c>
      <c r="AS56" s="1">
        <f>AVERAGE(0.7, 1.2)</f>
        <v>0.95</v>
      </c>
      <c r="AT56" s="1">
        <f>AS56*AQ56</f>
        <v>703.52249999999992</v>
      </c>
      <c r="AU56" s="1">
        <f>AVERAGE(70.2, 78)</f>
        <v>74.099999999999994</v>
      </c>
      <c r="AV56" s="1">
        <f>AVERAGE(83.7, 62.3)</f>
        <v>73</v>
      </c>
      <c r="AW56" s="1">
        <v>85.3</v>
      </c>
      <c r="AY56" s="1">
        <v>2</v>
      </c>
      <c r="AZ56" s="1" t="s">
        <v>21</v>
      </c>
      <c r="BA56" s="1" t="s">
        <v>27</v>
      </c>
      <c r="BB56" s="1" t="s">
        <v>22</v>
      </c>
      <c r="BC56" s="1" t="s">
        <v>8</v>
      </c>
      <c r="BD56" s="1" t="s">
        <v>40</v>
      </c>
      <c r="BE56" s="1" t="s">
        <v>8</v>
      </c>
      <c r="BF56" s="1" t="s">
        <v>21</v>
      </c>
      <c r="BG56" s="1">
        <v>36</v>
      </c>
      <c r="BH56" s="1">
        <v>14</v>
      </c>
      <c r="BI56" s="1">
        <v>18000</v>
      </c>
      <c r="BJ56" s="1" t="s">
        <v>21</v>
      </c>
      <c r="BL56" s="1" t="s">
        <v>21</v>
      </c>
      <c r="BM56" s="1" t="s">
        <v>21</v>
      </c>
      <c r="BO56" s="1" t="s">
        <v>30</v>
      </c>
      <c r="BP56" s="1" t="s">
        <v>43</v>
      </c>
      <c r="BQ56" s="1">
        <v>1.5</v>
      </c>
      <c r="BS56" s="1">
        <v>300</v>
      </c>
      <c r="BV56" s="1" t="s">
        <v>31</v>
      </c>
      <c r="BX56" s="1" t="s">
        <v>32</v>
      </c>
      <c r="BY56" s="1" t="s">
        <v>78</v>
      </c>
      <c r="BZ56" s="1">
        <v>0</v>
      </c>
      <c r="CA56" s="1">
        <v>12</v>
      </c>
      <c r="CB56" s="1" t="s">
        <v>34</v>
      </c>
      <c r="CC56" s="13">
        <v>15000000</v>
      </c>
      <c r="CD56" s="1" t="s">
        <v>22</v>
      </c>
    </row>
    <row r="57" spans="1:82" x14ac:dyDescent="0.2">
      <c r="A57" s="1" t="s">
        <v>187</v>
      </c>
      <c r="B57" s="1" t="s">
        <v>188</v>
      </c>
      <c r="C57" s="1" t="s">
        <v>16</v>
      </c>
      <c r="D57" s="1" t="s">
        <v>17</v>
      </c>
      <c r="E57" s="1" t="s">
        <v>169</v>
      </c>
      <c r="F57" s="1" t="s">
        <v>170</v>
      </c>
      <c r="G57" s="1">
        <v>70</v>
      </c>
      <c r="H57" s="1">
        <v>70</v>
      </c>
      <c r="I57" s="17">
        <v>21164</v>
      </c>
      <c r="J57" s="17">
        <v>6234</v>
      </c>
      <c r="L57" s="1">
        <v>23</v>
      </c>
      <c r="M57" s="1" t="s">
        <v>20</v>
      </c>
      <c r="N57" s="1">
        <v>4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22</v>
      </c>
      <c r="V57" s="5">
        <v>75000</v>
      </c>
      <c r="W57" s="1">
        <f>AVERAGE(85.5, 45)</f>
        <v>65.25</v>
      </c>
      <c r="X57" s="1">
        <f t="shared" si="0"/>
        <v>8.6999999999999994E-2</v>
      </c>
      <c r="Y57" s="1" t="s">
        <v>23</v>
      </c>
      <c r="Z57" s="1" t="s">
        <v>21</v>
      </c>
      <c r="AA57" s="1">
        <v>11.05</v>
      </c>
      <c r="AB57" s="1">
        <f t="shared" si="11"/>
        <v>1.4733333333333336E-2</v>
      </c>
      <c r="AD57" s="1" t="s">
        <v>21</v>
      </c>
      <c r="AE57" s="1" t="s">
        <v>22</v>
      </c>
      <c r="AF57" s="1" t="s">
        <v>24</v>
      </c>
      <c r="AI57" s="1" t="s">
        <v>22</v>
      </c>
      <c r="AM57" s="1">
        <v>9</v>
      </c>
      <c r="AN57" s="1">
        <v>61</v>
      </c>
      <c r="AO57" s="13" t="s">
        <v>7</v>
      </c>
      <c r="AP57" s="1">
        <v>8130</v>
      </c>
      <c r="AQ57" s="2">
        <v>440</v>
      </c>
      <c r="AR57" s="2" t="s">
        <v>44</v>
      </c>
      <c r="AS57" s="1">
        <v>0.8</v>
      </c>
      <c r="AT57" s="1">
        <v>352</v>
      </c>
      <c r="AU57" s="1">
        <v>80</v>
      </c>
      <c r="AV57" s="1">
        <v>89</v>
      </c>
      <c r="AW57" s="1">
        <v>68.3</v>
      </c>
      <c r="AY57" s="1">
        <v>2</v>
      </c>
      <c r="AZ57" s="1" t="s">
        <v>21</v>
      </c>
      <c r="BA57" s="1" t="s">
        <v>27</v>
      </c>
      <c r="BB57" s="1" t="s">
        <v>22</v>
      </c>
      <c r="BC57" s="1" t="s">
        <v>28</v>
      </c>
      <c r="BD57" s="1" t="s">
        <v>8</v>
      </c>
      <c r="BE57" s="1" t="s">
        <v>164</v>
      </c>
      <c r="BF57" s="1" t="s">
        <v>22</v>
      </c>
      <c r="BG57" s="1">
        <v>7</v>
      </c>
      <c r="BH57" s="1">
        <v>12</v>
      </c>
      <c r="BI57" s="1">
        <v>60000</v>
      </c>
      <c r="BJ57" s="1" t="s">
        <v>22</v>
      </c>
      <c r="BL57" s="1" t="s">
        <v>22</v>
      </c>
      <c r="BM57" s="1" t="s">
        <v>21</v>
      </c>
      <c r="BO57" s="1" t="s">
        <v>30</v>
      </c>
      <c r="BP57" s="1">
        <v>26.6</v>
      </c>
      <c r="BQ57" s="1">
        <v>2</v>
      </c>
      <c r="BS57" s="1">
        <v>200</v>
      </c>
      <c r="BT57" s="1">
        <v>0.6</v>
      </c>
      <c r="BU57" s="1">
        <f t="shared" si="10"/>
        <v>1E-3</v>
      </c>
      <c r="BV57" s="1" t="s">
        <v>31</v>
      </c>
      <c r="BX57" s="1" t="s">
        <v>32</v>
      </c>
      <c r="BY57" s="1" t="s">
        <v>78</v>
      </c>
      <c r="BZ57" s="1">
        <v>0</v>
      </c>
      <c r="CA57" s="1">
        <v>10</v>
      </c>
      <c r="CB57" s="1" t="s">
        <v>34</v>
      </c>
      <c r="CC57" s="13">
        <v>11000000</v>
      </c>
      <c r="CD57" s="1" t="s">
        <v>9</v>
      </c>
    </row>
    <row r="58" spans="1:82" x14ac:dyDescent="0.2">
      <c r="A58" s="1" t="s">
        <v>189</v>
      </c>
      <c r="B58" s="1" t="s">
        <v>188</v>
      </c>
      <c r="C58" s="1" t="s">
        <v>16</v>
      </c>
      <c r="D58" s="1" t="s">
        <v>17</v>
      </c>
      <c r="E58" s="1" t="s">
        <v>169</v>
      </c>
      <c r="F58" s="1" t="s">
        <v>170</v>
      </c>
      <c r="G58" s="1">
        <v>70</v>
      </c>
      <c r="H58" s="1">
        <v>70</v>
      </c>
      <c r="I58" s="14" t="s">
        <v>43</v>
      </c>
      <c r="J58" s="14" t="s">
        <v>43</v>
      </c>
      <c r="L58" s="1">
        <v>23</v>
      </c>
      <c r="M58" s="1" t="s">
        <v>20</v>
      </c>
      <c r="N58" s="1">
        <v>4</v>
      </c>
      <c r="O58" s="1" t="s">
        <v>21</v>
      </c>
      <c r="P58" s="1" t="s">
        <v>21</v>
      </c>
      <c r="Q58" s="1" t="s">
        <v>21</v>
      </c>
      <c r="R58" s="1" t="s">
        <v>21</v>
      </c>
      <c r="S58" s="1" t="s">
        <v>22</v>
      </c>
      <c r="V58" s="5">
        <v>50000</v>
      </c>
      <c r="W58" s="1">
        <v>88.5</v>
      </c>
      <c r="X58" s="1">
        <f t="shared" si="0"/>
        <v>0.17700000000000002</v>
      </c>
      <c r="Y58" s="1" t="s">
        <v>23</v>
      </c>
      <c r="Z58" s="1" t="s">
        <v>21</v>
      </c>
      <c r="AD58" s="1" t="s">
        <v>21</v>
      </c>
      <c r="AE58" s="1" t="s">
        <v>22</v>
      </c>
      <c r="AF58" s="1" t="s">
        <v>24</v>
      </c>
      <c r="AI58" s="1" t="s">
        <v>22</v>
      </c>
      <c r="AM58" s="1" t="s">
        <v>43</v>
      </c>
      <c r="AN58" s="1" t="s">
        <v>43</v>
      </c>
      <c r="AO58" s="1" t="s">
        <v>43</v>
      </c>
      <c r="AP58" s="1">
        <v>122.175</v>
      </c>
      <c r="AQ58" s="1" t="s">
        <v>43</v>
      </c>
      <c r="AR58" s="1" t="s">
        <v>43</v>
      </c>
      <c r="AS58" s="1" t="s">
        <v>43</v>
      </c>
      <c r="AT58" s="1" t="s">
        <v>43</v>
      </c>
      <c r="AU58" s="1" t="s">
        <v>43</v>
      </c>
      <c r="AV58" s="1" t="s">
        <v>43</v>
      </c>
      <c r="AW58" s="1" t="s">
        <v>43</v>
      </c>
      <c r="AY58" s="1">
        <v>2</v>
      </c>
      <c r="AZ58" s="1" t="s">
        <v>21</v>
      </c>
      <c r="BA58" s="1" t="s">
        <v>103</v>
      </c>
      <c r="BB58" s="1" t="s">
        <v>22</v>
      </c>
      <c r="BC58" s="1" t="s">
        <v>28</v>
      </c>
      <c r="BD58" s="1" t="s">
        <v>8</v>
      </c>
      <c r="BE58" s="1" t="s">
        <v>164</v>
      </c>
      <c r="BF58" s="1" t="s">
        <v>22</v>
      </c>
      <c r="BG58" s="1">
        <v>24</v>
      </c>
      <c r="BH58" s="1">
        <v>15</v>
      </c>
      <c r="BI58" s="1">
        <v>30000</v>
      </c>
      <c r="BJ58" s="1" t="s">
        <v>22</v>
      </c>
      <c r="BL58" s="1" t="s">
        <v>22</v>
      </c>
      <c r="BM58" s="1" t="s">
        <v>21</v>
      </c>
      <c r="BO58" s="1" t="s">
        <v>30</v>
      </c>
      <c r="BP58" s="1" t="s">
        <v>43</v>
      </c>
      <c r="BQ58" s="1" t="s">
        <v>43</v>
      </c>
      <c r="BS58" s="1">
        <v>202</v>
      </c>
      <c r="BV58" s="1" t="s">
        <v>31</v>
      </c>
      <c r="BX58" s="1" t="s">
        <v>32</v>
      </c>
      <c r="BY58" s="1" t="s">
        <v>78</v>
      </c>
      <c r="BZ58" s="1">
        <v>0</v>
      </c>
      <c r="CA58" s="1">
        <v>28</v>
      </c>
      <c r="CB58" s="1" t="s">
        <v>190</v>
      </c>
      <c r="CD58" s="1" t="s">
        <v>9</v>
      </c>
    </row>
    <row r="59" spans="1:82" x14ac:dyDescent="0.2">
      <c r="A59" s="1" t="s">
        <v>191</v>
      </c>
      <c r="B59" s="1" t="s">
        <v>192</v>
      </c>
      <c r="C59" s="1" t="s">
        <v>16</v>
      </c>
      <c r="D59" s="1" t="s">
        <v>17</v>
      </c>
      <c r="E59" s="1" t="s">
        <v>169</v>
      </c>
      <c r="F59" s="1" t="s">
        <v>170</v>
      </c>
      <c r="G59" s="1">
        <v>68</v>
      </c>
      <c r="H59" s="1">
        <v>68</v>
      </c>
      <c r="I59" s="14" t="s">
        <v>43</v>
      </c>
      <c r="J59" s="14" t="s">
        <v>43</v>
      </c>
      <c r="L59" s="1">
        <v>21.9</v>
      </c>
      <c r="M59" s="1" t="s">
        <v>20</v>
      </c>
      <c r="N59" s="1">
        <v>3</v>
      </c>
      <c r="O59" s="1" t="s">
        <v>22</v>
      </c>
      <c r="P59" s="1" t="s">
        <v>21</v>
      </c>
      <c r="Q59" s="1" t="s">
        <v>21</v>
      </c>
      <c r="R59" s="1" t="s">
        <v>21</v>
      </c>
      <c r="S59" s="1" t="s">
        <v>22</v>
      </c>
      <c r="V59" s="5">
        <v>21400</v>
      </c>
      <c r="W59" s="1">
        <v>14.67</v>
      </c>
      <c r="X59" s="1">
        <f t="shared" si="0"/>
        <v>6.8551401869158882E-2</v>
      </c>
      <c r="Y59" s="1" t="s">
        <v>23</v>
      </c>
      <c r="Z59" s="1" t="s">
        <v>21</v>
      </c>
      <c r="AC59" s="1" t="s">
        <v>21</v>
      </c>
      <c r="AD59" s="1" t="s">
        <v>21</v>
      </c>
      <c r="AE59" s="1" t="s">
        <v>22</v>
      </c>
      <c r="AF59" s="1" t="s">
        <v>24</v>
      </c>
      <c r="AI59" s="1" t="s">
        <v>22</v>
      </c>
      <c r="AM59" s="1">
        <v>7.6</v>
      </c>
      <c r="AN59" s="1" t="s">
        <v>43</v>
      </c>
      <c r="AO59" s="1" t="s">
        <v>47</v>
      </c>
      <c r="AP59" s="1" t="s">
        <v>43</v>
      </c>
      <c r="AQ59" s="2">
        <f>AT59/AS59</f>
        <v>483.14917127071828</v>
      </c>
      <c r="AR59" s="2" t="s">
        <v>44</v>
      </c>
      <c r="AS59" s="2">
        <v>0.36199999999999999</v>
      </c>
      <c r="AT59" s="1">
        <v>174.9</v>
      </c>
      <c r="AU59" s="1">
        <v>72</v>
      </c>
      <c r="AV59" s="1">
        <v>38.6</v>
      </c>
      <c r="AW59" s="1">
        <v>88</v>
      </c>
      <c r="AY59" s="1">
        <v>2</v>
      </c>
      <c r="AZ59" s="1" t="s">
        <v>22</v>
      </c>
      <c r="BA59" s="1" t="s">
        <v>103</v>
      </c>
      <c r="BB59" s="1" t="s">
        <v>22</v>
      </c>
      <c r="BC59" s="1" t="s">
        <v>28</v>
      </c>
      <c r="BD59" s="1" t="s">
        <v>8</v>
      </c>
      <c r="BE59" s="1" t="s">
        <v>164</v>
      </c>
      <c r="BG59" s="1">
        <v>12</v>
      </c>
      <c r="BH59" s="1">
        <v>14</v>
      </c>
      <c r="BI59" s="1">
        <v>23000</v>
      </c>
      <c r="BJ59" s="1" t="s">
        <v>22</v>
      </c>
      <c r="BL59" s="1" t="s">
        <v>22</v>
      </c>
      <c r="BM59" s="1" t="s">
        <v>21</v>
      </c>
      <c r="BO59" s="1" t="s">
        <v>30</v>
      </c>
      <c r="BP59" s="1">
        <v>21</v>
      </c>
      <c r="BQ59" s="1" t="s">
        <v>43</v>
      </c>
      <c r="BS59" s="1">
        <v>232</v>
      </c>
      <c r="BT59" s="1">
        <v>0.14000000000000001</v>
      </c>
      <c r="BU59" s="1">
        <f t="shared" si="10"/>
        <v>6.086956521739131E-4</v>
      </c>
      <c r="BV59" s="1" t="s">
        <v>31</v>
      </c>
      <c r="BX59" s="1" t="s">
        <v>32</v>
      </c>
      <c r="BY59" s="1" t="s">
        <v>78</v>
      </c>
      <c r="BZ59" s="1">
        <v>0</v>
      </c>
      <c r="CA59" s="1">
        <v>16</v>
      </c>
      <c r="CB59" s="1" t="s">
        <v>53</v>
      </c>
      <c r="CC59" s="1">
        <f>AVERAGE(20000, 80000)</f>
        <v>50000</v>
      </c>
      <c r="CD59" s="1" t="s">
        <v>8</v>
      </c>
    </row>
    <row r="60" spans="1:82" x14ac:dyDescent="0.2">
      <c r="A60" s="1" t="s">
        <v>193</v>
      </c>
      <c r="B60" s="1" t="s">
        <v>194</v>
      </c>
      <c r="C60" s="1" t="s">
        <v>16</v>
      </c>
      <c r="D60" s="1" t="s">
        <v>17</v>
      </c>
      <c r="E60" s="1" t="s">
        <v>169</v>
      </c>
      <c r="F60" s="1" t="s">
        <v>170</v>
      </c>
      <c r="G60" s="1">
        <v>66</v>
      </c>
      <c r="H60" s="1">
        <v>66</v>
      </c>
      <c r="I60" s="14" t="s">
        <v>43</v>
      </c>
      <c r="J60" s="14" t="s">
        <v>43</v>
      </c>
      <c r="L60" s="1">
        <v>12</v>
      </c>
      <c r="M60" s="1" t="s">
        <v>20</v>
      </c>
      <c r="P60" s="1" t="s">
        <v>21</v>
      </c>
      <c r="V60" s="5">
        <v>110000</v>
      </c>
      <c r="Y60" s="1" t="s">
        <v>23</v>
      </c>
      <c r="Z60" s="1" t="s">
        <v>21</v>
      </c>
      <c r="AD60" s="1" t="s">
        <v>21</v>
      </c>
      <c r="AE60" s="1" t="s">
        <v>22</v>
      </c>
      <c r="AF60" s="1" t="s">
        <v>24</v>
      </c>
      <c r="AI60" s="1" t="s">
        <v>22</v>
      </c>
      <c r="AM60" s="1" t="s">
        <v>43</v>
      </c>
      <c r="AN60" s="1" t="s">
        <v>43</v>
      </c>
      <c r="AO60" s="1" t="s">
        <v>47</v>
      </c>
      <c r="AP60" s="1" t="s">
        <v>43</v>
      </c>
      <c r="AQ60" s="1" t="s">
        <v>43</v>
      </c>
      <c r="AR60" s="1" t="s">
        <v>43</v>
      </c>
      <c r="AS60" s="1" t="s">
        <v>43</v>
      </c>
      <c r="AT60" s="1" t="s">
        <v>43</v>
      </c>
      <c r="AU60" s="1" t="s">
        <v>43</v>
      </c>
      <c r="AV60" s="1" t="s">
        <v>43</v>
      </c>
      <c r="AW60" s="1" t="s">
        <v>43</v>
      </c>
      <c r="AY60" s="1">
        <v>2</v>
      </c>
      <c r="AZ60" s="1" t="s">
        <v>21</v>
      </c>
      <c r="BA60" s="1" t="s">
        <v>103</v>
      </c>
      <c r="BB60" s="1" t="s">
        <v>22</v>
      </c>
      <c r="BC60" s="1" t="s">
        <v>8</v>
      </c>
      <c r="BD60" s="1" t="s">
        <v>8</v>
      </c>
      <c r="BE60" s="1" t="s">
        <v>195</v>
      </c>
      <c r="BI60" s="1">
        <v>80000</v>
      </c>
      <c r="BJ60" s="1" t="s">
        <v>22</v>
      </c>
      <c r="BL60" s="1" t="s">
        <v>22</v>
      </c>
      <c r="BM60" s="1" t="s">
        <v>21</v>
      </c>
      <c r="BO60" s="1" t="s">
        <v>30</v>
      </c>
      <c r="BP60" s="1">
        <v>21</v>
      </c>
      <c r="BQ60" s="1">
        <v>1</v>
      </c>
      <c r="BS60" s="1">
        <v>253</v>
      </c>
      <c r="BV60" s="1" t="s">
        <v>31</v>
      </c>
      <c r="BX60" s="1" t="s">
        <v>32</v>
      </c>
      <c r="BY60" s="1" t="s">
        <v>78</v>
      </c>
      <c r="BZ60" s="1">
        <v>0</v>
      </c>
      <c r="CA60" s="1">
        <v>16</v>
      </c>
      <c r="CB60" s="1" t="s">
        <v>121</v>
      </c>
      <c r="CC60" s="13">
        <v>44000</v>
      </c>
      <c r="CD60" s="1" t="s">
        <v>8</v>
      </c>
    </row>
    <row r="61" spans="1:82" x14ac:dyDescent="0.2">
      <c r="A61" s="1" t="s">
        <v>196</v>
      </c>
      <c r="B61" s="1" t="s">
        <v>197</v>
      </c>
      <c r="C61" s="1" t="s">
        <v>16</v>
      </c>
      <c r="D61" s="1" t="s">
        <v>17</v>
      </c>
      <c r="E61" s="1" t="s">
        <v>169</v>
      </c>
      <c r="F61" s="1" t="s">
        <v>170</v>
      </c>
      <c r="G61" s="1">
        <v>70</v>
      </c>
      <c r="H61" s="1">
        <v>70</v>
      </c>
      <c r="I61" s="14" t="s">
        <v>43</v>
      </c>
      <c r="J61" s="14" t="s">
        <v>43</v>
      </c>
      <c r="L61" s="1">
        <v>13</v>
      </c>
      <c r="M61" s="1" t="s">
        <v>20</v>
      </c>
      <c r="N61" s="1">
        <v>4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22</v>
      </c>
      <c r="V61" s="5">
        <v>18000</v>
      </c>
      <c r="W61" s="1">
        <v>69.400000000000006</v>
      </c>
      <c r="X61" s="1">
        <f t="shared" si="0"/>
        <v>0.3855555555555556</v>
      </c>
      <c r="Y61" s="1" t="s">
        <v>23</v>
      </c>
      <c r="Z61" s="1" t="s">
        <v>21</v>
      </c>
      <c r="AD61" s="1" t="s">
        <v>21</v>
      </c>
      <c r="AE61" s="1" t="s">
        <v>22</v>
      </c>
      <c r="AF61" s="1" t="s">
        <v>24</v>
      </c>
      <c r="AI61" s="1" t="s">
        <v>22</v>
      </c>
      <c r="AM61" s="1">
        <v>7.98</v>
      </c>
      <c r="AN61" s="1">
        <v>71.28</v>
      </c>
      <c r="AO61" s="1" t="s">
        <v>47</v>
      </c>
      <c r="AP61" s="1" t="s">
        <v>43</v>
      </c>
      <c r="AQ61" s="2">
        <v>949</v>
      </c>
      <c r="AR61" s="2" t="s">
        <v>44</v>
      </c>
      <c r="AS61" s="1">
        <v>0.45800000000000002</v>
      </c>
      <c r="AT61" s="1">
        <v>144</v>
      </c>
      <c r="AU61" s="1">
        <v>86</v>
      </c>
      <c r="AV61" s="1">
        <v>72.7</v>
      </c>
      <c r="AW61" s="1">
        <v>87.6</v>
      </c>
      <c r="AY61" s="1">
        <v>2</v>
      </c>
      <c r="AZ61" s="1" t="s">
        <v>21</v>
      </c>
      <c r="BA61" s="1" t="s">
        <v>103</v>
      </c>
      <c r="BB61" s="1" t="s">
        <v>22</v>
      </c>
      <c r="BC61" s="1" t="s">
        <v>8</v>
      </c>
      <c r="BD61" s="1" t="s">
        <v>8</v>
      </c>
      <c r="BE61" s="1" t="s">
        <v>195</v>
      </c>
      <c r="BG61" s="1">
        <v>13</v>
      </c>
      <c r="BH61" s="1">
        <v>13</v>
      </c>
      <c r="BI61" s="1">
        <v>20000</v>
      </c>
      <c r="BJ61" s="1" t="s">
        <v>22</v>
      </c>
      <c r="BL61" s="1" t="s">
        <v>22</v>
      </c>
      <c r="BM61" s="1" t="s">
        <v>21</v>
      </c>
      <c r="BO61" s="1" t="s">
        <v>30</v>
      </c>
      <c r="BP61" s="1">
        <v>26</v>
      </c>
      <c r="BQ61" s="1">
        <v>2</v>
      </c>
      <c r="BS61" s="1">
        <v>232</v>
      </c>
      <c r="BV61" s="1" t="s">
        <v>31</v>
      </c>
      <c r="BX61" s="1" t="s">
        <v>32</v>
      </c>
      <c r="BY61" s="1" t="s">
        <v>78</v>
      </c>
      <c r="BZ61" s="1">
        <v>0</v>
      </c>
      <c r="CA61" s="1">
        <v>16</v>
      </c>
      <c r="CB61" s="1" t="s">
        <v>34</v>
      </c>
      <c r="CD61" s="1" t="s">
        <v>8</v>
      </c>
    </row>
    <row r="62" spans="1:82" x14ac:dyDescent="0.2">
      <c r="A62" s="1" t="s">
        <v>198</v>
      </c>
      <c r="B62" s="1" t="s">
        <v>199</v>
      </c>
      <c r="C62" s="1" t="s">
        <v>16</v>
      </c>
      <c r="D62" s="1" t="s">
        <v>17</v>
      </c>
      <c r="E62" s="1" t="s">
        <v>169</v>
      </c>
      <c r="F62" s="1" t="s">
        <v>170</v>
      </c>
      <c r="G62" s="1">
        <v>68</v>
      </c>
      <c r="H62" s="1">
        <v>69</v>
      </c>
      <c r="I62" s="14" t="s">
        <v>43</v>
      </c>
      <c r="J62" s="14" t="s">
        <v>43</v>
      </c>
      <c r="M62" s="1" t="s">
        <v>20</v>
      </c>
      <c r="N62" s="1">
        <v>3</v>
      </c>
      <c r="O62" s="1" t="s">
        <v>22</v>
      </c>
      <c r="P62" s="1" t="s">
        <v>21</v>
      </c>
      <c r="Q62" s="1" t="s">
        <v>21</v>
      </c>
      <c r="R62" s="1" t="s">
        <v>21</v>
      </c>
      <c r="S62" s="1" t="s">
        <v>22</v>
      </c>
      <c r="V62" s="5">
        <v>15000</v>
      </c>
      <c r="Y62" s="1" t="s">
        <v>23</v>
      </c>
      <c r="Z62" s="1" t="s">
        <v>21</v>
      </c>
      <c r="AD62" s="1" t="s">
        <v>21</v>
      </c>
      <c r="AE62" s="1" t="s">
        <v>22</v>
      </c>
      <c r="AF62" s="1" t="s">
        <v>24</v>
      </c>
      <c r="AI62" s="1" t="s">
        <v>22</v>
      </c>
      <c r="AM62" s="4">
        <v>9.44</v>
      </c>
      <c r="AN62" s="1">
        <v>71.209999999999994</v>
      </c>
      <c r="AO62" s="1" t="s">
        <v>47</v>
      </c>
      <c r="AP62" s="1" t="s">
        <v>43</v>
      </c>
      <c r="AQ62" s="2">
        <v>189</v>
      </c>
      <c r="AR62" s="2" t="s">
        <v>44</v>
      </c>
      <c r="AS62" s="1">
        <v>0.41699999999999998</v>
      </c>
      <c r="AT62" s="1">
        <v>759</v>
      </c>
      <c r="AU62" s="1">
        <v>60</v>
      </c>
      <c r="AV62" s="1" t="s">
        <v>43</v>
      </c>
      <c r="AW62" s="1" t="s">
        <v>43</v>
      </c>
      <c r="AY62" s="1">
        <v>2</v>
      </c>
      <c r="AZ62" s="1" t="s">
        <v>21</v>
      </c>
      <c r="BA62" s="1" t="s">
        <v>103</v>
      </c>
      <c r="BB62" s="1" t="s">
        <v>22</v>
      </c>
      <c r="BC62" s="1" t="s">
        <v>8</v>
      </c>
      <c r="BD62" s="1" t="s">
        <v>8</v>
      </c>
      <c r="BE62" s="1" t="s">
        <v>195</v>
      </c>
      <c r="BG62" s="1">
        <v>12</v>
      </c>
      <c r="BI62" s="1">
        <v>16000</v>
      </c>
      <c r="BJ62" s="1" t="s">
        <v>22</v>
      </c>
      <c r="BL62" s="1" t="s">
        <v>22</v>
      </c>
      <c r="BM62" s="1" t="s">
        <v>21</v>
      </c>
      <c r="BO62" s="1" t="s">
        <v>30</v>
      </c>
      <c r="BP62" s="1" t="s">
        <v>43</v>
      </c>
      <c r="BQ62" s="1">
        <v>1.5</v>
      </c>
      <c r="BS62" s="1">
        <v>232</v>
      </c>
      <c r="BV62" s="1" t="s">
        <v>31</v>
      </c>
      <c r="BX62" s="1" t="s">
        <v>32</v>
      </c>
      <c r="BY62" s="1" t="s">
        <v>78</v>
      </c>
      <c r="BZ62" s="1">
        <v>0</v>
      </c>
      <c r="CA62" s="1">
        <v>16</v>
      </c>
      <c r="CB62" s="1" t="s">
        <v>34</v>
      </c>
      <c r="CD62" s="1" t="s">
        <v>8</v>
      </c>
    </row>
    <row r="63" spans="1:82" ht="17" x14ac:dyDescent="0.2">
      <c r="A63" s="1" t="s">
        <v>200</v>
      </c>
      <c r="B63" s="1" t="s">
        <v>201</v>
      </c>
      <c r="C63" s="1" t="s">
        <v>16</v>
      </c>
      <c r="D63" s="1" t="s">
        <v>17</v>
      </c>
      <c r="E63" s="1" t="s">
        <v>169</v>
      </c>
      <c r="F63" s="1" t="s">
        <v>170</v>
      </c>
      <c r="G63" s="1">
        <v>37.5</v>
      </c>
      <c r="H63" s="1">
        <v>37.5</v>
      </c>
      <c r="I63" s="14" t="s">
        <v>43</v>
      </c>
      <c r="J63" s="14" t="s">
        <v>43</v>
      </c>
      <c r="M63" s="1" t="s">
        <v>20</v>
      </c>
      <c r="P63" s="1" t="s">
        <v>21</v>
      </c>
      <c r="V63" s="5">
        <v>15700</v>
      </c>
      <c r="Y63" s="1" t="s">
        <v>23</v>
      </c>
      <c r="Z63" s="1" t="s">
        <v>21</v>
      </c>
      <c r="AD63" s="1" t="s">
        <v>21</v>
      </c>
      <c r="AE63" s="1" t="s">
        <v>22</v>
      </c>
      <c r="AF63" s="1" t="s">
        <v>24</v>
      </c>
      <c r="AI63" s="1" t="s">
        <v>22</v>
      </c>
      <c r="AM63" s="4" t="s">
        <v>43</v>
      </c>
      <c r="AN63" s="1" t="s">
        <v>43</v>
      </c>
      <c r="AO63" s="1" t="s">
        <v>47</v>
      </c>
      <c r="AP63" s="1" t="s">
        <v>43</v>
      </c>
      <c r="AQ63" s="2">
        <v>1.5</v>
      </c>
      <c r="AR63" s="2" t="s">
        <v>44</v>
      </c>
      <c r="AS63" s="1">
        <v>9.5000000000000001E-2</v>
      </c>
      <c r="AT63" s="1">
        <f>AQ63*AS63</f>
        <v>0.14250000000000002</v>
      </c>
      <c r="AU63" s="1">
        <v>70</v>
      </c>
      <c r="AV63" s="1">
        <v>59.1</v>
      </c>
      <c r="AW63" s="1" t="s">
        <v>43</v>
      </c>
      <c r="AY63" s="1">
        <v>2</v>
      </c>
      <c r="AZ63" s="1" t="s">
        <v>21</v>
      </c>
      <c r="BA63" s="1" t="s">
        <v>103</v>
      </c>
      <c r="BB63" s="1" t="s">
        <v>22</v>
      </c>
      <c r="BC63" s="1" t="s">
        <v>8</v>
      </c>
      <c r="BD63" s="1" t="s">
        <v>8</v>
      </c>
      <c r="BE63" s="1" t="s">
        <v>195</v>
      </c>
      <c r="BI63" s="1">
        <v>15000</v>
      </c>
      <c r="BJ63" s="1" t="s">
        <v>22</v>
      </c>
      <c r="BL63" s="1" t="s">
        <v>22</v>
      </c>
      <c r="BM63" s="1" t="s">
        <v>21</v>
      </c>
      <c r="BO63" s="1" t="s">
        <v>30</v>
      </c>
      <c r="BP63" s="1">
        <v>23.8</v>
      </c>
      <c r="BQ63" s="1">
        <v>1.5</v>
      </c>
      <c r="BS63" s="1">
        <v>217</v>
      </c>
      <c r="BV63" s="1" t="s">
        <v>31</v>
      </c>
      <c r="BX63" s="1" t="s">
        <v>32</v>
      </c>
      <c r="BY63" s="1" t="s">
        <v>78</v>
      </c>
      <c r="BZ63" s="1">
        <v>0</v>
      </c>
      <c r="CA63" s="1">
        <v>16</v>
      </c>
      <c r="CB63" s="1" t="s">
        <v>121</v>
      </c>
      <c r="CC63" s="1" t="s">
        <v>43</v>
      </c>
      <c r="CD63" s="1" t="s">
        <v>8</v>
      </c>
    </row>
    <row r="64" spans="1:82" x14ac:dyDescent="0.2">
      <c r="A64" s="1" t="s">
        <v>202</v>
      </c>
      <c r="B64" s="1" t="s">
        <v>203</v>
      </c>
      <c r="C64" s="1" t="s">
        <v>16</v>
      </c>
      <c r="D64" s="1" t="s">
        <v>17</v>
      </c>
      <c r="E64" s="1" t="s">
        <v>169</v>
      </c>
      <c r="F64" s="1" t="s">
        <v>170</v>
      </c>
      <c r="G64" s="1">
        <v>51</v>
      </c>
      <c r="H64" s="1">
        <v>51</v>
      </c>
      <c r="I64" s="14" t="s">
        <v>43</v>
      </c>
      <c r="J64" s="14" t="s">
        <v>43</v>
      </c>
      <c r="L64" s="1">
        <v>13.8</v>
      </c>
      <c r="M64" s="1" t="s">
        <v>20</v>
      </c>
      <c r="P64" s="1" t="s">
        <v>21</v>
      </c>
      <c r="V64" s="1">
        <v>37700</v>
      </c>
      <c r="Y64" s="1" t="s">
        <v>23</v>
      </c>
      <c r="Z64" s="1" t="s">
        <v>21</v>
      </c>
      <c r="AD64" s="1" t="s">
        <v>21</v>
      </c>
      <c r="AE64" s="1" t="s">
        <v>22</v>
      </c>
      <c r="AF64" s="1" t="s">
        <v>24</v>
      </c>
      <c r="AI64" s="1" t="s">
        <v>22</v>
      </c>
      <c r="AM64" s="4">
        <v>8.5</v>
      </c>
      <c r="AN64" s="1">
        <v>60.5</v>
      </c>
      <c r="AO64" s="1" t="s">
        <v>47</v>
      </c>
      <c r="AP64" s="1" t="s">
        <v>43</v>
      </c>
      <c r="AQ64" s="2">
        <v>4320</v>
      </c>
      <c r="AR64" s="2" t="s">
        <v>26</v>
      </c>
      <c r="AS64" s="1">
        <v>0.14199999999999999</v>
      </c>
      <c r="AT64" s="1">
        <f>AQ64*AS64</f>
        <v>613.43999999999994</v>
      </c>
      <c r="AU64" s="1">
        <v>66.3</v>
      </c>
      <c r="AV64" s="1">
        <v>49.11</v>
      </c>
      <c r="AW64" s="1" t="s">
        <v>43</v>
      </c>
      <c r="AY64" s="1">
        <v>2</v>
      </c>
      <c r="AZ64" s="1" t="s">
        <v>21</v>
      </c>
      <c r="BA64" s="1" t="s">
        <v>103</v>
      </c>
      <c r="BB64" s="1" t="s">
        <v>22</v>
      </c>
      <c r="BC64" s="1" t="s">
        <v>8</v>
      </c>
      <c r="BD64" s="1" t="s">
        <v>8</v>
      </c>
      <c r="BE64" s="1" t="s">
        <v>195</v>
      </c>
      <c r="BF64" s="1" t="s">
        <v>22</v>
      </c>
      <c r="BG64" s="1">
        <v>12</v>
      </c>
      <c r="BH64" s="1">
        <v>15</v>
      </c>
      <c r="BI64" s="5">
        <v>40000</v>
      </c>
      <c r="BJ64" s="1" t="s">
        <v>22</v>
      </c>
      <c r="BL64" s="1" t="s">
        <v>22</v>
      </c>
      <c r="BM64" s="7" t="s">
        <v>21</v>
      </c>
      <c r="BN64" s="5">
        <v>7.94</v>
      </c>
      <c r="BO64" s="1" t="s">
        <v>30</v>
      </c>
      <c r="BP64" s="1">
        <v>21</v>
      </c>
      <c r="BQ64" s="1">
        <v>1.5</v>
      </c>
      <c r="BS64" s="1">
        <v>220</v>
      </c>
      <c r="BV64" s="1" t="s">
        <v>31</v>
      </c>
      <c r="BX64" s="1" t="s">
        <v>32</v>
      </c>
      <c r="BY64" s="1" t="s">
        <v>78</v>
      </c>
      <c r="BZ64" s="1">
        <v>0</v>
      </c>
      <c r="CA64" s="1">
        <v>16</v>
      </c>
      <c r="CB64" s="1" t="s">
        <v>190</v>
      </c>
      <c r="CD64" s="1" t="s">
        <v>8</v>
      </c>
    </row>
    <row r="65" spans="1:82" ht="17" x14ac:dyDescent="0.2">
      <c r="A65" s="1" t="s">
        <v>204</v>
      </c>
      <c r="B65" s="1" t="s">
        <v>205</v>
      </c>
      <c r="C65" s="1" t="s">
        <v>16</v>
      </c>
      <c r="D65" s="1" t="s">
        <v>17</v>
      </c>
      <c r="E65" s="1" t="s">
        <v>169</v>
      </c>
      <c r="F65" s="1" t="s">
        <v>170</v>
      </c>
      <c r="G65" s="1">
        <v>37.5</v>
      </c>
      <c r="H65" s="1">
        <v>37.5</v>
      </c>
      <c r="I65" s="14" t="s">
        <v>43</v>
      </c>
      <c r="J65" s="14" t="s">
        <v>43</v>
      </c>
      <c r="M65" s="1" t="s">
        <v>20</v>
      </c>
      <c r="P65" s="1" t="s">
        <v>21</v>
      </c>
      <c r="Y65" s="1" t="s">
        <v>23</v>
      </c>
      <c r="Z65" s="1" t="s">
        <v>21</v>
      </c>
      <c r="AD65" s="1" t="s">
        <v>21</v>
      </c>
      <c r="AE65" s="1" t="s">
        <v>22</v>
      </c>
      <c r="AF65" s="1" t="s">
        <v>24</v>
      </c>
      <c r="AI65" s="1" t="s">
        <v>22</v>
      </c>
      <c r="AM65" s="4" t="s">
        <v>43</v>
      </c>
      <c r="AN65" s="1" t="s">
        <v>43</v>
      </c>
      <c r="AO65" s="1" t="s">
        <v>47</v>
      </c>
      <c r="AP65" s="1" t="s">
        <v>43</v>
      </c>
      <c r="AQ65" s="1" t="s">
        <v>43</v>
      </c>
      <c r="AR65" s="1" t="s">
        <v>43</v>
      </c>
      <c r="AS65" s="1" t="s">
        <v>43</v>
      </c>
      <c r="AT65" s="1" t="s">
        <v>43</v>
      </c>
      <c r="AU65" s="1" t="s">
        <v>43</v>
      </c>
      <c r="AV65" s="1" t="s">
        <v>43</v>
      </c>
      <c r="AW65" s="1" t="s">
        <v>43</v>
      </c>
      <c r="AY65" s="1">
        <v>2</v>
      </c>
      <c r="AZ65" s="1" t="s">
        <v>21</v>
      </c>
      <c r="BA65" s="1" t="s">
        <v>103</v>
      </c>
      <c r="BB65" s="1" t="s">
        <v>22</v>
      </c>
      <c r="BC65" s="1" t="s">
        <v>8</v>
      </c>
      <c r="BD65" s="1" t="s">
        <v>8</v>
      </c>
      <c r="BE65" s="1" t="s">
        <v>195</v>
      </c>
      <c r="BI65" s="5"/>
      <c r="BJ65" s="1" t="s">
        <v>22</v>
      </c>
      <c r="BL65" s="1" t="s">
        <v>22</v>
      </c>
      <c r="BM65" s="7" t="s">
        <v>21</v>
      </c>
      <c r="BN65" s="5"/>
      <c r="BO65" s="1" t="s">
        <v>30</v>
      </c>
      <c r="BP65" s="1" t="s">
        <v>43</v>
      </c>
      <c r="BQ65" s="1" t="s">
        <v>43</v>
      </c>
      <c r="BS65" s="1">
        <v>210</v>
      </c>
      <c r="BV65" s="1" t="s">
        <v>31</v>
      </c>
      <c r="BX65" s="1" t="s">
        <v>32</v>
      </c>
      <c r="BY65" s="1" t="s">
        <v>78</v>
      </c>
      <c r="BZ65" s="1">
        <v>0</v>
      </c>
      <c r="CB65" s="1" t="s">
        <v>121</v>
      </c>
      <c r="CD65" s="1" t="s">
        <v>8</v>
      </c>
    </row>
    <row r="66" spans="1:82" x14ac:dyDescent="0.2">
      <c r="A66" s="1" t="s">
        <v>206</v>
      </c>
      <c r="B66" s="1" t="s">
        <v>207</v>
      </c>
      <c r="C66" s="1" t="s">
        <v>16</v>
      </c>
      <c r="D66" s="1" t="s">
        <v>17</v>
      </c>
      <c r="E66" s="1" t="s">
        <v>169</v>
      </c>
      <c r="F66" s="1" t="s">
        <v>170</v>
      </c>
      <c r="G66" s="1">
        <v>70</v>
      </c>
      <c r="H66" s="1">
        <v>70</v>
      </c>
      <c r="I66" s="14" t="s">
        <v>43</v>
      </c>
      <c r="J66" s="14" t="s">
        <v>43</v>
      </c>
      <c r="L66" s="1">
        <v>17.399999999999999</v>
      </c>
      <c r="M66" s="1" t="s">
        <v>20</v>
      </c>
      <c r="P66" s="1" t="s">
        <v>21</v>
      </c>
      <c r="V66" s="1">
        <v>10000</v>
      </c>
      <c r="Y66" s="1" t="s">
        <v>23</v>
      </c>
      <c r="Z66" s="1" t="s">
        <v>21</v>
      </c>
      <c r="AD66" s="1" t="s">
        <v>21</v>
      </c>
      <c r="AE66" s="1" t="s">
        <v>22</v>
      </c>
      <c r="AF66" s="1" t="s">
        <v>24</v>
      </c>
      <c r="AI66" s="1" t="s">
        <v>22</v>
      </c>
      <c r="AM66" s="4">
        <v>9</v>
      </c>
      <c r="AN66" s="1">
        <v>57</v>
      </c>
      <c r="AO66" s="13" t="s">
        <v>7</v>
      </c>
      <c r="AP66" s="1" t="s">
        <v>43</v>
      </c>
      <c r="AQ66" s="2">
        <f>AT66/AS66</f>
        <v>2697.260273972603</v>
      </c>
      <c r="AR66" s="2" t="s">
        <v>44</v>
      </c>
      <c r="AS66" s="1">
        <v>7.2999999999999995E-2</v>
      </c>
      <c r="AT66" s="1">
        <v>196.9</v>
      </c>
      <c r="AU66" s="1">
        <v>75</v>
      </c>
      <c r="AV66" s="1">
        <v>81.3</v>
      </c>
      <c r="AW66" s="1">
        <v>61.7</v>
      </c>
      <c r="AY66" s="2">
        <v>2.5</v>
      </c>
      <c r="AZ66" s="1" t="s">
        <v>21</v>
      </c>
      <c r="BA66" s="1" t="s">
        <v>103</v>
      </c>
      <c r="BB66" s="1" t="s">
        <v>22</v>
      </c>
      <c r="BC66" s="1" t="s">
        <v>8</v>
      </c>
      <c r="BD66" s="1" t="s">
        <v>8</v>
      </c>
      <c r="BE66" s="1" t="s">
        <v>164</v>
      </c>
      <c r="BF66" s="1" t="s">
        <v>21</v>
      </c>
      <c r="BG66" s="2">
        <v>7</v>
      </c>
      <c r="BH66" s="2">
        <v>12</v>
      </c>
      <c r="BI66" s="5">
        <v>9000</v>
      </c>
      <c r="BJ66" s="1" t="s">
        <v>22</v>
      </c>
      <c r="BL66" s="1" t="s">
        <v>22</v>
      </c>
      <c r="BM66" s="7" t="s">
        <v>21</v>
      </c>
      <c r="BN66" s="5"/>
      <c r="BO66" s="1" t="s">
        <v>30</v>
      </c>
      <c r="BP66" s="1">
        <v>11</v>
      </c>
      <c r="BQ66" s="1">
        <v>2</v>
      </c>
      <c r="BS66" s="1">
        <v>202</v>
      </c>
      <c r="BV66" s="1" t="s">
        <v>31</v>
      </c>
      <c r="BX66" s="1" t="s">
        <v>32</v>
      </c>
      <c r="BY66" s="1" t="s">
        <v>78</v>
      </c>
      <c r="BZ66" s="1">
        <v>0</v>
      </c>
      <c r="CA66" s="1">
        <f>AVERAGE(30, 60)</f>
        <v>45</v>
      </c>
      <c r="CB66" s="1" t="s">
        <v>53</v>
      </c>
      <c r="CC66" s="13">
        <v>10000</v>
      </c>
      <c r="CD66" s="1" t="s">
        <v>8</v>
      </c>
    </row>
    <row r="67" spans="1:82" x14ac:dyDescent="0.2">
      <c r="A67" s="1" t="s">
        <v>208</v>
      </c>
      <c r="B67" s="1" t="s">
        <v>209</v>
      </c>
      <c r="C67" s="1" t="s">
        <v>16</v>
      </c>
      <c r="D67" s="1" t="s">
        <v>17</v>
      </c>
      <c r="E67" s="1" t="s">
        <v>169</v>
      </c>
      <c r="F67" s="1" t="s">
        <v>170</v>
      </c>
      <c r="I67" s="14" t="s">
        <v>43</v>
      </c>
      <c r="J67" s="14" t="s">
        <v>43</v>
      </c>
      <c r="L67" s="1">
        <v>10.6</v>
      </c>
      <c r="M67" s="1" t="s">
        <v>20</v>
      </c>
      <c r="N67" s="1">
        <v>4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22</v>
      </c>
      <c r="T67" s="1">
        <v>8.6</v>
      </c>
      <c r="U67" s="1">
        <f t="shared" si="2"/>
        <v>1.911111111111111E-2</v>
      </c>
      <c r="V67" s="1">
        <v>45000</v>
      </c>
      <c r="W67" s="1">
        <v>130</v>
      </c>
      <c r="X67" s="1">
        <f t="shared" ref="X67:X77" si="13">(W67/V67)*100</f>
        <v>0.28888888888888886</v>
      </c>
      <c r="Y67" s="1" t="s">
        <v>23</v>
      </c>
      <c r="Z67" s="1" t="s">
        <v>21</v>
      </c>
      <c r="AA67" s="1">
        <v>10</v>
      </c>
      <c r="AB67" s="1">
        <f t="shared" si="11"/>
        <v>2.2222222222222223E-2</v>
      </c>
      <c r="AC67" s="1" t="s">
        <v>22</v>
      </c>
      <c r="AD67" s="1" t="s">
        <v>21</v>
      </c>
      <c r="AE67" s="1" t="s">
        <v>22</v>
      </c>
      <c r="AF67" s="1" t="s">
        <v>24</v>
      </c>
      <c r="AM67" s="4">
        <v>7.2</v>
      </c>
      <c r="AN67" s="1" t="s">
        <v>43</v>
      </c>
      <c r="AO67" s="1" t="s">
        <v>43</v>
      </c>
      <c r="AP67" s="1" t="s">
        <v>43</v>
      </c>
      <c r="AQ67" s="1" t="s">
        <v>43</v>
      </c>
      <c r="AR67" s="1" t="s">
        <v>43</v>
      </c>
      <c r="AS67" s="1" t="s">
        <v>43</v>
      </c>
      <c r="AT67" s="1" t="s">
        <v>43</v>
      </c>
      <c r="AU67" s="1" t="s">
        <v>43</v>
      </c>
      <c r="AV67" s="1" t="s">
        <v>43</v>
      </c>
      <c r="AW67" s="1" t="s">
        <v>43</v>
      </c>
      <c r="AY67" s="2"/>
      <c r="BA67" s="1" t="s">
        <v>27</v>
      </c>
      <c r="BB67" s="1" t="s">
        <v>22</v>
      </c>
      <c r="BC67" s="1" t="s">
        <v>28</v>
      </c>
      <c r="BD67" s="1" t="s">
        <v>8</v>
      </c>
      <c r="BE67" s="1" t="s">
        <v>164</v>
      </c>
      <c r="BG67" s="2">
        <v>12</v>
      </c>
      <c r="BH67" s="2">
        <v>12</v>
      </c>
      <c r="BI67" s="5">
        <v>46000</v>
      </c>
      <c r="BJ67" s="1" t="s">
        <v>22</v>
      </c>
      <c r="BL67" s="1" t="s">
        <v>22</v>
      </c>
      <c r="BM67" s="7" t="s">
        <v>21</v>
      </c>
      <c r="BN67" s="5"/>
      <c r="BO67" s="1" t="s">
        <v>30</v>
      </c>
      <c r="BP67" s="1" t="s">
        <v>43</v>
      </c>
      <c r="BQ67" s="1" t="s">
        <v>43</v>
      </c>
      <c r="BS67" s="1">
        <v>240</v>
      </c>
      <c r="BV67" s="1" t="s">
        <v>31</v>
      </c>
      <c r="BZ67" s="1">
        <v>0</v>
      </c>
      <c r="CB67" s="1" t="s">
        <v>121</v>
      </c>
      <c r="CC67" s="1">
        <f>AVERAGE(4162, 5750)</f>
        <v>4956</v>
      </c>
      <c r="CD67" s="1" t="s">
        <v>8</v>
      </c>
    </row>
    <row r="68" spans="1:82" x14ac:dyDescent="0.2">
      <c r="A68" s="1" t="s">
        <v>210</v>
      </c>
      <c r="B68" s="1" t="s">
        <v>211</v>
      </c>
      <c r="C68" s="1" t="s">
        <v>16</v>
      </c>
      <c r="D68" s="1" t="s">
        <v>17</v>
      </c>
      <c r="E68" s="1" t="s">
        <v>169</v>
      </c>
      <c r="F68" s="1" t="s">
        <v>170</v>
      </c>
      <c r="G68" s="1">
        <v>58</v>
      </c>
      <c r="H68" s="1">
        <v>58</v>
      </c>
      <c r="I68" s="14" t="s">
        <v>43</v>
      </c>
      <c r="J68" s="14" t="s">
        <v>43</v>
      </c>
      <c r="L68" s="1">
        <v>26</v>
      </c>
      <c r="M68" s="1" t="s">
        <v>20</v>
      </c>
      <c r="P68" s="1" t="s">
        <v>21</v>
      </c>
      <c r="V68" s="1">
        <v>90000</v>
      </c>
      <c r="Y68" s="1" t="s">
        <v>23</v>
      </c>
      <c r="Z68" s="1" t="s">
        <v>21</v>
      </c>
      <c r="AD68" s="1" t="s">
        <v>21</v>
      </c>
      <c r="AE68" s="1" t="s">
        <v>22</v>
      </c>
      <c r="AG68" s="1" t="s">
        <v>65</v>
      </c>
      <c r="AI68" s="1" t="s">
        <v>22</v>
      </c>
      <c r="AM68" s="4">
        <v>7.7779999999999996</v>
      </c>
      <c r="AN68" s="1">
        <f>41.716+AM68</f>
        <v>49.494</v>
      </c>
      <c r="AO68" s="1" t="s">
        <v>47</v>
      </c>
      <c r="AP68" s="1" t="s">
        <v>43</v>
      </c>
      <c r="AQ68" s="2">
        <v>557</v>
      </c>
      <c r="AR68" s="2" t="s">
        <v>44</v>
      </c>
      <c r="AS68" s="1">
        <f>AVERAGE(1.55, 1.4)</f>
        <v>1.4750000000000001</v>
      </c>
      <c r="AT68" s="1">
        <f>AS68*AQ68</f>
        <v>821.57500000000005</v>
      </c>
      <c r="AU68" s="1">
        <f>AVERAGE(70.9, 75.5)</f>
        <v>73.2</v>
      </c>
      <c r="AV68" s="1">
        <v>80</v>
      </c>
      <c r="AW68" s="1">
        <v>84.86</v>
      </c>
      <c r="AY68" s="1">
        <v>2</v>
      </c>
      <c r="BA68" s="1" t="s">
        <v>27</v>
      </c>
      <c r="BB68" s="1" t="s">
        <v>22</v>
      </c>
      <c r="BC68" s="1" t="s">
        <v>28</v>
      </c>
      <c r="BD68" s="1" t="s">
        <v>8</v>
      </c>
      <c r="BE68" s="1" t="s">
        <v>195</v>
      </c>
      <c r="BF68" s="1" t="s">
        <v>22</v>
      </c>
      <c r="BG68" s="1">
        <v>7</v>
      </c>
      <c r="BH68" s="2">
        <v>21</v>
      </c>
      <c r="BI68" s="1">
        <v>164500</v>
      </c>
      <c r="BJ68" s="1" t="s">
        <v>22</v>
      </c>
      <c r="BL68" s="1" t="s">
        <v>22</v>
      </c>
      <c r="BM68" s="7" t="s">
        <v>21</v>
      </c>
      <c r="BN68" s="5">
        <v>119.24</v>
      </c>
      <c r="BO68" s="1" t="s">
        <v>30</v>
      </c>
      <c r="BP68" s="1">
        <v>18.2</v>
      </c>
      <c r="BQ68" s="1" t="s">
        <v>43</v>
      </c>
      <c r="BS68" s="2" t="s">
        <v>212</v>
      </c>
      <c r="BV68" s="1" t="s">
        <v>31</v>
      </c>
      <c r="BX68" s="1" t="s">
        <v>32</v>
      </c>
      <c r="BY68" s="1" t="s">
        <v>78</v>
      </c>
      <c r="BZ68" s="1">
        <v>0</v>
      </c>
      <c r="CA68" s="1">
        <v>21</v>
      </c>
      <c r="CB68" s="1" t="s">
        <v>121</v>
      </c>
      <c r="CD68" s="1" t="s">
        <v>8</v>
      </c>
    </row>
    <row r="69" spans="1:82" x14ac:dyDescent="0.2">
      <c r="A69" s="1" t="s">
        <v>213</v>
      </c>
      <c r="B69" s="1" t="s">
        <v>214</v>
      </c>
      <c r="C69" s="1" t="s">
        <v>16</v>
      </c>
      <c r="D69" s="1" t="s">
        <v>17</v>
      </c>
      <c r="E69" s="1" t="s">
        <v>169</v>
      </c>
      <c r="F69" s="1" t="s">
        <v>170</v>
      </c>
      <c r="G69" s="1">
        <v>58</v>
      </c>
      <c r="H69" s="1">
        <v>58</v>
      </c>
      <c r="I69" s="14" t="s">
        <v>43</v>
      </c>
      <c r="J69" s="14" t="s">
        <v>43</v>
      </c>
      <c r="L69" s="1">
        <v>19</v>
      </c>
      <c r="M69" s="1" t="s">
        <v>20</v>
      </c>
      <c r="P69" s="1" t="s">
        <v>21</v>
      </c>
      <c r="V69" s="1">
        <v>100000</v>
      </c>
      <c r="Y69" s="1" t="s">
        <v>23</v>
      </c>
      <c r="Z69" s="1" t="s">
        <v>21</v>
      </c>
      <c r="AD69" s="1" t="s">
        <v>21</v>
      </c>
      <c r="AE69" s="1" t="s">
        <v>22</v>
      </c>
      <c r="AI69" s="1" t="s">
        <v>22</v>
      </c>
      <c r="AM69" s="4">
        <v>8.1959999999999997</v>
      </c>
      <c r="AN69" s="1">
        <f xml:space="preserve"> 41.204+AM69</f>
        <v>49.4</v>
      </c>
      <c r="AO69" s="13" t="s">
        <v>7</v>
      </c>
      <c r="AP69" s="1" t="s">
        <v>43</v>
      </c>
      <c r="AQ69" s="2">
        <v>1007.5</v>
      </c>
      <c r="AR69" s="2" t="s">
        <v>44</v>
      </c>
      <c r="AS69" s="1">
        <v>2.1</v>
      </c>
      <c r="AT69" s="1">
        <f>AS69*AQ69</f>
        <v>2115.75</v>
      </c>
      <c r="AU69" s="1">
        <v>80</v>
      </c>
      <c r="AV69" s="1" t="s">
        <v>43</v>
      </c>
      <c r="AW69" s="1">
        <v>88.5</v>
      </c>
      <c r="BA69" s="1" t="s">
        <v>27</v>
      </c>
      <c r="BB69" s="1" t="s">
        <v>22</v>
      </c>
      <c r="BC69" s="1" t="s">
        <v>28</v>
      </c>
      <c r="BD69" s="1" t="s">
        <v>8</v>
      </c>
      <c r="BE69" s="1" t="s">
        <v>164</v>
      </c>
      <c r="BF69" s="1" t="s">
        <v>21</v>
      </c>
      <c r="BH69" s="1">
        <v>24</v>
      </c>
      <c r="BI69" s="5">
        <v>50000</v>
      </c>
      <c r="BJ69" s="1" t="s">
        <v>22</v>
      </c>
      <c r="BL69" s="1" t="s">
        <v>22</v>
      </c>
      <c r="BM69" s="7" t="s">
        <v>21</v>
      </c>
      <c r="BN69" s="5"/>
      <c r="BO69" s="1" t="s">
        <v>30</v>
      </c>
      <c r="BP69" s="1">
        <v>17</v>
      </c>
      <c r="BQ69" s="1">
        <v>2</v>
      </c>
      <c r="BS69" s="1">
        <v>242</v>
      </c>
      <c r="BT69" s="1">
        <v>1.1000000000000001</v>
      </c>
      <c r="BU69" s="1">
        <f t="shared" si="10"/>
        <v>2.2000000000000001E-3</v>
      </c>
      <c r="BV69" s="1" t="s">
        <v>31</v>
      </c>
      <c r="BX69" s="1" t="s">
        <v>32</v>
      </c>
      <c r="BY69" s="1" t="s">
        <v>78</v>
      </c>
      <c r="BZ69" s="1">
        <v>0</v>
      </c>
      <c r="CA69" s="1">
        <v>35</v>
      </c>
      <c r="CB69" s="1" t="s">
        <v>98</v>
      </c>
      <c r="CD69" s="1" t="s">
        <v>8</v>
      </c>
    </row>
    <row r="70" spans="1:82" x14ac:dyDescent="0.2">
      <c r="A70" s="1" t="s">
        <v>215</v>
      </c>
      <c r="B70" s="1" t="s">
        <v>216</v>
      </c>
      <c r="C70" s="1" t="s">
        <v>16</v>
      </c>
      <c r="D70" s="1" t="s">
        <v>17</v>
      </c>
      <c r="E70" s="1" t="s">
        <v>169</v>
      </c>
      <c r="F70" s="1" t="s">
        <v>170</v>
      </c>
      <c r="G70" s="1">
        <v>66</v>
      </c>
      <c r="H70" s="1">
        <v>66</v>
      </c>
      <c r="I70" s="14" t="s">
        <v>43</v>
      </c>
      <c r="J70" s="14" t="s">
        <v>43</v>
      </c>
      <c r="L70" s="1">
        <v>20.8</v>
      </c>
      <c r="M70" s="1" t="s">
        <v>20</v>
      </c>
      <c r="P70" s="1" t="s">
        <v>21</v>
      </c>
      <c r="V70" s="1">
        <v>80000</v>
      </c>
      <c r="W70" s="1">
        <v>18.2</v>
      </c>
      <c r="X70" s="1">
        <f t="shared" si="13"/>
        <v>2.2749999999999999E-2</v>
      </c>
      <c r="Y70" s="1" t="s">
        <v>23</v>
      </c>
      <c r="Z70" s="1" t="s">
        <v>21</v>
      </c>
      <c r="AA70" s="1">
        <v>4.0999999999999996</v>
      </c>
      <c r="AB70" s="1">
        <f t="shared" si="11"/>
        <v>5.1250000000000002E-3</v>
      </c>
      <c r="AD70" s="1" t="s">
        <v>21</v>
      </c>
      <c r="AE70" s="1" t="s">
        <v>22</v>
      </c>
      <c r="AI70" s="1" t="s">
        <v>22</v>
      </c>
      <c r="AM70" s="4">
        <v>8.9</v>
      </c>
      <c r="AN70" s="1">
        <v>66.2</v>
      </c>
      <c r="AO70" s="1" t="s">
        <v>47</v>
      </c>
      <c r="AP70" s="1">
        <v>4300</v>
      </c>
      <c r="AQ70" s="2">
        <v>338.3</v>
      </c>
      <c r="AR70" s="2" t="s">
        <v>44</v>
      </c>
      <c r="AS70" s="1">
        <v>4.0999999999999996</v>
      </c>
      <c r="AT70" s="1">
        <f>AS70*AQ70</f>
        <v>1387.03</v>
      </c>
      <c r="AU70" s="1">
        <v>66.5</v>
      </c>
      <c r="AV70" s="1">
        <v>79.900000000000006</v>
      </c>
      <c r="AW70" s="1" t="s">
        <v>43</v>
      </c>
      <c r="BA70" s="1" t="s">
        <v>27</v>
      </c>
      <c r="BB70" s="1" t="s">
        <v>22</v>
      </c>
      <c r="BC70" s="1" t="s">
        <v>28</v>
      </c>
      <c r="BD70" s="1" t="s">
        <v>8</v>
      </c>
      <c r="BE70" s="1" t="s">
        <v>195</v>
      </c>
      <c r="BF70" s="1" t="s">
        <v>21</v>
      </c>
      <c r="BG70" s="2">
        <v>15</v>
      </c>
      <c r="BH70" s="1">
        <v>12</v>
      </c>
      <c r="BI70" s="5">
        <v>50000</v>
      </c>
      <c r="BJ70" s="1" t="s">
        <v>22</v>
      </c>
      <c r="BL70" s="1" t="s">
        <v>22</v>
      </c>
      <c r="BM70" s="7" t="s">
        <v>21</v>
      </c>
      <c r="BN70" s="5"/>
      <c r="BO70" s="1" t="s">
        <v>30</v>
      </c>
      <c r="BP70" s="1">
        <v>19.3</v>
      </c>
      <c r="BQ70" s="1" t="s">
        <v>43</v>
      </c>
      <c r="BS70" s="1">
        <v>234.5</v>
      </c>
      <c r="BT70" s="1">
        <v>0.5</v>
      </c>
      <c r="BU70" s="1">
        <f t="shared" si="10"/>
        <v>1E-3</v>
      </c>
      <c r="BV70" s="1" t="s">
        <v>31</v>
      </c>
      <c r="BX70" s="1" t="s">
        <v>32</v>
      </c>
      <c r="BY70" s="1" t="s">
        <v>78</v>
      </c>
      <c r="BZ70" s="1">
        <v>0</v>
      </c>
      <c r="CA70" s="1">
        <v>12</v>
      </c>
      <c r="CB70" s="1" t="s">
        <v>34</v>
      </c>
      <c r="CD70" s="1" t="s">
        <v>8</v>
      </c>
    </row>
    <row r="71" spans="1:82" x14ac:dyDescent="0.2">
      <c r="A71" s="1" t="s">
        <v>217</v>
      </c>
      <c r="B71" s="1" t="s">
        <v>218</v>
      </c>
      <c r="C71" s="1" t="s">
        <v>16</v>
      </c>
      <c r="D71" s="1" t="s">
        <v>17</v>
      </c>
      <c r="E71" s="1" t="s">
        <v>169</v>
      </c>
      <c r="F71" s="1" t="s">
        <v>170</v>
      </c>
      <c r="G71" s="1">
        <v>46.5</v>
      </c>
      <c r="H71" s="1">
        <v>47.5</v>
      </c>
      <c r="I71" s="14" t="s">
        <v>43</v>
      </c>
      <c r="J71" s="14" t="s">
        <v>43</v>
      </c>
      <c r="L71" s="1">
        <v>15</v>
      </c>
      <c r="M71" s="1" t="s">
        <v>20</v>
      </c>
      <c r="P71" s="1" t="s">
        <v>21</v>
      </c>
      <c r="V71" s="1">
        <v>20000</v>
      </c>
      <c r="Y71" s="1" t="s">
        <v>23</v>
      </c>
      <c r="Z71" s="1" t="s">
        <v>21</v>
      </c>
      <c r="AD71" s="1" t="s">
        <v>21</v>
      </c>
      <c r="AE71" s="1" t="s">
        <v>22</v>
      </c>
      <c r="AI71" s="1" t="s">
        <v>22</v>
      </c>
      <c r="AM71" s="4">
        <v>7.7</v>
      </c>
      <c r="AN71" s="1">
        <v>55.5</v>
      </c>
      <c r="AO71" s="1" t="s">
        <v>7</v>
      </c>
      <c r="AP71" s="1" t="s">
        <v>43</v>
      </c>
      <c r="AQ71" s="2">
        <v>207.6</v>
      </c>
      <c r="AR71" s="2" t="s">
        <v>44</v>
      </c>
      <c r="AS71" s="1">
        <v>2</v>
      </c>
      <c r="AT71" s="1">
        <f>AS71*AQ71</f>
        <v>415.2</v>
      </c>
      <c r="AU71" s="1">
        <v>76.900000000000006</v>
      </c>
      <c r="AV71" s="1">
        <v>34.200000000000003</v>
      </c>
      <c r="AW71" s="1" t="s">
        <v>43</v>
      </c>
      <c r="BA71" s="1" t="s">
        <v>27</v>
      </c>
      <c r="BB71" s="1" t="s">
        <v>22</v>
      </c>
      <c r="BC71" s="1" t="s">
        <v>8</v>
      </c>
      <c r="BD71" s="1" t="s">
        <v>8</v>
      </c>
      <c r="BE71" s="1" t="s">
        <v>219</v>
      </c>
      <c r="BG71" s="2">
        <v>18</v>
      </c>
      <c r="BH71" s="1">
        <v>9.5</v>
      </c>
      <c r="BI71" s="5">
        <v>40000</v>
      </c>
      <c r="BJ71" s="1" t="s">
        <v>22</v>
      </c>
      <c r="BL71" s="1" t="s">
        <v>22</v>
      </c>
      <c r="BM71" s="7" t="s">
        <v>21</v>
      </c>
      <c r="BN71" s="5"/>
      <c r="BO71" s="1" t="s">
        <v>30</v>
      </c>
      <c r="BP71" s="1" t="s">
        <v>43</v>
      </c>
      <c r="BQ71" s="1" t="s">
        <v>43</v>
      </c>
      <c r="BR71" s="1">
        <f>12*12</f>
        <v>144</v>
      </c>
      <c r="BS71" s="2">
        <f>AVERAGE(195, 180)</f>
        <v>187.5</v>
      </c>
      <c r="BV71" s="1" t="s">
        <v>31</v>
      </c>
      <c r="BX71" s="1" t="s">
        <v>32</v>
      </c>
      <c r="BY71" s="1" t="s">
        <v>78</v>
      </c>
      <c r="BZ71" s="1">
        <v>0</v>
      </c>
      <c r="CB71" s="1" t="s">
        <v>53</v>
      </c>
      <c r="CC71" s="13">
        <v>500000</v>
      </c>
      <c r="CD71" s="1" t="s">
        <v>8</v>
      </c>
    </row>
    <row r="72" spans="1:82" x14ac:dyDescent="0.2">
      <c r="A72" s="1" t="s">
        <v>220</v>
      </c>
      <c r="B72" s="1" t="s">
        <v>221</v>
      </c>
      <c r="C72" s="1" t="s">
        <v>16</v>
      </c>
      <c r="D72" s="1" t="s">
        <v>17</v>
      </c>
      <c r="E72" s="1" t="s">
        <v>169</v>
      </c>
      <c r="F72" s="1" t="s">
        <v>170</v>
      </c>
      <c r="G72" s="1">
        <v>66</v>
      </c>
      <c r="H72" s="1">
        <v>66</v>
      </c>
      <c r="I72" s="14" t="s">
        <v>43</v>
      </c>
      <c r="J72" s="14" t="s">
        <v>43</v>
      </c>
      <c r="L72" s="1">
        <v>17</v>
      </c>
      <c r="M72" s="1" t="s">
        <v>20</v>
      </c>
      <c r="P72" s="1" t="s">
        <v>21</v>
      </c>
      <c r="Q72" s="1" t="s">
        <v>21</v>
      </c>
      <c r="T72" s="1">
        <f>18.2+49.9</f>
        <v>68.099999999999994</v>
      </c>
      <c r="U72" s="1">
        <f t="shared" ref="U72:U115" si="14">(T72/V72)*100</f>
        <v>3.0538116591928247E-2</v>
      </c>
      <c r="V72" s="1">
        <f>AVERAGE(216000, 230000)</f>
        <v>223000</v>
      </c>
      <c r="W72" s="1">
        <v>116.4</v>
      </c>
      <c r="X72" s="1">
        <f t="shared" si="13"/>
        <v>5.2197309417040358E-2</v>
      </c>
      <c r="Y72" s="1" t="s">
        <v>23</v>
      </c>
      <c r="Z72" s="1" t="s">
        <v>21</v>
      </c>
      <c r="AD72" s="1" t="s">
        <v>21</v>
      </c>
      <c r="AE72" s="1" t="s">
        <v>22</v>
      </c>
      <c r="AM72" s="4">
        <v>8</v>
      </c>
      <c r="AN72" s="1">
        <v>64</v>
      </c>
      <c r="AO72" s="13" t="s">
        <v>7</v>
      </c>
      <c r="AP72" s="1" t="s">
        <v>43</v>
      </c>
      <c r="AQ72" s="1" t="s">
        <v>43</v>
      </c>
      <c r="AR72" s="1" t="s">
        <v>43</v>
      </c>
      <c r="AS72" s="1" t="s">
        <v>43</v>
      </c>
      <c r="AT72" s="1" t="s">
        <v>43</v>
      </c>
      <c r="AU72" s="1" t="s">
        <v>43</v>
      </c>
      <c r="AV72" s="1" t="s">
        <v>43</v>
      </c>
      <c r="AW72" s="1" t="s">
        <v>43</v>
      </c>
      <c r="BA72" s="1" t="s">
        <v>27</v>
      </c>
      <c r="BB72" s="1" t="s">
        <v>22</v>
      </c>
      <c r="BC72" s="1" t="s">
        <v>28</v>
      </c>
      <c r="BD72" s="1" t="s">
        <v>8</v>
      </c>
      <c r="BE72" s="1" t="s">
        <v>8</v>
      </c>
      <c r="BF72" s="1" t="s">
        <v>21</v>
      </c>
      <c r="BG72" s="2">
        <v>17</v>
      </c>
      <c r="BH72" s="1">
        <v>17</v>
      </c>
      <c r="BI72" s="5">
        <v>160000</v>
      </c>
      <c r="BJ72" s="1" t="s">
        <v>22</v>
      </c>
      <c r="BL72" s="1" t="s">
        <v>22</v>
      </c>
      <c r="BM72" s="7" t="s">
        <v>21</v>
      </c>
      <c r="BN72" s="5">
        <v>121.9</v>
      </c>
      <c r="BO72" s="1" t="s">
        <v>30</v>
      </c>
      <c r="BP72" s="1" t="s">
        <v>43</v>
      </c>
      <c r="BQ72" s="1" t="s">
        <v>43</v>
      </c>
      <c r="BS72" s="2">
        <v>235</v>
      </c>
      <c r="BV72" s="1" t="s">
        <v>31</v>
      </c>
      <c r="BZ72" s="1">
        <v>0</v>
      </c>
      <c r="CB72" s="1" t="s">
        <v>121</v>
      </c>
      <c r="CC72" s="13">
        <v>7000</v>
      </c>
      <c r="CD72" s="1" t="s">
        <v>22</v>
      </c>
    </row>
    <row r="73" spans="1:82" x14ac:dyDescent="0.2">
      <c r="A73" s="1" t="s">
        <v>222</v>
      </c>
      <c r="B73" s="1" t="s">
        <v>223</v>
      </c>
      <c r="C73" s="1" t="s">
        <v>16</v>
      </c>
      <c r="D73" s="1" t="s">
        <v>17</v>
      </c>
      <c r="E73" s="1" t="s">
        <v>169</v>
      </c>
      <c r="F73" s="1" t="s">
        <v>170</v>
      </c>
      <c r="G73" s="1">
        <v>68</v>
      </c>
      <c r="H73" s="1">
        <v>68</v>
      </c>
      <c r="I73" s="14" t="s">
        <v>43</v>
      </c>
      <c r="J73" s="14" t="s">
        <v>43</v>
      </c>
      <c r="L73" s="1">
        <v>20</v>
      </c>
      <c r="M73" s="1" t="s">
        <v>20</v>
      </c>
      <c r="N73" s="1">
        <v>2</v>
      </c>
      <c r="O73" s="1" t="s">
        <v>22</v>
      </c>
      <c r="P73" s="1" t="s">
        <v>21</v>
      </c>
      <c r="Q73" s="1" t="s">
        <v>21</v>
      </c>
      <c r="R73" s="1" t="s">
        <v>22</v>
      </c>
      <c r="S73" s="1" t="s">
        <v>22</v>
      </c>
      <c r="T73" s="1">
        <f>1.85+10.3</f>
        <v>12.15</v>
      </c>
      <c r="U73" s="1">
        <f t="shared" si="14"/>
        <v>2.3592233009708738E-2</v>
      </c>
      <c r="V73" s="1">
        <v>51500</v>
      </c>
      <c r="W73" s="1">
        <v>49</v>
      </c>
      <c r="X73" s="1">
        <f t="shared" si="13"/>
        <v>9.5145631067961159E-2</v>
      </c>
      <c r="Y73" s="1" t="s">
        <v>23</v>
      </c>
      <c r="Z73" s="1" t="s">
        <v>21</v>
      </c>
      <c r="AD73" s="1" t="s">
        <v>21</v>
      </c>
      <c r="AE73" s="1" t="s">
        <v>22</v>
      </c>
      <c r="AI73" s="1" t="s">
        <v>22</v>
      </c>
      <c r="AM73" s="4">
        <v>8.7200000000000006</v>
      </c>
      <c r="AN73" s="1">
        <v>59.08</v>
      </c>
      <c r="AO73" s="13" t="s">
        <v>7</v>
      </c>
      <c r="AP73" s="1" t="s">
        <v>43</v>
      </c>
      <c r="AQ73" s="2">
        <v>2075</v>
      </c>
      <c r="AR73" s="2" t="s">
        <v>44</v>
      </c>
      <c r="AS73" s="1">
        <v>1.431</v>
      </c>
      <c r="AT73" s="1">
        <f>AS73*AQ73</f>
        <v>2969.3250000000003</v>
      </c>
      <c r="AU73" s="1">
        <v>91.4</v>
      </c>
      <c r="AV73" s="1" t="s">
        <v>43</v>
      </c>
      <c r="AW73" s="1" t="s">
        <v>43</v>
      </c>
      <c r="BA73" s="1" t="s">
        <v>27</v>
      </c>
      <c r="BB73" s="1" t="s">
        <v>22</v>
      </c>
      <c r="BC73" s="1" t="s">
        <v>8</v>
      </c>
      <c r="BD73" s="1" t="s">
        <v>8</v>
      </c>
      <c r="BE73" s="1" t="s">
        <v>164</v>
      </c>
      <c r="BF73" s="1" t="s">
        <v>22</v>
      </c>
      <c r="BG73" s="2">
        <v>8</v>
      </c>
      <c r="BH73" s="1">
        <v>8</v>
      </c>
      <c r="BI73" s="5">
        <v>54000</v>
      </c>
      <c r="BJ73" s="1" t="s">
        <v>22</v>
      </c>
      <c r="BL73" s="1" t="s">
        <v>22</v>
      </c>
      <c r="BM73" s="7" t="s">
        <v>21</v>
      </c>
      <c r="BN73" s="5">
        <v>78.760000000000005</v>
      </c>
      <c r="BO73" s="1" t="s">
        <v>30</v>
      </c>
      <c r="BP73" s="2">
        <v>16</v>
      </c>
      <c r="BQ73" s="1">
        <v>2</v>
      </c>
      <c r="BS73" s="2">
        <v>240</v>
      </c>
      <c r="BV73" s="1" t="s">
        <v>31</v>
      </c>
      <c r="BX73" s="1" t="s">
        <v>32</v>
      </c>
      <c r="BY73" s="1" t="s">
        <v>78</v>
      </c>
      <c r="BZ73" s="1">
        <v>0</v>
      </c>
      <c r="CA73" s="1">
        <v>24</v>
      </c>
      <c r="CB73" s="1" t="s">
        <v>98</v>
      </c>
      <c r="CD73" s="1" t="s">
        <v>8</v>
      </c>
    </row>
    <row r="74" spans="1:82" x14ac:dyDescent="0.2">
      <c r="A74" s="1" t="s">
        <v>224</v>
      </c>
      <c r="B74" s="1" t="s">
        <v>225</v>
      </c>
      <c r="C74" s="1" t="s">
        <v>16</v>
      </c>
      <c r="D74" s="1" t="s">
        <v>17</v>
      </c>
      <c r="E74" s="1" t="s">
        <v>169</v>
      </c>
      <c r="F74" s="1" t="s">
        <v>170</v>
      </c>
      <c r="I74" s="14" t="s">
        <v>43</v>
      </c>
      <c r="J74" s="14" t="s">
        <v>43</v>
      </c>
      <c r="L74" s="1">
        <v>23</v>
      </c>
      <c r="M74" s="1" t="s">
        <v>20</v>
      </c>
      <c r="P74" s="1" t="s">
        <v>21</v>
      </c>
      <c r="Q74" s="1" t="s">
        <v>21</v>
      </c>
      <c r="T74" s="1">
        <f>28.28+31.06</f>
        <v>59.34</v>
      </c>
      <c r="U74" s="1">
        <f t="shared" si="14"/>
        <v>2.5997809419496167E-2</v>
      </c>
      <c r="V74" s="1">
        <f>AVERAGE(176500, 280000)</f>
        <v>228250</v>
      </c>
      <c r="W74" s="1">
        <v>64.05</v>
      </c>
      <c r="X74" s="1">
        <f t="shared" si="13"/>
        <v>2.8061336254107335E-2</v>
      </c>
      <c r="Y74" s="1" t="s">
        <v>23</v>
      </c>
      <c r="Z74" s="1" t="s">
        <v>21</v>
      </c>
      <c r="AD74" s="1" t="s">
        <v>21</v>
      </c>
      <c r="AE74" s="1" t="s">
        <v>22</v>
      </c>
      <c r="AM74" s="4">
        <v>9.9499999999999993</v>
      </c>
      <c r="AN74" s="1">
        <v>65.67</v>
      </c>
      <c r="AO74" s="13" t="s">
        <v>7</v>
      </c>
      <c r="AP74" s="1" t="s">
        <v>43</v>
      </c>
      <c r="AQ74" s="1" t="s">
        <v>43</v>
      </c>
      <c r="AR74" s="1" t="s">
        <v>43</v>
      </c>
      <c r="AS74" s="1" t="s">
        <v>43</v>
      </c>
      <c r="AT74" s="1" t="s">
        <v>43</v>
      </c>
      <c r="AU74" s="1" t="s">
        <v>43</v>
      </c>
      <c r="AV74" s="1" t="s">
        <v>43</v>
      </c>
      <c r="AW74" s="1" t="s">
        <v>43</v>
      </c>
      <c r="BA74" s="1" t="s">
        <v>27</v>
      </c>
      <c r="BB74" s="1" t="s">
        <v>22</v>
      </c>
      <c r="BC74" s="1" t="s">
        <v>28</v>
      </c>
      <c r="BD74" s="1" t="s">
        <v>8</v>
      </c>
      <c r="BE74" s="1" t="s">
        <v>164</v>
      </c>
      <c r="BF74" s="1" t="s">
        <v>21</v>
      </c>
      <c r="BG74" s="2">
        <v>48</v>
      </c>
      <c r="BH74" s="1">
        <v>24</v>
      </c>
      <c r="BI74" s="5">
        <v>145000</v>
      </c>
      <c r="BJ74" s="1" t="s">
        <v>22</v>
      </c>
      <c r="BL74" s="1" t="s">
        <v>22</v>
      </c>
      <c r="BM74" s="7" t="s">
        <v>21</v>
      </c>
      <c r="BN74" s="5">
        <v>48.24</v>
      </c>
      <c r="BO74" s="1" t="s">
        <v>30</v>
      </c>
      <c r="BP74" s="2">
        <v>21.3</v>
      </c>
      <c r="BQ74" s="1">
        <v>1.5</v>
      </c>
      <c r="BS74" s="2">
        <v>245</v>
      </c>
      <c r="BV74" s="1" t="s">
        <v>31</v>
      </c>
      <c r="BZ74" s="1">
        <v>0</v>
      </c>
      <c r="CA74" s="1">
        <v>24</v>
      </c>
      <c r="CB74" s="1" t="s">
        <v>121</v>
      </c>
      <c r="CD74" s="1" t="s">
        <v>8</v>
      </c>
    </row>
    <row r="75" spans="1:82" x14ac:dyDescent="0.2">
      <c r="A75" s="1" t="s">
        <v>226</v>
      </c>
      <c r="B75" s="1" t="s">
        <v>227</v>
      </c>
      <c r="C75" s="1" t="s">
        <v>16</v>
      </c>
      <c r="D75" s="1" t="s">
        <v>17</v>
      </c>
      <c r="E75" s="1" t="s">
        <v>169</v>
      </c>
      <c r="F75" s="1" t="s">
        <v>170</v>
      </c>
      <c r="G75" s="1">
        <v>46</v>
      </c>
      <c r="H75" s="1">
        <v>46</v>
      </c>
      <c r="I75" s="14" t="s">
        <v>43</v>
      </c>
      <c r="J75" s="14" t="s">
        <v>43</v>
      </c>
      <c r="L75" s="1">
        <v>23.2</v>
      </c>
      <c r="M75" s="1" t="s">
        <v>50</v>
      </c>
      <c r="P75" s="1" t="s">
        <v>21</v>
      </c>
      <c r="V75" s="1">
        <v>8300</v>
      </c>
      <c r="W75" s="1">
        <v>11.5</v>
      </c>
      <c r="X75" s="1">
        <f t="shared" si="13"/>
        <v>0.13855421686746988</v>
      </c>
      <c r="Y75" s="1" t="s">
        <v>23</v>
      </c>
      <c r="Z75" s="1" t="s">
        <v>21</v>
      </c>
      <c r="AD75" s="1" t="s">
        <v>21</v>
      </c>
      <c r="AE75" s="1" t="s">
        <v>22</v>
      </c>
      <c r="AI75" s="1" t="s">
        <v>22</v>
      </c>
      <c r="AM75" s="4">
        <v>6.7919999999999998</v>
      </c>
      <c r="AN75" s="1">
        <f>40.032+AM75</f>
        <v>46.823999999999998</v>
      </c>
      <c r="AO75" s="1" t="s">
        <v>47</v>
      </c>
      <c r="AP75" s="1" t="s">
        <v>43</v>
      </c>
      <c r="AQ75" s="1" t="s">
        <v>43</v>
      </c>
      <c r="AR75" s="1" t="s">
        <v>43</v>
      </c>
      <c r="AS75" s="1" t="s">
        <v>43</v>
      </c>
      <c r="AT75" s="1" t="s">
        <v>43</v>
      </c>
      <c r="AU75" s="1" t="s">
        <v>43</v>
      </c>
      <c r="AV75" s="1" t="s">
        <v>43</v>
      </c>
      <c r="AW75" s="1" t="s">
        <v>43</v>
      </c>
      <c r="BA75" s="1" t="s">
        <v>27</v>
      </c>
      <c r="BB75" s="1" t="s">
        <v>22</v>
      </c>
      <c r="BC75" s="1" t="s">
        <v>8</v>
      </c>
      <c r="BD75" s="1" t="s">
        <v>8</v>
      </c>
      <c r="BE75" s="1" t="s">
        <v>22</v>
      </c>
      <c r="BF75" s="1" t="s">
        <v>22</v>
      </c>
      <c r="BG75" s="2">
        <v>9</v>
      </c>
      <c r="BH75" s="1">
        <v>6</v>
      </c>
      <c r="BI75" s="5">
        <v>6800</v>
      </c>
      <c r="BJ75" s="1" t="s">
        <v>22</v>
      </c>
      <c r="BL75" s="1" t="s">
        <v>22</v>
      </c>
      <c r="BM75" s="7" t="s">
        <v>21</v>
      </c>
      <c r="BN75" s="5"/>
      <c r="BO75" s="1" t="s">
        <v>30</v>
      </c>
      <c r="BP75" s="2">
        <v>16</v>
      </c>
      <c r="BQ75" s="1" t="s">
        <v>43</v>
      </c>
      <c r="BS75" s="1">
        <v>210</v>
      </c>
      <c r="BV75" s="1" t="s">
        <v>31</v>
      </c>
      <c r="BX75" s="1" t="s">
        <v>32</v>
      </c>
      <c r="BY75" s="1" t="s">
        <v>78</v>
      </c>
      <c r="BZ75" s="1">
        <v>0</v>
      </c>
      <c r="CA75" s="1">
        <v>24</v>
      </c>
      <c r="CB75" s="1" t="s">
        <v>34</v>
      </c>
      <c r="CC75" s="13">
        <v>2000000</v>
      </c>
      <c r="CD75" s="1" t="s">
        <v>8</v>
      </c>
    </row>
    <row r="76" spans="1:82" x14ac:dyDescent="0.2">
      <c r="A76" s="1" t="s">
        <v>228</v>
      </c>
      <c r="B76" s="1" t="s">
        <v>229</v>
      </c>
      <c r="C76" s="1" t="s">
        <v>16</v>
      </c>
      <c r="D76" s="1" t="s">
        <v>17</v>
      </c>
      <c r="E76" s="1" t="s">
        <v>169</v>
      </c>
      <c r="F76" s="1" t="s">
        <v>170</v>
      </c>
      <c r="G76" s="1">
        <v>6</v>
      </c>
      <c r="H76" s="1">
        <v>7</v>
      </c>
      <c r="I76" s="14" t="s">
        <v>43</v>
      </c>
      <c r="J76" s="14" t="s">
        <v>43</v>
      </c>
      <c r="L76" s="1">
        <v>17.600000000000001</v>
      </c>
      <c r="M76" s="1" t="s">
        <v>50</v>
      </c>
      <c r="N76" s="1">
        <v>3</v>
      </c>
      <c r="O76" s="1" t="s">
        <v>21</v>
      </c>
      <c r="P76" s="1" t="s">
        <v>22</v>
      </c>
      <c r="Q76" s="1" t="s">
        <v>21</v>
      </c>
      <c r="R76" s="1" t="s">
        <v>21</v>
      </c>
      <c r="S76" s="1" t="s">
        <v>22</v>
      </c>
      <c r="T76" s="1">
        <f>0.75+5.5</f>
        <v>6.25</v>
      </c>
      <c r="U76" s="1">
        <f t="shared" si="14"/>
        <v>3.5714285714285712E-2</v>
      </c>
      <c r="V76" s="1">
        <v>17500</v>
      </c>
      <c r="W76" s="1">
        <v>6.5</v>
      </c>
      <c r="X76" s="1">
        <f t="shared" si="13"/>
        <v>3.7142857142857144E-2</v>
      </c>
      <c r="Y76" s="1" t="s">
        <v>23</v>
      </c>
      <c r="Z76" s="1" t="s">
        <v>21</v>
      </c>
      <c r="AD76" s="1" t="s">
        <v>21</v>
      </c>
      <c r="AE76" s="1" t="s">
        <v>22</v>
      </c>
      <c r="AI76" s="1" t="s">
        <v>22</v>
      </c>
      <c r="AM76" s="4">
        <v>5.6</v>
      </c>
      <c r="AN76" s="1">
        <v>56.4</v>
      </c>
      <c r="AO76" s="13" t="s">
        <v>7</v>
      </c>
      <c r="AP76" s="1" t="s">
        <v>43</v>
      </c>
      <c r="AQ76" s="2">
        <v>506.25</v>
      </c>
      <c r="AR76" s="2" t="s">
        <v>44</v>
      </c>
      <c r="AU76" s="1">
        <v>60</v>
      </c>
      <c r="AV76" s="1">
        <v>93.3</v>
      </c>
      <c r="AW76" s="1">
        <v>91.35</v>
      </c>
      <c r="BA76" s="1" t="s">
        <v>103</v>
      </c>
      <c r="BB76" s="1" t="s">
        <v>22</v>
      </c>
      <c r="BC76" s="1" t="s">
        <v>8</v>
      </c>
      <c r="BD76" s="1" t="s">
        <v>8</v>
      </c>
      <c r="BE76" s="1" t="s">
        <v>22</v>
      </c>
      <c r="BF76" s="1" t="s">
        <v>22</v>
      </c>
      <c r="BG76" s="1">
        <v>11</v>
      </c>
      <c r="BH76" s="1">
        <v>6</v>
      </c>
      <c r="BI76" s="5">
        <v>22000</v>
      </c>
      <c r="BJ76" s="1" t="s">
        <v>22</v>
      </c>
      <c r="BL76" s="1" t="s">
        <v>22</v>
      </c>
      <c r="BM76" s="7" t="s">
        <v>21</v>
      </c>
      <c r="BN76" s="5">
        <v>33.444000000000003</v>
      </c>
      <c r="BO76" s="1" t="s">
        <v>30</v>
      </c>
      <c r="BP76" s="2">
        <v>16</v>
      </c>
      <c r="BQ76" s="1">
        <v>2</v>
      </c>
      <c r="BS76" s="1">
        <v>180</v>
      </c>
      <c r="BV76" s="1" t="s">
        <v>31</v>
      </c>
      <c r="BX76" s="1" t="s">
        <v>32</v>
      </c>
      <c r="BY76" s="1" t="s">
        <v>78</v>
      </c>
      <c r="BZ76" s="1">
        <v>0</v>
      </c>
      <c r="CB76" s="1" t="s">
        <v>34</v>
      </c>
      <c r="CD76" s="1" t="s">
        <v>8</v>
      </c>
    </row>
    <row r="77" spans="1:82" x14ac:dyDescent="0.2">
      <c r="A77" s="1" t="s">
        <v>230</v>
      </c>
      <c r="B77" s="1" t="s">
        <v>231</v>
      </c>
      <c r="C77" s="1" t="s">
        <v>16</v>
      </c>
      <c r="D77" s="1" t="s">
        <v>17</v>
      </c>
      <c r="E77" s="1" t="s">
        <v>232</v>
      </c>
      <c r="F77" s="1" t="s">
        <v>233</v>
      </c>
      <c r="G77" s="1">
        <v>56</v>
      </c>
      <c r="H77" s="1">
        <v>56</v>
      </c>
      <c r="I77" s="14">
        <v>19651</v>
      </c>
      <c r="J77" s="14">
        <v>3499</v>
      </c>
      <c r="L77" s="1">
        <v>30</v>
      </c>
      <c r="M77" s="1" t="s">
        <v>32</v>
      </c>
      <c r="N77" s="1">
        <v>5</v>
      </c>
      <c r="O77" s="1" t="s">
        <v>21</v>
      </c>
      <c r="P77" s="1" t="s">
        <v>21</v>
      </c>
      <c r="Q77" s="1" t="s">
        <v>21</v>
      </c>
      <c r="R77" s="1" t="s">
        <v>22</v>
      </c>
      <c r="S77" s="1" t="s">
        <v>21</v>
      </c>
      <c r="V77" s="1">
        <v>24</v>
      </c>
      <c r="W77" s="1">
        <v>1.9E-2</v>
      </c>
      <c r="X77" s="1">
        <f t="shared" si="13"/>
        <v>7.9166666666666663E-2</v>
      </c>
      <c r="Y77" s="1" t="s">
        <v>23</v>
      </c>
      <c r="Z77" s="1" t="s">
        <v>21</v>
      </c>
      <c r="AD77" s="1" t="s">
        <v>21</v>
      </c>
      <c r="AE77" s="1" t="s">
        <v>21</v>
      </c>
      <c r="AH77" s="1" t="s">
        <v>7</v>
      </c>
      <c r="AM77" s="1" t="s">
        <v>43</v>
      </c>
      <c r="AN77" s="1" t="s">
        <v>43</v>
      </c>
      <c r="AO77" s="1" t="s">
        <v>43</v>
      </c>
      <c r="AP77" s="1" t="s">
        <v>43</v>
      </c>
      <c r="AQ77" s="1" t="s">
        <v>43</v>
      </c>
      <c r="AR77" s="1" t="s">
        <v>43</v>
      </c>
      <c r="AS77" s="1" t="s">
        <v>43</v>
      </c>
      <c r="AT77" s="1" t="s">
        <v>43</v>
      </c>
      <c r="AU77" s="1" t="s">
        <v>43</v>
      </c>
      <c r="AV77" s="1" t="s">
        <v>43</v>
      </c>
      <c r="AW77" s="1" t="s">
        <v>43</v>
      </c>
      <c r="AX77" s="1">
        <v>170</v>
      </c>
      <c r="BA77" s="1" t="s">
        <v>27</v>
      </c>
      <c r="BB77" s="1" t="s">
        <v>22</v>
      </c>
      <c r="BC77" s="1" t="s">
        <v>28</v>
      </c>
      <c r="BD77" s="1" t="s">
        <v>8</v>
      </c>
      <c r="BE77" s="1" t="s">
        <v>37</v>
      </c>
      <c r="BG77" s="1">
        <v>12</v>
      </c>
      <c r="BH77" s="1">
        <v>4</v>
      </c>
      <c r="BI77" s="1">
        <v>23</v>
      </c>
      <c r="BJ77" s="1" t="s">
        <v>22</v>
      </c>
      <c r="BL77" s="1" t="s">
        <v>22</v>
      </c>
      <c r="BM77" s="1" t="s">
        <v>21</v>
      </c>
      <c r="BO77" s="1" t="s">
        <v>30</v>
      </c>
      <c r="BP77" s="1" t="s">
        <v>43</v>
      </c>
      <c r="BQ77" s="1" t="s">
        <v>43</v>
      </c>
      <c r="BS77" s="1">
        <v>91</v>
      </c>
      <c r="BV77" s="1" t="s">
        <v>31</v>
      </c>
      <c r="BX77" s="1" t="s">
        <v>158</v>
      </c>
      <c r="BZ77" s="1">
        <v>7</v>
      </c>
      <c r="CA77" s="1">
        <v>8</v>
      </c>
      <c r="CB77" s="1" t="s">
        <v>34</v>
      </c>
      <c r="CD77" s="1" t="s">
        <v>22</v>
      </c>
    </row>
    <row r="78" spans="1:82" x14ac:dyDescent="0.2">
      <c r="A78" s="1" t="s">
        <v>234</v>
      </c>
      <c r="B78" s="1" t="s">
        <v>235</v>
      </c>
      <c r="C78" s="1" t="s">
        <v>16</v>
      </c>
      <c r="D78" s="1" t="s">
        <v>17</v>
      </c>
      <c r="E78" s="1" t="s">
        <v>236</v>
      </c>
      <c r="F78" s="1" t="s">
        <v>237</v>
      </c>
      <c r="G78" s="1">
        <v>64</v>
      </c>
      <c r="H78" s="1">
        <v>64</v>
      </c>
      <c r="I78" s="14">
        <v>22044</v>
      </c>
      <c r="J78" s="14">
        <v>6929</v>
      </c>
      <c r="L78" s="1">
        <v>23</v>
      </c>
      <c r="M78" s="1" t="s">
        <v>50</v>
      </c>
      <c r="O78" s="1" t="s">
        <v>21</v>
      </c>
      <c r="P78" s="1" t="s">
        <v>21</v>
      </c>
      <c r="Q78" s="1" t="s">
        <v>22</v>
      </c>
      <c r="V78" s="1">
        <f>(4100+6580)/2</f>
        <v>5340</v>
      </c>
      <c r="Y78" s="1" t="s">
        <v>30</v>
      </c>
      <c r="Z78" s="1" t="s">
        <v>21</v>
      </c>
      <c r="AD78" s="1" t="s">
        <v>21</v>
      </c>
      <c r="AE78" s="1" t="s">
        <v>22</v>
      </c>
      <c r="AJ78" s="1">
        <v>8.15</v>
      </c>
      <c r="AK78" s="1">
        <f>AJ78*4.5</f>
        <v>36.675000000000004</v>
      </c>
      <c r="AM78" s="1">
        <v>9</v>
      </c>
      <c r="AN78" s="1">
        <v>68</v>
      </c>
      <c r="AO78" s="1" t="s">
        <v>43</v>
      </c>
      <c r="AP78" s="1" t="s">
        <v>43</v>
      </c>
      <c r="AQ78" s="1" t="s">
        <v>43</v>
      </c>
      <c r="AR78" s="1" t="s">
        <v>43</v>
      </c>
      <c r="AS78" s="1" t="s">
        <v>43</v>
      </c>
      <c r="AT78" s="1" t="s">
        <v>43</v>
      </c>
      <c r="AU78" s="1" t="s">
        <v>43</v>
      </c>
      <c r="AV78" s="1" t="s">
        <v>43</v>
      </c>
      <c r="AW78" s="1" t="s">
        <v>43</v>
      </c>
      <c r="BA78" s="1" t="s">
        <v>27</v>
      </c>
      <c r="BC78" s="1" t="s">
        <v>8</v>
      </c>
      <c r="BD78" s="1" t="s">
        <v>40</v>
      </c>
      <c r="BE78" s="1" t="s">
        <v>8</v>
      </c>
      <c r="BG78" s="1">
        <v>12</v>
      </c>
      <c r="BH78" s="1">
        <v>15</v>
      </c>
      <c r="BI78" s="1">
        <v>4760</v>
      </c>
      <c r="BJ78" s="1" t="s">
        <v>22</v>
      </c>
      <c r="BL78" s="1" t="s">
        <v>21</v>
      </c>
      <c r="BM78" s="1" t="s">
        <v>21</v>
      </c>
      <c r="BO78" s="1" t="s">
        <v>30</v>
      </c>
      <c r="BP78" s="1" t="s">
        <v>43</v>
      </c>
      <c r="BQ78" s="1" t="s">
        <v>43</v>
      </c>
      <c r="BS78" s="1">
        <v>120</v>
      </c>
      <c r="BV78" s="1" t="s">
        <v>238</v>
      </c>
      <c r="BX78" s="1" t="s">
        <v>158</v>
      </c>
      <c r="BY78" s="1" t="s">
        <v>135</v>
      </c>
      <c r="BZ78" s="1">
        <v>0</v>
      </c>
      <c r="CA78" s="1">
        <v>17</v>
      </c>
      <c r="CB78" s="1" t="s">
        <v>34</v>
      </c>
      <c r="CD78" s="1" t="s">
        <v>9</v>
      </c>
    </row>
    <row r="79" spans="1:82" x14ac:dyDescent="0.2">
      <c r="A79" s="1" t="s">
        <v>239</v>
      </c>
      <c r="B79" s="1" t="s">
        <v>240</v>
      </c>
      <c r="C79" s="1" t="s">
        <v>16</v>
      </c>
      <c r="D79" s="1" t="s">
        <v>17</v>
      </c>
      <c r="E79" s="1" t="s">
        <v>236</v>
      </c>
      <c r="F79" s="1" t="s">
        <v>241</v>
      </c>
      <c r="G79" s="1">
        <v>58</v>
      </c>
      <c r="H79" s="1">
        <v>58</v>
      </c>
      <c r="I79" s="14" t="s">
        <v>43</v>
      </c>
      <c r="J79" s="14" t="s">
        <v>43</v>
      </c>
      <c r="L79" s="1">
        <v>18.8</v>
      </c>
      <c r="M79" s="1" t="s">
        <v>50</v>
      </c>
      <c r="V79" s="1">
        <v>4850</v>
      </c>
      <c r="Y79" s="1" t="s">
        <v>30</v>
      </c>
      <c r="Z79" s="1" t="s">
        <v>21</v>
      </c>
      <c r="AD79" s="1" t="s">
        <v>21</v>
      </c>
      <c r="AE79" s="1" t="s">
        <v>22</v>
      </c>
      <c r="AM79" s="1">
        <v>13</v>
      </c>
      <c r="AN79" s="1">
        <v>77.599999999999994</v>
      </c>
      <c r="AO79" s="1" t="s">
        <v>50</v>
      </c>
      <c r="AP79" s="1" t="s">
        <v>43</v>
      </c>
      <c r="AQ79" s="2">
        <v>45</v>
      </c>
      <c r="AR79" s="2" t="s">
        <v>44</v>
      </c>
      <c r="AS79" s="1">
        <v>0.35299999999999998</v>
      </c>
      <c r="AT79" s="1">
        <f>AQ79*AS79</f>
        <v>15.885</v>
      </c>
      <c r="AU79" s="1">
        <v>61</v>
      </c>
      <c r="AV79" s="1">
        <v>86</v>
      </c>
      <c r="AW79" s="1">
        <v>55</v>
      </c>
      <c r="BA79" s="1" t="s">
        <v>27</v>
      </c>
      <c r="BB79" s="1" t="s">
        <v>22</v>
      </c>
      <c r="BC79" s="1" t="s">
        <v>8</v>
      </c>
      <c r="BD79" s="1" t="s">
        <v>40</v>
      </c>
      <c r="BE79" s="1" t="s">
        <v>8</v>
      </c>
      <c r="BG79" s="1">
        <v>9</v>
      </c>
      <c r="BH79" s="1">
        <v>9</v>
      </c>
      <c r="BI79" s="1">
        <v>4850</v>
      </c>
      <c r="BL79" s="1" t="s">
        <v>21</v>
      </c>
      <c r="BM79" s="1" t="s">
        <v>21</v>
      </c>
      <c r="BO79" s="1" t="s">
        <v>30</v>
      </c>
      <c r="BP79" s="1">
        <v>23.5</v>
      </c>
      <c r="BQ79" s="1" t="s">
        <v>43</v>
      </c>
      <c r="BS79" s="1">
        <v>68</v>
      </c>
      <c r="BX79" s="1" t="s">
        <v>105</v>
      </c>
      <c r="BY79" s="1" t="s">
        <v>135</v>
      </c>
      <c r="BZ79" s="1">
        <f>AVERAGE(22, 25)</f>
        <v>23.5</v>
      </c>
      <c r="CA79" s="1">
        <f>4.5*4</f>
        <v>18</v>
      </c>
      <c r="CB79" s="1" t="s">
        <v>34</v>
      </c>
    </row>
    <row r="80" spans="1:82" ht="17" x14ac:dyDescent="0.2">
      <c r="A80" s="1" t="s">
        <v>242</v>
      </c>
      <c r="B80" s="1" t="s">
        <v>243</v>
      </c>
      <c r="C80" s="1" t="s">
        <v>16</v>
      </c>
      <c r="D80" s="1" t="s">
        <v>17</v>
      </c>
      <c r="E80" s="7" t="s">
        <v>244</v>
      </c>
      <c r="F80" s="5" t="s">
        <v>245</v>
      </c>
      <c r="G80" s="5">
        <v>22</v>
      </c>
      <c r="H80" s="5">
        <v>22</v>
      </c>
      <c r="I80" s="14" t="s">
        <v>43</v>
      </c>
      <c r="J80" s="14" t="s">
        <v>43</v>
      </c>
      <c r="K80" s="5"/>
      <c r="L80" s="5">
        <v>6.5</v>
      </c>
      <c r="M80" s="1" t="s">
        <v>50</v>
      </c>
      <c r="N80" s="1">
        <v>2</v>
      </c>
      <c r="O80" s="1" t="s">
        <v>21</v>
      </c>
      <c r="P80" s="1" t="s">
        <v>21</v>
      </c>
      <c r="Q80" s="1" t="s">
        <v>22</v>
      </c>
      <c r="R80" s="1" t="s">
        <v>22</v>
      </c>
      <c r="S80" s="1" t="s">
        <v>22</v>
      </c>
      <c r="V80" s="1">
        <v>3000</v>
      </c>
      <c r="W80" s="1">
        <v>3</v>
      </c>
      <c r="X80" s="1">
        <f t="shared" ref="X80:X114" si="15">(W80/V80)*100</f>
        <v>0.1</v>
      </c>
      <c r="Y80" s="1" t="s">
        <v>23</v>
      </c>
      <c r="Z80" s="1" t="s">
        <v>21</v>
      </c>
      <c r="AD80" s="1" t="s">
        <v>21</v>
      </c>
      <c r="AE80" s="1" t="s">
        <v>22</v>
      </c>
      <c r="AM80" s="1" t="s">
        <v>43</v>
      </c>
      <c r="AN80" s="1" t="s">
        <v>43</v>
      </c>
      <c r="AO80" s="13" t="s">
        <v>50</v>
      </c>
      <c r="AP80" s="1" t="s">
        <v>43</v>
      </c>
      <c r="AQ80" s="1" t="s">
        <v>43</v>
      </c>
      <c r="AR80" s="1" t="s">
        <v>43</v>
      </c>
      <c r="AS80" s="1" t="s">
        <v>43</v>
      </c>
      <c r="AT80" s="1" t="s">
        <v>43</v>
      </c>
      <c r="AU80" s="1" t="s">
        <v>43</v>
      </c>
      <c r="AV80" s="1" t="s">
        <v>43</v>
      </c>
      <c r="AW80" s="1" t="s">
        <v>43</v>
      </c>
      <c r="AX80" s="1">
        <v>0.5</v>
      </c>
      <c r="BA80" s="1" t="s">
        <v>27</v>
      </c>
      <c r="BB80" s="1" t="s">
        <v>22</v>
      </c>
      <c r="BC80" s="1" t="s">
        <v>8</v>
      </c>
      <c r="BD80" s="1" t="s">
        <v>40</v>
      </c>
      <c r="BE80" s="1" t="s">
        <v>8</v>
      </c>
      <c r="BG80" s="1">
        <v>8</v>
      </c>
      <c r="BH80" s="1">
        <v>6</v>
      </c>
      <c r="BI80" s="1">
        <v>2000</v>
      </c>
      <c r="BJ80" s="1" t="s">
        <v>21</v>
      </c>
      <c r="BL80" s="1" t="s">
        <v>22</v>
      </c>
      <c r="BM80" s="1" t="s">
        <v>21</v>
      </c>
      <c r="BO80" s="1" t="s">
        <v>30</v>
      </c>
      <c r="BP80" s="1">
        <v>28</v>
      </c>
      <c r="BQ80" s="1">
        <v>1.5</v>
      </c>
      <c r="BS80" s="1">
        <v>13</v>
      </c>
      <c r="BV80" s="1" t="s">
        <v>246</v>
      </c>
      <c r="BX80" s="1" t="s">
        <v>158</v>
      </c>
      <c r="BY80" s="1" t="s">
        <v>247</v>
      </c>
      <c r="BZ80" s="1">
        <v>60</v>
      </c>
      <c r="CA80" s="1">
        <v>8.5</v>
      </c>
      <c r="CB80" s="1" t="s">
        <v>34</v>
      </c>
      <c r="CD80" s="1" t="s">
        <v>22</v>
      </c>
    </row>
    <row r="81" spans="1:82" x14ac:dyDescent="0.2">
      <c r="A81" s="1" t="s">
        <v>248</v>
      </c>
      <c r="B81" s="1" t="s">
        <v>249</v>
      </c>
      <c r="C81" s="1" t="s">
        <v>16</v>
      </c>
      <c r="D81" s="1" t="s">
        <v>17</v>
      </c>
      <c r="E81" s="1" t="s">
        <v>250</v>
      </c>
      <c r="F81" s="1" t="s">
        <v>251</v>
      </c>
      <c r="G81" s="1">
        <v>16</v>
      </c>
      <c r="H81" s="1">
        <v>16</v>
      </c>
      <c r="I81" s="14" t="s">
        <v>43</v>
      </c>
      <c r="J81" s="14" t="s">
        <v>43</v>
      </c>
      <c r="L81" s="1">
        <v>15</v>
      </c>
      <c r="M81" s="1" t="s">
        <v>20</v>
      </c>
      <c r="N81" s="1">
        <v>2</v>
      </c>
      <c r="O81" s="1" t="s">
        <v>21</v>
      </c>
      <c r="P81" s="1" t="s">
        <v>21</v>
      </c>
      <c r="Q81" s="1" t="s">
        <v>22</v>
      </c>
      <c r="R81" s="1" t="s">
        <v>22</v>
      </c>
      <c r="S81" s="1" t="s">
        <v>22</v>
      </c>
      <c r="T81" s="1">
        <v>80.72</v>
      </c>
      <c r="U81" s="1">
        <f t="shared" si="14"/>
        <v>1.1007272727272728</v>
      </c>
      <c r="V81" s="1">
        <f>AVERAGE(5850, 7050, 9100)</f>
        <v>7333.333333333333</v>
      </c>
      <c r="W81" s="1">
        <f>AVERAGE(32.9, 31)</f>
        <v>31.95</v>
      </c>
      <c r="X81" s="1">
        <f t="shared" si="15"/>
        <v>0.43568181818181823</v>
      </c>
      <c r="Y81" s="1" t="s">
        <v>23</v>
      </c>
      <c r="Z81" s="1" t="s">
        <v>21</v>
      </c>
      <c r="AA81" s="1">
        <v>6.6</v>
      </c>
      <c r="AB81" s="1">
        <f t="shared" ref="AB81:AB84" si="16">AA81/V81*100</f>
        <v>0.09</v>
      </c>
      <c r="AC81" s="1" t="s">
        <v>22</v>
      </c>
      <c r="AD81" s="1" t="s">
        <v>21</v>
      </c>
      <c r="AE81" s="1" t="s">
        <v>22</v>
      </c>
      <c r="AH81" s="1" t="s">
        <v>32</v>
      </c>
      <c r="AJ81" s="1">
        <v>16</v>
      </c>
      <c r="AK81" s="1">
        <f>AJ81*4.5</f>
        <v>72</v>
      </c>
      <c r="AL81" s="1">
        <v>13</v>
      </c>
      <c r="AM81" s="1">
        <v>6.67</v>
      </c>
      <c r="AN81" s="1">
        <v>106.4</v>
      </c>
      <c r="AO81" s="1" t="s">
        <v>50</v>
      </c>
      <c r="AP81" s="1">
        <v>4851</v>
      </c>
      <c r="AQ81" s="2">
        <f>AVERAGE(45.3, 62.2)</f>
        <v>53.75</v>
      </c>
      <c r="AR81" s="2" t="s">
        <v>44</v>
      </c>
      <c r="AS81" s="1">
        <v>8.9</v>
      </c>
      <c r="AT81" s="1">
        <f>AQ81*AS81</f>
        <v>478.375</v>
      </c>
      <c r="AU81" s="1">
        <v>91.5</v>
      </c>
      <c r="AV81" s="1" t="s">
        <v>43</v>
      </c>
      <c r="AW81" s="1" t="s">
        <v>43</v>
      </c>
      <c r="AX81" s="1">
        <v>1</v>
      </c>
      <c r="AY81" s="1">
        <f>(AVERAGE(7.3, 9.5))*60</f>
        <v>504</v>
      </c>
      <c r="AZ81" s="1" t="s">
        <v>21</v>
      </c>
      <c r="BA81" s="1" t="s">
        <v>27</v>
      </c>
      <c r="BC81" s="1" t="s">
        <v>28</v>
      </c>
      <c r="BD81" s="1" t="s">
        <v>8</v>
      </c>
      <c r="BE81" s="1" t="s">
        <v>8</v>
      </c>
      <c r="BF81" s="1" t="s">
        <v>21</v>
      </c>
      <c r="BG81" s="1">
        <v>19</v>
      </c>
      <c r="BH81" s="1">
        <f>39/4</f>
        <v>9.75</v>
      </c>
      <c r="BI81" s="1">
        <v>4500</v>
      </c>
      <c r="BJ81" s="1" t="s">
        <v>22</v>
      </c>
      <c r="BL81" s="1" t="s">
        <v>21</v>
      </c>
      <c r="BM81" s="1" t="s">
        <v>21</v>
      </c>
      <c r="BO81" s="1" t="s">
        <v>30</v>
      </c>
      <c r="BP81" s="1">
        <v>30.6</v>
      </c>
      <c r="BQ81" s="1">
        <v>1.5</v>
      </c>
      <c r="BS81" s="1">
        <v>26.5</v>
      </c>
      <c r="BV81" s="1" t="s">
        <v>246</v>
      </c>
      <c r="BZ81" s="1">
        <v>142</v>
      </c>
      <c r="CA81" s="1">
        <v>46</v>
      </c>
      <c r="CB81" s="1" t="s">
        <v>34</v>
      </c>
      <c r="CC81" s="13">
        <v>50000</v>
      </c>
      <c r="CD81" s="1" t="s">
        <v>8</v>
      </c>
    </row>
    <row r="82" spans="1:82" ht="17" x14ac:dyDescent="0.2">
      <c r="A82" s="1" t="s">
        <v>252</v>
      </c>
      <c r="B82" s="1" t="s">
        <v>253</v>
      </c>
      <c r="C82" s="1" t="s">
        <v>16</v>
      </c>
      <c r="D82" s="1" t="s">
        <v>17</v>
      </c>
      <c r="E82" s="7" t="s">
        <v>250</v>
      </c>
      <c r="F82" s="5" t="s">
        <v>254</v>
      </c>
      <c r="G82" s="5">
        <v>20</v>
      </c>
      <c r="H82" s="5">
        <v>20</v>
      </c>
      <c r="I82" s="14" t="s">
        <v>43</v>
      </c>
      <c r="J82" s="14" t="s">
        <v>43</v>
      </c>
      <c r="K82" s="5"/>
      <c r="L82" s="5">
        <v>14.7</v>
      </c>
      <c r="M82" s="1" t="s">
        <v>50</v>
      </c>
      <c r="N82" s="1">
        <v>2</v>
      </c>
      <c r="O82" s="1" t="s">
        <v>21</v>
      </c>
      <c r="P82" s="1" t="s">
        <v>21</v>
      </c>
      <c r="Q82" s="1" t="s">
        <v>22</v>
      </c>
      <c r="R82" s="1" t="s">
        <v>22</v>
      </c>
      <c r="S82" s="1" t="s">
        <v>22</v>
      </c>
      <c r="T82" s="1">
        <v>28.91</v>
      </c>
      <c r="U82" s="1">
        <f t="shared" si="14"/>
        <v>0.82599999999999996</v>
      </c>
      <c r="V82" s="1">
        <f>AVERAGE(3350, 3650, 3500)</f>
        <v>3500</v>
      </c>
      <c r="W82" s="1">
        <f>AVERAGE(2.5, 8.26)</f>
        <v>5.38</v>
      </c>
      <c r="X82" s="1">
        <f t="shared" si="15"/>
        <v>0.15371428571428572</v>
      </c>
      <c r="Z82" s="1" t="s">
        <v>84</v>
      </c>
      <c r="AC82" s="1" t="s">
        <v>22</v>
      </c>
      <c r="AD82" s="1" t="s">
        <v>21</v>
      </c>
      <c r="AE82" s="1" t="s">
        <v>22</v>
      </c>
      <c r="AJ82" s="1">
        <v>13.5</v>
      </c>
      <c r="AK82" s="1">
        <f>AJ82*4.5</f>
        <v>60.75</v>
      </c>
      <c r="AL82" s="1">
        <v>11</v>
      </c>
      <c r="AM82" s="1">
        <v>5.53</v>
      </c>
      <c r="AN82" s="7">
        <v>94.17</v>
      </c>
      <c r="AO82" s="1" t="s">
        <v>43</v>
      </c>
      <c r="AP82" s="1">
        <v>218.33</v>
      </c>
      <c r="AQ82" s="1" t="s">
        <v>43</v>
      </c>
      <c r="AR82" s="2" t="s">
        <v>44</v>
      </c>
      <c r="AS82" s="1" t="s">
        <v>43</v>
      </c>
      <c r="AT82" s="1" t="s">
        <v>43</v>
      </c>
      <c r="AU82" s="1" t="s">
        <v>43</v>
      </c>
      <c r="AV82" s="1" t="s">
        <v>43</v>
      </c>
      <c r="AW82" s="1" t="s">
        <v>43</v>
      </c>
      <c r="BA82" s="1" t="s">
        <v>27</v>
      </c>
      <c r="BB82" s="1" t="s">
        <v>22</v>
      </c>
      <c r="BC82" s="1" t="s">
        <v>8</v>
      </c>
      <c r="BD82" s="1" t="s">
        <v>8</v>
      </c>
      <c r="BE82" s="1" t="s">
        <v>255</v>
      </c>
      <c r="BG82" s="1">
        <v>24</v>
      </c>
      <c r="BH82" s="1">
        <v>12</v>
      </c>
      <c r="BI82" s="1">
        <v>3150</v>
      </c>
      <c r="BJ82" s="1" t="s">
        <v>22</v>
      </c>
      <c r="BL82" s="1" t="s">
        <v>22</v>
      </c>
      <c r="BM82" s="1" t="s">
        <v>21</v>
      </c>
      <c r="BO82" s="1" t="s">
        <v>30</v>
      </c>
      <c r="BP82" s="1">
        <f>AVERAGE(26, 28)</f>
        <v>27</v>
      </c>
      <c r="BQ82" s="1" t="s">
        <v>43</v>
      </c>
      <c r="BS82" s="1">
        <v>17.5</v>
      </c>
      <c r="BV82" s="1" t="s">
        <v>246</v>
      </c>
      <c r="BZ82" s="1">
        <v>60</v>
      </c>
      <c r="CA82" s="1">
        <v>28.5</v>
      </c>
      <c r="CB82" s="1" t="s">
        <v>34</v>
      </c>
      <c r="CD82" s="1" t="s">
        <v>8</v>
      </c>
    </row>
    <row r="83" spans="1:82" ht="34" x14ac:dyDescent="0.2">
      <c r="A83" s="1" t="s">
        <v>256</v>
      </c>
      <c r="B83" s="1" t="s">
        <v>257</v>
      </c>
      <c r="C83" s="1" t="s">
        <v>16</v>
      </c>
      <c r="D83" s="1" t="s">
        <v>17</v>
      </c>
      <c r="E83" s="5" t="s">
        <v>258</v>
      </c>
      <c r="F83" s="5" t="s">
        <v>259</v>
      </c>
      <c r="G83" s="5">
        <v>48</v>
      </c>
      <c r="H83" s="5">
        <v>48</v>
      </c>
      <c r="I83" s="14" t="s">
        <v>43</v>
      </c>
      <c r="J83" s="14" t="s">
        <v>43</v>
      </c>
      <c r="K83" s="5"/>
      <c r="L83" s="5">
        <v>10.7</v>
      </c>
      <c r="M83" s="5" t="s">
        <v>20</v>
      </c>
      <c r="P83" s="1" t="s">
        <v>21</v>
      </c>
      <c r="V83" s="1">
        <v>2950</v>
      </c>
      <c r="W83" s="1">
        <v>14.55</v>
      </c>
      <c r="X83" s="1">
        <f t="shared" si="15"/>
        <v>0.49322033898305084</v>
      </c>
      <c r="Y83" s="1" t="s">
        <v>23</v>
      </c>
      <c r="Z83" s="1" t="s">
        <v>21</v>
      </c>
      <c r="AD83" s="1" t="s">
        <v>21</v>
      </c>
      <c r="AE83" s="1" t="s">
        <v>22</v>
      </c>
      <c r="AM83" s="1">
        <v>8.1</v>
      </c>
      <c r="AN83" s="7">
        <v>57.58</v>
      </c>
      <c r="AO83" s="1" t="s">
        <v>43</v>
      </c>
      <c r="AP83" s="1">
        <v>1042</v>
      </c>
      <c r="AQ83" s="2">
        <v>248.13</v>
      </c>
      <c r="AR83" s="2" t="s">
        <v>44</v>
      </c>
      <c r="AS83" s="1">
        <v>0.5</v>
      </c>
      <c r="AT83" s="1">
        <f>AQ83*AS83</f>
        <v>124.065</v>
      </c>
      <c r="AU83" s="1">
        <v>92</v>
      </c>
      <c r="AV83" s="1">
        <v>88</v>
      </c>
      <c r="AW83" s="1">
        <v>92</v>
      </c>
      <c r="AX83" s="1">
        <v>30</v>
      </c>
      <c r="BA83" s="1" t="s">
        <v>75</v>
      </c>
      <c r="BB83" s="1" t="s">
        <v>21</v>
      </c>
      <c r="BC83" s="1" t="s">
        <v>28</v>
      </c>
      <c r="BD83" s="1" t="s">
        <v>40</v>
      </c>
      <c r="BE83" s="1" t="s">
        <v>255</v>
      </c>
      <c r="BG83" s="1">
        <v>3</v>
      </c>
      <c r="BH83" s="1">
        <v>4</v>
      </c>
      <c r="BI83" s="1">
        <v>3430</v>
      </c>
      <c r="BJ83" s="1" t="s">
        <v>21</v>
      </c>
      <c r="BL83" s="1" t="s">
        <v>22</v>
      </c>
      <c r="BM83" s="1" t="s">
        <v>21</v>
      </c>
      <c r="BO83" s="1" t="s">
        <v>30</v>
      </c>
      <c r="BP83" s="1" t="s">
        <v>43</v>
      </c>
      <c r="BQ83" s="1" t="s">
        <v>43</v>
      </c>
      <c r="BS83" s="1">
        <v>41.5</v>
      </c>
      <c r="BV83" s="1" t="s">
        <v>260</v>
      </c>
      <c r="BX83" s="1" t="s">
        <v>158</v>
      </c>
      <c r="BY83" s="1" t="s">
        <v>135</v>
      </c>
      <c r="BZ83" s="1">
        <v>0</v>
      </c>
      <c r="CA83" s="1">
        <v>14</v>
      </c>
      <c r="CB83" s="1" t="s">
        <v>34</v>
      </c>
      <c r="CD83" s="1" t="s">
        <v>22</v>
      </c>
    </row>
    <row r="84" spans="1:82" ht="34" x14ac:dyDescent="0.2">
      <c r="A84" s="1" t="s">
        <v>261</v>
      </c>
      <c r="B84" s="1" t="s">
        <v>262</v>
      </c>
      <c r="C84" s="1" t="s">
        <v>16</v>
      </c>
      <c r="D84" s="1" t="s">
        <v>17</v>
      </c>
      <c r="E84" s="5" t="s">
        <v>258</v>
      </c>
      <c r="F84" s="5" t="s">
        <v>259</v>
      </c>
      <c r="G84" s="5">
        <v>44</v>
      </c>
      <c r="H84" s="5">
        <v>44</v>
      </c>
      <c r="I84" s="14" t="s">
        <v>43</v>
      </c>
      <c r="J84" s="14" t="s">
        <v>43</v>
      </c>
      <c r="K84" s="5"/>
      <c r="L84" s="5">
        <v>7.9</v>
      </c>
      <c r="M84" s="5" t="s">
        <v>20</v>
      </c>
      <c r="N84" s="1">
        <v>4</v>
      </c>
      <c r="O84" s="1" t="s">
        <v>21</v>
      </c>
      <c r="P84" s="1" t="s">
        <v>21</v>
      </c>
      <c r="Q84" s="1" t="s">
        <v>21</v>
      </c>
      <c r="R84" s="1" t="s">
        <v>21</v>
      </c>
      <c r="S84" s="1" t="s">
        <v>22</v>
      </c>
      <c r="T84" s="1">
        <v>2.1800000000000002</v>
      </c>
      <c r="U84" s="1">
        <f t="shared" si="14"/>
        <v>8.3195522198193622E-2</v>
      </c>
      <c r="V84" s="5">
        <f>AVERAGE(2888, 2950, 2023)</f>
        <v>2620.3333333333335</v>
      </c>
      <c r="W84" s="1">
        <f>AVERAGE(6.06, 14.55, 2.035, 5.22)</f>
        <v>6.9662499999999996</v>
      </c>
      <c r="X84" s="1">
        <f t="shared" si="15"/>
        <v>0.26585358096934231</v>
      </c>
      <c r="Y84" s="1" t="s">
        <v>23</v>
      </c>
      <c r="Z84" s="1" t="s">
        <v>21</v>
      </c>
      <c r="AA84" s="1">
        <v>0.70799999999999996</v>
      </c>
      <c r="AB84" s="1">
        <f t="shared" si="16"/>
        <v>2.7019463172624346E-2</v>
      </c>
      <c r="AD84" s="1" t="s">
        <v>21</v>
      </c>
      <c r="AE84" s="1" t="s">
        <v>22</v>
      </c>
      <c r="AG84" s="1" t="s">
        <v>25</v>
      </c>
      <c r="AJ84" s="1">
        <v>10.7</v>
      </c>
      <c r="AK84" s="1">
        <f>AJ84*4.5</f>
        <v>48.15</v>
      </c>
      <c r="AL84" s="1">
        <f>AVERAGE(12.7, 9.65)</f>
        <v>11.175000000000001</v>
      </c>
      <c r="AM84" s="1">
        <v>6.7</v>
      </c>
      <c r="AN84" s="1">
        <v>49.1</v>
      </c>
      <c r="AO84" s="13" t="s">
        <v>7</v>
      </c>
      <c r="AP84" s="1">
        <f>AVERAGE(1600, 1286)</f>
        <v>1443</v>
      </c>
      <c r="AQ84" s="2">
        <f>AVERAGE(634, 561, 654)</f>
        <v>616.33333333333337</v>
      </c>
      <c r="AR84" s="2" t="s">
        <v>26</v>
      </c>
      <c r="AS84" s="1">
        <f>AVERAGE(0.46, 0.45, 0.52)</f>
        <v>0.47666666666666674</v>
      </c>
      <c r="AT84" s="1">
        <f>AQ84*AS84</f>
        <v>293.78555555555562</v>
      </c>
      <c r="AU84" s="1">
        <v>73</v>
      </c>
      <c r="AV84" s="1">
        <v>83</v>
      </c>
      <c r="AW84" s="1">
        <v>67</v>
      </c>
      <c r="AX84" s="1">
        <v>1.3</v>
      </c>
      <c r="BA84" s="1" t="s">
        <v>75</v>
      </c>
      <c r="BB84" s="1" t="s">
        <v>21</v>
      </c>
      <c r="BC84" s="1" t="s">
        <v>28</v>
      </c>
      <c r="BD84" s="1" t="s">
        <v>40</v>
      </c>
      <c r="BE84" s="1" t="s">
        <v>263</v>
      </c>
      <c r="BG84" s="1">
        <v>4</v>
      </c>
      <c r="BH84" s="1">
        <v>4</v>
      </c>
      <c r="BI84" s="5">
        <v>1540</v>
      </c>
      <c r="BJ84" s="1" t="s">
        <v>21</v>
      </c>
      <c r="BL84" s="1" t="s">
        <v>22</v>
      </c>
      <c r="BM84" s="1" t="s">
        <v>21</v>
      </c>
      <c r="BO84" s="1" t="s">
        <v>30</v>
      </c>
      <c r="BP84" s="1">
        <v>7</v>
      </c>
      <c r="BQ84" s="1" t="s">
        <v>43</v>
      </c>
      <c r="BS84" s="1">
        <v>31.5</v>
      </c>
      <c r="BV84" s="1" t="s">
        <v>260</v>
      </c>
      <c r="BX84" s="1" t="s">
        <v>158</v>
      </c>
      <c r="BY84" s="1" t="s">
        <v>135</v>
      </c>
      <c r="BZ84" s="1">
        <v>11</v>
      </c>
      <c r="CA84" s="1">
        <v>4.5</v>
      </c>
      <c r="CB84" s="1" t="s">
        <v>98</v>
      </c>
      <c r="CD84" s="1" t="s">
        <v>22</v>
      </c>
    </row>
    <row r="85" spans="1:82" ht="34" x14ac:dyDescent="0.2">
      <c r="A85" s="1" t="s">
        <v>264</v>
      </c>
      <c r="B85" s="1" t="s">
        <v>265</v>
      </c>
      <c r="C85" s="1" t="s">
        <v>16</v>
      </c>
      <c r="D85" s="1" t="s">
        <v>17</v>
      </c>
      <c r="E85" s="5" t="s">
        <v>258</v>
      </c>
      <c r="F85" s="5" t="s">
        <v>259</v>
      </c>
      <c r="G85" s="5">
        <v>42</v>
      </c>
      <c r="H85" s="5">
        <v>42</v>
      </c>
      <c r="I85" s="14" t="s">
        <v>43</v>
      </c>
      <c r="J85" s="14" t="s">
        <v>43</v>
      </c>
      <c r="K85" s="5"/>
      <c r="L85" s="5">
        <v>9</v>
      </c>
      <c r="M85" s="5" t="s">
        <v>20</v>
      </c>
      <c r="P85" s="1" t="s">
        <v>21</v>
      </c>
      <c r="V85" s="5">
        <v>1180</v>
      </c>
      <c r="Y85" s="1" t="s">
        <v>23</v>
      </c>
      <c r="Z85" s="1" t="s">
        <v>21</v>
      </c>
      <c r="AD85" s="1" t="s">
        <v>21</v>
      </c>
      <c r="AE85" s="1" t="s">
        <v>22</v>
      </c>
      <c r="AM85" s="1" t="s">
        <v>43</v>
      </c>
      <c r="AN85" s="1" t="s">
        <v>43</v>
      </c>
      <c r="AO85" s="1" t="s">
        <v>43</v>
      </c>
      <c r="AP85" s="1" t="s">
        <v>43</v>
      </c>
      <c r="AQ85" s="1" t="s">
        <v>43</v>
      </c>
      <c r="AR85" s="1" t="s">
        <v>43</v>
      </c>
      <c r="AS85" s="1" t="s">
        <v>43</v>
      </c>
      <c r="AT85" s="1" t="s">
        <v>43</v>
      </c>
      <c r="AU85" s="1" t="s">
        <v>43</v>
      </c>
      <c r="AV85" s="1" t="s">
        <v>43</v>
      </c>
      <c r="AW85" s="1" t="s">
        <v>43</v>
      </c>
      <c r="BA85" s="1" t="s">
        <v>27</v>
      </c>
      <c r="BB85" s="1" t="s">
        <v>21</v>
      </c>
      <c r="BC85" s="1" t="s">
        <v>28</v>
      </c>
      <c r="BD85" s="1" t="s">
        <v>40</v>
      </c>
      <c r="BE85" s="1" t="s">
        <v>37</v>
      </c>
      <c r="BG85" s="1">
        <v>2</v>
      </c>
      <c r="BI85" s="5">
        <v>1200</v>
      </c>
      <c r="BJ85" s="1" t="s">
        <v>21</v>
      </c>
      <c r="BL85" s="1" t="s">
        <v>22</v>
      </c>
      <c r="BM85" s="1" t="s">
        <v>21</v>
      </c>
      <c r="BO85" s="1" t="s">
        <v>30</v>
      </c>
      <c r="BP85" s="1" t="s">
        <v>43</v>
      </c>
      <c r="BQ85" s="1" t="s">
        <v>43</v>
      </c>
      <c r="BS85" s="1">
        <v>27</v>
      </c>
      <c r="BV85" s="1" t="s">
        <v>260</v>
      </c>
      <c r="BX85" s="1" t="s">
        <v>158</v>
      </c>
      <c r="BY85" s="1" t="s">
        <v>135</v>
      </c>
      <c r="BZ85" s="1">
        <v>7</v>
      </c>
      <c r="CA85" s="1">
        <v>3.5</v>
      </c>
      <c r="CB85" s="1" t="s">
        <v>34</v>
      </c>
      <c r="CD85" s="1" t="s">
        <v>22</v>
      </c>
    </row>
    <row r="86" spans="1:82" x14ac:dyDescent="0.2">
      <c r="A86" s="1" t="s">
        <v>266</v>
      </c>
      <c r="B86" s="1" t="s">
        <v>267</v>
      </c>
      <c r="C86" s="1" t="s">
        <v>16</v>
      </c>
      <c r="D86" s="1" t="s">
        <v>17</v>
      </c>
      <c r="E86" s="1" t="s">
        <v>268</v>
      </c>
      <c r="F86" s="1" t="s">
        <v>269</v>
      </c>
      <c r="G86" s="1">
        <v>52</v>
      </c>
      <c r="H86" s="1">
        <v>52</v>
      </c>
      <c r="I86" s="14">
        <v>18152</v>
      </c>
      <c r="J86" s="14">
        <v>11382</v>
      </c>
      <c r="L86" s="1">
        <v>17</v>
      </c>
      <c r="M86" s="1" t="s">
        <v>32</v>
      </c>
      <c r="N86" s="1">
        <v>2</v>
      </c>
      <c r="O86" s="1" t="s">
        <v>21</v>
      </c>
      <c r="P86" s="1" t="s">
        <v>21</v>
      </c>
      <c r="Q86" s="1" t="s">
        <v>22</v>
      </c>
      <c r="R86" s="1" t="s">
        <v>22</v>
      </c>
      <c r="S86" s="1" t="s">
        <v>22</v>
      </c>
      <c r="V86" s="1">
        <v>2400</v>
      </c>
      <c r="W86" s="1">
        <v>22.15</v>
      </c>
      <c r="X86" s="1">
        <f t="shared" si="15"/>
        <v>0.92291666666666672</v>
      </c>
      <c r="Y86" s="1" t="s">
        <v>30</v>
      </c>
      <c r="Z86" s="1" t="s">
        <v>21</v>
      </c>
      <c r="AC86" s="1" t="s">
        <v>22</v>
      </c>
      <c r="AD86" s="1" t="s">
        <v>21</v>
      </c>
      <c r="AE86" s="1" t="s">
        <v>22</v>
      </c>
      <c r="AF86" s="1" t="s">
        <v>40</v>
      </c>
      <c r="AM86" s="1">
        <f>AVERAGE(43, 40)</f>
        <v>41.5</v>
      </c>
      <c r="AN86" s="1">
        <f>AVERAGE(112, 100)</f>
        <v>106</v>
      </c>
      <c r="AO86" s="1" t="s">
        <v>25</v>
      </c>
      <c r="AP86" s="1" t="s">
        <v>43</v>
      </c>
      <c r="AQ86" s="1" t="s">
        <v>43</v>
      </c>
      <c r="AR86" s="1" t="s">
        <v>43</v>
      </c>
      <c r="AS86" s="1" t="s">
        <v>43</v>
      </c>
      <c r="AT86" s="1" t="s">
        <v>43</v>
      </c>
      <c r="AU86" s="1" t="s">
        <v>43</v>
      </c>
      <c r="AV86" s="1" t="s">
        <v>43</v>
      </c>
      <c r="AW86" s="1" t="s">
        <v>43</v>
      </c>
      <c r="BA86" s="1" t="s">
        <v>27</v>
      </c>
      <c r="BC86" s="1" t="s">
        <v>8</v>
      </c>
      <c r="BD86" s="1" t="s">
        <v>40</v>
      </c>
      <c r="BE86" s="1" t="s">
        <v>37</v>
      </c>
      <c r="BG86" s="1">
        <v>24</v>
      </c>
      <c r="BH86" s="1">
        <v>24</v>
      </c>
      <c r="BI86" s="1">
        <v>1300</v>
      </c>
      <c r="BJ86" s="1" t="s">
        <v>21</v>
      </c>
      <c r="BL86" s="1" t="s">
        <v>22</v>
      </c>
      <c r="BM86" s="1" t="s">
        <v>21</v>
      </c>
      <c r="BO86" s="1" t="s">
        <v>30</v>
      </c>
      <c r="BP86" s="1">
        <v>41</v>
      </c>
      <c r="BQ86" s="1">
        <v>29.6</v>
      </c>
      <c r="BS86" s="1">
        <f>AVERAGE(21, 9, 15, 20)</f>
        <v>16.25</v>
      </c>
      <c r="BV86" s="1" t="s">
        <v>260</v>
      </c>
      <c r="BY86" s="1" t="s">
        <v>270</v>
      </c>
      <c r="BZ86" s="1">
        <v>77</v>
      </c>
      <c r="CA86" s="1">
        <f>AVERAGE(131, 136)/7</f>
        <v>19.071428571428573</v>
      </c>
      <c r="CB86" s="1" t="s">
        <v>53</v>
      </c>
      <c r="CC86" s="13">
        <v>50000</v>
      </c>
      <c r="CD86" s="1" t="s">
        <v>8</v>
      </c>
    </row>
    <row r="87" spans="1:82" x14ac:dyDescent="0.2">
      <c r="A87" s="1" t="s">
        <v>271</v>
      </c>
      <c r="B87" s="1" t="s">
        <v>272</v>
      </c>
      <c r="C87" s="1" t="s">
        <v>16</v>
      </c>
      <c r="D87" s="1" t="s">
        <v>17</v>
      </c>
      <c r="E87" s="1" t="s">
        <v>268</v>
      </c>
      <c r="F87" s="1" t="s">
        <v>273</v>
      </c>
      <c r="G87" s="1">
        <v>64</v>
      </c>
      <c r="H87" s="1">
        <v>63</v>
      </c>
      <c r="I87" s="14">
        <v>18929</v>
      </c>
      <c r="J87" s="14">
        <v>10055</v>
      </c>
      <c r="L87" s="1">
        <v>50</v>
      </c>
      <c r="M87" s="1" t="s">
        <v>30</v>
      </c>
      <c r="N87" s="1">
        <v>2</v>
      </c>
      <c r="O87" s="1" t="s">
        <v>21</v>
      </c>
      <c r="P87" s="1" t="s">
        <v>21</v>
      </c>
      <c r="Q87" s="1" t="s">
        <v>22</v>
      </c>
      <c r="R87" s="1" t="s">
        <v>22</v>
      </c>
      <c r="S87" s="1" t="s">
        <v>22</v>
      </c>
      <c r="V87" s="1">
        <f>AVERAGE(2900, 4500)</f>
        <v>3700</v>
      </c>
      <c r="W87" s="1">
        <v>9.19</v>
      </c>
      <c r="X87" s="1">
        <f t="shared" si="15"/>
        <v>0.24837837837837837</v>
      </c>
      <c r="Y87" s="1" t="s">
        <v>30</v>
      </c>
      <c r="Z87" s="1" t="s">
        <v>21</v>
      </c>
      <c r="AC87" s="1" t="s">
        <v>22</v>
      </c>
      <c r="AD87" s="1" t="s">
        <v>21</v>
      </c>
      <c r="AE87" s="1" t="s">
        <v>22</v>
      </c>
      <c r="AF87" s="1" t="s">
        <v>40</v>
      </c>
      <c r="AG87" s="1" t="s">
        <v>50</v>
      </c>
      <c r="AJ87" s="1">
        <v>13.8</v>
      </c>
      <c r="AK87" s="1">
        <f>AJ87*4.5</f>
        <v>62.1</v>
      </c>
      <c r="AL87" s="1">
        <f>9.9+4.2</f>
        <v>14.100000000000001</v>
      </c>
      <c r="AM87" s="1">
        <f>AVERAGE(50.4, 50)</f>
        <v>50.2</v>
      </c>
      <c r="AN87" s="1">
        <f>AVERAGE(121, 123, 120)</f>
        <v>121.33333333333333</v>
      </c>
      <c r="AO87" s="13" t="s">
        <v>25</v>
      </c>
      <c r="AP87" s="1" t="s">
        <v>43</v>
      </c>
      <c r="AQ87" s="2">
        <v>4750</v>
      </c>
      <c r="AR87" s="1" t="s">
        <v>43</v>
      </c>
      <c r="AS87" s="1" t="s">
        <v>43</v>
      </c>
      <c r="AT87" s="1" t="s">
        <v>43</v>
      </c>
      <c r="AU87" s="1" t="s">
        <v>43</v>
      </c>
      <c r="AV87" s="1" t="s">
        <v>43</v>
      </c>
      <c r="AW87" s="1" t="s">
        <v>43</v>
      </c>
      <c r="AY87" s="1">
        <v>6300</v>
      </c>
      <c r="AZ87" s="1" t="s">
        <v>22</v>
      </c>
      <c r="BA87" s="1" t="s">
        <v>27</v>
      </c>
      <c r="BB87" s="1" t="s">
        <v>22</v>
      </c>
      <c r="BC87" s="1" t="s">
        <v>8</v>
      </c>
      <c r="BD87" s="1" t="s">
        <v>8</v>
      </c>
      <c r="BE87" s="1" t="s">
        <v>37</v>
      </c>
      <c r="BH87" s="1">
        <f>3*12</f>
        <v>36</v>
      </c>
      <c r="BI87" s="1">
        <v>4500</v>
      </c>
      <c r="BL87" s="1" t="s">
        <v>21</v>
      </c>
      <c r="BM87" s="1" t="s">
        <v>21</v>
      </c>
      <c r="BO87" s="1" t="s">
        <v>30</v>
      </c>
      <c r="BP87" s="1">
        <f>AVERAGE(9, 27, 18, 28)</f>
        <v>20.5</v>
      </c>
      <c r="BQ87" s="1" t="s">
        <v>43</v>
      </c>
      <c r="BS87" s="1">
        <f>(22+24)/2</f>
        <v>23</v>
      </c>
      <c r="BV87" s="1" t="s">
        <v>260</v>
      </c>
      <c r="BY87" s="1" t="s">
        <v>270</v>
      </c>
      <c r="CA87" s="1">
        <f>AVERAGE(180, 205)/7</f>
        <v>27.5</v>
      </c>
      <c r="CB87" s="1" t="s">
        <v>34</v>
      </c>
      <c r="CD87" s="1" t="s">
        <v>8</v>
      </c>
    </row>
    <row r="88" spans="1:82" ht="17" x14ac:dyDescent="0.2">
      <c r="A88" s="1" t="s">
        <v>274</v>
      </c>
      <c r="B88" s="1" t="s">
        <v>275</v>
      </c>
      <c r="C88" s="1" t="s">
        <v>16</v>
      </c>
      <c r="D88" s="1" t="s">
        <v>17</v>
      </c>
      <c r="E88" s="1" t="s">
        <v>276</v>
      </c>
      <c r="F88" s="1" t="s">
        <v>277</v>
      </c>
      <c r="G88" s="1">
        <v>64</v>
      </c>
      <c r="H88" s="1">
        <v>64</v>
      </c>
      <c r="I88" s="14">
        <v>21129</v>
      </c>
      <c r="J88" s="14">
        <v>8893</v>
      </c>
      <c r="L88" s="1">
        <f>AVERAGE(25, 30)</f>
        <v>27.5</v>
      </c>
      <c r="M88" s="5" t="s">
        <v>20</v>
      </c>
      <c r="N88" s="1">
        <v>4</v>
      </c>
      <c r="O88" s="1" t="s">
        <v>21</v>
      </c>
      <c r="P88" s="1" t="s">
        <v>21</v>
      </c>
      <c r="Q88" s="1" t="s">
        <v>21</v>
      </c>
      <c r="R88" s="1" t="s">
        <v>21</v>
      </c>
      <c r="S88" s="1" t="s">
        <v>22</v>
      </c>
      <c r="T88" s="1">
        <f>104.28+89.46</f>
        <v>193.74</v>
      </c>
      <c r="U88" s="1">
        <f t="shared" si="14"/>
        <v>3.8825651302605207E-2</v>
      </c>
      <c r="V88" s="5">
        <f>AVERAGE(530000, 468000)</f>
        <v>499000</v>
      </c>
      <c r="W88" s="1">
        <v>416</v>
      </c>
      <c r="X88" s="1">
        <f t="shared" si="15"/>
        <v>8.3366733466933865E-2</v>
      </c>
      <c r="Y88" s="1" t="s">
        <v>23</v>
      </c>
      <c r="Z88" s="1" t="s">
        <v>21</v>
      </c>
      <c r="AD88" s="1" t="s">
        <v>21</v>
      </c>
      <c r="AE88" s="1" t="s">
        <v>22</v>
      </c>
      <c r="AF88" s="1" t="s">
        <v>40</v>
      </c>
      <c r="AG88" s="1" t="s">
        <v>65</v>
      </c>
      <c r="AI88" s="1" t="s">
        <v>21</v>
      </c>
      <c r="AJ88" s="1">
        <v>12.2</v>
      </c>
      <c r="AK88" s="1">
        <f>AJ88*4.5</f>
        <v>54.9</v>
      </c>
      <c r="AL88" s="1">
        <f>AVERAGE(13.9, 9.35)</f>
        <v>11.625</v>
      </c>
      <c r="AM88" s="1">
        <v>5</v>
      </c>
      <c r="AN88" s="1">
        <v>48.7</v>
      </c>
      <c r="AO88" s="13" t="s">
        <v>50</v>
      </c>
      <c r="AP88" s="1">
        <f>AVERAGE(50000, 59487.67)</f>
        <v>54743.834999999999</v>
      </c>
      <c r="AQ88" s="2">
        <f>AVERAGE(323.1, 305.2, 293.8, 270)</f>
        <v>298.02499999999998</v>
      </c>
      <c r="AR88" s="2" t="s">
        <v>26</v>
      </c>
      <c r="AS88" s="1">
        <f>AVERAGE(36.3, 33.9, 36.8, 41.2)</f>
        <v>37.049999999999997</v>
      </c>
      <c r="AT88" s="1">
        <f>AQ88*AS88</f>
        <v>11041.826249999998</v>
      </c>
      <c r="AU88" s="1">
        <f>AVERAGE(74.1, 70.2, 72, 75.9)</f>
        <v>73.050000000000011</v>
      </c>
      <c r="AV88" s="1">
        <f>AVERAGE(29.4, 28.9, 29.9, 26.1, 61)</f>
        <v>35.059999999999995</v>
      </c>
      <c r="AW88" s="1">
        <f>AVERAGE(58.9, 58.3, 58.1, 55, 84)</f>
        <v>62.859999999999992</v>
      </c>
      <c r="AX88" s="1">
        <v>6</v>
      </c>
      <c r="BA88" s="1" t="s">
        <v>27</v>
      </c>
      <c r="BB88" s="1" t="s">
        <v>22</v>
      </c>
      <c r="BC88" s="1" t="s">
        <v>28</v>
      </c>
      <c r="BD88" s="1" t="s">
        <v>8</v>
      </c>
      <c r="BE88" s="1" t="s">
        <v>8</v>
      </c>
      <c r="BF88" s="1" t="s">
        <v>22</v>
      </c>
      <c r="BG88" s="1">
        <v>14</v>
      </c>
      <c r="BH88" s="1">
        <v>12</v>
      </c>
      <c r="BI88" s="5">
        <v>320000</v>
      </c>
      <c r="BJ88" s="1" t="s">
        <v>22</v>
      </c>
      <c r="BL88" s="1" t="s">
        <v>22</v>
      </c>
      <c r="BM88" s="1" t="s">
        <v>21</v>
      </c>
      <c r="BO88" s="1" t="s">
        <v>30</v>
      </c>
      <c r="BP88" s="1">
        <v>22</v>
      </c>
      <c r="BQ88" s="1">
        <v>6</v>
      </c>
      <c r="BS88" s="1">
        <v>349</v>
      </c>
      <c r="BV88" s="1" t="s">
        <v>31</v>
      </c>
      <c r="BX88" s="1" t="s">
        <v>77</v>
      </c>
      <c r="BY88" s="1" t="s">
        <v>78</v>
      </c>
      <c r="BZ88" s="1">
        <v>0</v>
      </c>
      <c r="CA88" s="1">
        <v>24</v>
      </c>
      <c r="CB88" s="1" t="s">
        <v>34</v>
      </c>
      <c r="CC88" s="13">
        <v>58000000</v>
      </c>
      <c r="CD88" s="1" t="s">
        <v>9</v>
      </c>
    </row>
    <row r="89" spans="1:82" ht="17" x14ac:dyDescent="0.2">
      <c r="A89" s="1" t="s">
        <v>278</v>
      </c>
      <c r="B89" s="1" t="s">
        <v>279</v>
      </c>
      <c r="C89" s="1" t="s">
        <v>16</v>
      </c>
      <c r="D89" s="1" t="s">
        <v>17</v>
      </c>
      <c r="E89" s="1" t="s">
        <v>276</v>
      </c>
      <c r="F89" s="1" t="s">
        <v>277</v>
      </c>
      <c r="G89" s="1">
        <v>62</v>
      </c>
      <c r="H89" s="1">
        <v>62</v>
      </c>
      <c r="I89" s="14">
        <v>20673</v>
      </c>
      <c r="J89" s="14">
        <v>3997</v>
      </c>
      <c r="L89" s="1">
        <f>AVERAGE(25, 30)</f>
        <v>27.5</v>
      </c>
      <c r="M89" s="5" t="s">
        <v>20</v>
      </c>
      <c r="N89" s="1">
        <v>4</v>
      </c>
      <c r="O89" s="1" t="s">
        <v>21</v>
      </c>
      <c r="P89" s="1" t="s">
        <v>21</v>
      </c>
      <c r="Q89" s="1" t="s">
        <v>21</v>
      </c>
      <c r="R89" s="1" t="s">
        <v>21</v>
      </c>
      <c r="S89" s="1" t="s">
        <v>22</v>
      </c>
      <c r="V89" s="5">
        <f>(262000+290000)/2</f>
        <v>276000</v>
      </c>
      <c r="W89" s="5">
        <f>(392+202.34)/2</f>
        <v>297.17</v>
      </c>
      <c r="X89" s="1">
        <f t="shared" si="15"/>
        <v>0.10767028985507246</v>
      </c>
      <c r="Y89" s="1" t="s">
        <v>23</v>
      </c>
      <c r="Z89" s="1" t="s">
        <v>21</v>
      </c>
      <c r="AD89" s="1" t="s">
        <v>21</v>
      </c>
      <c r="AE89" s="1" t="s">
        <v>22</v>
      </c>
      <c r="AF89" s="1" t="s">
        <v>40</v>
      </c>
      <c r="AG89" s="1" t="s">
        <v>65</v>
      </c>
      <c r="AI89" s="1" t="s">
        <v>21</v>
      </c>
      <c r="AJ89" s="1">
        <v>10.5</v>
      </c>
      <c r="AK89" s="1">
        <f>AJ89*4.5</f>
        <v>47.25</v>
      </c>
      <c r="AM89" s="1">
        <v>6</v>
      </c>
      <c r="AN89" s="1">
        <v>53</v>
      </c>
      <c r="AO89" s="13" t="s">
        <v>50</v>
      </c>
      <c r="AP89" s="1">
        <v>60935</v>
      </c>
      <c r="AQ89" s="2">
        <v>337.8</v>
      </c>
      <c r="AR89" s="2" t="s">
        <v>26</v>
      </c>
      <c r="AS89" s="1">
        <v>67.5</v>
      </c>
      <c r="AT89" s="1">
        <f>AQ89*AS89</f>
        <v>22801.5</v>
      </c>
      <c r="AU89" s="1">
        <f>AVERAGE(91.7, 81)</f>
        <v>86.35</v>
      </c>
      <c r="AV89" s="1">
        <f>AVERAGE(83.6, 80)</f>
        <v>81.8</v>
      </c>
      <c r="AW89" s="1">
        <v>84</v>
      </c>
      <c r="BA89" s="1" t="s">
        <v>27</v>
      </c>
      <c r="BB89" s="1" t="s">
        <v>22</v>
      </c>
      <c r="BC89" s="1" t="s">
        <v>28</v>
      </c>
      <c r="BD89" s="1" t="s">
        <v>8</v>
      </c>
      <c r="BE89" s="1" t="s">
        <v>22</v>
      </c>
      <c r="BF89" s="1" t="s">
        <v>22</v>
      </c>
      <c r="BG89" s="1">
        <v>19</v>
      </c>
      <c r="BH89" s="1">
        <v>12</v>
      </c>
      <c r="BI89" s="5">
        <v>220000</v>
      </c>
      <c r="BJ89" s="1" t="s">
        <v>22</v>
      </c>
      <c r="BL89" s="1" t="s">
        <v>22</v>
      </c>
      <c r="BM89" s="1" t="s">
        <v>21</v>
      </c>
      <c r="BO89" s="1" t="s">
        <v>30</v>
      </c>
      <c r="BP89" s="1">
        <v>24</v>
      </c>
      <c r="BQ89" s="1">
        <v>6.3</v>
      </c>
      <c r="BR89" s="1">
        <f>16*12</f>
        <v>192</v>
      </c>
      <c r="BS89" s="1">
        <v>380</v>
      </c>
      <c r="BV89" s="1" t="s">
        <v>31</v>
      </c>
      <c r="BX89" s="1" t="s">
        <v>77</v>
      </c>
      <c r="BY89" s="1" t="s">
        <v>78</v>
      </c>
      <c r="BZ89" s="1">
        <v>0</v>
      </c>
      <c r="CA89" s="1">
        <v>28</v>
      </c>
      <c r="CB89" s="1" t="s">
        <v>34</v>
      </c>
      <c r="CC89" s="13">
        <v>44000000</v>
      </c>
      <c r="CD89" s="1" t="s">
        <v>9</v>
      </c>
    </row>
    <row r="90" spans="1:82" ht="17" x14ac:dyDescent="0.2">
      <c r="A90" s="1" t="s">
        <v>280</v>
      </c>
      <c r="B90" s="1" t="s">
        <v>281</v>
      </c>
      <c r="C90" s="1" t="s">
        <v>16</v>
      </c>
      <c r="D90" s="1" t="s">
        <v>17</v>
      </c>
      <c r="E90" s="1" t="s">
        <v>276</v>
      </c>
      <c r="F90" s="1" t="s">
        <v>282</v>
      </c>
      <c r="G90" s="1">
        <v>81</v>
      </c>
      <c r="H90" s="1">
        <v>81</v>
      </c>
      <c r="I90" s="14">
        <v>44570</v>
      </c>
      <c r="J90" s="14">
        <v>5658</v>
      </c>
      <c r="L90" s="1">
        <v>30</v>
      </c>
      <c r="M90" s="5" t="s">
        <v>20</v>
      </c>
      <c r="N90" s="1">
        <v>3</v>
      </c>
      <c r="O90" s="1" t="s">
        <v>21</v>
      </c>
      <c r="P90" s="1" t="s">
        <v>21</v>
      </c>
      <c r="Q90" s="1" t="s">
        <v>21</v>
      </c>
      <c r="R90" s="1" t="s">
        <v>22</v>
      </c>
      <c r="S90" s="1" t="s">
        <v>22</v>
      </c>
      <c r="V90" s="1">
        <v>2140000</v>
      </c>
      <c r="Z90" s="1" t="s">
        <v>21</v>
      </c>
      <c r="AD90" s="1" t="s">
        <v>21</v>
      </c>
      <c r="AE90" s="1" t="s">
        <v>22</v>
      </c>
      <c r="AM90" s="1">
        <v>5</v>
      </c>
      <c r="AN90" s="1">
        <v>47.9</v>
      </c>
      <c r="AO90" s="13" t="s">
        <v>50</v>
      </c>
      <c r="AP90" s="1" t="s">
        <v>43</v>
      </c>
      <c r="AQ90" s="2">
        <f>AVERAGE(75.8, 40.8, 18.9)</f>
        <v>45.166666666666664</v>
      </c>
      <c r="AR90" s="2" t="s">
        <v>44</v>
      </c>
      <c r="AS90" s="1">
        <f>AVERAGE(67.4, 55.5, 116.5)</f>
        <v>79.8</v>
      </c>
      <c r="AT90" s="1">
        <f>AQ90*AS90</f>
        <v>3604.2999999999997</v>
      </c>
      <c r="AU90" s="1">
        <v>83</v>
      </c>
      <c r="AV90" s="1">
        <v>53</v>
      </c>
      <c r="AW90" s="1">
        <v>59</v>
      </c>
      <c r="AY90" s="1">
        <f>(AVERAGE(15,30))*60</f>
        <v>1350</v>
      </c>
      <c r="AZ90" s="1" t="s">
        <v>21</v>
      </c>
      <c r="BA90" s="1" t="s">
        <v>75</v>
      </c>
      <c r="BB90" s="1" t="s">
        <v>22</v>
      </c>
      <c r="BC90" s="1" t="s">
        <v>8</v>
      </c>
      <c r="BD90" s="1" t="s">
        <v>8</v>
      </c>
      <c r="BE90" s="1" t="s">
        <v>22</v>
      </c>
      <c r="BG90" s="1">
        <v>36</v>
      </c>
      <c r="BH90" s="1">
        <v>32</v>
      </c>
      <c r="BI90" s="1">
        <v>1900000</v>
      </c>
      <c r="BJ90" s="1" t="s">
        <v>22</v>
      </c>
      <c r="BL90" s="1" t="s">
        <v>22</v>
      </c>
      <c r="BM90" s="1" t="s">
        <v>21</v>
      </c>
      <c r="BO90" s="1" t="s">
        <v>30</v>
      </c>
      <c r="BP90" s="1">
        <v>35.4</v>
      </c>
      <c r="BQ90" s="1">
        <v>1</v>
      </c>
      <c r="BR90" s="1">
        <f>41.5*12</f>
        <v>498</v>
      </c>
      <c r="BS90" s="1">
        <v>540</v>
      </c>
      <c r="BV90" s="1" t="s">
        <v>31</v>
      </c>
      <c r="BX90" s="1" t="s">
        <v>77</v>
      </c>
      <c r="BY90" s="1" t="s">
        <v>78</v>
      </c>
      <c r="BZ90" s="1">
        <v>0</v>
      </c>
      <c r="CA90" s="1">
        <f>AVERAGE(72, 52)</f>
        <v>62</v>
      </c>
      <c r="CB90" s="1" t="s">
        <v>53</v>
      </c>
      <c r="CC90" s="13">
        <v>10080</v>
      </c>
      <c r="CD90" s="1" t="s">
        <v>8</v>
      </c>
    </row>
    <row r="91" spans="1:82" ht="17" x14ac:dyDescent="0.2">
      <c r="A91" s="1" t="s">
        <v>283</v>
      </c>
      <c r="B91" s="1" t="s">
        <v>284</v>
      </c>
      <c r="C91" s="1" t="s">
        <v>16</v>
      </c>
      <c r="D91" s="1" t="s">
        <v>17</v>
      </c>
      <c r="E91" s="7" t="s">
        <v>276</v>
      </c>
      <c r="F91" s="5" t="s">
        <v>285</v>
      </c>
      <c r="G91" s="5">
        <v>80</v>
      </c>
      <c r="H91" s="5">
        <v>80</v>
      </c>
      <c r="I91" s="19" t="s">
        <v>43</v>
      </c>
      <c r="J91" s="19" t="s">
        <v>43</v>
      </c>
      <c r="K91" s="5"/>
      <c r="L91" s="5">
        <v>29.6</v>
      </c>
      <c r="M91" s="5" t="s">
        <v>20</v>
      </c>
      <c r="N91" s="1">
        <v>3</v>
      </c>
      <c r="O91" s="1" t="s">
        <v>21</v>
      </c>
      <c r="P91" s="1" t="s">
        <v>21</v>
      </c>
      <c r="Q91" s="1" t="s">
        <v>21</v>
      </c>
      <c r="R91" s="1" t="s">
        <v>22</v>
      </c>
      <c r="S91" s="1" t="s">
        <v>22</v>
      </c>
      <c r="V91" s="1">
        <v>290000</v>
      </c>
      <c r="W91" s="1">
        <v>28.37</v>
      </c>
      <c r="X91" s="1">
        <f t="shared" si="15"/>
        <v>9.782758620689655E-3</v>
      </c>
      <c r="Z91" s="1" t="s">
        <v>21</v>
      </c>
      <c r="AD91" s="1" t="s">
        <v>21</v>
      </c>
      <c r="AE91" s="1" t="s">
        <v>22</v>
      </c>
      <c r="AM91" s="1">
        <v>6</v>
      </c>
      <c r="AN91" s="1">
        <v>63</v>
      </c>
      <c r="AO91" s="13" t="s">
        <v>50</v>
      </c>
      <c r="AP91" s="1" t="s">
        <v>43</v>
      </c>
      <c r="AQ91" s="2">
        <v>101.2</v>
      </c>
      <c r="AR91" s="2" t="s">
        <v>44</v>
      </c>
      <c r="AS91" s="1">
        <v>20.399999999999999</v>
      </c>
      <c r="AT91" s="1">
        <f>AS91*AQ91</f>
        <v>2064.48</v>
      </c>
      <c r="AU91" s="1">
        <v>46</v>
      </c>
      <c r="AV91" s="1">
        <v>6.9</v>
      </c>
      <c r="AW91" s="1" t="s">
        <v>43</v>
      </c>
      <c r="BA91" s="1" t="s">
        <v>103</v>
      </c>
      <c r="BB91" s="1" t="s">
        <v>22</v>
      </c>
      <c r="BC91" s="1" t="s">
        <v>8</v>
      </c>
      <c r="BD91" s="1" t="s">
        <v>8</v>
      </c>
      <c r="BE91" s="1" t="s">
        <v>22</v>
      </c>
      <c r="BG91" s="1">
        <v>24</v>
      </c>
      <c r="BH91" s="1">
        <v>14</v>
      </c>
      <c r="BI91" s="1">
        <v>300000</v>
      </c>
      <c r="BJ91" s="1" t="s">
        <v>22</v>
      </c>
      <c r="BL91" s="1" t="s">
        <v>22</v>
      </c>
      <c r="BM91" s="1" t="s">
        <v>21</v>
      </c>
      <c r="BN91" s="1">
        <v>72.25</v>
      </c>
      <c r="BO91" s="1" t="s">
        <v>30</v>
      </c>
      <c r="BP91" s="1">
        <v>30</v>
      </c>
      <c r="BQ91" s="1">
        <v>1.8</v>
      </c>
      <c r="BS91" s="1">
        <v>400</v>
      </c>
      <c r="BV91" s="1" t="s">
        <v>31</v>
      </c>
      <c r="BX91" s="1" t="s">
        <v>77</v>
      </c>
      <c r="BY91" s="1" t="s">
        <v>78</v>
      </c>
      <c r="BZ91" s="1">
        <v>0</v>
      </c>
      <c r="CA91" s="1">
        <v>17</v>
      </c>
      <c r="CB91" s="1" t="s">
        <v>98</v>
      </c>
      <c r="CC91" s="13">
        <v>4500</v>
      </c>
      <c r="CD91" s="1" t="s">
        <v>9</v>
      </c>
    </row>
    <row r="92" spans="1:82" ht="17" x14ac:dyDescent="0.2">
      <c r="A92" s="1" t="s">
        <v>286</v>
      </c>
      <c r="B92" s="1" t="s">
        <v>287</v>
      </c>
      <c r="C92" s="1" t="s">
        <v>16</v>
      </c>
      <c r="D92" s="1" t="s">
        <v>17</v>
      </c>
      <c r="E92" s="1" t="s">
        <v>276</v>
      </c>
      <c r="F92" s="1" t="s">
        <v>285</v>
      </c>
      <c r="G92" s="1">
        <v>80</v>
      </c>
      <c r="H92" s="1">
        <v>80</v>
      </c>
      <c r="I92" s="19" t="s">
        <v>43</v>
      </c>
      <c r="J92" s="19" t="s">
        <v>43</v>
      </c>
      <c r="L92" s="1">
        <v>35</v>
      </c>
      <c r="M92" s="1" t="s">
        <v>20</v>
      </c>
      <c r="P92" s="1" t="s">
        <v>21</v>
      </c>
      <c r="V92" s="1">
        <v>225000</v>
      </c>
      <c r="Z92" s="1" t="s">
        <v>21</v>
      </c>
      <c r="AD92" s="1" t="s">
        <v>21</v>
      </c>
      <c r="AE92" s="1" t="s">
        <v>22</v>
      </c>
      <c r="AM92" s="1" t="s">
        <v>43</v>
      </c>
      <c r="AN92" s="1" t="s">
        <v>43</v>
      </c>
      <c r="AO92" s="1" t="s">
        <v>43</v>
      </c>
      <c r="AP92" s="1" t="s">
        <v>43</v>
      </c>
      <c r="AQ92" s="2">
        <v>141</v>
      </c>
      <c r="AR92" s="2" t="s">
        <v>44</v>
      </c>
      <c r="AS92" s="1">
        <v>13</v>
      </c>
      <c r="AT92" s="1">
        <f>AS92*AQ92</f>
        <v>1833</v>
      </c>
      <c r="AU92" s="1">
        <v>65</v>
      </c>
      <c r="AV92" s="1">
        <f>100-28</f>
        <v>72</v>
      </c>
      <c r="AW92" s="1">
        <v>65</v>
      </c>
      <c r="BA92" s="1" t="s">
        <v>27</v>
      </c>
      <c r="BC92" s="1" t="s">
        <v>8</v>
      </c>
      <c r="BD92" s="1" t="s">
        <v>8</v>
      </c>
      <c r="BE92" s="1" t="s">
        <v>22</v>
      </c>
      <c r="BI92" s="1">
        <v>210000</v>
      </c>
      <c r="BJ92" s="1" t="s">
        <v>22</v>
      </c>
      <c r="BL92" s="1" t="s">
        <v>22</v>
      </c>
      <c r="BM92" s="1" t="s">
        <v>21</v>
      </c>
      <c r="BO92" s="1" t="s">
        <v>30</v>
      </c>
      <c r="BP92" s="1">
        <v>31</v>
      </c>
      <c r="BQ92" s="1" t="s">
        <v>43</v>
      </c>
      <c r="BS92" s="1">
        <v>395</v>
      </c>
      <c r="BV92" s="1" t="s">
        <v>31</v>
      </c>
      <c r="BX92" s="1" t="s">
        <v>77</v>
      </c>
      <c r="BY92" s="1" t="s">
        <v>78</v>
      </c>
      <c r="BZ92" s="1">
        <v>0</v>
      </c>
      <c r="CA92" s="1">
        <f>(AVERAGE(6, 8))*4</f>
        <v>28</v>
      </c>
      <c r="CB92" s="1" t="s">
        <v>121</v>
      </c>
      <c r="CC92" s="1" t="s">
        <v>43</v>
      </c>
      <c r="CD92" s="1" t="s">
        <v>8</v>
      </c>
    </row>
    <row r="93" spans="1:82" ht="17" x14ac:dyDescent="0.2">
      <c r="A93" s="1" t="s">
        <v>288</v>
      </c>
      <c r="B93" s="1" t="s">
        <v>289</v>
      </c>
      <c r="C93" s="1" t="s">
        <v>16</v>
      </c>
      <c r="D93" s="1" t="s">
        <v>17</v>
      </c>
      <c r="E93" s="1" t="s">
        <v>290</v>
      </c>
      <c r="F93" s="5" t="s">
        <v>291</v>
      </c>
      <c r="G93" s="5">
        <v>54</v>
      </c>
      <c r="H93" s="5">
        <v>54</v>
      </c>
      <c r="I93" s="19" t="s">
        <v>43</v>
      </c>
      <c r="J93" s="19" t="s">
        <v>43</v>
      </c>
      <c r="K93" s="5"/>
      <c r="L93" s="5">
        <v>35</v>
      </c>
      <c r="M93" s="5" t="s">
        <v>20</v>
      </c>
      <c r="N93" s="1">
        <v>1</v>
      </c>
      <c r="O93" s="1" t="s">
        <v>22</v>
      </c>
      <c r="P93" s="1" t="s">
        <v>21</v>
      </c>
      <c r="Q93" s="1" t="s">
        <v>22</v>
      </c>
      <c r="R93" s="1" t="s">
        <v>22</v>
      </c>
      <c r="S93" s="1" t="s">
        <v>22</v>
      </c>
      <c r="V93" s="1">
        <f>AVERAGE(4000, 7500, 4275)</f>
        <v>5258.333333333333</v>
      </c>
      <c r="Y93" s="1" t="s">
        <v>30</v>
      </c>
      <c r="Z93" s="1" t="s">
        <v>21</v>
      </c>
      <c r="AD93" s="1" t="s">
        <v>21</v>
      </c>
      <c r="AE93" s="1" t="s">
        <v>21</v>
      </c>
      <c r="AM93" s="1" t="s">
        <v>43</v>
      </c>
      <c r="AN93" s="1" t="s">
        <v>43</v>
      </c>
      <c r="AO93" s="1" t="s">
        <v>43</v>
      </c>
      <c r="AP93" s="1" t="s">
        <v>43</v>
      </c>
      <c r="AQ93" s="1" t="s">
        <v>43</v>
      </c>
      <c r="AR93" s="1" t="s">
        <v>43</v>
      </c>
      <c r="AS93" s="1" t="s">
        <v>43</v>
      </c>
      <c r="AT93" s="1" t="s">
        <v>43</v>
      </c>
      <c r="AU93" s="1" t="s">
        <v>43</v>
      </c>
      <c r="AV93" s="1" t="s">
        <v>43</v>
      </c>
      <c r="AW93" s="1" t="s">
        <v>43</v>
      </c>
      <c r="AY93" s="1">
        <v>750</v>
      </c>
      <c r="BA93" s="1" t="s">
        <v>103</v>
      </c>
      <c r="BC93" s="1" t="s">
        <v>8</v>
      </c>
      <c r="BD93" s="1" t="s">
        <v>8</v>
      </c>
      <c r="BE93" s="1" t="s">
        <v>164</v>
      </c>
      <c r="BG93" s="1">
        <v>36</v>
      </c>
      <c r="BH93" s="1">
        <v>36</v>
      </c>
      <c r="BI93" s="5">
        <f>AVERAGE(4500, 10100, 4340)</f>
        <v>6313.333333333333</v>
      </c>
      <c r="BJ93" s="1" t="s">
        <v>22</v>
      </c>
      <c r="BL93" s="1" t="s">
        <v>22</v>
      </c>
      <c r="BM93" s="1" t="s">
        <v>21</v>
      </c>
      <c r="BN93" s="1">
        <v>24.5</v>
      </c>
      <c r="BO93" s="1" t="s">
        <v>30</v>
      </c>
      <c r="BP93" s="1">
        <v>60</v>
      </c>
      <c r="BQ93" s="1" t="s">
        <v>43</v>
      </c>
      <c r="BS93" s="2">
        <v>165</v>
      </c>
      <c r="BV93" s="1" t="s">
        <v>238</v>
      </c>
      <c r="BX93" s="1" t="s">
        <v>105</v>
      </c>
      <c r="BY93" s="1" t="s">
        <v>292</v>
      </c>
      <c r="BZ93" s="1">
        <v>0</v>
      </c>
      <c r="CA93" s="1">
        <v>16</v>
      </c>
      <c r="CB93" s="1" t="s">
        <v>34</v>
      </c>
      <c r="CD93" s="1" t="s">
        <v>8</v>
      </c>
    </row>
    <row r="94" spans="1:82" ht="17" x14ac:dyDescent="0.2">
      <c r="A94" s="1" t="s">
        <v>293</v>
      </c>
      <c r="B94" s="1" t="s">
        <v>294</v>
      </c>
      <c r="C94" s="1" t="s">
        <v>16</v>
      </c>
      <c r="D94" s="1" t="s">
        <v>17</v>
      </c>
      <c r="E94" s="1" t="s">
        <v>290</v>
      </c>
      <c r="F94" s="5" t="s">
        <v>291</v>
      </c>
      <c r="G94" s="5">
        <v>50</v>
      </c>
      <c r="H94" s="5">
        <v>50</v>
      </c>
      <c r="I94" s="19" t="s">
        <v>43</v>
      </c>
      <c r="J94" s="19" t="s">
        <v>43</v>
      </c>
      <c r="K94" s="5"/>
      <c r="L94" s="5">
        <v>20</v>
      </c>
      <c r="M94" s="5" t="s">
        <v>20</v>
      </c>
      <c r="P94" s="1" t="s">
        <v>21</v>
      </c>
      <c r="V94" s="1">
        <v>5750</v>
      </c>
      <c r="Y94" s="1" t="s">
        <v>30</v>
      </c>
      <c r="Z94" s="1" t="s">
        <v>21</v>
      </c>
      <c r="AD94" s="1" t="s">
        <v>21</v>
      </c>
      <c r="AE94" s="1" t="s">
        <v>21</v>
      </c>
      <c r="AM94" s="1" t="s">
        <v>43</v>
      </c>
      <c r="AN94" s="1" t="s">
        <v>43</v>
      </c>
      <c r="AO94" s="1" t="s">
        <v>43</v>
      </c>
      <c r="AP94" s="1" t="s">
        <v>43</v>
      </c>
      <c r="AQ94" s="1" t="s">
        <v>43</v>
      </c>
      <c r="AR94" s="1" t="s">
        <v>43</v>
      </c>
      <c r="AS94" s="1" t="s">
        <v>43</v>
      </c>
      <c r="AT94" s="1" t="s">
        <v>43</v>
      </c>
      <c r="AU94" s="1" t="s">
        <v>43</v>
      </c>
      <c r="AV94" s="1" t="s">
        <v>43</v>
      </c>
      <c r="AW94" s="1" t="s">
        <v>43</v>
      </c>
      <c r="BA94" s="1" t="s">
        <v>27</v>
      </c>
      <c r="BC94" s="1" t="s">
        <v>8</v>
      </c>
      <c r="BD94" s="1" t="s">
        <v>8</v>
      </c>
      <c r="BE94" s="1" t="s">
        <v>8</v>
      </c>
      <c r="BG94" s="1">
        <v>24</v>
      </c>
      <c r="BH94" s="1">
        <v>24</v>
      </c>
      <c r="BI94" s="5">
        <v>7500</v>
      </c>
      <c r="BL94" s="1" t="s">
        <v>22</v>
      </c>
      <c r="BM94" s="1" t="s">
        <v>21</v>
      </c>
      <c r="BN94" s="1">
        <v>75</v>
      </c>
      <c r="BO94" s="1" t="s">
        <v>30</v>
      </c>
      <c r="BP94" s="1" t="s">
        <v>43</v>
      </c>
      <c r="BQ94" s="1" t="s">
        <v>43</v>
      </c>
      <c r="BS94" s="2">
        <v>106</v>
      </c>
      <c r="BV94" s="1" t="s">
        <v>238</v>
      </c>
      <c r="BY94" s="1" t="s">
        <v>56</v>
      </c>
      <c r="BZ94" s="1">
        <v>0</v>
      </c>
      <c r="CA94" s="1">
        <v>16</v>
      </c>
      <c r="CB94" s="1" t="s">
        <v>121</v>
      </c>
      <c r="CD94" s="1" t="s">
        <v>8</v>
      </c>
    </row>
    <row r="95" spans="1:82" ht="17" x14ac:dyDescent="0.2">
      <c r="A95" s="1" t="s">
        <v>295</v>
      </c>
      <c r="B95" s="1" t="s">
        <v>296</v>
      </c>
      <c r="C95" s="1" t="s">
        <v>16</v>
      </c>
      <c r="D95" s="1" t="s">
        <v>17</v>
      </c>
      <c r="E95" s="1" t="s">
        <v>290</v>
      </c>
      <c r="F95" s="5" t="s">
        <v>291</v>
      </c>
      <c r="G95" s="5">
        <v>52</v>
      </c>
      <c r="H95" s="5">
        <v>52</v>
      </c>
      <c r="I95" s="19" t="s">
        <v>43</v>
      </c>
      <c r="J95" s="19" t="s">
        <v>43</v>
      </c>
      <c r="K95" s="5"/>
      <c r="L95" s="5">
        <v>40</v>
      </c>
      <c r="M95" s="5" t="s">
        <v>20</v>
      </c>
      <c r="N95" s="1">
        <v>2</v>
      </c>
      <c r="O95" s="1" t="s">
        <v>22</v>
      </c>
      <c r="P95" s="1" t="s">
        <v>21</v>
      </c>
      <c r="Q95" s="1" t="s">
        <v>21</v>
      </c>
      <c r="R95" s="1" t="s">
        <v>22</v>
      </c>
      <c r="S95" s="1" t="s">
        <v>22</v>
      </c>
      <c r="V95" s="5">
        <v>4600</v>
      </c>
      <c r="Y95" s="1" t="s">
        <v>30</v>
      </c>
      <c r="Z95" s="1" t="s">
        <v>21</v>
      </c>
      <c r="AD95" s="1" t="s">
        <v>21</v>
      </c>
      <c r="AE95" s="1" t="s">
        <v>21</v>
      </c>
      <c r="AM95" s="1">
        <v>4.74</v>
      </c>
      <c r="AN95" s="1">
        <v>33.229999999999997</v>
      </c>
      <c r="AO95" s="1" t="s">
        <v>7</v>
      </c>
      <c r="AP95" s="1" t="s">
        <v>43</v>
      </c>
      <c r="AQ95" s="2">
        <f>AVERAGE(5.25, 5, 18.75, 400, 68.25, 6.25, 140)</f>
        <v>91.928571428571431</v>
      </c>
      <c r="AR95" s="2" t="s">
        <v>44</v>
      </c>
      <c r="AS95" s="1">
        <f>AVERAGE(0.04, 0.02, 0.06, 0.08, 0.02, 0.06, 0.02, 0.06)</f>
        <v>4.5000000000000005E-2</v>
      </c>
      <c r="AT95" s="1">
        <f>AS95*AQ95</f>
        <v>4.1367857142857147</v>
      </c>
      <c r="AU95" s="1">
        <v>80</v>
      </c>
      <c r="AV95" s="1" t="s">
        <v>43</v>
      </c>
      <c r="AW95" s="1" t="s">
        <v>43</v>
      </c>
      <c r="AY95" s="1">
        <v>120</v>
      </c>
      <c r="AZ95" s="1" t="s">
        <v>21</v>
      </c>
      <c r="BA95" s="1" t="s">
        <v>43</v>
      </c>
      <c r="BC95" s="1" t="s">
        <v>8</v>
      </c>
      <c r="BD95" s="1" t="s">
        <v>8</v>
      </c>
      <c r="BE95" s="1" t="s">
        <v>164</v>
      </c>
      <c r="BG95" s="1">
        <v>36</v>
      </c>
      <c r="BH95" s="1">
        <v>36</v>
      </c>
      <c r="BI95" s="1">
        <v>3500</v>
      </c>
      <c r="BJ95" s="1" t="s">
        <v>22</v>
      </c>
      <c r="BL95" s="1" t="s">
        <v>22</v>
      </c>
      <c r="BM95" s="1" t="s">
        <v>21</v>
      </c>
      <c r="BO95" s="1" t="s">
        <v>30</v>
      </c>
      <c r="BP95" s="1" t="s">
        <v>43</v>
      </c>
      <c r="BQ95" s="1" t="s">
        <v>43</v>
      </c>
      <c r="BS95" s="2">
        <v>247</v>
      </c>
      <c r="BV95" s="1" t="s">
        <v>238</v>
      </c>
      <c r="BY95" s="1" t="s">
        <v>56</v>
      </c>
      <c r="BZ95" s="1">
        <v>0</v>
      </c>
      <c r="CB95" s="1" t="s">
        <v>34</v>
      </c>
      <c r="CD95" s="1" t="s">
        <v>8</v>
      </c>
    </row>
    <row r="96" spans="1:82" ht="17" x14ac:dyDescent="0.2">
      <c r="A96" s="1" t="s">
        <v>297</v>
      </c>
      <c r="B96" s="1" t="s">
        <v>298</v>
      </c>
      <c r="C96" s="1" t="s">
        <v>16</v>
      </c>
      <c r="D96" s="1" t="s">
        <v>17</v>
      </c>
      <c r="E96" s="1" t="s">
        <v>290</v>
      </c>
      <c r="F96" s="1" t="s">
        <v>299</v>
      </c>
      <c r="G96" s="1">
        <v>65</v>
      </c>
      <c r="H96" s="1">
        <v>65</v>
      </c>
      <c r="I96" s="19" t="s">
        <v>43</v>
      </c>
      <c r="J96" s="19" t="s">
        <v>43</v>
      </c>
      <c r="L96" s="1">
        <v>27.8</v>
      </c>
      <c r="M96" s="1" t="s">
        <v>20</v>
      </c>
      <c r="N96" s="1">
        <v>1</v>
      </c>
      <c r="O96" s="1" t="s">
        <v>22</v>
      </c>
      <c r="P96" s="1" t="s">
        <v>21</v>
      </c>
      <c r="R96" s="1" t="s">
        <v>22</v>
      </c>
      <c r="S96" s="1" t="s">
        <v>22</v>
      </c>
      <c r="V96" s="5">
        <v>6000</v>
      </c>
      <c r="Y96" s="1" t="s">
        <v>30</v>
      </c>
      <c r="Z96" s="1" t="s">
        <v>21</v>
      </c>
      <c r="AD96" s="1" t="s">
        <v>21</v>
      </c>
      <c r="AE96" s="1" t="s">
        <v>21</v>
      </c>
      <c r="AM96" s="1">
        <v>55.5</v>
      </c>
      <c r="AN96" s="1">
        <v>5.5</v>
      </c>
      <c r="AO96" s="13" t="s">
        <v>50</v>
      </c>
      <c r="AP96" s="1" t="s">
        <v>43</v>
      </c>
      <c r="AQ96" s="1" t="s">
        <v>43</v>
      </c>
      <c r="AR96" s="1" t="s">
        <v>43</v>
      </c>
      <c r="AS96" s="1" t="s">
        <v>43</v>
      </c>
      <c r="AT96" s="1" t="s">
        <v>43</v>
      </c>
      <c r="AU96" s="1" t="s">
        <v>43</v>
      </c>
      <c r="AV96" s="1" t="s">
        <v>43</v>
      </c>
      <c r="AW96" s="1" t="s">
        <v>43</v>
      </c>
      <c r="BA96" s="1" t="s">
        <v>43</v>
      </c>
      <c r="BB96" s="1" t="s">
        <v>22</v>
      </c>
      <c r="BC96" s="1" t="s">
        <v>8</v>
      </c>
      <c r="BD96" s="1" t="s">
        <v>8</v>
      </c>
      <c r="BE96" s="1" t="s">
        <v>195</v>
      </c>
      <c r="BG96" s="1">
        <f>4*12</f>
        <v>48</v>
      </c>
      <c r="BH96" s="1">
        <f>3*12</f>
        <v>36</v>
      </c>
      <c r="BI96" s="1">
        <v>8400</v>
      </c>
      <c r="BL96" s="1" t="s">
        <v>21</v>
      </c>
      <c r="BM96" s="1" t="s">
        <v>21</v>
      </c>
      <c r="BO96" s="1" t="s">
        <v>30</v>
      </c>
      <c r="BP96" s="1">
        <v>31.4</v>
      </c>
      <c r="BQ96" s="2">
        <v>55</v>
      </c>
      <c r="BR96" s="2"/>
      <c r="BS96" s="1">
        <f>AVERAGE(279, 300)</f>
        <v>289.5</v>
      </c>
      <c r="BV96" s="1" t="s">
        <v>238</v>
      </c>
      <c r="BY96" s="1" t="s">
        <v>56</v>
      </c>
      <c r="BZ96" s="1">
        <v>0</v>
      </c>
      <c r="CA96" s="1">
        <v>20</v>
      </c>
      <c r="CB96" s="1" t="s">
        <v>34</v>
      </c>
      <c r="CD96" s="1" t="s">
        <v>8</v>
      </c>
    </row>
    <row r="97" spans="1:82" ht="17" x14ac:dyDescent="0.2">
      <c r="A97" s="1" t="s">
        <v>300</v>
      </c>
      <c r="B97" s="1" t="s">
        <v>301</v>
      </c>
      <c r="C97" s="1" t="s">
        <v>16</v>
      </c>
      <c r="D97" s="1" t="s">
        <v>17</v>
      </c>
      <c r="E97" s="1" t="s">
        <v>290</v>
      </c>
      <c r="F97" s="5" t="s">
        <v>302</v>
      </c>
      <c r="G97" s="5">
        <v>60</v>
      </c>
      <c r="H97" s="5">
        <v>60</v>
      </c>
      <c r="I97" s="19" t="s">
        <v>43</v>
      </c>
      <c r="J97" s="19" t="s">
        <v>43</v>
      </c>
      <c r="K97" s="5"/>
      <c r="L97" s="5">
        <v>26</v>
      </c>
      <c r="M97" s="5" t="s">
        <v>30</v>
      </c>
      <c r="N97" s="1">
        <v>3</v>
      </c>
      <c r="O97" s="1" t="s">
        <v>21</v>
      </c>
      <c r="P97" s="1" t="s">
        <v>21</v>
      </c>
      <c r="Q97" s="1" t="s">
        <v>21</v>
      </c>
      <c r="R97" s="1" t="s">
        <v>22</v>
      </c>
      <c r="S97" s="1" t="s">
        <v>22</v>
      </c>
      <c r="V97" s="5">
        <v>45000</v>
      </c>
      <c r="Y97" s="1" t="s">
        <v>30</v>
      </c>
      <c r="Z97" s="1" t="s">
        <v>21</v>
      </c>
      <c r="AD97" s="1" t="s">
        <v>21</v>
      </c>
      <c r="AE97" s="1" t="s">
        <v>22</v>
      </c>
      <c r="AI97" s="1" t="s">
        <v>21</v>
      </c>
      <c r="AM97" s="1">
        <v>7.3</v>
      </c>
      <c r="AN97" s="1">
        <v>61.1</v>
      </c>
      <c r="AO97" s="13" t="s">
        <v>7</v>
      </c>
      <c r="AP97" s="1" t="s">
        <v>43</v>
      </c>
      <c r="AQ97" s="2">
        <f>AVERAGE(108.5, 129.4)</f>
        <v>118.95</v>
      </c>
      <c r="AR97" s="2" t="s">
        <v>44</v>
      </c>
      <c r="AS97" s="1">
        <v>1.28</v>
      </c>
      <c r="AT97" s="1">
        <f>AS97*AQ97</f>
        <v>152.256</v>
      </c>
      <c r="AU97" s="1">
        <f>AVERAGE(28.3, 75)</f>
        <v>51.65</v>
      </c>
      <c r="AV97" s="1">
        <f>AVERAGE(35.48, 64.5)</f>
        <v>49.989999999999995</v>
      </c>
      <c r="AW97" s="1" t="s">
        <v>43</v>
      </c>
      <c r="BA97" s="1" t="s">
        <v>43</v>
      </c>
      <c r="BB97" s="1" t="s">
        <v>22</v>
      </c>
      <c r="BC97" s="1" t="s">
        <v>8</v>
      </c>
      <c r="BD97" s="1" t="s">
        <v>8</v>
      </c>
      <c r="BE97" s="1" t="s">
        <v>164</v>
      </c>
      <c r="BF97" s="1" t="s">
        <v>22</v>
      </c>
      <c r="BG97" s="1">
        <v>30</v>
      </c>
      <c r="BH97" s="1">
        <f>2.5*12</f>
        <v>30</v>
      </c>
      <c r="BI97" s="1">
        <v>315000</v>
      </c>
      <c r="BJ97" s="1" t="s">
        <v>22</v>
      </c>
      <c r="BL97" s="1" t="s">
        <v>21</v>
      </c>
      <c r="BM97" s="1" t="s">
        <v>21</v>
      </c>
      <c r="BO97" s="1" t="s">
        <v>30</v>
      </c>
      <c r="BP97" s="2">
        <v>55</v>
      </c>
      <c r="BQ97" s="2">
        <v>2.5</v>
      </c>
      <c r="BR97" s="2"/>
      <c r="BS97" s="2">
        <f>AVERAGE(190, 184, 177)</f>
        <v>183.66666666666666</v>
      </c>
      <c r="BV97" s="1" t="s">
        <v>238</v>
      </c>
      <c r="BX97" s="1" t="s">
        <v>158</v>
      </c>
      <c r="BY97" s="1" t="s">
        <v>135</v>
      </c>
      <c r="BZ97" s="1">
        <v>6</v>
      </c>
      <c r="CA97" s="1">
        <v>43</v>
      </c>
      <c r="CB97" s="1" t="s">
        <v>121</v>
      </c>
      <c r="CC97" s="1" t="s">
        <v>43</v>
      </c>
      <c r="CD97" s="1" t="s">
        <v>8</v>
      </c>
    </row>
    <row r="98" spans="1:82" ht="34" x14ac:dyDescent="0.2">
      <c r="A98" s="1" t="s">
        <v>303</v>
      </c>
      <c r="B98" s="1" t="s">
        <v>304</v>
      </c>
      <c r="C98" s="1" t="s">
        <v>16</v>
      </c>
      <c r="D98" s="1" t="s">
        <v>17</v>
      </c>
      <c r="E98" s="1" t="s">
        <v>290</v>
      </c>
      <c r="F98" s="5" t="s">
        <v>305</v>
      </c>
      <c r="G98" s="5">
        <v>54</v>
      </c>
      <c r="H98" s="5">
        <v>54</v>
      </c>
      <c r="I98" s="19" t="s">
        <v>43</v>
      </c>
      <c r="J98" s="19" t="s">
        <v>43</v>
      </c>
      <c r="K98" s="5"/>
      <c r="L98" s="5">
        <v>19</v>
      </c>
      <c r="M98" s="5" t="s">
        <v>30</v>
      </c>
      <c r="N98" s="1">
        <v>3</v>
      </c>
      <c r="O98" s="1" t="s">
        <v>21</v>
      </c>
      <c r="P98" s="1" t="s">
        <v>21</v>
      </c>
      <c r="Q98" s="1" t="s">
        <v>21</v>
      </c>
      <c r="R98" s="1" t="s">
        <v>22</v>
      </c>
      <c r="S98" s="1" t="s">
        <v>22</v>
      </c>
      <c r="V98" s="5">
        <v>4830</v>
      </c>
      <c r="Y98" s="1" t="s">
        <v>30</v>
      </c>
      <c r="Z98" s="1" t="s">
        <v>21</v>
      </c>
      <c r="AD98" s="1" t="s">
        <v>21</v>
      </c>
      <c r="AE98" s="1" t="s">
        <v>22</v>
      </c>
      <c r="AM98" s="1">
        <v>9.5</v>
      </c>
      <c r="AN98" s="1">
        <v>67.33</v>
      </c>
      <c r="AO98" s="1" t="s">
        <v>50</v>
      </c>
      <c r="AP98" s="1" t="s">
        <v>43</v>
      </c>
      <c r="AQ98" s="1" t="s">
        <v>43</v>
      </c>
      <c r="AR98" s="2" t="s">
        <v>44</v>
      </c>
      <c r="AS98" s="1">
        <v>0.02</v>
      </c>
      <c r="AT98" s="1" t="s">
        <v>43</v>
      </c>
      <c r="AU98" s="1">
        <v>0</v>
      </c>
      <c r="AV98" s="1">
        <v>37.5</v>
      </c>
      <c r="AW98" s="1">
        <v>0</v>
      </c>
      <c r="BA98" s="1" t="s">
        <v>43</v>
      </c>
      <c r="BB98" s="1" t="s">
        <v>22</v>
      </c>
      <c r="BC98" s="1" t="s">
        <v>8</v>
      </c>
      <c r="BD98" s="1" t="s">
        <v>8</v>
      </c>
      <c r="BE98" s="1" t="s">
        <v>195</v>
      </c>
      <c r="BH98" s="1">
        <v>12</v>
      </c>
      <c r="BI98" s="5">
        <v>4830</v>
      </c>
      <c r="BJ98" s="1" t="s">
        <v>22</v>
      </c>
      <c r="BL98" s="1" t="s">
        <v>22</v>
      </c>
      <c r="BM98" s="1" t="s">
        <v>21</v>
      </c>
      <c r="BO98" s="1" t="s">
        <v>30</v>
      </c>
      <c r="BP98" s="2">
        <v>42.5</v>
      </c>
      <c r="BQ98" s="2">
        <v>9.5</v>
      </c>
      <c r="BR98" s="2"/>
      <c r="BS98" s="2">
        <v>160</v>
      </c>
      <c r="BV98" s="1" t="s">
        <v>238</v>
      </c>
      <c r="BX98" s="1" t="s">
        <v>158</v>
      </c>
      <c r="BY98" s="1" t="s">
        <v>135</v>
      </c>
      <c r="CB98" s="1" t="s">
        <v>34</v>
      </c>
      <c r="CC98" s="1" t="s">
        <v>43</v>
      </c>
      <c r="CD98" s="1" t="s">
        <v>8</v>
      </c>
    </row>
    <row r="99" spans="1:82" ht="17" x14ac:dyDescent="0.2">
      <c r="A99" s="1" t="s">
        <v>306</v>
      </c>
      <c r="B99" s="1" t="s">
        <v>307</v>
      </c>
      <c r="C99" s="1" t="s">
        <v>16</v>
      </c>
      <c r="D99" s="1" t="s">
        <v>17</v>
      </c>
      <c r="E99" s="5" t="s">
        <v>308</v>
      </c>
      <c r="F99" s="5" t="s">
        <v>309</v>
      </c>
      <c r="G99" s="5">
        <v>42</v>
      </c>
      <c r="H99" s="5">
        <v>42</v>
      </c>
      <c r="I99" s="19">
        <v>21087</v>
      </c>
      <c r="J99" s="19">
        <v>11295</v>
      </c>
      <c r="K99" s="5"/>
      <c r="L99" s="5">
        <v>25.2</v>
      </c>
      <c r="M99" s="5" t="s">
        <v>50</v>
      </c>
      <c r="O99" s="1" t="s">
        <v>21</v>
      </c>
      <c r="P99" s="1" t="s">
        <v>21</v>
      </c>
      <c r="V99" s="5">
        <v>26400</v>
      </c>
      <c r="W99" s="1">
        <f>(93.5+78.42)/2</f>
        <v>85.960000000000008</v>
      </c>
      <c r="X99" s="1">
        <f t="shared" si="15"/>
        <v>0.32560606060606068</v>
      </c>
      <c r="Y99" s="1" t="s">
        <v>23</v>
      </c>
      <c r="Z99" s="1" t="s">
        <v>21</v>
      </c>
      <c r="AD99" s="1" t="s">
        <v>21</v>
      </c>
      <c r="AE99" s="1" t="s">
        <v>21</v>
      </c>
      <c r="AJ99" s="1">
        <v>11</v>
      </c>
      <c r="AK99" s="1">
        <f>AJ99*4.5</f>
        <v>49.5</v>
      </c>
      <c r="AM99" s="1">
        <v>3.49</v>
      </c>
      <c r="AN99" s="1">
        <f>AVERAGE(73.1, 80.1)</f>
        <v>76.599999999999994</v>
      </c>
      <c r="AO99" s="13" t="s">
        <v>50</v>
      </c>
      <c r="AP99" s="1" t="s">
        <v>43</v>
      </c>
      <c r="AQ99" s="2">
        <f>AVERAGE(54.22, 52.98, 51.51)</f>
        <v>52.903333333333329</v>
      </c>
      <c r="AR99" s="2" t="s">
        <v>44</v>
      </c>
      <c r="AS99" s="1">
        <f>AVERAGE(0.5, 0.4, 0.35)</f>
        <v>0.41666666666666669</v>
      </c>
      <c r="AT99" s="1">
        <f>AS99*AQ99</f>
        <v>22.043055555555554</v>
      </c>
      <c r="AU99" s="1">
        <f>AVERAGE(46, 67.33, 61.22, 62.11)</f>
        <v>59.165000000000006</v>
      </c>
      <c r="AV99" s="1">
        <f>AVERAGE(89.22, 88.77, 87.22, 50)</f>
        <v>78.802500000000009</v>
      </c>
      <c r="AW99" s="1">
        <v>70</v>
      </c>
      <c r="AZ99" s="1" t="s">
        <v>21</v>
      </c>
      <c r="BA99" s="1" t="s">
        <v>75</v>
      </c>
      <c r="BB99" s="1" t="s">
        <v>22</v>
      </c>
      <c r="BC99" s="1" t="s">
        <v>28</v>
      </c>
      <c r="BD99" s="1" t="s">
        <v>8</v>
      </c>
      <c r="BE99" s="1" t="s">
        <v>22</v>
      </c>
      <c r="BF99" s="1" t="s">
        <v>21</v>
      </c>
      <c r="BI99" s="5">
        <v>13300</v>
      </c>
      <c r="BJ99" s="1" t="s">
        <v>22</v>
      </c>
      <c r="BL99" s="1" t="s">
        <v>22</v>
      </c>
      <c r="BM99" s="1" t="s">
        <v>21</v>
      </c>
      <c r="BO99" s="1" t="s">
        <v>30</v>
      </c>
      <c r="BP99" s="1">
        <v>39.9</v>
      </c>
      <c r="BQ99" s="1">
        <f>AVERAGE(15, 20)</f>
        <v>17.5</v>
      </c>
      <c r="BR99" s="1">
        <f>25*12</f>
        <v>300</v>
      </c>
      <c r="BS99" s="1">
        <v>185</v>
      </c>
      <c r="BV99" s="1" t="s">
        <v>238</v>
      </c>
      <c r="BX99" s="1" t="s">
        <v>158</v>
      </c>
      <c r="BY99" s="1" t="s">
        <v>135</v>
      </c>
      <c r="BZ99" s="1">
        <v>0</v>
      </c>
      <c r="CB99" s="1" t="s">
        <v>34</v>
      </c>
      <c r="CC99" s="1" t="s">
        <v>43</v>
      </c>
      <c r="CD99" s="1" t="s">
        <v>8</v>
      </c>
    </row>
    <row r="100" spans="1:82" ht="17" x14ac:dyDescent="0.2">
      <c r="A100" s="1" t="s">
        <v>310</v>
      </c>
      <c r="B100" s="1" t="s">
        <v>311</v>
      </c>
      <c r="C100" s="1" t="s">
        <v>16</v>
      </c>
      <c r="D100" s="1" t="s">
        <v>17</v>
      </c>
      <c r="E100" s="5" t="s">
        <v>308</v>
      </c>
      <c r="F100" s="5" t="s">
        <v>309</v>
      </c>
      <c r="G100" s="5">
        <v>42</v>
      </c>
      <c r="H100" s="5">
        <v>42</v>
      </c>
      <c r="I100" s="13">
        <v>19527</v>
      </c>
      <c r="J100" s="20">
        <v>18197</v>
      </c>
      <c r="K100" s="5"/>
      <c r="L100" s="5">
        <v>30</v>
      </c>
      <c r="M100" s="5" t="s">
        <v>50</v>
      </c>
      <c r="O100" s="1" t="s">
        <v>21</v>
      </c>
      <c r="P100" s="1" t="s">
        <v>21</v>
      </c>
      <c r="V100" s="5">
        <v>10430</v>
      </c>
      <c r="W100" s="1">
        <f>AVERAGE(49, 76)</f>
        <v>62.5</v>
      </c>
      <c r="X100" s="1">
        <f t="shared" si="15"/>
        <v>0.59923298178331741</v>
      </c>
      <c r="Z100" s="1" t="s">
        <v>21</v>
      </c>
      <c r="AD100" s="1" t="s">
        <v>21</v>
      </c>
      <c r="AE100" s="1" t="s">
        <v>21</v>
      </c>
      <c r="AJ100" s="1">
        <v>10.5</v>
      </c>
      <c r="AK100" s="1">
        <f>AJ100*4.5</f>
        <v>47.25</v>
      </c>
      <c r="AL100" s="1">
        <v>10.5</v>
      </c>
      <c r="AM100" s="1">
        <v>5.3</v>
      </c>
      <c r="AN100" s="1">
        <f>AVERAGE(73.83, 74.1)</f>
        <v>73.965000000000003</v>
      </c>
      <c r="AP100" s="1">
        <f>AVERAGE(2866, 5700, 10358)</f>
        <v>6308</v>
      </c>
      <c r="AQ100" s="2">
        <f>AVERAGE(384.4, 408, 364.7)</f>
        <v>385.7</v>
      </c>
      <c r="AR100" s="2" t="s">
        <v>44</v>
      </c>
      <c r="AS100" s="1">
        <f>AVERAGE(0.38, 0.26, 0.52)</f>
        <v>0.38666666666666671</v>
      </c>
      <c r="AT100" s="1">
        <v>877.88</v>
      </c>
      <c r="AU100" s="1">
        <v>75</v>
      </c>
      <c r="AV100" s="1">
        <v>88</v>
      </c>
      <c r="AW100" s="1" t="s">
        <v>43</v>
      </c>
      <c r="AZ100" s="1" t="s">
        <v>21</v>
      </c>
      <c r="BA100" s="1" t="s">
        <v>75</v>
      </c>
      <c r="BB100" s="1" t="s">
        <v>22</v>
      </c>
      <c r="BC100" s="1" t="s">
        <v>28</v>
      </c>
      <c r="BD100" s="1" t="s">
        <v>8</v>
      </c>
      <c r="BE100" s="1" t="s">
        <v>37</v>
      </c>
      <c r="BF100" s="1" t="s">
        <v>21</v>
      </c>
      <c r="BG100" s="1">
        <f>3*12</f>
        <v>36</v>
      </c>
      <c r="BH100" s="1">
        <f>2.5*12</f>
        <v>30</v>
      </c>
      <c r="BI100" s="5">
        <v>8800</v>
      </c>
      <c r="BJ100" s="1" t="s">
        <v>22</v>
      </c>
      <c r="BL100" s="1" t="s">
        <v>22</v>
      </c>
      <c r="BM100" s="1" t="s">
        <v>21</v>
      </c>
      <c r="BO100" s="1" t="s">
        <v>30</v>
      </c>
      <c r="BP100" s="1">
        <f>AVERAGE(25.5, 29.5)</f>
        <v>27.5</v>
      </c>
      <c r="BQ100" s="1">
        <f>AVERAGE(8, 11)</f>
        <v>9.5</v>
      </c>
      <c r="BR100" s="1">
        <v>300</v>
      </c>
      <c r="BS100" s="1">
        <v>166</v>
      </c>
      <c r="BV100" s="1" t="s">
        <v>238</v>
      </c>
      <c r="BX100" s="1" t="s">
        <v>158</v>
      </c>
      <c r="BY100" s="1" t="s">
        <v>135</v>
      </c>
      <c r="BZ100" s="1">
        <v>0</v>
      </c>
      <c r="CA100" s="1">
        <v>52</v>
      </c>
      <c r="CB100" s="1" t="s">
        <v>34</v>
      </c>
      <c r="CC100" s="1" t="s">
        <v>43</v>
      </c>
      <c r="CD100" s="1" t="s">
        <v>22</v>
      </c>
    </row>
    <row r="101" spans="1:82" ht="17" x14ac:dyDescent="0.2">
      <c r="A101" s="1" t="s">
        <v>312</v>
      </c>
      <c r="B101" s="1" t="s">
        <v>313</v>
      </c>
      <c r="C101" s="1" t="s">
        <v>16</v>
      </c>
      <c r="D101" s="1" t="s">
        <v>17</v>
      </c>
      <c r="E101" s="5" t="s">
        <v>308</v>
      </c>
      <c r="F101" s="5" t="s">
        <v>314</v>
      </c>
      <c r="G101" s="5">
        <v>46</v>
      </c>
      <c r="H101" s="5">
        <v>46</v>
      </c>
      <c r="I101" s="19">
        <v>19527</v>
      </c>
      <c r="J101" s="14">
        <v>18197</v>
      </c>
      <c r="K101" s="5"/>
      <c r="L101" s="5">
        <f>AVERAGE(72.6, 74.5)</f>
        <v>73.55</v>
      </c>
      <c r="M101" s="5" t="s">
        <v>50</v>
      </c>
      <c r="N101" s="1">
        <v>3</v>
      </c>
      <c r="O101" s="1" t="s">
        <v>21</v>
      </c>
      <c r="P101" s="1" t="s">
        <v>21</v>
      </c>
      <c r="Q101" s="1" t="s">
        <v>21</v>
      </c>
      <c r="R101" s="1" t="s">
        <v>22</v>
      </c>
      <c r="S101" s="1" t="s">
        <v>22</v>
      </c>
      <c r="T101" s="1">
        <f>9+20</f>
        <v>29</v>
      </c>
      <c r="U101" s="1">
        <f t="shared" si="14"/>
        <v>4.5640541391249609E-2</v>
      </c>
      <c r="V101" s="5">
        <v>63540</v>
      </c>
      <c r="W101" s="1">
        <v>50.2</v>
      </c>
      <c r="X101" s="1">
        <f t="shared" si="15"/>
        <v>7.9005350960025186E-2</v>
      </c>
      <c r="Y101" s="1" t="s">
        <v>23</v>
      </c>
      <c r="Z101" s="1" t="s">
        <v>21</v>
      </c>
      <c r="AC101" s="1" t="s">
        <v>22</v>
      </c>
      <c r="AD101" s="1" t="s">
        <v>21</v>
      </c>
      <c r="AE101" s="1" t="s">
        <v>22</v>
      </c>
      <c r="AF101" s="1" t="s">
        <v>40</v>
      </c>
      <c r="AG101" s="1" t="s">
        <v>25</v>
      </c>
      <c r="AH101" s="1" t="s">
        <v>22</v>
      </c>
      <c r="AI101" s="1" t="s">
        <v>22</v>
      </c>
      <c r="AJ101" s="1">
        <v>16</v>
      </c>
      <c r="AK101" s="1">
        <f>AJ101*4.5</f>
        <v>72</v>
      </c>
      <c r="AL101" s="1">
        <f>AVERAGE(12, 5.5)</f>
        <v>8.75</v>
      </c>
      <c r="AM101" s="1">
        <v>4.5</v>
      </c>
      <c r="AN101" s="1">
        <v>56.9</v>
      </c>
      <c r="AO101" s="1" t="s">
        <v>47</v>
      </c>
      <c r="AP101" s="1">
        <v>304.64</v>
      </c>
      <c r="AQ101" s="2">
        <f>AT101/AS101</f>
        <v>85.328125</v>
      </c>
      <c r="AR101" s="2" t="s">
        <v>26</v>
      </c>
      <c r="AS101" s="1">
        <v>3.2</v>
      </c>
      <c r="AT101" s="1">
        <v>273.05</v>
      </c>
      <c r="AU101" s="1">
        <v>59</v>
      </c>
      <c r="AV101" s="1">
        <v>83</v>
      </c>
      <c r="AW101" s="1">
        <v>89</v>
      </c>
      <c r="AX101" s="1">
        <v>5</v>
      </c>
      <c r="AZ101" s="1" t="s">
        <v>22</v>
      </c>
      <c r="BA101" s="1" t="s">
        <v>315</v>
      </c>
      <c r="BB101" s="1" t="s">
        <v>22</v>
      </c>
      <c r="BC101" s="1" t="s">
        <v>28</v>
      </c>
      <c r="BD101" s="1" t="s">
        <v>8</v>
      </c>
      <c r="BE101" s="1" t="s">
        <v>22</v>
      </c>
      <c r="BF101" s="1" t="s">
        <v>22</v>
      </c>
      <c r="BG101" s="1">
        <v>124</v>
      </c>
      <c r="BH101" s="1">
        <v>120</v>
      </c>
      <c r="BI101" s="5">
        <v>62100</v>
      </c>
      <c r="BJ101" s="1" t="s">
        <v>22</v>
      </c>
      <c r="BK101" s="1" t="s">
        <v>29</v>
      </c>
      <c r="BL101" s="1" t="s">
        <v>22</v>
      </c>
      <c r="BM101" s="1" t="s">
        <v>21</v>
      </c>
      <c r="BN101" s="1">
        <v>24</v>
      </c>
      <c r="BO101" s="1" t="s">
        <v>30</v>
      </c>
      <c r="BP101" s="1">
        <v>28</v>
      </c>
      <c r="BQ101" s="1">
        <v>28</v>
      </c>
      <c r="BR101" s="1">
        <f>43*12</f>
        <v>516</v>
      </c>
      <c r="BS101" s="1">
        <v>280</v>
      </c>
      <c r="BT101" s="1">
        <v>6</v>
      </c>
      <c r="BU101" s="1">
        <f t="shared" ref="BU101:BU114" si="17">(BT101/BI101)*100</f>
        <v>9.6618357487922701E-3</v>
      </c>
      <c r="BV101" s="1" t="s">
        <v>238</v>
      </c>
      <c r="BW101" s="1">
        <v>290</v>
      </c>
      <c r="BX101" s="1" t="s">
        <v>158</v>
      </c>
      <c r="BY101" s="1" t="s">
        <v>135</v>
      </c>
      <c r="BZ101" s="1">
        <v>0</v>
      </c>
      <c r="CB101" s="1" t="s">
        <v>34</v>
      </c>
      <c r="CC101" s="1">
        <v>7800000000</v>
      </c>
      <c r="CD101" s="1" t="s">
        <v>9</v>
      </c>
    </row>
    <row r="102" spans="1:82" ht="17" x14ac:dyDescent="0.2">
      <c r="A102" s="1" t="s">
        <v>316</v>
      </c>
      <c r="B102" s="1" t="s">
        <v>317</v>
      </c>
      <c r="C102" s="1" t="s">
        <v>16</v>
      </c>
      <c r="D102" s="1" t="s">
        <v>17</v>
      </c>
      <c r="E102" s="5" t="s">
        <v>308</v>
      </c>
      <c r="F102" s="5" t="s">
        <v>318</v>
      </c>
      <c r="G102" s="5">
        <v>56</v>
      </c>
      <c r="H102" s="5">
        <v>56</v>
      </c>
      <c r="I102" s="19" t="s">
        <v>43</v>
      </c>
      <c r="J102" s="19" t="s">
        <v>43</v>
      </c>
      <c r="K102" s="5"/>
      <c r="L102" s="5">
        <v>30</v>
      </c>
      <c r="M102" s="5" t="s">
        <v>50</v>
      </c>
      <c r="P102" s="1" t="s">
        <v>21</v>
      </c>
      <c r="V102" s="5">
        <v>2700</v>
      </c>
      <c r="W102" s="1">
        <v>17.8</v>
      </c>
      <c r="X102" s="1">
        <f t="shared" si="15"/>
        <v>0.65925925925925921</v>
      </c>
      <c r="Z102" s="1" t="s">
        <v>21</v>
      </c>
      <c r="AD102" s="1" t="s">
        <v>21</v>
      </c>
      <c r="AE102" s="1" t="s">
        <v>21</v>
      </c>
      <c r="AH102" s="1" t="s">
        <v>7</v>
      </c>
      <c r="AI102" s="1" t="s">
        <v>21</v>
      </c>
      <c r="AM102" s="1">
        <v>4.4000000000000004</v>
      </c>
      <c r="AN102" s="1">
        <v>54</v>
      </c>
      <c r="AO102" s="13" t="s">
        <v>47</v>
      </c>
      <c r="AP102" s="1" t="s">
        <v>43</v>
      </c>
      <c r="AQ102" s="1" t="s">
        <v>43</v>
      </c>
      <c r="AR102" s="1" t="s">
        <v>43</v>
      </c>
      <c r="AS102" s="1" t="s">
        <v>43</v>
      </c>
      <c r="AT102" s="1" t="s">
        <v>43</v>
      </c>
      <c r="AU102" s="1" t="s">
        <v>43</v>
      </c>
      <c r="AV102" s="1" t="s">
        <v>43</v>
      </c>
      <c r="AW102" s="1" t="s">
        <v>43</v>
      </c>
      <c r="AY102" s="1">
        <f>AVERAGE(3, 1.5)*60</f>
        <v>135</v>
      </c>
      <c r="AZ102" s="1" t="s">
        <v>22</v>
      </c>
      <c r="BA102" s="1" t="s">
        <v>75</v>
      </c>
      <c r="BB102" s="1" t="s">
        <v>22</v>
      </c>
      <c r="BC102" s="1" t="s">
        <v>28</v>
      </c>
      <c r="BD102" s="1" t="s">
        <v>40</v>
      </c>
      <c r="BE102" s="1" t="s">
        <v>37</v>
      </c>
      <c r="BF102" s="1" t="s">
        <v>21</v>
      </c>
      <c r="BG102" s="1">
        <v>18</v>
      </c>
      <c r="BH102" s="1">
        <f>1.5*12</f>
        <v>18</v>
      </c>
      <c r="BI102" s="5">
        <v>2200</v>
      </c>
      <c r="BJ102" s="1" t="s">
        <v>21</v>
      </c>
      <c r="BL102" s="1" t="s">
        <v>22</v>
      </c>
      <c r="BM102" s="1" t="s">
        <v>21</v>
      </c>
      <c r="BO102" s="1" t="s">
        <v>30</v>
      </c>
      <c r="BP102" s="1">
        <v>39.299999999999997</v>
      </c>
      <c r="BQ102" s="1">
        <f>36/24</f>
        <v>1.5</v>
      </c>
      <c r="BS102" s="1">
        <v>136</v>
      </c>
      <c r="BV102" s="1" t="s">
        <v>31</v>
      </c>
      <c r="BX102" s="1" t="s">
        <v>77</v>
      </c>
      <c r="BY102" s="1" t="s">
        <v>78</v>
      </c>
      <c r="BZ102" s="1">
        <v>0</v>
      </c>
      <c r="CA102" s="1">
        <v>21</v>
      </c>
      <c r="CB102" s="1" t="s">
        <v>98</v>
      </c>
      <c r="CC102" s="13">
        <v>2200</v>
      </c>
      <c r="CD102" s="1" t="s">
        <v>8</v>
      </c>
    </row>
    <row r="103" spans="1:82" ht="17" x14ac:dyDescent="0.2">
      <c r="A103" s="1" t="s">
        <v>319</v>
      </c>
      <c r="B103" s="1" t="s">
        <v>320</v>
      </c>
      <c r="C103" s="1" t="s">
        <v>16</v>
      </c>
      <c r="D103" s="1" t="s">
        <v>17</v>
      </c>
      <c r="E103" s="5" t="s">
        <v>308</v>
      </c>
      <c r="F103" s="5" t="s">
        <v>318</v>
      </c>
      <c r="G103" s="5">
        <v>30</v>
      </c>
      <c r="H103" s="5">
        <v>30</v>
      </c>
      <c r="I103" s="19" t="s">
        <v>43</v>
      </c>
      <c r="J103" s="19" t="s">
        <v>43</v>
      </c>
      <c r="K103" s="5"/>
      <c r="L103" s="5">
        <v>35.5</v>
      </c>
      <c r="M103" s="5" t="s">
        <v>50</v>
      </c>
      <c r="P103" s="1" t="s">
        <v>21</v>
      </c>
      <c r="V103" s="5">
        <v>2130</v>
      </c>
      <c r="W103" s="1">
        <v>20.489000000000001</v>
      </c>
      <c r="X103" s="1">
        <f t="shared" si="15"/>
        <v>0.96192488262910791</v>
      </c>
      <c r="Z103" s="1" t="s">
        <v>21</v>
      </c>
      <c r="AD103" s="1" t="s">
        <v>21</v>
      </c>
      <c r="AE103" s="1" t="s">
        <v>21</v>
      </c>
      <c r="AH103" s="1" t="s">
        <v>7</v>
      </c>
      <c r="AI103" s="1" t="s">
        <v>21</v>
      </c>
      <c r="AM103" s="1">
        <v>5.6</v>
      </c>
      <c r="AN103" s="1">
        <v>78.900000000000006</v>
      </c>
      <c r="AO103" s="1" t="s">
        <v>47</v>
      </c>
      <c r="AP103" s="1" t="s">
        <v>43</v>
      </c>
      <c r="AQ103" s="2">
        <v>24</v>
      </c>
      <c r="AR103" s="2" t="s">
        <v>44</v>
      </c>
      <c r="AS103" s="1">
        <v>1.6</v>
      </c>
      <c r="AT103" s="1">
        <f>AS103*AQ103</f>
        <v>38.400000000000006</v>
      </c>
      <c r="AU103" s="1" t="s">
        <v>43</v>
      </c>
      <c r="AV103" s="1">
        <v>30.3</v>
      </c>
      <c r="AW103" s="1" t="s">
        <v>43</v>
      </c>
      <c r="BA103" s="1" t="s">
        <v>27</v>
      </c>
      <c r="BB103" s="1" t="s">
        <v>22</v>
      </c>
      <c r="BC103" s="1" t="s">
        <v>28</v>
      </c>
      <c r="BD103" s="1" t="s">
        <v>8</v>
      </c>
      <c r="BE103" s="1" t="s">
        <v>37</v>
      </c>
      <c r="BF103" s="1" t="s">
        <v>21</v>
      </c>
      <c r="BG103" s="1">
        <v>12</v>
      </c>
      <c r="BH103" s="1">
        <v>12</v>
      </c>
      <c r="BI103" s="5">
        <v>2500</v>
      </c>
      <c r="BJ103" s="1" t="s">
        <v>321</v>
      </c>
      <c r="BL103" s="1" t="s">
        <v>22</v>
      </c>
      <c r="BM103" s="1" t="s">
        <v>21</v>
      </c>
      <c r="BO103" s="1" t="s">
        <v>30</v>
      </c>
      <c r="BP103" s="1">
        <v>30</v>
      </c>
      <c r="BQ103" s="1">
        <v>1</v>
      </c>
      <c r="BS103" s="1">
        <v>120</v>
      </c>
      <c r="BV103" s="1" t="s">
        <v>31</v>
      </c>
      <c r="BX103" s="1" t="s">
        <v>77</v>
      </c>
      <c r="BY103" s="1" t="s">
        <v>78</v>
      </c>
      <c r="BZ103" s="1">
        <v>0</v>
      </c>
      <c r="CA103" s="1">
        <v>19</v>
      </c>
      <c r="CB103" s="1" t="s">
        <v>121</v>
      </c>
      <c r="CD103" s="1" t="s">
        <v>8</v>
      </c>
    </row>
    <row r="104" spans="1:82" ht="17" x14ac:dyDescent="0.2">
      <c r="A104" s="1" t="s">
        <v>322</v>
      </c>
      <c r="B104" s="1" t="s">
        <v>323</v>
      </c>
      <c r="C104" s="1" t="s">
        <v>16</v>
      </c>
      <c r="D104" s="1" t="s">
        <v>17</v>
      </c>
      <c r="E104" s="5" t="s">
        <v>308</v>
      </c>
      <c r="F104" s="5" t="s">
        <v>324</v>
      </c>
      <c r="G104" s="5">
        <v>50</v>
      </c>
      <c r="H104" s="5">
        <v>50</v>
      </c>
      <c r="I104" s="19" t="s">
        <v>43</v>
      </c>
      <c r="J104" s="19" t="s">
        <v>43</v>
      </c>
      <c r="K104" s="5"/>
      <c r="L104" s="5">
        <f>AVERAGE(24, 26.5, 20)</f>
        <v>23.5</v>
      </c>
      <c r="M104" s="5" t="s">
        <v>50</v>
      </c>
      <c r="P104" s="1" t="s">
        <v>21</v>
      </c>
      <c r="Q104" s="1" t="s">
        <v>21</v>
      </c>
      <c r="T104" s="1">
        <f>0.2+0.8</f>
        <v>1</v>
      </c>
      <c r="U104" s="1">
        <f t="shared" si="14"/>
        <v>9.4517958412098299E-2</v>
      </c>
      <c r="V104" s="5">
        <v>1058</v>
      </c>
      <c r="W104" s="1">
        <v>1.2</v>
      </c>
      <c r="X104" s="1">
        <f t="shared" si="15"/>
        <v>0.11342155009451795</v>
      </c>
      <c r="Z104" s="1" t="s">
        <v>21</v>
      </c>
      <c r="AD104" s="1" t="s">
        <v>21</v>
      </c>
      <c r="AE104" s="1" t="s">
        <v>22</v>
      </c>
      <c r="AH104" s="1" t="s">
        <v>7</v>
      </c>
      <c r="AM104" s="1">
        <v>7.5</v>
      </c>
      <c r="AN104" s="1">
        <v>48.75</v>
      </c>
      <c r="AO104" s="13" t="s">
        <v>47</v>
      </c>
      <c r="AP104" s="1" t="s">
        <v>43</v>
      </c>
      <c r="AQ104" s="1" t="s">
        <v>43</v>
      </c>
      <c r="AR104" s="1" t="s">
        <v>43</v>
      </c>
      <c r="AS104" s="1" t="s">
        <v>43</v>
      </c>
      <c r="AT104" s="1" t="s">
        <v>43</v>
      </c>
      <c r="AU104" s="1" t="s">
        <v>43</v>
      </c>
      <c r="AV104" s="1" t="s">
        <v>43</v>
      </c>
      <c r="AW104" s="1" t="s">
        <v>43</v>
      </c>
      <c r="BA104" s="1" t="s">
        <v>103</v>
      </c>
      <c r="BC104" s="1" t="s">
        <v>8</v>
      </c>
      <c r="BD104" s="1" t="s">
        <v>8</v>
      </c>
      <c r="BE104" s="1" t="s">
        <v>22</v>
      </c>
      <c r="BG104" s="1">
        <v>17</v>
      </c>
      <c r="BH104" s="1">
        <v>17</v>
      </c>
      <c r="BI104" s="5">
        <v>640</v>
      </c>
      <c r="BJ104" s="1" t="s">
        <v>321</v>
      </c>
      <c r="BL104" s="1" t="s">
        <v>22</v>
      </c>
      <c r="BM104" s="1" t="s">
        <v>21</v>
      </c>
      <c r="BO104" s="1" t="s">
        <v>30</v>
      </c>
      <c r="BP104" s="1">
        <v>36.4</v>
      </c>
      <c r="BQ104" s="1">
        <f>AVERAGE(1, 2.1)</f>
        <v>1.55</v>
      </c>
      <c r="BS104" s="1">
        <v>191</v>
      </c>
      <c r="BV104" s="1" t="s">
        <v>31</v>
      </c>
      <c r="BZ104" s="1">
        <v>0</v>
      </c>
      <c r="CB104" s="1" t="s">
        <v>98</v>
      </c>
      <c r="CD104" s="1" t="s">
        <v>8</v>
      </c>
    </row>
    <row r="105" spans="1:82" ht="17" x14ac:dyDescent="0.2">
      <c r="A105" s="1" t="s">
        <v>325</v>
      </c>
      <c r="B105" s="1" t="s">
        <v>326</v>
      </c>
      <c r="C105" s="1" t="s">
        <v>16</v>
      </c>
      <c r="D105" s="1" t="s">
        <v>17</v>
      </c>
      <c r="E105" s="5" t="s">
        <v>308</v>
      </c>
      <c r="F105" s="5" t="s">
        <v>327</v>
      </c>
      <c r="G105" s="5">
        <v>48</v>
      </c>
      <c r="H105" s="5">
        <v>48</v>
      </c>
      <c r="I105" s="19">
        <v>20654</v>
      </c>
      <c r="J105" s="19">
        <v>7476</v>
      </c>
      <c r="K105" s="5"/>
      <c r="L105" s="5">
        <f>AVERAGE(47, 39.3, 40, 54, 38.3)</f>
        <v>43.720000000000006</v>
      </c>
      <c r="M105" s="5" t="s">
        <v>50</v>
      </c>
      <c r="O105" s="1" t="s">
        <v>21</v>
      </c>
      <c r="P105" s="1" t="s">
        <v>21</v>
      </c>
      <c r="V105" s="5">
        <v>134000</v>
      </c>
      <c r="W105" s="1">
        <v>23.2</v>
      </c>
      <c r="X105" s="1">
        <f t="shared" si="15"/>
        <v>1.7313432835820895E-2</v>
      </c>
      <c r="Y105" s="1" t="s">
        <v>23</v>
      </c>
      <c r="Z105" s="1" t="s">
        <v>21</v>
      </c>
      <c r="AD105" s="1" t="s">
        <v>21</v>
      </c>
      <c r="AE105" s="1" t="s">
        <v>21</v>
      </c>
      <c r="AM105" s="1">
        <v>4.78</v>
      </c>
      <c r="AN105" s="1">
        <v>61.17</v>
      </c>
      <c r="AP105" s="1" t="s">
        <v>43</v>
      </c>
      <c r="AQ105" s="2">
        <v>39.5</v>
      </c>
      <c r="AR105" s="2" t="s">
        <v>44</v>
      </c>
      <c r="AS105" s="1">
        <v>0.4</v>
      </c>
      <c r="AT105" s="1">
        <f t="shared" ref="AT105:AT110" si="18">AS105*AQ105</f>
        <v>15.8</v>
      </c>
      <c r="AU105" s="1">
        <v>38</v>
      </c>
      <c r="AV105" s="1">
        <v>47</v>
      </c>
      <c r="AW105" s="1">
        <v>53</v>
      </c>
      <c r="BA105" s="1" t="s">
        <v>27</v>
      </c>
      <c r="BB105" s="1" t="s">
        <v>22</v>
      </c>
      <c r="BC105" s="1" t="s">
        <v>28</v>
      </c>
      <c r="BD105" s="1" t="s">
        <v>8</v>
      </c>
      <c r="BE105" s="1" t="s">
        <v>22</v>
      </c>
      <c r="BF105" s="1" t="s">
        <v>22</v>
      </c>
      <c r="BG105" s="1">
        <v>132</v>
      </c>
      <c r="BH105" s="1">
        <v>96</v>
      </c>
      <c r="BI105" s="5">
        <v>71500</v>
      </c>
      <c r="BJ105" s="1" t="s">
        <v>22</v>
      </c>
      <c r="BL105" s="1" t="s">
        <v>22</v>
      </c>
      <c r="BM105" s="1" t="s">
        <v>21</v>
      </c>
      <c r="BO105" s="1" t="s">
        <v>30</v>
      </c>
      <c r="BP105" s="1">
        <v>31</v>
      </c>
      <c r="BQ105" s="1">
        <v>3.5</v>
      </c>
      <c r="BR105" s="1">
        <f>33.5*12</f>
        <v>402</v>
      </c>
      <c r="BS105" s="1">
        <v>267</v>
      </c>
      <c r="BV105" s="1" t="s">
        <v>238</v>
      </c>
      <c r="BX105" s="1" t="s">
        <v>158</v>
      </c>
      <c r="BY105" s="1" t="s">
        <v>135</v>
      </c>
      <c r="BZ105" s="1">
        <v>0</v>
      </c>
      <c r="CA105" s="1">
        <v>182</v>
      </c>
      <c r="CB105" s="1" t="s">
        <v>88</v>
      </c>
      <c r="CC105" s="13">
        <v>100000</v>
      </c>
      <c r="CD105" s="1" t="s">
        <v>8</v>
      </c>
    </row>
    <row r="106" spans="1:82" ht="17" x14ac:dyDescent="0.2">
      <c r="A106" s="1" t="s">
        <v>328</v>
      </c>
      <c r="B106" s="1" t="s">
        <v>329</v>
      </c>
      <c r="C106" s="1" t="s">
        <v>16</v>
      </c>
      <c r="D106" s="1" t="s">
        <v>17</v>
      </c>
      <c r="E106" s="5" t="s">
        <v>308</v>
      </c>
      <c r="F106" s="5" t="s">
        <v>327</v>
      </c>
      <c r="G106" s="5">
        <v>48</v>
      </c>
      <c r="H106" s="5">
        <v>48</v>
      </c>
      <c r="I106" s="19">
        <v>21522</v>
      </c>
      <c r="J106" s="19">
        <v>11689</v>
      </c>
      <c r="K106" s="5"/>
      <c r="L106" s="5">
        <f>AVERAGE(56, 44.5, 53, 40, 59.4, 40.6)</f>
        <v>48.916666666666664</v>
      </c>
      <c r="M106" s="5" t="s">
        <v>50</v>
      </c>
      <c r="O106" s="1" t="s">
        <v>21</v>
      </c>
      <c r="P106" s="1" t="s">
        <v>21</v>
      </c>
      <c r="Q106" s="1" t="s">
        <v>21</v>
      </c>
      <c r="V106" s="5">
        <v>44340</v>
      </c>
      <c r="W106" s="1">
        <v>118.8</v>
      </c>
      <c r="X106" s="1">
        <f t="shared" si="15"/>
        <v>0.26792963464140729</v>
      </c>
      <c r="Y106" s="1" t="s">
        <v>23</v>
      </c>
      <c r="Z106" s="1" t="s">
        <v>21</v>
      </c>
      <c r="AD106" s="1" t="s">
        <v>21</v>
      </c>
      <c r="AE106" s="1" t="s">
        <v>21</v>
      </c>
      <c r="AJ106" s="1">
        <v>14</v>
      </c>
      <c r="AK106" s="1">
        <f>AJ106*4.5</f>
        <v>63</v>
      </c>
      <c r="AM106" s="1">
        <v>4.68</v>
      </c>
      <c r="AN106" s="1">
        <v>57.36</v>
      </c>
      <c r="AP106" s="1">
        <v>984</v>
      </c>
      <c r="AQ106" s="2">
        <v>2561</v>
      </c>
      <c r="AR106" s="2" t="s">
        <v>26</v>
      </c>
      <c r="AS106" s="1">
        <v>3.4</v>
      </c>
      <c r="AT106" s="1">
        <f t="shared" si="18"/>
        <v>8707.4</v>
      </c>
      <c r="AU106" s="1">
        <f>AVERAGE(76, 55)</f>
        <v>65.5</v>
      </c>
      <c r="AV106" s="1">
        <v>98</v>
      </c>
      <c r="AW106" s="1">
        <f>AVERAGE(80, 76)</f>
        <v>78</v>
      </c>
      <c r="BA106" s="1" t="s">
        <v>75</v>
      </c>
      <c r="BB106" s="1" t="s">
        <v>21</v>
      </c>
      <c r="BC106" s="1" t="s">
        <v>28</v>
      </c>
      <c r="BD106" s="1" t="s">
        <v>8</v>
      </c>
      <c r="BE106" s="1" t="s">
        <v>22</v>
      </c>
      <c r="BF106" s="1" t="s">
        <v>21</v>
      </c>
      <c r="BI106" s="5">
        <v>45800</v>
      </c>
      <c r="BJ106" s="1" t="s">
        <v>22</v>
      </c>
      <c r="BK106" s="1" t="s">
        <v>29</v>
      </c>
      <c r="BL106" s="1" t="s">
        <v>22</v>
      </c>
      <c r="BM106" s="1" t="s">
        <v>21</v>
      </c>
      <c r="BO106" s="1" t="s">
        <v>30</v>
      </c>
      <c r="BP106" s="1">
        <v>36</v>
      </c>
      <c r="BQ106" s="1">
        <f>AVERAGE(14, 6.5)</f>
        <v>10.25</v>
      </c>
      <c r="BR106" s="1">
        <f>38*12</f>
        <v>456</v>
      </c>
      <c r="BS106" s="1">
        <v>240</v>
      </c>
      <c r="BV106" s="1" t="s">
        <v>238</v>
      </c>
      <c r="BX106" s="1" t="s">
        <v>158</v>
      </c>
      <c r="BY106" s="1" t="s">
        <v>135</v>
      </c>
      <c r="BZ106" s="1">
        <v>0</v>
      </c>
      <c r="CA106" s="1">
        <v>260</v>
      </c>
      <c r="CB106" s="1" t="s">
        <v>98</v>
      </c>
      <c r="CC106" s="13">
        <v>299700</v>
      </c>
      <c r="CD106" s="1" t="s">
        <v>9</v>
      </c>
    </row>
    <row r="107" spans="1:82" ht="34" x14ac:dyDescent="0.2">
      <c r="A107" s="1" t="s">
        <v>330</v>
      </c>
      <c r="B107" s="1" t="s">
        <v>331</v>
      </c>
      <c r="C107" s="1" t="s">
        <v>16</v>
      </c>
      <c r="D107" s="1" t="s">
        <v>17</v>
      </c>
      <c r="E107" s="5" t="s">
        <v>332</v>
      </c>
      <c r="F107" s="5" t="s">
        <v>333</v>
      </c>
      <c r="G107" s="5">
        <v>56</v>
      </c>
      <c r="H107" s="5">
        <v>56</v>
      </c>
      <c r="I107" s="19">
        <v>21094</v>
      </c>
      <c r="J107" s="19">
        <v>3894</v>
      </c>
      <c r="K107" s="5"/>
      <c r="L107" s="5">
        <v>65</v>
      </c>
      <c r="M107" s="5" t="s">
        <v>20</v>
      </c>
      <c r="O107" s="1" t="s">
        <v>21</v>
      </c>
      <c r="P107" s="1" t="s">
        <v>21</v>
      </c>
      <c r="Q107" s="1" t="s">
        <v>21</v>
      </c>
      <c r="T107" s="1">
        <f>945+845.9</f>
        <v>1790.9</v>
      </c>
      <c r="U107" s="1">
        <f t="shared" si="14"/>
        <v>3.812250545473897E-2</v>
      </c>
      <c r="V107" s="5">
        <f>AVERAGE(5030000, 4365500)</f>
        <v>4697750</v>
      </c>
      <c r="W107" s="1">
        <f>AVERAGE(3065, 4530)</f>
        <v>3797.5</v>
      </c>
      <c r="X107" s="1">
        <f t="shared" si="15"/>
        <v>8.0836570698738758E-2</v>
      </c>
      <c r="Y107" s="1" t="s">
        <v>30</v>
      </c>
      <c r="Z107" s="1" t="s">
        <v>21</v>
      </c>
      <c r="AD107" s="1" t="s">
        <v>21</v>
      </c>
      <c r="AE107" s="1" t="s">
        <v>22</v>
      </c>
      <c r="AM107" s="1">
        <v>6.8</v>
      </c>
      <c r="AN107" s="1">
        <v>60.9</v>
      </c>
      <c r="AO107" s="13" t="s">
        <v>50</v>
      </c>
      <c r="AP107" s="1" t="s">
        <v>43</v>
      </c>
      <c r="AQ107" s="2">
        <v>904.2</v>
      </c>
      <c r="AR107" s="2" t="s">
        <v>44</v>
      </c>
      <c r="AS107" s="1">
        <f>AVERAGE(59.7, 52.1)</f>
        <v>55.900000000000006</v>
      </c>
      <c r="AT107" s="1">
        <f t="shared" si="18"/>
        <v>50544.780000000006</v>
      </c>
      <c r="AU107" s="1">
        <f>AVERAGE(80.5, 51.5)</f>
        <v>66</v>
      </c>
      <c r="AV107" s="1">
        <f>AVERAGE(55.7, 60.2)</f>
        <v>57.95</v>
      </c>
      <c r="AW107" s="1" t="s">
        <v>43</v>
      </c>
      <c r="BA107" s="1" t="s">
        <v>27</v>
      </c>
      <c r="BB107" s="1" t="s">
        <v>22</v>
      </c>
      <c r="BC107" s="1" t="s">
        <v>28</v>
      </c>
      <c r="BD107" s="1" t="s">
        <v>8</v>
      </c>
      <c r="BE107" s="1" t="s">
        <v>22</v>
      </c>
      <c r="BG107" s="1">
        <f>7*12</f>
        <v>84</v>
      </c>
      <c r="BH107" s="1">
        <f>8*12</f>
        <v>96</v>
      </c>
      <c r="BI107" s="5">
        <v>2510000</v>
      </c>
      <c r="BJ107" s="1" t="s">
        <v>22</v>
      </c>
      <c r="BL107" s="1" t="s">
        <v>22</v>
      </c>
      <c r="BM107" s="1" t="s">
        <v>21</v>
      </c>
      <c r="BO107" s="1" t="s">
        <v>30</v>
      </c>
      <c r="BP107" s="1">
        <f>19.5*7</f>
        <v>136.5</v>
      </c>
      <c r="BQ107" s="1">
        <v>3</v>
      </c>
      <c r="BR107" s="1">
        <f>69*12</f>
        <v>828</v>
      </c>
      <c r="BS107" s="1">
        <v>653</v>
      </c>
      <c r="BV107" s="1" t="s">
        <v>31</v>
      </c>
      <c r="BX107" s="1" t="s">
        <v>105</v>
      </c>
      <c r="BY107" s="1" t="s">
        <v>56</v>
      </c>
      <c r="BZ107" s="1">
        <v>0</v>
      </c>
      <c r="CA107" s="1">
        <v>182</v>
      </c>
      <c r="CB107" s="1" t="s">
        <v>98</v>
      </c>
      <c r="CC107" s="13">
        <v>415428</v>
      </c>
      <c r="CD107" s="1" t="s">
        <v>9</v>
      </c>
    </row>
    <row r="108" spans="1:82" ht="34" x14ac:dyDescent="0.2">
      <c r="A108" s="1" t="s">
        <v>334</v>
      </c>
      <c r="B108" s="1" t="s">
        <v>335</v>
      </c>
      <c r="C108" s="1" t="s">
        <v>16</v>
      </c>
      <c r="D108" s="1" t="s">
        <v>17</v>
      </c>
      <c r="E108" s="5" t="s">
        <v>332</v>
      </c>
      <c r="F108" s="5" t="s">
        <v>333</v>
      </c>
      <c r="G108" s="5">
        <v>56</v>
      </c>
      <c r="H108" s="5">
        <v>56</v>
      </c>
      <c r="I108" s="19" t="s">
        <v>43</v>
      </c>
      <c r="J108" s="19" t="s">
        <v>43</v>
      </c>
      <c r="K108" s="5"/>
      <c r="L108" s="5">
        <v>65</v>
      </c>
      <c r="M108" s="5" t="s">
        <v>20</v>
      </c>
      <c r="O108" s="1" t="s">
        <v>21</v>
      </c>
      <c r="P108" s="1" t="s">
        <v>21</v>
      </c>
      <c r="Q108" s="1" t="s">
        <v>21</v>
      </c>
      <c r="V108" s="5">
        <v>4545400</v>
      </c>
      <c r="W108" s="1">
        <v>4000</v>
      </c>
      <c r="X108" s="1">
        <f t="shared" si="15"/>
        <v>8.8001056012672163E-2</v>
      </c>
      <c r="Y108" s="1" t="s">
        <v>30</v>
      </c>
      <c r="Z108" s="1" t="s">
        <v>21</v>
      </c>
      <c r="AD108" s="1" t="s">
        <v>21</v>
      </c>
      <c r="AE108" s="1" t="s">
        <v>22</v>
      </c>
      <c r="AI108" s="1" t="s">
        <v>21</v>
      </c>
      <c r="AM108" s="1">
        <v>7.9</v>
      </c>
      <c r="AN108" s="1">
        <v>55.93</v>
      </c>
      <c r="AP108" s="1" t="s">
        <v>43</v>
      </c>
      <c r="AQ108" s="2">
        <v>1372.9</v>
      </c>
      <c r="AR108" s="2" t="s">
        <v>26</v>
      </c>
      <c r="AS108" s="1">
        <v>32.64</v>
      </c>
      <c r="AT108" s="1">
        <f t="shared" si="18"/>
        <v>44811.456000000006</v>
      </c>
      <c r="AU108" s="1">
        <v>47.9</v>
      </c>
      <c r="AV108" s="1">
        <v>72.099999999999994</v>
      </c>
      <c r="AW108" s="1">
        <v>61.4</v>
      </c>
      <c r="BA108" s="1" t="s">
        <v>27</v>
      </c>
      <c r="BB108" s="1" t="s">
        <v>22</v>
      </c>
      <c r="BC108" s="1" t="s">
        <v>28</v>
      </c>
      <c r="BD108" s="1" t="s">
        <v>8</v>
      </c>
      <c r="BE108" s="1" t="s">
        <v>22</v>
      </c>
      <c r="BG108" s="1">
        <f>3.5*12</f>
        <v>42</v>
      </c>
      <c r="BI108" s="5">
        <v>2636000</v>
      </c>
      <c r="BJ108" s="1" t="s">
        <v>22</v>
      </c>
      <c r="BL108" s="1" t="s">
        <v>22</v>
      </c>
      <c r="BM108" s="1" t="s">
        <v>21</v>
      </c>
      <c r="BO108" s="1" t="s">
        <v>30</v>
      </c>
      <c r="BP108" s="1">
        <v>108</v>
      </c>
      <c r="BQ108" s="1">
        <v>2.5</v>
      </c>
      <c r="BR108" s="1">
        <f>53*12</f>
        <v>636</v>
      </c>
      <c r="BS108" s="1">
        <v>608</v>
      </c>
      <c r="BV108" s="1" t="s">
        <v>31</v>
      </c>
      <c r="BX108" s="1" t="s">
        <v>105</v>
      </c>
      <c r="BY108" s="1" t="s">
        <v>56</v>
      </c>
      <c r="BZ108" s="1">
        <v>0</v>
      </c>
      <c r="CA108" s="1">
        <v>104</v>
      </c>
      <c r="CB108" s="1" t="s">
        <v>98</v>
      </c>
      <c r="CC108" s="13">
        <v>51680</v>
      </c>
      <c r="CD108" s="1" t="s">
        <v>9</v>
      </c>
    </row>
    <row r="109" spans="1:82" ht="17" x14ac:dyDescent="0.2">
      <c r="A109" s="1" t="s">
        <v>336</v>
      </c>
      <c r="B109" s="1" t="s">
        <v>337</v>
      </c>
      <c r="C109" s="1" t="s">
        <v>16</v>
      </c>
      <c r="D109" s="1" t="s">
        <v>17</v>
      </c>
      <c r="E109" s="5" t="s">
        <v>338</v>
      </c>
      <c r="F109" s="5" t="s">
        <v>339</v>
      </c>
      <c r="G109" s="5">
        <v>32</v>
      </c>
      <c r="H109" s="5">
        <v>32</v>
      </c>
      <c r="I109" s="19">
        <v>19976</v>
      </c>
      <c r="J109" s="19">
        <v>5985</v>
      </c>
      <c r="K109" s="5"/>
      <c r="L109" s="5">
        <f>AVERAGE(4, 8)</f>
        <v>6</v>
      </c>
      <c r="M109" s="5" t="s">
        <v>20</v>
      </c>
      <c r="P109" s="1" t="s">
        <v>21</v>
      </c>
      <c r="V109" s="5">
        <v>813</v>
      </c>
      <c r="W109" s="1">
        <f>AVERAGE(2.01, 4.1)</f>
        <v>3.0549999999999997</v>
      </c>
      <c r="X109" s="1">
        <f t="shared" si="15"/>
        <v>0.37576875768757684</v>
      </c>
      <c r="Y109" s="1" t="s">
        <v>23</v>
      </c>
      <c r="Z109" s="1" t="s">
        <v>21</v>
      </c>
      <c r="AD109" s="1" t="s">
        <v>21</v>
      </c>
      <c r="AE109" s="1" t="s">
        <v>21</v>
      </c>
      <c r="AJ109" s="1">
        <v>8.4499999999999993</v>
      </c>
      <c r="AK109" s="1">
        <f>AJ109*4.5</f>
        <v>38.024999999999999</v>
      </c>
      <c r="AM109" s="1">
        <f>AVERAGE(9.19, 10.87)</f>
        <v>10.029999999999999</v>
      </c>
      <c r="AN109" s="7">
        <f>AVERAGE(99.15, 114.07)</f>
        <v>106.61</v>
      </c>
      <c r="AP109" s="1">
        <v>196</v>
      </c>
      <c r="AQ109" s="2">
        <v>36.700000000000003</v>
      </c>
      <c r="AR109" s="2" t="s">
        <v>44</v>
      </c>
      <c r="AS109" s="1">
        <v>0.67</v>
      </c>
      <c r="AT109" s="1">
        <f t="shared" si="18"/>
        <v>24.589000000000002</v>
      </c>
      <c r="AU109" s="1">
        <f>AVERAGE(91, 66)</f>
        <v>78.5</v>
      </c>
      <c r="AV109" s="1">
        <f>AVERAGE(81.74, 95)</f>
        <v>88.37</v>
      </c>
      <c r="AW109" s="1" t="s">
        <v>43</v>
      </c>
      <c r="AX109" s="1">
        <v>0.9</v>
      </c>
      <c r="AZ109" s="1" t="s">
        <v>22</v>
      </c>
      <c r="BA109" s="1" t="s">
        <v>27</v>
      </c>
      <c r="BB109" s="1" t="s">
        <v>22</v>
      </c>
      <c r="BC109" s="1" t="s">
        <v>28</v>
      </c>
      <c r="BD109" s="1" t="s">
        <v>40</v>
      </c>
      <c r="BE109" s="1" t="s">
        <v>22</v>
      </c>
      <c r="BG109" s="1">
        <f>45/30</f>
        <v>1.5</v>
      </c>
      <c r="BH109" s="1">
        <v>2</v>
      </c>
      <c r="BI109" s="5">
        <v>535</v>
      </c>
      <c r="BJ109" s="1" t="s">
        <v>21</v>
      </c>
      <c r="BK109" s="1" t="s">
        <v>29</v>
      </c>
      <c r="BL109" s="1" t="s">
        <v>22</v>
      </c>
      <c r="BM109" s="1" t="s">
        <v>21</v>
      </c>
      <c r="BO109" s="1" t="s">
        <v>30</v>
      </c>
      <c r="BP109" s="1">
        <v>16</v>
      </c>
      <c r="BQ109" s="1">
        <f>(AVERAGE(6, 11))/24</f>
        <v>0.35416666666666669</v>
      </c>
      <c r="BS109" s="1">
        <v>67</v>
      </c>
      <c r="BV109" s="1" t="s">
        <v>260</v>
      </c>
      <c r="BX109" s="1" t="s">
        <v>158</v>
      </c>
      <c r="BY109" s="1" t="s">
        <v>135</v>
      </c>
      <c r="BZ109" s="1">
        <v>0</v>
      </c>
      <c r="CA109" s="1">
        <v>3</v>
      </c>
      <c r="CB109" s="1" t="s">
        <v>34</v>
      </c>
      <c r="CD109" s="1" t="s">
        <v>9</v>
      </c>
    </row>
    <row r="110" spans="1:82" ht="17" x14ac:dyDescent="0.2">
      <c r="A110" s="1" t="s">
        <v>340</v>
      </c>
      <c r="B110" s="1" t="s">
        <v>341</v>
      </c>
      <c r="C110" s="1" t="s">
        <v>16</v>
      </c>
      <c r="D110" s="1" t="s">
        <v>17</v>
      </c>
      <c r="E110" s="5" t="s">
        <v>338</v>
      </c>
      <c r="F110" s="5" t="s">
        <v>339</v>
      </c>
      <c r="G110" s="5">
        <v>66</v>
      </c>
      <c r="H110" s="5">
        <v>66</v>
      </c>
      <c r="I110" s="19" t="s">
        <v>43</v>
      </c>
      <c r="J110" s="19" t="s">
        <v>43</v>
      </c>
      <c r="K110" s="5"/>
      <c r="L110" s="5">
        <v>12</v>
      </c>
      <c r="M110" s="5" t="s">
        <v>20</v>
      </c>
      <c r="P110" s="1" t="s">
        <v>21</v>
      </c>
      <c r="Q110" s="1" t="s">
        <v>21</v>
      </c>
      <c r="T110" s="1">
        <f>7.8+4.3</f>
        <v>12.1</v>
      </c>
      <c r="U110" s="1">
        <f t="shared" si="14"/>
        <v>2.1113243761996161E-2</v>
      </c>
      <c r="V110" s="5">
        <f>AVERAGE(54230, 58850, 58850)</f>
        <v>57310</v>
      </c>
      <c r="W110" s="1">
        <f>AVERAGE(72.5, 40.85, 40.85)</f>
        <v>51.4</v>
      </c>
      <c r="X110" s="1">
        <f t="shared" si="15"/>
        <v>8.9687663584016752E-2</v>
      </c>
      <c r="Z110" s="1" t="s">
        <v>21</v>
      </c>
      <c r="AD110" s="1" t="s">
        <v>21</v>
      </c>
      <c r="AE110" s="1" t="s">
        <v>21</v>
      </c>
      <c r="AJ110" s="1">
        <v>11.9</v>
      </c>
      <c r="AK110" s="1">
        <f>AJ110*4.5</f>
        <v>53.550000000000004</v>
      </c>
      <c r="AM110" s="1">
        <v>5.41</v>
      </c>
      <c r="AN110" s="7">
        <v>58.02</v>
      </c>
      <c r="AQ110" s="2">
        <v>127</v>
      </c>
      <c r="AR110" s="2" t="s">
        <v>44</v>
      </c>
      <c r="AS110" s="1">
        <v>0.13500000000000001</v>
      </c>
      <c r="AT110" s="1">
        <f t="shared" si="18"/>
        <v>17.145</v>
      </c>
      <c r="AU110" s="1">
        <v>32.6</v>
      </c>
      <c r="AV110" s="1">
        <v>51.3</v>
      </c>
      <c r="AW110" s="1">
        <v>51.3</v>
      </c>
      <c r="BA110" s="1" t="s">
        <v>75</v>
      </c>
      <c r="BB110" s="1" t="s">
        <v>22</v>
      </c>
      <c r="BC110" s="1" t="s">
        <v>28</v>
      </c>
      <c r="BD110" s="1" t="s">
        <v>40</v>
      </c>
      <c r="BE110" s="1" t="s">
        <v>22</v>
      </c>
      <c r="BG110" s="1">
        <v>6</v>
      </c>
      <c r="BH110" s="1">
        <v>6</v>
      </c>
      <c r="BI110" s="5">
        <v>62000</v>
      </c>
      <c r="BJ110" s="1" t="s">
        <v>21</v>
      </c>
      <c r="BL110" s="1" t="s">
        <v>22</v>
      </c>
      <c r="BM110" s="1" t="s">
        <v>21</v>
      </c>
      <c r="BO110" s="1" t="s">
        <v>30</v>
      </c>
      <c r="BP110" s="1">
        <v>7.5</v>
      </c>
      <c r="BQ110" s="1">
        <f>8/24</f>
        <v>0.33333333333333331</v>
      </c>
      <c r="BS110" s="1">
        <v>150</v>
      </c>
      <c r="BV110" s="1" t="s">
        <v>76</v>
      </c>
      <c r="BX110" s="1" t="s">
        <v>158</v>
      </c>
      <c r="BY110" s="1" t="s">
        <v>135</v>
      </c>
      <c r="BZ110" s="1">
        <v>0</v>
      </c>
      <c r="CA110" s="1">
        <f>45/7</f>
        <v>6.4285714285714288</v>
      </c>
      <c r="CB110" s="1" t="s">
        <v>34</v>
      </c>
      <c r="CD110" s="1" t="s">
        <v>8</v>
      </c>
    </row>
    <row r="111" spans="1:82" ht="17" x14ac:dyDescent="0.2">
      <c r="A111" s="1" t="s">
        <v>342</v>
      </c>
      <c r="B111" s="1" t="s">
        <v>343</v>
      </c>
      <c r="C111" s="1" t="s">
        <v>16</v>
      </c>
      <c r="D111" s="1" t="s">
        <v>17</v>
      </c>
      <c r="E111" s="5" t="s">
        <v>338</v>
      </c>
      <c r="F111" s="5" t="s">
        <v>344</v>
      </c>
      <c r="G111" s="5">
        <v>44</v>
      </c>
      <c r="H111" s="5">
        <v>44</v>
      </c>
      <c r="I111" s="19">
        <v>21616</v>
      </c>
      <c r="J111" s="19">
        <v>10459</v>
      </c>
      <c r="K111" s="5"/>
      <c r="L111" s="5">
        <v>2.5</v>
      </c>
      <c r="M111" s="5" t="s">
        <v>50</v>
      </c>
      <c r="N111" s="1">
        <v>4</v>
      </c>
      <c r="O111" s="1" t="s">
        <v>22</v>
      </c>
      <c r="P111" s="1" t="s">
        <v>21</v>
      </c>
      <c r="Q111" s="1" t="s">
        <v>21</v>
      </c>
      <c r="R111" s="1" t="s">
        <v>21</v>
      </c>
      <c r="S111" s="1" t="s">
        <v>21</v>
      </c>
      <c r="T111" s="1">
        <f>0.13+0.022</f>
        <v>0.152</v>
      </c>
      <c r="U111" s="1">
        <f t="shared" si="14"/>
        <v>0.14615384615384616</v>
      </c>
      <c r="V111" s="5">
        <f>AVERAGE(100, 108)</f>
        <v>104</v>
      </c>
      <c r="W111" s="1">
        <f>AVERAGE(3.04, 3.5, 3.17)</f>
        <v>3.2366666666666668</v>
      </c>
      <c r="X111" s="1">
        <f t="shared" si="15"/>
        <v>3.1121794871794872</v>
      </c>
      <c r="Y111" s="1" t="s">
        <v>23</v>
      </c>
      <c r="Z111" s="1" t="s">
        <v>21</v>
      </c>
      <c r="AA111" s="1">
        <v>0.5</v>
      </c>
      <c r="AB111" s="1">
        <f t="shared" ref="AB111:AB114" si="19">AA111/V111*100</f>
        <v>0.48076923076923078</v>
      </c>
      <c r="AD111" s="1" t="s">
        <v>21</v>
      </c>
      <c r="AE111" s="1" t="s">
        <v>21</v>
      </c>
      <c r="AJ111" s="1">
        <v>8.74</v>
      </c>
      <c r="AK111" s="1">
        <f>AJ111*4.5</f>
        <v>39.33</v>
      </c>
      <c r="AL111" s="1">
        <f>AVERAGE(15.6, 15.3)</f>
        <v>15.45</v>
      </c>
      <c r="AM111" s="1">
        <v>15.2</v>
      </c>
      <c r="AN111" s="7">
        <v>186.7</v>
      </c>
      <c r="AP111" s="1">
        <f>AVERAGE(1020, 1130)</f>
        <v>1075</v>
      </c>
      <c r="AQ111" s="1" t="s">
        <v>43</v>
      </c>
      <c r="AR111" s="1" t="s">
        <v>43</v>
      </c>
      <c r="AS111" s="1" t="s">
        <v>43</v>
      </c>
      <c r="AT111" s="1" t="s">
        <v>43</v>
      </c>
      <c r="AU111" s="1">
        <v>68</v>
      </c>
      <c r="AV111" s="1" t="s">
        <v>43</v>
      </c>
      <c r="AW111" s="1" t="s">
        <v>43</v>
      </c>
      <c r="AY111" s="1">
        <v>2.4</v>
      </c>
      <c r="AZ111" s="1" t="s">
        <v>21</v>
      </c>
      <c r="BA111" s="1" t="s">
        <v>27</v>
      </c>
      <c r="BB111" s="1" t="s">
        <v>22</v>
      </c>
      <c r="BC111" s="1" t="s">
        <v>8</v>
      </c>
      <c r="BD111" s="1" t="s">
        <v>40</v>
      </c>
      <c r="BE111" s="1" t="s">
        <v>8</v>
      </c>
      <c r="BG111" s="1">
        <f>45/30</f>
        <v>1.5</v>
      </c>
      <c r="BH111" s="1">
        <f>45/30</f>
        <v>1.5</v>
      </c>
      <c r="BI111" s="5">
        <v>110</v>
      </c>
      <c r="BJ111" s="1" t="s">
        <v>21</v>
      </c>
      <c r="BK111" s="1" t="s">
        <v>29</v>
      </c>
      <c r="BL111" s="1" t="s">
        <v>22</v>
      </c>
      <c r="BM111" s="1" t="s">
        <v>21</v>
      </c>
      <c r="BO111" s="1" t="s">
        <v>30</v>
      </c>
      <c r="BP111" s="1">
        <v>4</v>
      </c>
      <c r="BQ111" s="1">
        <v>0.5</v>
      </c>
      <c r="BS111" s="1">
        <v>16</v>
      </c>
      <c r="BV111" s="1" t="s">
        <v>260</v>
      </c>
      <c r="BX111" s="1" t="s">
        <v>158</v>
      </c>
      <c r="BY111" s="1" t="s">
        <v>135</v>
      </c>
      <c r="BZ111" s="1">
        <v>16</v>
      </c>
      <c r="CA111" s="1">
        <v>3.5</v>
      </c>
      <c r="CB111" s="1" t="s">
        <v>121</v>
      </c>
      <c r="CD111" s="1" t="s">
        <v>22</v>
      </c>
    </row>
    <row r="112" spans="1:82" x14ac:dyDescent="0.2">
      <c r="A112" s="1" t="s">
        <v>345</v>
      </c>
      <c r="B112" s="1" t="s">
        <v>346</v>
      </c>
      <c r="C112" s="1" t="s">
        <v>16</v>
      </c>
      <c r="D112" s="1" t="s">
        <v>17</v>
      </c>
      <c r="E112" s="1" t="s">
        <v>338</v>
      </c>
      <c r="F112" s="7" t="s">
        <v>347</v>
      </c>
      <c r="G112" s="7">
        <v>60</v>
      </c>
      <c r="H112" s="7">
        <v>60</v>
      </c>
      <c r="I112" s="21">
        <v>20063</v>
      </c>
      <c r="J112" s="21">
        <v>6929</v>
      </c>
      <c r="K112" s="7"/>
      <c r="L112" s="7">
        <f>AVERAGE(22,28)</f>
        <v>25</v>
      </c>
      <c r="M112" s="7" t="s">
        <v>20</v>
      </c>
      <c r="N112" s="1">
        <v>2</v>
      </c>
      <c r="O112" s="1" t="s">
        <v>22</v>
      </c>
      <c r="P112" s="1" t="s">
        <v>21</v>
      </c>
      <c r="Q112" s="1" t="s">
        <v>21</v>
      </c>
      <c r="R112" s="1" t="s">
        <v>22</v>
      </c>
      <c r="S112" s="1" t="s">
        <v>22</v>
      </c>
      <c r="T112" s="1">
        <v>5.0000000000000001E-4</v>
      </c>
      <c r="U112" s="1">
        <f t="shared" si="14"/>
        <v>1.5243902439024393E-3</v>
      </c>
      <c r="V112" s="1">
        <v>32.799999999999997</v>
      </c>
      <c r="W112" s="1">
        <v>2.12</v>
      </c>
      <c r="X112" s="1">
        <f t="shared" si="15"/>
        <v>6.4634146341463428</v>
      </c>
      <c r="Y112" s="1" t="s">
        <v>30</v>
      </c>
      <c r="Z112" s="1" t="s">
        <v>21</v>
      </c>
      <c r="AC112" s="1" t="s">
        <v>22</v>
      </c>
      <c r="AD112" s="1" t="s">
        <v>21</v>
      </c>
      <c r="AE112" s="1" t="s">
        <v>21</v>
      </c>
      <c r="AM112" s="1">
        <v>6.5</v>
      </c>
      <c r="AN112" s="1">
        <v>43</v>
      </c>
      <c r="AO112" s="13" t="s">
        <v>50</v>
      </c>
      <c r="AP112" s="1">
        <v>0.215</v>
      </c>
      <c r="AQ112" s="1" t="s">
        <v>43</v>
      </c>
      <c r="AR112" s="1" t="s">
        <v>43</v>
      </c>
      <c r="AS112" s="1" t="s">
        <v>43</v>
      </c>
      <c r="AT112" s="1" t="s">
        <v>43</v>
      </c>
      <c r="AU112" s="1">
        <v>7.3</v>
      </c>
      <c r="AV112" s="1" t="s">
        <v>43</v>
      </c>
      <c r="AW112" s="1" t="s">
        <v>43</v>
      </c>
      <c r="AY112" s="1">
        <v>15</v>
      </c>
      <c r="AZ112" s="1" t="s">
        <v>22</v>
      </c>
      <c r="BA112" s="1" t="s">
        <v>48</v>
      </c>
      <c r="BB112" s="1" t="s">
        <v>21</v>
      </c>
      <c r="BC112" s="1" t="s">
        <v>28</v>
      </c>
      <c r="BD112" s="1" t="s">
        <v>40</v>
      </c>
      <c r="BE112" s="1" t="s">
        <v>22</v>
      </c>
      <c r="BF112" s="1" t="s">
        <v>21</v>
      </c>
      <c r="BG112" s="1">
        <v>9</v>
      </c>
      <c r="BH112" s="1">
        <v>7</v>
      </c>
      <c r="BI112" s="1">
        <v>71</v>
      </c>
      <c r="BJ112" s="1" t="s">
        <v>21</v>
      </c>
      <c r="BL112" s="1" t="s">
        <v>22</v>
      </c>
      <c r="BM112" s="1" t="s">
        <v>84</v>
      </c>
      <c r="BO112" s="1" t="s">
        <v>30</v>
      </c>
      <c r="BP112" s="1">
        <v>34</v>
      </c>
      <c r="BQ112" s="1">
        <v>1</v>
      </c>
      <c r="BS112" s="1">
        <v>70</v>
      </c>
      <c r="BV112" s="1" t="s">
        <v>31</v>
      </c>
      <c r="BX112" s="1" t="s">
        <v>158</v>
      </c>
      <c r="BY112" s="1" t="s">
        <v>135</v>
      </c>
      <c r="BZ112" s="1">
        <v>30</v>
      </c>
      <c r="CA112" s="1">
        <v>6</v>
      </c>
      <c r="CB112" s="1" t="s">
        <v>34</v>
      </c>
      <c r="CD112" s="1" t="s">
        <v>22</v>
      </c>
    </row>
    <row r="113" spans="1:82" ht="17" x14ac:dyDescent="0.2">
      <c r="A113" s="1" t="s">
        <v>348</v>
      </c>
      <c r="B113" s="1" t="s">
        <v>349</v>
      </c>
      <c r="C113" s="1" t="s">
        <v>16</v>
      </c>
      <c r="D113" s="1" t="s">
        <v>17</v>
      </c>
      <c r="E113" s="5" t="s">
        <v>338</v>
      </c>
      <c r="F113" s="5" t="s">
        <v>350</v>
      </c>
      <c r="G113" s="5">
        <v>42</v>
      </c>
      <c r="H113" s="5">
        <v>42</v>
      </c>
      <c r="I113" s="19">
        <v>21597</v>
      </c>
      <c r="J113" s="19">
        <v>3708</v>
      </c>
      <c r="K113" s="5"/>
      <c r="L113" s="5">
        <v>2.5</v>
      </c>
      <c r="M113" s="5" t="s">
        <v>50</v>
      </c>
      <c r="N113" s="1">
        <v>3</v>
      </c>
      <c r="O113" s="1" t="s">
        <v>22</v>
      </c>
      <c r="P113" s="1" t="s">
        <v>21</v>
      </c>
      <c r="Q113" s="1" t="s">
        <v>21</v>
      </c>
      <c r="R113" s="1" t="s">
        <v>22</v>
      </c>
      <c r="S113" s="1" t="s">
        <v>21</v>
      </c>
      <c r="T113" s="1">
        <f>0.204+0.07</f>
        <v>0.27400000000000002</v>
      </c>
      <c r="U113" s="1">
        <f t="shared" si="14"/>
        <v>8.1547619047619063E-2</v>
      </c>
      <c r="V113" s="5">
        <f>AVERAGE(299, 300, 409)</f>
        <v>336</v>
      </c>
      <c r="W113" s="1">
        <f>AVERAGE(3.26, 3.915, 4)</f>
        <v>3.7250000000000001</v>
      </c>
      <c r="X113" s="1">
        <f t="shared" si="15"/>
        <v>1.1086309523809523</v>
      </c>
      <c r="Y113" s="1" t="s">
        <v>23</v>
      </c>
      <c r="Z113" s="1" t="s">
        <v>21</v>
      </c>
      <c r="AA113" s="1">
        <v>0.82199999999999995</v>
      </c>
      <c r="AB113" s="1">
        <f t="shared" si="19"/>
        <v>0.24464285714285711</v>
      </c>
      <c r="AD113" s="1" t="s">
        <v>21</v>
      </c>
      <c r="AE113" s="1" t="s">
        <v>22</v>
      </c>
      <c r="AG113" s="1" t="s">
        <v>65</v>
      </c>
      <c r="AJ113" s="1">
        <v>12.44</v>
      </c>
      <c r="AK113" s="1">
        <f>AJ113*4.5</f>
        <v>55.98</v>
      </c>
      <c r="AL113" s="1">
        <f>AVERAGE(9, 8.1)</f>
        <v>8.5500000000000007</v>
      </c>
      <c r="AM113" s="1">
        <v>11.9</v>
      </c>
      <c r="AN113" s="1">
        <v>189.4</v>
      </c>
      <c r="AO113" s="1" t="s">
        <v>20</v>
      </c>
      <c r="AP113" s="1">
        <f>AVERAGE(450, 303.68)</f>
        <v>376.84000000000003</v>
      </c>
      <c r="AQ113" s="1" t="s">
        <v>43</v>
      </c>
      <c r="AR113" s="1" t="s">
        <v>43</v>
      </c>
      <c r="AS113" s="1" t="s">
        <v>43</v>
      </c>
      <c r="AT113" s="1" t="s">
        <v>43</v>
      </c>
      <c r="AU113" s="1">
        <v>75</v>
      </c>
      <c r="AV113" s="1">
        <v>84</v>
      </c>
      <c r="AW113" s="1">
        <v>80</v>
      </c>
      <c r="AX113" s="1">
        <v>0.6</v>
      </c>
      <c r="AY113" s="1">
        <v>0.25</v>
      </c>
      <c r="AZ113" s="1" t="s">
        <v>21</v>
      </c>
      <c r="BA113" s="1" t="s">
        <v>75</v>
      </c>
      <c r="BB113" s="1" t="s">
        <v>22</v>
      </c>
      <c r="BC113" s="1" t="s">
        <v>28</v>
      </c>
      <c r="BD113" s="1" t="s">
        <v>40</v>
      </c>
      <c r="BE113" s="1" t="s">
        <v>22</v>
      </c>
      <c r="BG113" s="1">
        <f>50/30</f>
        <v>1.6666666666666667</v>
      </c>
      <c r="BH113" s="1">
        <f>50/30</f>
        <v>1.6666666666666667</v>
      </c>
      <c r="BI113" s="5">
        <v>267</v>
      </c>
      <c r="BJ113" s="1" t="s">
        <v>21</v>
      </c>
      <c r="BL113" s="1" t="s">
        <v>21</v>
      </c>
      <c r="BM113" s="1" t="s">
        <v>21</v>
      </c>
      <c r="BO113" s="1" t="s">
        <v>30</v>
      </c>
      <c r="BP113" s="1">
        <v>4.5</v>
      </c>
      <c r="BQ113" s="1">
        <v>0.83</v>
      </c>
      <c r="BR113" s="1">
        <v>20</v>
      </c>
      <c r="BS113" s="1">
        <v>24</v>
      </c>
      <c r="BV113" s="1" t="s">
        <v>260</v>
      </c>
      <c r="BX113" s="1" t="s">
        <v>158</v>
      </c>
      <c r="BY113" s="1" t="s">
        <v>135</v>
      </c>
      <c r="BZ113" s="1">
        <v>15</v>
      </c>
      <c r="CA113" s="1">
        <v>4</v>
      </c>
      <c r="CB113" s="1" t="s">
        <v>34</v>
      </c>
      <c r="CD113" s="1" t="s">
        <v>9</v>
      </c>
    </row>
    <row r="114" spans="1:82" ht="17" x14ac:dyDescent="0.2">
      <c r="A114" s="1" t="s">
        <v>351</v>
      </c>
      <c r="B114" s="1" t="s">
        <v>352</v>
      </c>
      <c r="C114" s="1" t="s">
        <v>16</v>
      </c>
      <c r="D114" s="1" t="s">
        <v>17</v>
      </c>
      <c r="E114" s="5" t="s">
        <v>338</v>
      </c>
      <c r="F114" s="5" t="s">
        <v>350</v>
      </c>
      <c r="G114" s="5">
        <v>40</v>
      </c>
      <c r="H114" s="5">
        <v>40</v>
      </c>
      <c r="I114" s="19">
        <v>22186</v>
      </c>
      <c r="J114" s="19">
        <v>17518</v>
      </c>
      <c r="K114" s="5"/>
      <c r="L114" s="5">
        <v>2</v>
      </c>
      <c r="M114" s="5" t="s">
        <v>50</v>
      </c>
      <c r="N114" s="1">
        <v>3</v>
      </c>
      <c r="O114" s="1" t="s">
        <v>22</v>
      </c>
      <c r="P114" s="1" t="s">
        <v>21</v>
      </c>
      <c r="Q114" s="1" t="s">
        <v>21</v>
      </c>
      <c r="R114" s="1" t="s">
        <v>22</v>
      </c>
      <c r="S114" s="1" t="s">
        <v>21</v>
      </c>
      <c r="T114" s="1">
        <f>0.15+0.12</f>
        <v>0.27</v>
      </c>
      <c r="U114" s="1">
        <f t="shared" si="14"/>
        <v>1.8000000000000003</v>
      </c>
      <c r="V114" s="5">
        <v>15</v>
      </c>
      <c r="W114" s="1">
        <f>AVERAGE(0.119, 0.18, 0.16)</f>
        <v>0.153</v>
      </c>
      <c r="X114" s="1">
        <f t="shared" si="15"/>
        <v>1.0199999999999998</v>
      </c>
      <c r="Y114" s="1" t="s">
        <v>23</v>
      </c>
      <c r="Z114" s="1" t="s">
        <v>21</v>
      </c>
      <c r="AA114" s="1">
        <v>0.12</v>
      </c>
      <c r="AB114" s="1">
        <f t="shared" si="19"/>
        <v>0.8</v>
      </c>
      <c r="AD114" s="1" t="s">
        <v>21</v>
      </c>
      <c r="AE114" s="1" t="s">
        <v>21</v>
      </c>
      <c r="AG114" s="1" t="s">
        <v>65</v>
      </c>
      <c r="AH114" s="1" t="s">
        <v>7</v>
      </c>
      <c r="AJ114" s="1">
        <v>8.625</v>
      </c>
      <c r="AK114" s="1">
        <f>AJ114*4.5</f>
        <v>38.8125</v>
      </c>
      <c r="AL114" s="1">
        <v>5.4</v>
      </c>
      <c r="AM114" s="1">
        <v>8.3000000000000007</v>
      </c>
      <c r="AN114" s="7">
        <v>124.3</v>
      </c>
      <c r="AO114" s="1" t="s">
        <v>20</v>
      </c>
      <c r="AP114" s="1">
        <v>23.2</v>
      </c>
      <c r="AQ114" s="1" t="s">
        <v>43</v>
      </c>
      <c r="AR114" s="1" t="s">
        <v>43</v>
      </c>
      <c r="AS114" s="1" t="s">
        <v>43</v>
      </c>
      <c r="AT114" s="1" t="s">
        <v>43</v>
      </c>
      <c r="AU114" s="1">
        <v>88</v>
      </c>
      <c r="AV114" s="1">
        <v>80</v>
      </c>
      <c r="AW114" s="1">
        <v>60</v>
      </c>
      <c r="AX114" s="1">
        <f>AVERAGE(0.5, 23)</f>
        <v>11.75</v>
      </c>
      <c r="AZ114" s="1" t="s">
        <v>21</v>
      </c>
      <c r="BA114" s="1" t="s">
        <v>75</v>
      </c>
      <c r="BB114" s="1" t="s">
        <v>22</v>
      </c>
      <c r="BC114" s="1" t="s">
        <v>28</v>
      </c>
      <c r="BD114" s="1" t="s">
        <v>40</v>
      </c>
      <c r="BE114" s="1" t="s">
        <v>22</v>
      </c>
      <c r="BF114" s="1" t="s">
        <v>21</v>
      </c>
      <c r="BG114" s="1">
        <v>1</v>
      </c>
      <c r="BH114" s="1">
        <v>1</v>
      </c>
      <c r="BI114" s="5">
        <v>15</v>
      </c>
      <c r="BJ114" s="1" t="s">
        <v>21</v>
      </c>
      <c r="BK114" s="1" t="s">
        <v>29</v>
      </c>
      <c r="BL114" s="1" t="s">
        <v>21</v>
      </c>
      <c r="BM114" s="1" t="s">
        <v>21</v>
      </c>
      <c r="BO114" s="1" t="s">
        <v>30</v>
      </c>
      <c r="BP114" s="1">
        <v>4.5</v>
      </c>
      <c r="BQ114" s="1">
        <f>15/24</f>
        <v>0.625</v>
      </c>
      <c r="BR114" s="1">
        <f>AVERAGE(7, 9)</f>
        <v>8</v>
      </c>
      <c r="BS114" s="1">
        <v>19</v>
      </c>
      <c r="BT114" s="1">
        <f>AVERAGE(49.4, 37.2, 35.2, 37.6, 44.6, 37.9, 43.8, 33.5, 42.6)/1000</f>
        <v>4.02E-2</v>
      </c>
      <c r="BU114" s="1">
        <f t="shared" si="17"/>
        <v>0.26800000000000002</v>
      </c>
      <c r="BV114" s="1" t="s">
        <v>260</v>
      </c>
      <c r="BX114" s="1" t="s">
        <v>158</v>
      </c>
      <c r="BY114" s="1" t="s">
        <v>135</v>
      </c>
      <c r="BZ114" s="1">
        <v>14</v>
      </c>
      <c r="CA114" s="1">
        <v>3</v>
      </c>
      <c r="CB114" s="1" t="s">
        <v>34</v>
      </c>
      <c r="CD114" s="1" t="s">
        <v>9</v>
      </c>
    </row>
    <row r="115" spans="1:82" ht="17" x14ac:dyDescent="0.2">
      <c r="A115" s="1" t="s">
        <v>353</v>
      </c>
      <c r="B115" s="1" t="s">
        <v>354</v>
      </c>
      <c r="C115" s="1" t="s">
        <v>16</v>
      </c>
      <c r="D115" s="1" t="s">
        <v>17</v>
      </c>
      <c r="E115" s="1" t="s">
        <v>338</v>
      </c>
      <c r="F115" s="1" t="s">
        <v>355</v>
      </c>
      <c r="G115" s="1">
        <v>52</v>
      </c>
      <c r="H115" s="1">
        <v>52</v>
      </c>
      <c r="I115" s="19" t="s">
        <v>43</v>
      </c>
      <c r="J115" s="19" t="s">
        <v>43</v>
      </c>
      <c r="L115" s="1">
        <v>15</v>
      </c>
      <c r="M115" s="1" t="s">
        <v>20</v>
      </c>
      <c r="N115" s="1">
        <v>2</v>
      </c>
      <c r="O115" s="1" t="s">
        <v>21</v>
      </c>
      <c r="P115" s="1" t="s">
        <v>21</v>
      </c>
      <c r="Q115" s="1" t="s">
        <v>22</v>
      </c>
      <c r="R115" s="1" t="s">
        <v>22</v>
      </c>
      <c r="S115" s="1" t="s">
        <v>22</v>
      </c>
      <c r="T115" s="1">
        <v>22.14</v>
      </c>
      <c r="U115" s="1">
        <f t="shared" si="14"/>
        <v>9.84</v>
      </c>
      <c r="V115" s="1">
        <v>225</v>
      </c>
      <c r="Y115" s="1" t="s">
        <v>23</v>
      </c>
      <c r="Z115" s="1" t="s">
        <v>21</v>
      </c>
      <c r="AC115" s="1" t="s">
        <v>22</v>
      </c>
      <c r="AD115" s="1" t="s">
        <v>21</v>
      </c>
      <c r="AE115" s="1" t="s">
        <v>21</v>
      </c>
      <c r="AH115" s="1" t="s">
        <v>356</v>
      </c>
      <c r="AM115" s="1">
        <v>4</v>
      </c>
      <c r="AN115" s="1">
        <f>34+9+4</f>
        <v>47</v>
      </c>
      <c r="AO115" s="1" t="s">
        <v>47</v>
      </c>
      <c r="AP115" s="1" t="s">
        <v>43</v>
      </c>
      <c r="AQ115" s="1" t="s">
        <v>43</v>
      </c>
      <c r="AR115" s="1" t="s">
        <v>43</v>
      </c>
      <c r="AS115" s="1" t="s">
        <v>43</v>
      </c>
      <c r="AT115" s="1" t="s">
        <v>43</v>
      </c>
      <c r="AU115" s="1" t="s">
        <v>43</v>
      </c>
      <c r="AV115" s="1" t="s">
        <v>43</v>
      </c>
      <c r="AW115" s="1" t="s">
        <v>43</v>
      </c>
      <c r="BA115" s="1" t="s">
        <v>103</v>
      </c>
      <c r="BB115" s="1" t="s">
        <v>21</v>
      </c>
      <c r="BC115" s="1" t="s">
        <v>8</v>
      </c>
      <c r="BD115" s="1" t="s">
        <v>40</v>
      </c>
      <c r="BE115" s="1" t="s">
        <v>37</v>
      </c>
      <c r="BF115" s="1" t="s">
        <v>22</v>
      </c>
      <c r="BH115" s="1">
        <v>4</v>
      </c>
      <c r="BI115" s="1">
        <v>50</v>
      </c>
      <c r="BJ115" s="1" t="s">
        <v>21</v>
      </c>
      <c r="BK115" s="1" t="s">
        <v>29</v>
      </c>
      <c r="BL115" s="1" t="s">
        <v>22</v>
      </c>
      <c r="BM115" s="1" t="s">
        <v>21</v>
      </c>
      <c r="BO115" s="1" t="s">
        <v>30</v>
      </c>
      <c r="BQ115" s="1">
        <v>64</v>
      </c>
      <c r="BS115" s="1">
        <v>34</v>
      </c>
      <c r="CA115" s="1">
        <v>3</v>
      </c>
      <c r="CB115" s="1" t="s">
        <v>34</v>
      </c>
      <c r="CD115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mnoonan</cp:lastModifiedBy>
  <dcterms:created xsi:type="dcterms:W3CDTF">2021-12-29T19:48:43Z</dcterms:created>
  <dcterms:modified xsi:type="dcterms:W3CDTF">2022-05-17T00:08:18Z</dcterms:modified>
</cp:coreProperties>
</file>