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g\Documents\2. Phd\Article 2. Excess burden\7. Verder met Italie\For_Noor_toolkit_inputs_results_w_sensitivity\Italy\Final Docs NL and IT\Italy\Final in paper\"/>
    </mc:Choice>
  </mc:AlternateContent>
  <xr:revisionPtr revIDLastSave="0" documentId="13_ncr:1_{06C78BFF-A7B1-4EE3-AECD-F6F56251DB3D}" xr6:coauthVersionLast="47" xr6:coauthVersionMax="47" xr10:uidLastSave="{00000000-0000-0000-0000-000000000000}"/>
  <bookViews>
    <workbookView xWindow="57480" yWindow="7725" windowWidth="29040" windowHeight="15840" activeTab="2" xr2:uid="{5A8903E0-68E0-4D57-A3A8-AB325B4F97B5}"/>
  </bookViews>
  <sheets>
    <sheet name="Step 1-4 Incidence non rec GP" sheetId="5" r:id="rId1"/>
    <sheet name="Step 5 Incidence age groups" sheetId="1" r:id="rId2"/>
    <sheet name="Step 6 Incidence GP, Out, In" sheetId="6" r:id="rId3"/>
    <sheet name="Age Sex Distribution Inf." sheetId="2" r:id="rId4"/>
    <sheet name="Table 3 excl. rec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6" l="1"/>
  <c r="B21" i="5"/>
  <c r="G21" i="5"/>
  <c r="D105" i="1"/>
  <c r="B12" i="5" s="1"/>
  <c r="B13" i="5" s="1"/>
  <c r="G17" i="5" s="1"/>
  <c r="E45" i="4"/>
  <c r="N5" i="2"/>
  <c r="O12" i="2"/>
  <c r="P11" i="2" s="1"/>
  <c r="L7" i="5"/>
  <c r="H10" i="1"/>
  <c r="G10" i="1"/>
  <c r="H9" i="1"/>
  <c r="G9" i="1"/>
  <c r="H8" i="1"/>
  <c r="G8" i="1"/>
  <c r="H7" i="1"/>
  <c r="G7" i="1"/>
  <c r="H6" i="1"/>
  <c r="G6" i="1"/>
  <c r="H5" i="1"/>
  <c r="G5" i="1"/>
  <c r="H23" i="1"/>
  <c r="H22" i="1"/>
  <c r="G22" i="1"/>
  <c r="G23" i="1"/>
  <c r="H19" i="1"/>
  <c r="G19" i="1"/>
  <c r="H18" i="1"/>
  <c r="G18" i="1"/>
  <c r="G17" i="1"/>
  <c r="B9" i="5"/>
  <c r="D5" i="4"/>
  <c r="H24" i="5"/>
  <c r="H38" i="5"/>
  <c r="H37" i="5"/>
  <c r="H36" i="5"/>
  <c r="H35" i="5"/>
  <c r="H34" i="5"/>
  <c r="H33" i="5"/>
  <c r="H32" i="5"/>
  <c r="H30" i="5"/>
  <c r="H29" i="5"/>
  <c r="H28" i="5"/>
  <c r="H27" i="5"/>
  <c r="H26" i="5"/>
  <c r="H25" i="5"/>
  <c r="F45" i="4"/>
  <c r="C45" i="4"/>
  <c r="D45" i="4" s="1"/>
  <c r="B45" i="4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E14" i="4"/>
  <c r="D14" i="4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E5" i="4"/>
  <c r="Q12" i="2"/>
  <c r="M12" i="2"/>
  <c r="N11" i="2" s="1"/>
  <c r="F12" i="2"/>
  <c r="D12" i="2"/>
  <c r="B12" i="2"/>
  <c r="B14" i="2" s="1"/>
  <c r="R11" i="2"/>
  <c r="E11" i="2"/>
  <c r="C11" i="2"/>
  <c r="R10" i="2"/>
  <c r="N10" i="2"/>
  <c r="E10" i="2"/>
  <c r="C10" i="2"/>
  <c r="R9" i="2"/>
  <c r="E9" i="2"/>
  <c r="C9" i="2"/>
  <c r="R8" i="2"/>
  <c r="N8" i="2"/>
  <c r="E8" i="2"/>
  <c r="C8" i="2"/>
  <c r="R7" i="2"/>
  <c r="E7" i="2"/>
  <c r="C7" i="2"/>
  <c r="R6" i="2"/>
  <c r="E6" i="2"/>
  <c r="C6" i="2"/>
  <c r="R5" i="2"/>
  <c r="E5" i="2"/>
  <c r="C5" i="2"/>
  <c r="H28" i="1"/>
  <c r="G28" i="1"/>
  <c r="H27" i="1"/>
  <c r="G27" i="1"/>
  <c r="H26" i="1"/>
  <c r="G26" i="1"/>
  <c r="H25" i="1"/>
  <c r="G25" i="1"/>
  <c r="H24" i="1"/>
  <c r="G24" i="1"/>
  <c r="H21" i="1"/>
  <c r="G21" i="1"/>
  <c r="H20" i="1"/>
  <c r="G20" i="1"/>
  <c r="H17" i="1"/>
  <c r="H16" i="1"/>
  <c r="G16" i="1"/>
  <c r="H15" i="1"/>
  <c r="G15" i="1"/>
  <c r="H14" i="1"/>
  <c r="G14" i="1"/>
  <c r="H13" i="1"/>
  <c r="G13" i="1"/>
  <c r="H12" i="1"/>
  <c r="G12" i="1"/>
  <c r="H11" i="1"/>
  <c r="G11" i="1"/>
  <c r="H4" i="1"/>
  <c r="G4" i="1"/>
  <c r="B114" i="1"/>
  <c r="A114" i="1"/>
  <c r="B111" i="1"/>
  <c r="B110" i="1"/>
  <c r="G25" i="5" l="1"/>
  <c r="G26" i="5"/>
  <c r="G27" i="5"/>
  <c r="G28" i="5"/>
  <c r="G24" i="5"/>
  <c r="G29" i="5"/>
  <c r="G30" i="5"/>
  <c r="G18" i="5"/>
  <c r="G20" i="5" s="1"/>
  <c r="H31" i="5"/>
  <c r="H39" i="5"/>
  <c r="R12" i="2"/>
  <c r="N6" i="2"/>
  <c r="P6" i="2"/>
  <c r="P8" i="2"/>
  <c r="P10" i="2"/>
  <c r="G10" i="2"/>
  <c r="G8" i="2"/>
  <c r="G5" i="2"/>
  <c r="G7" i="2"/>
  <c r="G9" i="2"/>
  <c r="G11" i="2"/>
  <c r="G6" i="2"/>
  <c r="H18" i="2" s="1"/>
  <c r="N12" i="2"/>
  <c r="N7" i="2"/>
  <c r="N9" i="2"/>
  <c r="P5" i="2"/>
  <c r="P7" i="2"/>
  <c r="P9" i="2"/>
  <c r="G35" i="5" l="1"/>
  <c r="G33" i="5"/>
  <c r="G37" i="5"/>
  <c r="G38" i="5"/>
  <c r="G32" i="5"/>
  <c r="G34" i="5"/>
  <c r="G36" i="5"/>
  <c r="G19" i="5"/>
  <c r="B18" i="5"/>
  <c r="P12" i="2"/>
  <c r="B20" i="5" l="1"/>
  <c r="B32" i="5"/>
  <c r="B35" i="5"/>
  <c r="G52" i="5"/>
  <c r="B37" i="5"/>
  <c r="G56" i="5"/>
  <c r="B33" i="5"/>
  <c r="G54" i="5"/>
  <c r="B17" i="5"/>
  <c r="G48" i="5"/>
  <c r="B48" i="5" s="1"/>
  <c r="G47" i="5"/>
  <c r="B47" i="5" s="1"/>
  <c r="G46" i="5"/>
  <c r="B24" i="5"/>
  <c r="B27" i="5"/>
  <c r="G44" i="5"/>
  <c r="B44" i="5" s="1"/>
  <c r="G43" i="5"/>
  <c r="B43" i="5" s="1"/>
  <c r="B19" i="5"/>
  <c r="B34" i="5" l="1"/>
  <c r="G53" i="5"/>
  <c r="G72" i="5" s="1"/>
  <c r="M17" i="1" s="1"/>
  <c r="G50" i="5"/>
  <c r="G69" i="5" s="1"/>
  <c r="G51" i="5"/>
  <c r="G39" i="5"/>
  <c r="G55" i="5"/>
  <c r="B55" i="5" s="1"/>
  <c r="B38" i="5"/>
  <c r="B36" i="5"/>
  <c r="B30" i="5"/>
  <c r="G45" i="5"/>
  <c r="B45" i="5" s="1"/>
  <c r="B25" i="5"/>
  <c r="G62" i="5"/>
  <c r="B28" i="5"/>
  <c r="G42" i="5"/>
  <c r="B26" i="5"/>
  <c r="G63" i="5"/>
  <c r="N13" i="1" s="1"/>
  <c r="G67" i="5"/>
  <c r="N30" i="1" s="1"/>
  <c r="B29" i="5"/>
  <c r="G66" i="5"/>
  <c r="N25" i="1" s="1"/>
  <c r="G31" i="5"/>
  <c r="G65" i="5"/>
  <c r="N21" i="1" s="1"/>
  <c r="B46" i="5"/>
  <c r="G75" i="5"/>
  <c r="M30" i="1" s="1"/>
  <c r="B56" i="5"/>
  <c r="G71" i="5"/>
  <c r="M13" i="1" s="1"/>
  <c r="B52" i="5"/>
  <c r="B54" i="5"/>
  <c r="G73" i="5"/>
  <c r="M21" i="1" s="1"/>
  <c r="M5" i="1" l="1"/>
  <c r="G61" i="5"/>
  <c r="B62" i="5"/>
  <c r="N9" i="1"/>
  <c r="B50" i="5"/>
  <c r="G74" i="5"/>
  <c r="M25" i="1" s="1"/>
  <c r="B53" i="5"/>
  <c r="G57" i="5"/>
  <c r="G70" i="5"/>
  <c r="M9" i="1" s="1"/>
  <c r="B51" i="5"/>
  <c r="G64" i="5"/>
  <c r="N17" i="1" s="1"/>
  <c r="B42" i="5"/>
  <c r="B67" i="5"/>
  <c r="B63" i="5"/>
  <c r="B71" i="5"/>
  <c r="B65" i="5"/>
  <c r="B66" i="5"/>
  <c r="B75" i="5"/>
  <c r="B73" i="5"/>
  <c r="G49" i="5"/>
  <c r="B72" i="5"/>
  <c r="B69" i="5"/>
  <c r="G68" i="5" l="1"/>
  <c r="N5" i="1"/>
  <c r="K4" i="1" s="1"/>
  <c r="G76" i="5"/>
  <c r="B74" i="5"/>
  <c r="B70" i="5"/>
  <c r="B64" i="5"/>
  <c r="B61" i="5"/>
  <c r="J5" i="1" l="1"/>
  <c r="J4" i="1"/>
  <c r="Q4" i="1" s="1"/>
  <c r="B37" i="6" s="1"/>
  <c r="D37" i="6" s="1"/>
  <c r="J12" i="1"/>
  <c r="K22" i="1"/>
  <c r="F37" i="6" l="1"/>
  <c r="K5" i="1"/>
  <c r="R4" i="1"/>
  <c r="I37" i="6" s="1"/>
  <c r="K7" i="1"/>
  <c r="K6" i="1"/>
  <c r="K11" i="1"/>
  <c r="K10" i="1"/>
  <c r="J8" i="1"/>
  <c r="J9" i="1"/>
  <c r="J10" i="1"/>
  <c r="J11" i="1"/>
  <c r="Q8" i="1" s="1"/>
  <c r="B41" i="6" s="1"/>
  <c r="K9" i="1"/>
  <c r="K8" i="1"/>
  <c r="J6" i="1"/>
  <c r="Q5" i="1" s="1"/>
  <c r="B38" i="6" s="1"/>
  <c r="J7" i="1"/>
  <c r="M7" i="1"/>
  <c r="J23" i="1"/>
  <c r="J26" i="1"/>
  <c r="Q20" i="1" s="1"/>
  <c r="B53" i="6" s="1"/>
  <c r="J25" i="1"/>
  <c r="J24" i="1"/>
  <c r="J28" i="1"/>
  <c r="Q22" i="1" s="1"/>
  <c r="B55" i="6" s="1"/>
  <c r="J27" i="1"/>
  <c r="Q21" i="1" s="1"/>
  <c r="B54" i="6" s="1"/>
  <c r="K24" i="1"/>
  <c r="R18" i="1" s="1"/>
  <c r="K28" i="1"/>
  <c r="R22" i="1" s="1"/>
  <c r="K25" i="1"/>
  <c r="R19" i="1" s="1"/>
  <c r="K27" i="1"/>
  <c r="R21" i="1" s="1"/>
  <c r="K26" i="1"/>
  <c r="R20" i="1" s="1"/>
  <c r="K23" i="1"/>
  <c r="R17" i="1" s="1"/>
  <c r="K18" i="1"/>
  <c r="K17" i="1"/>
  <c r="R13" i="1" s="1"/>
  <c r="K16" i="1"/>
  <c r="R12" i="1" s="1"/>
  <c r="K15" i="1"/>
  <c r="R11" i="1" s="1"/>
  <c r="K14" i="1"/>
  <c r="R10" i="1" s="1"/>
  <c r="K13" i="1"/>
  <c r="R9" i="1" s="1"/>
  <c r="K12" i="1"/>
  <c r="J15" i="1"/>
  <c r="J13" i="1"/>
  <c r="J16" i="1"/>
  <c r="J18" i="1"/>
  <c r="J17" i="1"/>
  <c r="J14" i="1"/>
  <c r="J22" i="1"/>
  <c r="K21" i="1"/>
  <c r="K20" i="1"/>
  <c r="K19" i="1"/>
  <c r="F55" i="6" l="1"/>
  <c r="D55" i="6"/>
  <c r="H55" i="6" s="1"/>
  <c r="G43" i="4" s="1"/>
  <c r="H43" i="4" s="1"/>
  <c r="I43" i="4" s="1"/>
  <c r="F54" i="6"/>
  <c r="D54" i="6"/>
  <c r="H54" i="6" s="1"/>
  <c r="G42" i="4" s="1"/>
  <c r="H42" i="4" s="1"/>
  <c r="I42" i="4" s="1"/>
  <c r="D41" i="6"/>
  <c r="F41" i="6"/>
  <c r="F53" i="6"/>
  <c r="D53" i="6"/>
  <c r="I44" i="6"/>
  <c r="I51" i="6"/>
  <c r="I45" i="6"/>
  <c r="I50" i="6"/>
  <c r="I53" i="6"/>
  <c r="K37" i="6"/>
  <c r="M37" i="6"/>
  <c r="I42" i="6"/>
  <c r="I54" i="6"/>
  <c r="I43" i="6"/>
  <c r="I46" i="6"/>
  <c r="I52" i="6"/>
  <c r="I55" i="6"/>
  <c r="H37" i="6"/>
  <c r="G25" i="4" s="1"/>
  <c r="H25" i="4" s="1"/>
  <c r="I25" i="4" s="1"/>
  <c r="F38" i="6"/>
  <c r="D38" i="6"/>
  <c r="N15" i="1"/>
  <c r="N11" i="1"/>
  <c r="R5" i="1"/>
  <c r="Q6" i="1"/>
  <c r="B39" i="6" s="1"/>
  <c r="M19" i="1"/>
  <c r="Q7" i="1"/>
  <c r="B40" i="6" s="1"/>
  <c r="M15" i="1"/>
  <c r="N19" i="1"/>
  <c r="R7" i="1"/>
  <c r="N7" i="1"/>
  <c r="R8" i="1"/>
  <c r="R6" i="1"/>
  <c r="M11" i="1"/>
  <c r="Q13" i="1"/>
  <c r="B46" i="6" s="1"/>
  <c r="Q12" i="1"/>
  <c r="B45" i="6" s="1"/>
  <c r="Q9" i="1"/>
  <c r="B42" i="6" s="1"/>
  <c r="Q11" i="1"/>
  <c r="B44" i="6" s="1"/>
  <c r="Q18" i="1"/>
  <c r="B51" i="6" s="1"/>
  <c r="Q19" i="1"/>
  <c r="B52" i="6" s="1"/>
  <c r="Q10" i="1"/>
  <c r="B43" i="6" s="1"/>
  <c r="R16" i="1"/>
  <c r="Q17" i="1"/>
  <c r="B50" i="6" s="1"/>
  <c r="R15" i="1"/>
  <c r="N23" i="1"/>
  <c r="R14" i="1"/>
  <c r="M23" i="1"/>
  <c r="N32" i="1"/>
  <c r="M32" i="1"/>
  <c r="J20" i="1"/>
  <c r="J19" i="1"/>
  <c r="J21" i="1"/>
  <c r="N27" i="1"/>
  <c r="H41" i="6" l="1"/>
  <c r="G29" i="4" s="1"/>
  <c r="H29" i="4" s="1"/>
  <c r="I29" i="4" s="1"/>
  <c r="H53" i="6"/>
  <c r="G41" i="4" s="1"/>
  <c r="H41" i="4" s="1"/>
  <c r="I41" i="4" s="1"/>
  <c r="H38" i="6"/>
  <c r="G26" i="4" s="1"/>
  <c r="H26" i="4" s="1"/>
  <c r="I26" i="4" s="1"/>
  <c r="D44" i="6"/>
  <c r="F44" i="6"/>
  <c r="F52" i="6"/>
  <c r="D52" i="6"/>
  <c r="H52" i="6" s="1"/>
  <c r="G40" i="4" s="1"/>
  <c r="H40" i="4" s="1"/>
  <c r="I40" i="4" s="1"/>
  <c r="F39" i="6"/>
  <c r="D39" i="6"/>
  <c r="F50" i="6"/>
  <c r="D50" i="6"/>
  <c r="H50" i="6" s="1"/>
  <c r="G38" i="4" s="1"/>
  <c r="H38" i="4" s="1"/>
  <c r="I38" i="4" s="1"/>
  <c r="F43" i="6"/>
  <c r="D43" i="6"/>
  <c r="D46" i="6"/>
  <c r="F46" i="6"/>
  <c r="D42" i="6"/>
  <c r="F42" i="6"/>
  <c r="F51" i="6"/>
  <c r="D51" i="6"/>
  <c r="H51" i="6" s="1"/>
  <c r="G39" i="4" s="1"/>
  <c r="H39" i="4" s="1"/>
  <c r="I39" i="4" s="1"/>
  <c r="D40" i="6"/>
  <c r="F40" i="6"/>
  <c r="D45" i="6"/>
  <c r="F45" i="6"/>
  <c r="H45" i="6" s="1"/>
  <c r="G33" i="4" s="1"/>
  <c r="H33" i="4" s="1"/>
  <c r="I33" i="4" s="1"/>
  <c r="I39" i="6"/>
  <c r="K46" i="6"/>
  <c r="M46" i="6"/>
  <c r="I47" i="6"/>
  <c r="I41" i="6"/>
  <c r="K54" i="6"/>
  <c r="M54" i="6"/>
  <c r="K45" i="6"/>
  <c r="M45" i="6"/>
  <c r="M53" i="6"/>
  <c r="K53" i="6"/>
  <c r="K43" i="6"/>
  <c r="M43" i="6"/>
  <c r="O43" i="6" s="1"/>
  <c r="G11" i="4" s="1"/>
  <c r="H11" i="4" s="1"/>
  <c r="I11" i="4" s="1"/>
  <c r="O37" i="6"/>
  <c r="G5" i="4" s="1"/>
  <c r="H5" i="4" s="1"/>
  <c r="I5" i="4" s="1"/>
  <c r="M50" i="6"/>
  <c r="K50" i="6"/>
  <c r="I48" i="6"/>
  <c r="I40" i="6"/>
  <c r="M42" i="6"/>
  <c r="K42" i="6"/>
  <c r="O42" i="6" s="1"/>
  <c r="G10" i="4" s="1"/>
  <c r="H10" i="4" s="1"/>
  <c r="I10" i="4" s="1"/>
  <c r="M51" i="6"/>
  <c r="K51" i="6"/>
  <c r="M52" i="6"/>
  <c r="K52" i="6"/>
  <c r="O52" i="6" s="1"/>
  <c r="G20" i="4" s="1"/>
  <c r="H20" i="4" s="1"/>
  <c r="I20" i="4" s="1"/>
  <c r="I38" i="6"/>
  <c r="I49" i="6"/>
  <c r="K55" i="6"/>
  <c r="M55" i="6"/>
  <c r="K44" i="6"/>
  <c r="M44" i="6"/>
  <c r="Q14" i="1"/>
  <c r="B47" i="6" s="1"/>
  <c r="Q16" i="1"/>
  <c r="B49" i="6" s="1"/>
  <c r="Q15" i="1"/>
  <c r="B48" i="6" s="1"/>
  <c r="M27" i="1"/>
  <c r="H42" i="6" l="1"/>
  <c r="G30" i="4" s="1"/>
  <c r="H30" i="4" s="1"/>
  <c r="I30" i="4" s="1"/>
  <c r="H44" i="6"/>
  <c r="G32" i="4" s="1"/>
  <c r="H32" i="4" s="1"/>
  <c r="I32" i="4" s="1"/>
  <c r="O46" i="6"/>
  <c r="G14" i="4" s="1"/>
  <c r="H14" i="4" s="1"/>
  <c r="I14" i="4" s="1"/>
  <c r="H39" i="6"/>
  <c r="G27" i="4" s="1"/>
  <c r="H27" i="4" s="1"/>
  <c r="I27" i="4" s="1"/>
  <c r="H46" i="6"/>
  <c r="G34" i="4" s="1"/>
  <c r="H34" i="4" s="1"/>
  <c r="I34" i="4" s="1"/>
  <c r="H43" i="6"/>
  <c r="G31" i="4" s="1"/>
  <c r="H31" i="4" s="1"/>
  <c r="I31" i="4" s="1"/>
  <c r="B56" i="6"/>
  <c r="O44" i="6"/>
  <c r="G12" i="4" s="1"/>
  <c r="H12" i="4" s="1"/>
  <c r="I12" i="4" s="1"/>
  <c r="O45" i="6"/>
  <c r="G13" i="4" s="1"/>
  <c r="H13" i="4" s="1"/>
  <c r="I13" i="4" s="1"/>
  <c r="O54" i="6"/>
  <c r="G22" i="4" s="1"/>
  <c r="H22" i="4" s="1"/>
  <c r="I22" i="4" s="1"/>
  <c r="O53" i="6"/>
  <c r="G21" i="4" s="1"/>
  <c r="H21" i="4" s="1"/>
  <c r="I21" i="4" s="1"/>
  <c r="O50" i="6"/>
  <c r="G18" i="4" s="1"/>
  <c r="H18" i="4" s="1"/>
  <c r="I18" i="4" s="1"/>
  <c r="O55" i="6"/>
  <c r="G23" i="4" s="1"/>
  <c r="H23" i="4" s="1"/>
  <c r="I23" i="4" s="1"/>
  <c r="O51" i="6"/>
  <c r="G19" i="4" s="1"/>
  <c r="H19" i="4" s="1"/>
  <c r="I19" i="4" s="1"/>
  <c r="H40" i="6"/>
  <c r="G28" i="4" s="1"/>
  <c r="H28" i="4" s="1"/>
  <c r="I28" i="4" s="1"/>
  <c r="F49" i="6"/>
  <c r="D49" i="6"/>
  <c r="D47" i="6"/>
  <c r="F47" i="6"/>
  <c r="H47" i="6" s="1"/>
  <c r="G35" i="4" s="1"/>
  <c r="H35" i="4" s="1"/>
  <c r="I35" i="4" s="1"/>
  <c r="F48" i="6"/>
  <c r="D48" i="6"/>
  <c r="H48" i="6" s="1"/>
  <c r="G36" i="4" s="1"/>
  <c r="H36" i="4" s="1"/>
  <c r="I36" i="4" s="1"/>
  <c r="K47" i="6"/>
  <c r="M47" i="6"/>
  <c r="O47" i="6" s="1"/>
  <c r="G15" i="4" s="1"/>
  <c r="H15" i="4" s="1"/>
  <c r="I15" i="4" s="1"/>
  <c r="M40" i="6"/>
  <c r="K40" i="6"/>
  <c r="M41" i="6"/>
  <c r="K41" i="6"/>
  <c r="M48" i="6"/>
  <c r="K48" i="6"/>
  <c r="M38" i="6"/>
  <c r="K38" i="6"/>
  <c r="I56" i="6"/>
  <c r="J56" i="6" s="1"/>
  <c r="M39" i="6"/>
  <c r="K39" i="6"/>
  <c r="O39" i="6" s="1"/>
  <c r="G7" i="4" s="1"/>
  <c r="H7" i="4" s="1"/>
  <c r="I7" i="4" s="1"/>
  <c r="K49" i="6"/>
  <c r="M49" i="6"/>
  <c r="O40" i="6" l="1"/>
  <c r="G8" i="4" s="1"/>
  <c r="H8" i="4" s="1"/>
  <c r="I8" i="4" s="1"/>
  <c r="O49" i="6"/>
  <c r="G17" i="4" s="1"/>
  <c r="H17" i="4" s="1"/>
  <c r="I17" i="4" s="1"/>
  <c r="C56" i="6"/>
  <c r="D56" i="6"/>
  <c r="E56" i="6" s="1"/>
  <c r="O41" i="6"/>
  <c r="G9" i="4" s="1"/>
  <c r="H9" i="4" s="1"/>
  <c r="I9" i="4" s="1"/>
  <c r="O48" i="6"/>
  <c r="G16" i="4" s="1"/>
  <c r="H16" i="4" s="1"/>
  <c r="I16" i="4" s="1"/>
  <c r="H49" i="6"/>
  <c r="G37" i="4" s="1"/>
  <c r="H37" i="4" s="1"/>
  <c r="I37" i="4" s="1"/>
  <c r="F56" i="6"/>
  <c r="G56" i="6" s="1"/>
  <c r="K56" i="6"/>
  <c r="O38" i="6"/>
  <c r="M56" i="6"/>
  <c r="N56" i="6" s="1"/>
  <c r="P56" i="6" l="1"/>
  <c r="I45" i="4" s="1"/>
  <c r="O56" i="6"/>
  <c r="G6" i="4"/>
  <c r="H56" i="6"/>
  <c r="L56" i="6"/>
  <c r="H6" i="4" l="1"/>
  <c r="I6" i="4" s="1"/>
  <c r="G45" i="4"/>
  <c r="H45" i="4" s="1"/>
  <c r="C60" i="6"/>
  <c r="E65" i="6"/>
  <c r="E64" i="6"/>
</calcChain>
</file>

<file path=xl/sharedStrings.xml><?xml version="1.0" encoding="utf-8"?>
<sst xmlns="http://schemas.openxmlformats.org/spreadsheetml/2006/main" count="366" uniqueCount="200">
  <si>
    <t>Women over 18</t>
  </si>
  <si>
    <t>Italy</t>
  </si>
  <si>
    <t>Men over 18</t>
  </si>
  <si>
    <t>Age</t>
  </si>
  <si>
    <t>Total Males</t>
  </si>
  <si>
    <t>Total Females</t>
  </si>
  <si>
    <t>Total Population</t>
  </si>
  <si>
    <t>men 0-18</t>
  </si>
  <si>
    <t>Women 0-18</t>
  </si>
  <si>
    <t>Infections in group</t>
  </si>
  <si>
    <t>Male</t>
  </si>
  <si>
    <t>Female</t>
  </si>
  <si>
    <t>0</t>
  </si>
  <si>
    <t>1-4</t>
  </si>
  <si>
    <t>5-9</t>
  </si>
  <si>
    <t>Check</t>
  </si>
  <si>
    <t>10-14</t>
  </si>
  <si>
    <t>15-18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</si>
  <si>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</si>
  <si>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</si>
  <si>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</si>
  <si>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</si>
  <si>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</si>
  <si>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</si>
  <si>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</si>
  <si>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</si>
  <si>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</si>
  <si>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</si>
  <si>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</si>
  <si>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</si>
  <si>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</si>
  <si>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</si>
  <si>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100 and more</t>
  </si>
  <si>
    <t>TOTAL</t>
  </si>
  <si>
    <t>Use this age distribution for male and female!</t>
  </si>
  <si>
    <t>Age group</t>
  </si>
  <si>
    <t>Total</t>
  </si>
  <si>
    <t>n</t>
  </si>
  <si>
    <t>prop</t>
  </si>
  <si>
    <t>proportie</t>
  </si>
  <si>
    <t>%</t>
  </si>
  <si>
    <t>≤1</t>
  </si>
  <si>
    <t>2 tot 5</t>
  </si>
  <si>
    <t>6 tot 12</t>
  </si>
  <si>
    <t>13-18</t>
  </si>
  <si>
    <t>19-45</t>
  </si>
  <si>
    <t>46-60</t>
  </si>
  <si>
    <t>&gt;61</t>
  </si>
  <si>
    <t xml:space="preserve">Voorbeeld voor formule </t>
  </si>
  <si>
    <t>mannen 2 tot 5</t>
  </si>
  <si>
    <t xml:space="preserve">Check </t>
  </si>
  <si>
    <t>(totaal aantal infecties* proportie in leeftijdsklasse ) * (percentage van infecties bij mannen in die leeftijdsgroep /100)</t>
  </si>
  <si>
    <t>Source: Trend of Bacterial Uropathogens and Their Susceptibility Pattern: Study of Single Academic High-Volume Center in Italy (2015–2019)</t>
  </si>
  <si>
    <t>Italy values</t>
  </si>
  <si>
    <t>Notes</t>
  </si>
  <si>
    <t>Year of study</t>
  </si>
  <si>
    <t>Infections</t>
  </si>
  <si>
    <t>People (N)</t>
  </si>
  <si>
    <t>Need to be the same for males 8 and 28 rows and females row 7 and 20</t>
  </si>
  <si>
    <t>UTI Incidence in women over 18 in Italy 2016 (%)</t>
  </si>
  <si>
    <t>For males its needs to be the same in row 10 and 45, for fmales 9 and 37</t>
  </si>
  <si>
    <t>UTI Incidence in men over 18 in Italy 2016 (%)</t>
  </si>
  <si>
    <t>Own calculations</t>
  </si>
  <si>
    <t>Total (%)</t>
  </si>
  <si>
    <t>UTI Incidence (2-5) Female</t>
  </si>
  <si>
    <t>UTI Incidence (6-12) Female</t>
  </si>
  <si>
    <t>UTI Incidence (13-18) Female</t>
  </si>
  <si>
    <t xml:space="preserve">On the basis of population growth, I could calculate n of infections in 2018, but the incidence % would not change. </t>
  </si>
  <si>
    <t>UTI Incidence (19-45) Female</t>
  </si>
  <si>
    <t>UTI Incidence (46-60) Female</t>
  </si>
  <si>
    <t>UTI Incidence &gt;61 Female</t>
  </si>
  <si>
    <t>Tot</t>
  </si>
  <si>
    <t>UTI Incidence (2-5) Male</t>
  </si>
  <si>
    <t>UTI Incidence (6-12) Male</t>
  </si>
  <si>
    <t>UTI Incidence (13-18) Male</t>
  </si>
  <si>
    <t>UTI Incidence (19-45) Male</t>
  </si>
  <si>
    <t>UTI Incidence (46-60) Male</t>
  </si>
  <si>
    <t>UTI Incidence &gt;61 Male</t>
  </si>
  <si>
    <t>E. coli UTI Incidence (19-45) Female</t>
  </si>
  <si>
    <t>E. coli UTI Incidence (2-5) Male</t>
  </si>
  <si>
    <t>E. coli UTI Incidence (6-12) Male</t>
  </si>
  <si>
    <t>E. coli UTI Incidence (13-18) Male</t>
  </si>
  <si>
    <t>E. coli UTI Incidence (19-45) Male</t>
  </si>
  <si>
    <t>E. coli UTI Incidence (46-60) Male</t>
  </si>
  <si>
    <t>E. coli UTI Incidence &gt;61 Male</t>
  </si>
  <si>
    <t>ESBL E. coli UTI Incidence (19-45) Female</t>
  </si>
  <si>
    <t>Netherlands</t>
  </si>
  <si>
    <t>Age and sex category</t>
  </si>
  <si>
    <r>
      <t>Population (</t>
    </r>
    <r>
      <rPr>
        <b/>
        <i/>
        <sz val="11"/>
        <color theme="1"/>
        <rFont val="Palatino Linotype"/>
        <family val="1"/>
      </rPr>
      <t>N</t>
    </r>
    <r>
      <rPr>
        <b/>
        <sz val="11"/>
        <color theme="1"/>
        <rFont val="Palatino Linotype"/>
        <family val="1"/>
      </rPr>
      <t>)</t>
    </r>
  </si>
  <si>
    <t>Number of Infections</t>
  </si>
  <si>
    <t>Incidence rate</t>
  </si>
  <si>
    <t>Incidence/100,000 inhabitants</t>
  </si>
  <si>
    <t xml:space="preserve">Females </t>
  </si>
  <si>
    <t>1 tot 4</t>
  </si>
  <si>
    <t>5 tot 9</t>
  </si>
  <si>
    <t>10 tot 14</t>
  </si>
  <si>
    <t>15-19</t>
  </si>
  <si>
    <t>Males</t>
  </si>
  <si>
    <t>Step 2. Estimate total UTIs in Italian pop in 2016</t>
  </si>
  <si>
    <t xml:space="preserve">Italian population 2016 </t>
  </si>
  <si>
    <t xml:space="preserve">Total UTIs estimated in Italian population in 2016 </t>
  </si>
  <si>
    <t>Step 3. Estimate E. coli UTIs in Italian Pop in 2016</t>
  </si>
  <si>
    <t xml:space="preserve">Total in Males </t>
  </si>
  <si>
    <t>Total in Females</t>
  </si>
  <si>
    <t>Step 4. Calculate UTIs Per Sex and Age group in Italy in 2016</t>
  </si>
  <si>
    <t>Step 5. Calculate E. coli UTIs Per Sex and Age group in Italy in 2016</t>
  </si>
  <si>
    <t>Step 6. Calculate ESBL E. coli UTIs Per Sex and Age group in Italy in 2016</t>
  </si>
  <si>
    <r>
      <rPr>
        <b/>
        <sz val="11"/>
        <color rgb="FF3F3F3F"/>
        <rFont val="Calibri"/>
        <family val="2"/>
        <scheme val="minor"/>
      </rPr>
      <t xml:space="preserve">Totale ESBL </t>
    </r>
    <r>
      <rPr>
        <b/>
        <i/>
        <sz val="11"/>
        <color rgb="FF3F3F3F"/>
        <rFont val="Calibri"/>
        <family val="2"/>
        <scheme val="minor"/>
      </rPr>
      <t xml:space="preserve">E. coli </t>
    </r>
    <r>
      <rPr>
        <b/>
        <sz val="11"/>
        <color rgb="FF3F3F3F"/>
        <rFont val="Calibri"/>
        <family val="2"/>
        <scheme val="minor"/>
      </rPr>
      <t>UTIs in Females in 2016</t>
    </r>
  </si>
  <si>
    <r>
      <t xml:space="preserve">Totale ESBL </t>
    </r>
    <r>
      <rPr>
        <b/>
        <i/>
        <sz val="11"/>
        <color rgb="FF3F3F3F"/>
        <rFont val="Calibri"/>
        <family val="2"/>
        <scheme val="minor"/>
      </rPr>
      <t xml:space="preserve">E. coli </t>
    </r>
    <r>
      <rPr>
        <b/>
        <sz val="11"/>
        <color rgb="FF3F3F3F"/>
        <rFont val="Calibri"/>
        <family val="2"/>
        <scheme val="minor"/>
      </rPr>
      <t>UTIs in Males in 2016</t>
    </r>
  </si>
  <si>
    <r>
      <t>ESBL</t>
    </r>
    <r>
      <rPr>
        <i/>
        <sz val="11"/>
        <color rgb="FF3F3F3F"/>
        <rFont val="Calibri"/>
        <family val="2"/>
        <scheme val="minor"/>
      </rPr>
      <t xml:space="preserve"> E. coli </t>
    </r>
    <r>
      <rPr>
        <sz val="11"/>
        <color rgb="FF3F3F3F"/>
        <rFont val="Calibri"/>
        <family val="2"/>
        <scheme val="minor"/>
      </rP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Female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</si>
  <si>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(2-5) Female</t>
    </r>
  </si>
  <si>
    <r>
      <t>ESBL</t>
    </r>
    <r>
      <rPr>
        <i/>
        <sz val="11"/>
        <color rgb="FF3F3F3F"/>
        <rFont val="Calibri"/>
        <family val="2"/>
        <scheme val="minor"/>
      </rPr>
      <t xml:space="preserve"> E. coli </t>
    </r>
    <r>
      <rPr>
        <sz val="11"/>
        <color rgb="FF3F3F3F"/>
        <rFont val="Calibri"/>
        <family val="2"/>
        <scheme val="minor"/>
      </rPr>
      <t>UTI Incidence (6-12) Female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</si>
  <si>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(13-18) Female</t>
    </r>
  </si>
  <si>
    <r>
      <t>ESBL</t>
    </r>
    <r>
      <rPr>
        <i/>
        <sz val="11"/>
        <color rgb="FF3F3F3F"/>
        <rFont val="Calibri"/>
        <family val="2"/>
        <scheme val="minor"/>
      </rPr>
      <t xml:space="preserve"> E. coli </t>
    </r>
    <r>
      <rPr>
        <sz val="11"/>
        <color rgb="FF3F3F3F"/>
        <rFont val="Calibri"/>
        <family val="2"/>
        <scheme val="minor"/>
      </rPr>
      <t>UTI Incidence (46-60) Female</t>
    </r>
  </si>
  <si>
    <r>
      <t>ESBL</t>
    </r>
    <r>
      <rPr>
        <i/>
        <sz val="11"/>
        <color rgb="FF3F3F3F"/>
        <rFont val="Calibri"/>
        <family val="2"/>
        <scheme val="minor"/>
      </rPr>
      <t xml:space="preserve"> E. coli</t>
    </r>
    <r>
      <rPr>
        <sz val="11"/>
        <color rgb="FF3F3F3F"/>
        <rFont val="Calibri"/>
        <family val="2"/>
        <scheme val="minor"/>
      </rPr>
      <t xml:space="preserve"> UTI Incidence &gt;61 Female</t>
    </r>
  </si>
  <si>
    <r>
      <t>ESBL</t>
    </r>
    <r>
      <rPr>
        <i/>
        <sz val="11"/>
        <color rgb="FF3F3F3F"/>
        <rFont val="Calibri"/>
        <family val="2"/>
        <scheme val="minor"/>
      </rPr>
      <t xml:space="preserve"> E. coli </t>
    </r>
    <r>
      <rPr>
        <sz val="11"/>
        <color rgb="FF3F3F3F"/>
        <rFont val="Calibri"/>
        <family val="2"/>
        <scheme val="minor"/>
      </rP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</si>
  <si>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(2-5)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</si>
  <si>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(6-12)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</si>
  <si>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(13-18)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</si>
  <si>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(19-45)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</si>
  <si>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(46-60) Male</t>
    </r>
  </si>
  <si>
    <r>
      <t xml:space="preserve">ESBL </t>
    </r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&gt;61 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</si>
  <si>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Female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</si>
  <si>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(2-5) Female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</si>
  <si>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(6-12) Female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</si>
  <si>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(13-18) Female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</si>
  <si>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>UTI Incidence (46-60) Female</t>
    </r>
  </si>
  <si>
    <r>
      <rPr>
        <i/>
        <sz val="11"/>
        <color rgb="FF3F3F3F"/>
        <rFont val="Calibri"/>
        <family val="2"/>
        <scheme val="minor"/>
      </rPr>
      <t>E. coli</t>
    </r>
    <r>
      <rPr>
        <sz val="11"/>
        <color rgb="FF3F3F3F"/>
        <rFont val="Calibri"/>
        <family val="2"/>
        <scheme val="minor"/>
      </rPr>
      <t xml:space="preserve"> UTI Incidence &gt;61 Female</t>
    </r>
  </si>
  <si>
    <r>
      <rPr>
        <i/>
        <sz val="11"/>
        <color rgb="FF3F3F3F"/>
        <rFont val="Calibri"/>
        <family val="2"/>
        <scheme val="minor"/>
      </rPr>
      <t xml:space="preserve">E. coli </t>
    </r>
    <r>
      <rPr>
        <sz val="11"/>
        <color rgb="FF3F3F3F"/>
        <rFont val="Calibri"/>
        <family val="2"/>
        <scheme val="minor"/>
      </rP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Male</t>
    </r>
  </si>
  <si>
    <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Female</t>
    </r>
  </si>
  <si>
    <r>
      <t xml:space="preserve">UTI Incidence in age group </t>
    </r>
    <r>
      <rPr>
        <sz val="11"/>
        <color rgb="FF3F3F3F"/>
        <rFont val="Calibri"/>
        <family val="2"/>
      </rPr>
      <t>≤</t>
    </r>
    <r>
      <rPr>
        <sz val="11"/>
        <color rgb="FF3F3F3F"/>
        <rFont val="Calibri"/>
        <family val="2"/>
        <scheme val="minor"/>
      </rPr>
      <t>1 Male</t>
    </r>
  </si>
  <si>
    <r>
      <rPr>
        <i/>
        <sz val="11"/>
        <color rgb="FF3F3F3F"/>
        <rFont val="Calibri"/>
        <family val="2"/>
        <scheme val="minor"/>
      </rPr>
      <t>E. coli</t>
    </r>
    <r>
      <rPr>
        <sz val="11"/>
        <color rgb="FF3F3F3F"/>
        <rFont val="Calibri"/>
        <family val="2"/>
        <scheme val="minor"/>
      </rPr>
      <t xml:space="preserve"> UTI incidence women Italy 2016 (%)</t>
    </r>
  </si>
  <si>
    <r>
      <rPr>
        <i/>
        <sz val="11"/>
        <color rgb="FF3F3F3F"/>
        <rFont val="Calibri"/>
        <family val="2"/>
        <scheme val="minor"/>
      </rPr>
      <t>E. coli</t>
    </r>
    <r>
      <rPr>
        <sz val="11"/>
        <color rgb="FF3F3F3F"/>
        <rFont val="Calibri"/>
        <family val="2"/>
        <scheme val="minor"/>
      </rPr>
      <t xml:space="preserve"> UTI incidence men Italy 2016 (%)</t>
    </r>
  </si>
  <si>
    <r>
      <t xml:space="preserve">Population size man + women in study </t>
    </r>
    <r>
      <rPr>
        <vertAlign val="superscript"/>
        <sz val="11"/>
        <color rgb="FF3F3F3F"/>
        <rFont val="Calibri"/>
        <family val="2"/>
        <scheme val="minor"/>
      </rPr>
      <t>1</t>
    </r>
  </si>
  <si>
    <t>Sources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</si>
  <si>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https://www-sciencedirect-com.proxy.library.uu.nl/science/article/pii/S0924857920301230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</si>
  <si>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https://pubmed.ncbi.nlm.nih.gov/30588887/</t>
    </r>
  </si>
  <si>
    <t>Assumptions</t>
  </si>
  <si>
    <r>
      <rPr>
        <u/>
        <vertAlign val="superscript"/>
        <sz val="11"/>
        <color theme="10"/>
        <rFont val="Calibri"/>
        <family val="2"/>
        <scheme val="minor"/>
      </rPr>
      <t>4</t>
    </r>
    <r>
      <rPr>
        <u/>
        <sz val="11"/>
        <color theme="10"/>
        <rFont val="Calibri"/>
        <family val="2"/>
        <scheme val="minor"/>
      </rPr>
      <t xml:space="preserve"> https://pubmed.ncbi.nlm.nih.gov/21396530/</t>
    </r>
  </si>
  <si>
    <t>Check points</t>
  </si>
  <si>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https://www-tandfonline-com.proxy.library.uu.nl/doi/full/10.1080/03007995.2019.1602032</t>
    </r>
  </si>
  <si>
    <t>Resistance is equal in all ages, and calculate total incidence</t>
  </si>
  <si>
    <t xml:space="preserve">Resistance % is the same in GP, hospital and outpaitents </t>
  </si>
  <si>
    <r>
      <t>Proportion ESBL (15.1%)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</si>
  <si>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To add the hospital and outpatients, the ratio of the Netherlands was used</t>
  </si>
  <si>
    <t>Remarks</t>
  </si>
  <si>
    <r>
      <t xml:space="preserve">Calculations ESBL UTI incidence in Italy reported at the GP in 2016 based on the population and UTIs in </t>
    </r>
    <r>
      <rPr>
        <b/>
        <vertAlign val="superscript"/>
        <sz val="16"/>
        <color rgb="FF3F3F3F"/>
        <rFont val="Calibri"/>
        <family val="2"/>
        <scheme val="minor"/>
      </rPr>
      <t>1</t>
    </r>
    <r>
      <rPr>
        <b/>
        <sz val="16"/>
        <color rgb="FF3F3F3F"/>
        <rFont val="Calibri"/>
        <family val="2"/>
        <scheme val="minor"/>
      </rPr>
      <t xml:space="preserve"> and percentage resistance reported in </t>
    </r>
    <r>
      <rPr>
        <b/>
        <vertAlign val="superscript"/>
        <sz val="16"/>
        <color rgb="FF3F3F3F"/>
        <rFont val="Calibri"/>
        <family val="2"/>
        <scheme val="minor"/>
      </rPr>
      <t>4</t>
    </r>
  </si>
  <si>
    <r>
      <t xml:space="preserve">Calculations ESBL UTI incidence in Italy reported at the GP, inpatients and outpatients in 2016 based on the population and UTIs in </t>
    </r>
    <r>
      <rPr>
        <b/>
        <vertAlign val="superscript"/>
        <sz val="16"/>
        <color rgb="FF3F3F3F"/>
        <rFont val="Calibri"/>
        <family val="2"/>
        <scheme val="minor"/>
      </rPr>
      <t>1</t>
    </r>
    <r>
      <rPr>
        <b/>
        <sz val="16"/>
        <color rgb="FF3F3F3F"/>
        <rFont val="Calibri"/>
        <family val="2"/>
        <scheme val="minor"/>
      </rPr>
      <t xml:space="preserve"> and percentage resistance reported in </t>
    </r>
    <r>
      <rPr>
        <b/>
        <vertAlign val="superscript"/>
        <sz val="16"/>
        <color rgb="FF3F3F3F"/>
        <rFont val="Calibri"/>
        <family val="2"/>
        <scheme val="minor"/>
      </rPr>
      <t>4</t>
    </r>
  </si>
  <si>
    <t>GP</t>
  </si>
  <si>
    <t>percentage of total</t>
  </si>
  <si>
    <t>Infections in women in italy</t>
  </si>
  <si>
    <r>
      <t xml:space="preserve">Infections in </t>
    </r>
    <r>
      <rPr>
        <sz val="11"/>
        <color theme="1"/>
        <rFont val="Calibri"/>
        <family val="2"/>
      </rPr>
      <t>≥ 65 years</t>
    </r>
  </si>
  <si>
    <t>Step 1. Link the GP incidence to cells G63:G69 and G71:G77 in Sheet "Incidence calc non rec UTI POP"</t>
  </si>
  <si>
    <t>Step 3. Calculate outpatient and clinical IT patients by dividing the GP UTIs by the ratio's above</t>
  </si>
  <si>
    <t>Inpatient (clinical)</t>
  </si>
  <si>
    <t>Step 4. Incidence is calculated by dividing the number of infections by the population</t>
  </si>
  <si>
    <t>Step 5. Incidence per 1000 inhabitants is Incidence total X 1000</t>
  </si>
  <si>
    <t xml:space="preserve">Incidence per 1000 inhabitants </t>
  </si>
  <si>
    <r>
      <t xml:space="preserve">if you look at </t>
    </r>
    <r>
      <rPr>
        <b/>
        <vertAlign val="superscript"/>
        <sz val="11"/>
        <color rgb="FF3F3F3F"/>
        <rFont val="Calibri"/>
        <family val="2"/>
        <scheme val="minor"/>
      </rPr>
      <t xml:space="preserve">1 </t>
    </r>
    <r>
      <rPr>
        <b/>
        <sz val="11"/>
        <color rgb="FF3F3F3F"/>
        <rFont val="Calibri"/>
        <family val="2"/>
        <scheme val="minor"/>
      </rPr>
      <t>you can see that before exclusion, they had 57271 patients in Italy (including &lt; 18 and males, and radiation people)</t>
    </r>
  </si>
  <si>
    <t>Data from UTIs ISIS NL</t>
  </si>
  <si>
    <t>Infection 19-45</t>
  </si>
  <si>
    <t>Infection 46-60</t>
  </si>
  <si>
    <t>Infections &gt;61</t>
  </si>
  <si>
    <t>46-49</t>
  </si>
  <si>
    <t>61-64</t>
  </si>
  <si>
    <t>60</t>
  </si>
  <si>
    <t>Population size</t>
  </si>
  <si>
    <t>Italy Resident population by age, sex on 1st January 2016</t>
  </si>
  <si>
    <t>Step 1. Get total population data for Italy in 2016</t>
  </si>
  <si>
    <t>Step 2. Using the population size per age group and the "infections in group" we calculate the infections for smaller age group</t>
  </si>
  <si>
    <t>Step 3. We make the age groups needed for the BCoDe Toolkit</t>
  </si>
  <si>
    <t>Total UTIs estimated in 1.1 million study population</t>
  </si>
  <si>
    <t>0-1</t>
  </si>
  <si>
    <t xml:space="preserve"> 2-5</t>
  </si>
  <si>
    <t xml:space="preserve"> 6-12</t>
  </si>
  <si>
    <t xml:space="preserve"> 13-18</t>
  </si>
  <si>
    <t>2-4</t>
  </si>
  <si>
    <t>6-9</t>
  </si>
  <si>
    <t>10-12</t>
  </si>
  <si>
    <t>13-14</t>
  </si>
  <si>
    <t xml:space="preserve">Note: incidence here would be </t>
  </si>
  <si>
    <t>per 100.000</t>
  </si>
  <si>
    <r>
      <t xml:space="preserve">Study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60.3% of infections occurs in females, thus the incidence is calculated for males as if the incidence in 2016 is 60.3% in women. Study 5 was used eventually 62.33% as might be more representative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</si>
  <si>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https://www.hindawi.com/journals/ijmicro/2021/5541706/</t>
    </r>
  </si>
  <si>
    <t>Step 2. Calculate GP: Clinic ratio and GP: Outpatient ratios for ESBL E. coli in the Netherlands</t>
  </si>
  <si>
    <t>HA</t>
  </si>
  <si>
    <t>K</t>
  </si>
  <si>
    <t>P</t>
  </si>
  <si>
    <t>GP_C</t>
  </si>
  <si>
    <t>GP_P</t>
  </si>
  <si>
    <t>Females</t>
  </si>
  <si>
    <t>Notification data GPs</t>
  </si>
  <si>
    <t>Notification GP data</t>
  </si>
  <si>
    <t>Out Patient (polikliniek)</t>
  </si>
  <si>
    <t xml:space="preserve">Infections </t>
  </si>
  <si>
    <t>Because there were very little infections on the age of 0 in the Netherlands, we took the GP:outpatient and GP:inpatient of the 1-4 group</t>
  </si>
  <si>
    <t>Incidence per 1000</t>
  </si>
  <si>
    <r>
      <t>Step 1. Estimate total infections in the population of 1.1 million patients at 900 GPs</t>
    </r>
    <r>
      <rPr>
        <b/>
        <vertAlign val="superscript"/>
        <sz val="11"/>
        <color rgb="FF3F3F3F"/>
        <rFont val="Calibri"/>
        <family val="2"/>
        <scheme val="minor"/>
      </rPr>
      <t>2</t>
    </r>
  </si>
  <si>
    <r>
      <t xml:space="preserve">The total number of ESBL </t>
    </r>
    <r>
      <rPr>
        <b/>
        <i/>
        <sz val="11"/>
        <color theme="1"/>
        <rFont val="Calibri"/>
        <family val="2"/>
        <scheme val="minor"/>
      </rPr>
      <t xml:space="preserve">E. coli </t>
    </r>
    <r>
      <rPr>
        <b/>
        <sz val="11"/>
        <color theme="1"/>
        <rFont val="Calibri"/>
        <family val="2"/>
        <scheme val="minor"/>
      </rPr>
      <t>UTIs in Italy in 2016</t>
    </r>
  </si>
  <si>
    <t>Times higher than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</si>
</sst>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0"/>
  </numFmts>
  <fonts count="3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E2E2E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1"/>
      <name val="Palatino Linotype"/>
      <family val="1"/>
    </font>
    <font>
      <b/>
      <i/>
      <sz val="11"/>
      <color theme="1"/>
      <name val="Palatino Linotype"/>
      <family val="1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rgb="FF000000"/>
      <name val="Palatino Linotype"/>
      <family val="1"/>
    </font>
    <font>
      <i/>
      <sz val="11"/>
      <color theme="1"/>
      <name val="Palatino Linotype"/>
      <family val="1"/>
    </font>
    <font>
      <i/>
      <sz val="11"/>
      <color rgb="FF3F3F3F"/>
      <name val="Calibri"/>
      <family val="2"/>
      <scheme val="minor"/>
    </font>
    <font>
      <sz val="11"/>
      <color rgb="FF3F3F3F"/>
      <name val="Calibri"/>
      <family val="2"/>
    </font>
    <font>
      <vertAlign val="superscript"/>
      <sz val="11"/>
      <color rgb="FF3F3F3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vertAlign val="superscript"/>
      <sz val="16"/>
      <color rgb="FF3F3F3F"/>
      <name val="Calibri"/>
      <family val="2"/>
      <scheme val="minor"/>
    </font>
    <font>
      <u/>
      <vertAlign val="superscript"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178">
    <xf numFmtId="0" fontId="0" fillId="0" borderId="0" xfId="0"/>
    <xf numFmtId="0" fontId="3" fillId="0" borderId="0" xfId="0" applyFont="1"/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2" fontId="0" fillId="0" borderId="7" xfId="0" applyNumberForma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16" fontId="0" fillId="0" borderId="5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8" borderId="0" xfId="0" applyFont="1" applyFill="1"/>
    <xf numFmtId="0" fontId="0" fillId="6" borderId="0" xfId="0" applyFill="1"/>
    <xf numFmtId="0" fontId="3" fillId="6" borderId="0" xfId="0" applyFont="1" applyFill="1"/>
    <xf numFmtId="0" fontId="0" fillId="9" borderId="0" xfId="0" applyFill="1"/>
    <xf numFmtId="0" fontId="10" fillId="9" borderId="0" xfId="0" applyFont="1" applyFill="1"/>
    <xf numFmtId="0" fontId="9" fillId="9" borderId="0" xfId="2" applyFill="1"/>
    <xf numFmtId="0" fontId="6" fillId="9" borderId="0" xfId="0" applyFont="1" applyFill="1"/>
    <xf numFmtId="0" fontId="0" fillId="9" borderId="9" xfId="0" applyFill="1" applyBorder="1"/>
    <xf numFmtId="0" fontId="2" fillId="10" borderId="0" xfId="0" applyFont="1" applyFill="1"/>
    <xf numFmtId="0" fontId="12" fillId="9" borderId="0" xfId="1" applyFont="1" applyFill="1" applyBorder="1"/>
    <xf numFmtId="1" fontId="0" fillId="0" borderId="0" xfId="0" applyNumberFormat="1"/>
    <xf numFmtId="0" fontId="1" fillId="7" borderId="0" xfId="1" applyFont="1" applyFill="1" applyBorder="1"/>
    <xf numFmtId="0" fontId="0" fillId="0" borderId="0" xfId="0" applyFill="1"/>
    <xf numFmtId="0" fontId="3" fillId="0" borderId="0" xfId="0" applyFont="1" applyFill="1"/>
    <xf numFmtId="1" fontId="1" fillId="7" borderId="0" xfId="1" applyNumberFormat="1" applyFont="1" applyFill="1" applyBorder="1"/>
    <xf numFmtId="0" fontId="12" fillId="6" borderId="0" xfId="1" applyFont="1" applyFill="1" applyBorder="1"/>
    <xf numFmtId="0" fontId="1" fillId="6" borderId="0" xfId="1" applyFont="1" applyFill="1" applyBorder="1"/>
    <xf numFmtId="1" fontId="0" fillId="6" borderId="0" xfId="0" applyNumberFormat="1" applyFill="1"/>
    <xf numFmtId="0" fontId="1" fillId="2" borderId="10" xfId="1" applyFont="1" applyBorder="1"/>
    <xf numFmtId="1" fontId="1" fillId="2" borderId="10" xfId="1" applyNumberFormat="1" applyFont="1" applyBorder="1"/>
    <xf numFmtId="0" fontId="1" fillId="6" borderId="0" xfId="1" applyFill="1" applyBorder="1"/>
    <xf numFmtId="0" fontId="0" fillId="6" borderId="9" xfId="0" applyFill="1" applyBorder="1"/>
    <xf numFmtId="0" fontId="1" fillId="11" borderId="10" xfId="1" applyFont="1" applyFill="1" applyBorder="1"/>
    <xf numFmtId="0" fontId="0" fillId="11" borderId="10" xfId="0" applyFill="1" applyBorder="1"/>
    <xf numFmtId="0" fontId="3" fillId="11" borderId="11" xfId="0" applyFont="1" applyFill="1" applyBorder="1"/>
    <xf numFmtId="0" fontId="1" fillId="11" borderId="0" xfId="1" applyFill="1" applyBorder="1"/>
    <xf numFmtId="0" fontId="0" fillId="11" borderId="0" xfId="0" applyFill="1"/>
    <xf numFmtId="0" fontId="3" fillId="11" borderId="9" xfId="0" applyFont="1" applyFill="1" applyBorder="1"/>
    <xf numFmtId="0" fontId="0" fillId="11" borderId="9" xfId="0" applyFill="1" applyBorder="1"/>
    <xf numFmtId="0" fontId="1" fillId="11" borderId="10" xfId="1" applyFill="1" applyBorder="1"/>
    <xf numFmtId="0" fontId="0" fillId="11" borderId="11" xfId="0" applyFill="1" applyBorder="1"/>
    <xf numFmtId="0" fontId="0" fillId="0" borderId="0" xfId="0" applyFill="1" applyBorder="1"/>
    <xf numFmtId="0" fontId="1" fillId="11" borderId="0" xfId="1" applyFont="1" applyFill="1" applyBorder="1"/>
    <xf numFmtId="0" fontId="0" fillId="9" borderId="0" xfId="0" applyFont="1" applyFill="1"/>
    <xf numFmtId="0" fontId="0" fillId="9" borderId="0" xfId="0" applyFill="1" applyBorder="1"/>
    <xf numFmtId="0" fontId="3" fillId="12" borderId="0" xfId="0" applyFont="1" applyFill="1"/>
    <xf numFmtId="0" fontId="0" fillId="12" borderId="0" xfId="0" applyFill="1"/>
    <xf numFmtId="0" fontId="25" fillId="0" borderId="0" xfId="1" applyFont="1" applyFill="1" applyBorder="1"/>
    <xf numFmtId="0" fontId="9" fillId="13" borderId="0" xfId="2" applyFill="1"/>
    <xf numFmtId="1" fontId="0" fillId="13" borderId="0" xfId="0" applyNumberFormat="1" applyFill="1"/>
    <xf numFmtId="0" fontId="0" fillId="6" borderId="0" xfId="0" applyFont="1" applyFill="1"/>
    <xf numFmtId="1" fontId="0" fillId="10" borderId="0" xfId="0" applyNumberFormat="1" applyFill="1"/>
    <xf numFmtId="1" fontId="0" fillId="9" borderId="0" xfId="0" applyNumberFormat="1" applyFill="1"/>
    <xf numFmtId="1" fontId="3" fillId="13" borderId="0" xfId="0" applyNumberFormat="1" applyFont="1" applyFill="1"/>
    <xf numFmtId="1" fontId="3" fillId="13" borderId="10" xfId="0" applyNumberFormat="1" applyFont="1" applyFill="1" applyBorder="1"/>
    <xf numFmtId="1" fontId="0" fillId="10" borderId="10" xfId="0" applyNumberFormat="1" applyFill="1" applyBorder="1"/>
    <xf numFmtId="1" fontId="3" fillId="11" borderId="0" xfId="0" applyNumberFormat="1" applyFont="1" applyFill="1"/>
    <xf numFmtId="1" fontId="0" fillId="9" borderId="0" xfId="0" applyNumberFormat="1" applyFill="1" applyBorder="1"/>
    <xf numFmtId="1" fontId="3" fillId="11" borderId="10" xfId="0" applyNumberFormat="1" applyFont="1" applyFill="1" applyBorder="1"/>
    <xf numFmtId="1" fontId="0" fillId="12" borderId="0" xfId="0" applyNumberFormat="1" applyFill="1"/>
    <xf numFmtId="2" fontId="0" fillId="0" borderId="0" xfId="0" applyNumberFormat="1"/>
    <xf numFmtId="2" fontId="1" fillId="7" borderId="0" xfId="1" applyNumberFormat="1" applyFont="1" applyFill="1" applyBorder="1"/>
    <xf numFmtId="2" fontId="12" fillId="6" borderId="0" xfId="1" applyNumberFormat="1" applyFont="1" applyFill="1" applyBorder="1"/>
    <xf numFmtId="2" fontId="0" fillId="6" borderId="0" xfId="0" applyNumberFormat="1" applyFill="1"/>
    <xf numFmtId="2" fontId="1" fillId="2" borderId="10" xfId="1" applyNumberFormat="1" applyFont="1" applyBorder="1"/>
    <xf numFmtId="2" fontId="0" fillId="9" borderId="0" xfId="0" applyNumberFormat="1" applyFill="1"/>
    <xf numFmtId="2" fontId="0" fillId="11" borderId="0" xfId="0" applyNumberFormat="1" applyFill="1"/>
    <xf numFmtId="2" fontId="0" fillId="11" borderId="10" xfId="0" applyNumberFormat="1" applyFill="1" applyBorder="1"/>
    <xf numFmtId="2" fontId="0" fillId="0" borderId="0" xfId="0" applyNumberFormat="1" applyFill="1" applyBorder="1"/>
    <xf numFmtId="2" fontId="0" fillId="9" borderId="0" xfId="0" applyNumberFormat="1" applyFill="1" applyBorder="1"/>
    <xf numFmtId="2" fontId="0" fillId="12" borderId="0" xfId="0" applyNumberFormat="1" applyFill="1"/>
    <xf numFmtId="2" fontId="3" fillId="12" borderId="0" xfId="0" applyNumberFormat="1" applyFont="1" applyFill="1"/>
    <xf numFmtId="1" fontId="3" fillId="12" borderId="0" xfId="0" applyNumberFormat="1" applyFont="1" applyFill="1"/>
    <xf numFmtId="0" fontId="3" fillId="12" borderId="9" xfId="0" applyFont="1" applyFill="1" applyBorder="1"/>
    <xf numFmtId="0" fontId="0" fillId="0" borderId="0" xfId="0" applyBorder="1"/>
    <xf numFmtId="2" fontId="0" fillId="0" borderId="0" xfId="0" applyNumberFormat="1" applyBorder="1"/>
    <xf numFmtId="0" fontId="3" fillId="12" borderId="0" xfId="0" applyFont="1" applyFill="1" applyBorder="1"/>
    <xf numFmtId="2" fontId="0" fillId="12" borderId="0" xfId="0" applyNumberFormat="1" applyFill="1" applyBorder="1"/>
    <xf numFmtId="0" fontId="0" fillId="12" borderId="0" xfId="0" applyFill="1" applyBorder="1"/>
    <xf numFmtId="1" fontId="0" fillId="12" borderId="0" xfId="0" applyNumberFormat="1" applyFill="1" applyBorder="1"/>
    <xf numFmtId="0" fontId="0" fillId="14" borderId="0" xfId="0" applyFill="1"/>
    <xf numFmtId="1" fontId="3" fillId="14" borderId="0" xfId="0" applyNumberFormat="1" applyFon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top"/>
    </xf>
    <xf numFmtId="164" fontId="0" fillId="6" borderId="0" xfId="0" applyNumberFormat="1" applyFill="1"/>
    <xf numFmtId="164" fontId="0" fillId="6" borderId="0" xfId="0" applyNumberFormat="1" applyFill="1" applyBorder="1"/>
    <xf numFmtId="0" fontId="0" fillId="6" borderId="0" xfId="0" applyFill="1" applyBorder="1"/>
    <xf numFmtId="1" fontId="0" fillId="6" borderId="0" xfId="0" applyNumberFormat="1" applyFill="1" applyBorder="1"/>
    <xf numFmtId="0" fontId="0" fillId="12" borderId="0" xfId="0" applyFill="1" applyAlignment="1">
      <alignment horizontal="left"/>
    </xf>
    <xf numFmtId="0" fontId="6" fillId="14" borderId="0" xfId="0" applyFont="1" applyFill="1" applyAlignment="1">
      <alignment horizontal="left" vertical="center" wrapText="1"/>
    </xf>
    <xf numFmtId="49" fontId="0" fillId="14" borderId="0" xfId="0" applyNumberFormat="1" applyFill="1"/>
    <xf numFmtId="49" fontId="0" fillId="9" borderId="0" xfId="0" applyNumberFormat="1" applyFill="1"/>
    <xf numFmtId="0" fontId="0" fillId="16" borderId="0" xfId="0" applyFill="1"/>
    <xf numFmtId="49" fontId="0" fillId="16" borderId="0" xfId="0" applyNumberFormat="1" applyFill="1"/>
    <xf numFmtId="1" fontId="0" fillId="4" borderId="0" xfId="0" applyNumberFormat="1" applyFill="1"/>
    <xf numFmtId="1" fontId="0" fillId="14" borderId="0" xfId="0" applyNumberFormat="1" applyFill="1"/>
    <xf numFmtId="1" fontId="0" fillId="16" borderId="0" xfId="0" applyNumberFormat="1" applyFill="1"/>
    <xf numFmtId="1" fontId="3" fillId="4" borderId="0" xfId="0" applyNumberFormat="1" applyFont="1" applyFill="1"/>
    <xf numFmtId="1" fontId="0" fillId="5" borderId="0" xfId="0" applyNumberFormat="1" applyFill="1"/>
    <xf numFmtId="1" fontId="3" fillId="9" borderId="0" xfId="0" applyNumberFormat="1" applyFont="1" applyFill="1"/>
    <xf numFmtId="1" fontId="3" fillId="16" borderId="0" xfId="0" applyNumberFormat="1" applyFont="1" applyFill="1"/>
    <xf numFmtId="0" fontId="5" fillId="0" borderId="0" xfId="0" applyFont="1" applyFill="1"/>
    <xf numFmtId="1" fontId="0" fillId="4" borderId="0" xfId="0" applyNumberFormat="1" applyFill="1" applyAlignment="1">
      <alignment horizontal="left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5" fillId="6" borderId="0" xfId="1" applyFont="1" applyFill="1" applyBorder="1"/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left" vertical="top"/>
    </xf>
    <xf numFmtId="2" fontId="0" fillId="6" borderId="0" xfId="0" applyNumberFormat="1" applyFill="1" applyBorder="1"/>
    <xf numFmtId="0" fontId="3" fillId="6" borderId="0" xfId="0" applyFont="1" applyFill="1" applyBorder="1" applyAlignment="1"/>
    <xf numFmtId="1" fontId="0" fillId="4" borderId="0" xfId="0" applyNumberFormat="1" applyFill="1" applyAlignment="1">
      <alignment horizontal="right"/>
    </xf>
    <xf numFmtId="1" fontId="0" fillId="14" borderId="0" xfId="0" applyNumberFormat="1" applyFill="1" applyAlignment="1">
      <alignment horizontal="right"/>
    </xf>
    <xf numFmtId="1" fontId="0" fillId="9" borderId="0" xfId="0" applyNumberFormat="1" applyFill="1" applyAlignment="1">
      <alignment horizontal="right"/>
    </xf>
    <xf numFmtId="1" fontId="0" fillId="16" borderId="0" xfId="0" applyNumberFormat="1" applyFill="1" applyAlignment="1">
      <alignment horizontal="right"/>
    </xf>
    <xf numFmtId="164" fontId="3" fillId="6" borderId="0" xfId="0" applyNumberFormat="1" applyFont="1" applyFill="1" applyBorder="1"/>
    <xf numFmtId="1" fontId="3" fillId="6" borderId="0" xfId="0" applyNumberFormat="1" applyFont="1" applyFill="1" applyBorder="1"/>
    <xf numFmtId="2" fontId="3" fillId="6" borderId="0" xfId="0" applyNumberFormat="1" applyFont="1" applyFill="1" applyBorder="1"/>
    <xf numFmtId="0" fontId="3" fillId="6" borderId="0" xfId="0" applyFont="1" applyFill="1" applyAlignment="1">
      <alignment horizontal="right"/>
    </xf>
    <xf numFmtId="165" fontId="3" fillId="6" borderId="0" xfId="0" applyNumberFormat="1" applyFont="1" applyFill="1" applyBorder="1"/>
    <xf numFmtId="1" fontId="1" fillId="6" borderId="0" xfId="1" applyNumberFormat="1" applyFont="1" applyFill="1" applyBorder="1"/>
    <xf numFmtId="1" fontId="3" fillId="6" borderId="0" xfId="0" applyNumberFormat="1" applyFont="1" applyFill="1" applyBorder="1" applyAlignment="1">
      <alignment horizontal="left"/>
    </xf>
    <xf numFmtId="1" fontId="3" fillId="6" borderId="0" xfId="0" applyNumberFormat="1" applyFont="1" applyFill="1" applyBorder="1" applyAlignment="1">
      <alignment horizontal="left" vertical="top"/>
    </xf>
    <xf numFmtId="0" fontId="3" fillId="6" borderId="9" xfId="0" applyFont="1" applyFill="1" applyBorder="1"/>
    <xf numFmtId="1" fontId="0" fillId="4" borderId="9" xfId="0" applyNumberFormat="1" applyFill="1" applyBorder="1" applyAlignment="1">
      <alignment horizontal="right"/>
    </xf>
    <xf numFmtId="1" fontId="3" fillId="15" borderId="0" xfId="0" applyNumberFormat="1" applyFont="1" applyFill="1"/>
    <xf numFmtId="0" fontId="0" fillId="15" borderId="0" xfId="0" applyFont="1" applyFill="1"/>
    <xf numFmtId="165" fontId="0" fillId="6" borderId="0" xfId="0" applyNumberFormat="1" applyFill="1" applyAlignment="1">
      <alignment horizontal="left"/>
    </xf>
    <xf numFmtId="0" fontId="0" fillId="6" borderId="0" xfId="0" applyFill="1" applyAlignment="1">
      <alignment horizontal="right"/>
    </xf>
    <xf numFmtId="0" fontId="3" fillId="6" borderId="0" xfId="0" applyFont="1" applyFill="1" applyAlignment="1">
      <alignment wrapText="1"/>
    </xf>
    <xf numFmtId="1" fontId="3" fillId="6" borderId="0" xfId="0" applyNumberFormat="1" applyFont="1" applyFill="1" applyBorder="1" applyAlignment="1">
      <alignment horizontal="right"/>
    </xf>
    <xf numFmtId="0" fontId="18" fillId="6" borderId="0" xfId="0" applyFont="1" applyFill="1" applyAlignment="1">
      <alignment vertical="center" wrapText="1"/>
    </xf>
    <xf numFmtId="0" fontId="17" fillId="6" borderId="0" xfId="0" applyFont="1" applyFill="1"/>
    <xf numFmtId="0" fontId="13" fillId="6" borderId="0" xfId="0" applyFont="1" applyFill="1" applyAlignment="1">
      <alignment horizontal="center" vertical="center" wrapText="1"/>
    </xf>
    <xf numFmtId="0" fontId="13" fillId="6" borderId="0" xfId="0" applyFont="1" applyFill="1" applyBorder="1" applyAlignment="1">
      <alignment vertical="center" wrapText="1"/>
    </xf>
    <xf numFmtId="0" fontId="15" fillId="6" borderId="0" xfId="0" applyFont="1" applyFill="1" applyBorder="1" applyAlignment="1">
      <alignment vertical="center" wrapText="1"/>
    </xf>
    <xf numFmtId="0" fontId="17" fillId="6" borderId="0" xfId="0" applyFont="1" applyFill="1" applyBorder="1"/>
    <xf numFmtId="0" fontId="16" fillId="6" borderId="0" xfId="0" applyFont="1" applyFill="1" applyBorder="1" applyAlignment="1">
      <alignment vertical="center" wrapText="1"/>
    </xf>
    <xf numFmtId="0" fontId="17" fillId="6" borderId="0" xfId="0" applyFont="1" applyFill="1" applyBorder="1" applyAlignment="1">
      <alignment horizontal="left"/>
    </xf>
    <xf numFmtId="166" fontId="16" fillId="6" borderId="0" xfId="0" applyNumberFormat="1" applyFont="1" applyFill="1" applyBorder="1" applyAlignment="1">
      <alignment vertical="center" wrapText="1"/>
    </xf>
    <xf numFmtId="165" fontId="16" fillId="6" borderId="0" xfId="0" applyNumberFormat="1" applyFont="1" applyFill="1" applyBorder="1" applyAlignment="1">
      <alignment vertical="center" wrapText="1"/>
    </xf>
    <xf numFmtId="1" fontId="17" fillId="6" borderId="0" xfId="0" applyNumberFormat="1" applyFont="1" applyFill="1" applyBorder="1" applyAlignment="1">
      <alignment vertical="center" wrapText="1"/>
    </xf>
    <xf numFmtId="166" fontId="17" fillId="6" borderId="0" xfId="0" applyNumberFormat="1" applyFont="1" applyFill="1" applyBorder="1" applyAlignment="1">
      <alignment vertical="center" wrapText="1"/>
    </xf>
    <xf numFmtId="165" fontId="17" fillId="6" borderId="0" xfId="0" applyNumberFormat="1" applyFont="1" applyFill="1" applyBorder="1" applyAlignment="1">
      <alignment horizontal="right" vertical="center" wrapText="1" indent="1"/>
    </xf>
    <xf numFmtId="16" fontId="17" fillId="6" borderId="0" xfId="0" applyNumberFormat="1" applyFont="1" applyFill="1" applyBorder="1"/>
    <xf numFmtId="0" fontId="18" fillId="6" borderId="0" xfId="0" applyFont="1" applyFill="1" applyBorder="1" applyAlignment="1">
      <alignment vertical="center" wrapText="1"/>
    </xf>
    <xf numFmtId="0" fontId="19" fillId="6" borderId="0" xfId="0" applyFont="1" applyFill="1" applyBorder="1"/>
    <xf numFmtId="166" fontId="17" fillId="6" borderId="0" xfId="0" applyNumberFormat="1" applyFont="1" applyFill="1" applyBorder="1"/>
    <xf numFmtId="165" fontId="17" fillId="6" borderId="0" xfId="0" applyNumberFormat="1" applyFont="1" applyFill="1" applyBorder="1"/>
    <xf numFmtId="1" fontId="17" fillId="6" borderId="0" xfId="0" applyNumberFormat="1" applyFont="1" applyFill="1" applyBorder="1"/>
    <xf numFmtId="165" fontId="17" fillId="6" borderId="0" xfId="0" applyNumberFormat="1" applyFont="1" applyFill="1" applyBorder="1" applyAlignment="1">
      <alignment horizontal="right" indent="1"/>
    </xf>
    <xf numFmtId="164" fontId="17" fillId="6" borderId="0" xfId="0" applyNumberFormat="1" applyFont="1" applyFill="1" applyBorder="1"/>
    <xf numFmtId="0" fontId="13" fillId="6" borderId="0" xfId="0" applyFont="1" applyFill="1" applyBorder="1"/>
    <xf numFmtId="164" fontId="17" fillId="6" borderId="0" xfId="0" applyNumberFormat="1" applyFont="1" applyFill="1" applyBorder="1" applyAlignment="1">
      <alignment vertical="center" wrapText="1"/>
    </xf>
    <xf numFmtId="1" fontId="3" fillId="6" borderId="0" xfId="0" applyNumberFormat="1" applyFont="1" applyFill="1"/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right" vertical="center" wrapText="1"/>
    </xf>
    <xf numFmtId="49" fontId="3" fillId="6" borderId="0" xfId="0" applyNumberFormat="1" applyFont="1" applyFill="1"/>
    <xf numFmtId="0" fontId="9" fillId="6" borderId="0" xfId="2" applyFill="1"/>
    <xf numFmtId="0" fontId="6" fillId="6" borderId="0" xfId="0" applyFont="1" applyFill="1"/>
    <xf numFmtId="10" fontId="12" fillId="6" borderId="0" xfId="1" applyNumberFormat="1" applyFont="1" applyFill="1" applyBorder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2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g/Documents/2.%20Phd/Article%202.%20Excess%20burden/7.%20Verder%20met%20Italie/For_Noor_toolkit_inputs_results_w_sensitivity/Italy/Final%20Docs%20NL%20and%20IT/Italy/New_age_Parameter_values_table_UTI_%202207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Calculation P(Death|Bact E.coli"/>
      <sheetName val="✓Incidence non recurrent UTI"/>
      <sheetName val="✓Incidence IT 2016 Incl RecurGP"/>
      <sheetName val="Serretiello"/>
      <sheetName val="✓New incidence IT non rec tot"/>
      <sheetName val="✓Incidence IT  Incl Recur Total"/>
      <sheetName val="Italy population 2016"/>
      <sheetName val="NL incidence 2018"/>
      <sheetName val="ESBL Italy 2016 vs. NL 2018"/>
      <sheetName val="✓ESBL Italy 2016 vs NL 2018 Rec"/>
      <sheetName val="Limitations"/>
      <sheetName val="Tabl 3"/>
      <sheetName val="✓Tabl 3 incl rec"/>
      <sheetName val="To do"/>
      <sheetName val="Questions or notes to self"/>
    </sheetNames>
    <sheetDataSet>
      <sheetData sheetId="0"/>
      <sheetData sheetId="1"/>
      <sheetData sheetId="2"/>
      <sheetData sheetId="3"/>
      <sheetData sheetId="4">
        <row r="4">
          <cell r="N4">
            <v>4.7742773627801237E-2</v>
          </cell>
        </row>
      </sheetData>
      <sheetData sheetId="5"/>
      <sheetData sheetId="6"/>
      <sheetData sheetId="7">
        <row r="5">
          <cell r="B5">
            <v>246656</v>
          </cell>
          <cell r="C5">
            <v>232955</v>
          </cell>
        </row>
        <row r="6">
          <cell r="B6">
            <v>257109</v>
          </cell>
          <cell r="C6">
            <v>243570</v>
          </cell>
        </row>
        <row r="7">
          <cell r="B7">
            <v>263019</v>
          </cell>
          <cell r="C7">
            <v>248741</v>
          </cell>
        </row>
        <row r="8">
          <cell r="B8">
            <v>274935</v>
          </cell>
          <cell r="C8">
            <v>259955</v>
          </cell>
        </row>
        <row r="9">
          <cell r="B9">
            <v>280787</v>
          </cell>
          <cell r="C9">
            <v>265221</v>
          </cell>
        </row>
        <row r="10">
          <cell r="B10">
            <v>288877</v>
          </cell>
          <cell r="C10">
            <v>272107</v>
          </cell>
        </row>
        <row r="11">
          <cell r="B11">
            <v>293468</v>
          </cell>
          <cell r="C11">
            <v>276604</v>
          </cell>
        </row>
        <row r="12">
          <cell r="B12">
            <v>295862</v>
          </cell>
          <cell r="C12">
            <v>280244</v>
          </cell>
        </row>
        <row r="13">
          <cell r="B13">
            <v>295281</v>
          </cell>
          <cell r="C13">
            <v>278398</v>
          </cell>
        </row>
        <row r="14">
          <cell r="B14">
            <v>295977</v>
          </cell>
          <cell r="C14">
            <v>277902</v>
          </cell>
        </row>
        <row r="15">
          <cell r="B15">
            <v>294098</v>
          </cell>
          <cell r="C15">
            <v>275775</v>
          </cell>
        </row>
        <row r="16">
          <cell r="B16">
            <v>295795</v>
          </cell>
          <cell r="C16">
            <v>279562</v>
          </cell>
        </row>
        <row r="17">
          <cell r="B17">
            <v>293485</v>
          </cell>
          <cell r="C17">
            <v>276903</v>
          </cell>
        </row>
        <row r="18">
          <cell r="B18">
            <v>291385</v>
          </cell>
          <cell r="C18">
            <v>275243</v>
          </cell>
        </row>
        <row r="19">
          <cell r="B19">
            <v>294562</v>
          </cell>
          <cell r="C19">
            <v>277383</v>
          </cell>
        </row>
        <row r="20">
          <cell r="B20">
            <v>300021</v>
          </cell>
          <cell r="C20">
            <v>281341</v>
          </cell>
        </row>
        <row r="21">
          <cell r="B21">
            <v>294237</v>
          </cell>
          <cell r="C21">
            <v>277158</v>
          </cell>
        </row>
        <row r="22">
          <cell r="B22">
            <v>296329</v>
          </cell>
          <cell r="C22">
            <v>277088</v>
          </cell>
        </row>
        <row r="23">
          <cell r="B23">
            <v>298467</v>
          </cell>
          <cell r="C23">
            <v>276932</v>
          </cell>
        </row>
        <row r="24">
          <cell r="B24">
            <v>301372</v>
          </cell>
          <cell r="C24">
            <v>278603</v>
          </cell>
        </row>
        <row r="25">
          <cell r="B25">
            <v>301675</v>
          </cell>
          <cell r="C25">
            <v>279061</v>
          </cell>
        </row>
        <row r="26">
          <cell r="B26">
            <v>304795</v>
          </cell>
          <cell r="C26">
            <v>284652</v>
          </cell>
        </row>
        <row r="27">
          <cell r="B27">
            <v>310400</v>
          </cell>
          <cell r="C27">
            <v>293373</v>
          </cell>
        </row>
        <row r="28">
          <cell r="B28">
            <v>323316</v>
          </cell>
          <cell r="C28">
            <v>307112</v>
          </cell>
        </row>
        <row r="29">
          <cell r="B29">
            <v>323210</v>
          </cell>
          <cell r="C29">
            <v>308593</v>
          </cell>
        </row>
        <row r="30">
          <cell r="B30">
            <v>329042</v>
          </cell>
          <cell r="C30">
            <v>315648</v>
          </cell>
        </row>
        <row r="31">
          <cell r="B31">
            <v>327858</v>
          </cell>
          <cell r="C31">
            <v>317995</v>
          </cell>
        </row>
        <row r="32">
          <cell r="B32">
            <v>335901</v>
          </cell>
          <cell r="C32">
            <v>326453</v>
          </cell>
        </row>
        <row r="33">
          <cell r="B33">
            <v>329271</v>
          </cell>
          <cell r="C33">
            <v>322185</v>
          </cell>
        </row>
        <row r="34">
          <cell r="B34">
            <v>331232</v>
          </cell>
          <cell r="C34">
            <v>325118</v>
          </cell>
        </row>
        <row r="35">
          <cell r="B35">
            <v>340809</v>
          </cell>
          <cell r="C35">
            <v>337248</v>
          </cell>
        </row>
        <row r="36">
          <cell r="B36">
            <v>347793</v>
          </cell>
          <cell r="C36">
            <v>343775</v>
          </cell>
        </row>
        <row r="37">
          <cell r="B37">
            <v>354102</v>
          </cell>
          <cell r="C37">
            <v>350050</v>
          </cell>
        </row>
        <row r="38">
          <cell r="B38">
            <v>365712</v>
          </cell>
          <cell r="C38">
            <v>363269</v>
          </cell>
        </row>
        <row r="39">
          <cell r="B39">
            <v>368003</v>
          </cell>
          <cell r="C39">
            <v>367061</v>
          </cell>
        </row>
        <row r="40">
          <cell r="B40">
            <v>378749</v>
          </cell>
          <cell r="C40">
            <v>374844</v>
          </cell>
        </row>
        <row r="41">
          <cell r="B41">
            <v>389614</v>
          </cell>
          <cell r="C41">
            <v>388484</v>
          </cell>
        </row>
        <row r="42">
          <cell r="B42">
            <v>410742</v>
          </cell>
          <cell r="C42">
            <v>408959</v>
          </cell>
        </row>
        <row r="43">
          <cell r="B43">
            <v>422639</v>
          </cell>
          <cell r="C43">
            <v>423313</v>
          </cell>
        </row>
        <row r="44">
          <cell r="B44">
            <v>441427</v>
          </cell>
          <cell r="C44">
            <v>441699</v>
          </cell>
        </row>
        <row r="45">
          <cell r="B45">
            <v>461195</v>
          </cell>
          <cell r="C45">
            <v>462776</v>
          </cell>
        </row>
        <row r="46">
          <cell r="B46">
            <v>479571</v>
          </cell>
          <cell r="C46">
            <v>481850</v>
          </cell>
        </row>
        <row r="47">
          <cell r="B47">
            <v>475697</v>
          </cell>
          <cell r="C47">
            <v>479941</v>
          </cell>
        </row>
        <row r="48">
          <cell r="B48">
            <v>480767</v>
          </cell>
          <cell r="C48">
            <v>484491</v>
          </cell>
        </row>
        <row r="49">
          <cell r="B49">
            <v>483328</v>
          </cell>
          <cell r="C49">
            <v>490917</v>
          </cell>
        </row>
        <row r="50">
          <cell r="B50">
            <v>479838</v>
          </cell>
          <cell r="C50">
            <v>486470</v>
          </cell>
        </row>
        <row r="51">
          <cell r="B51">
            <v>491930</v>
          </cell>
          <cell r="C51">
            <v>500677</v>
          </cell>
        </row>
        <row r="52">
          <cell r="B52">
            <v>487622</v>
          </cell>
          <cell r="C52">
            <v>497764</v>
          </cell>
        </row>
        <row r="53">
          <cell r="B53">
            <v>488218</v>
          </cell>
          <cell r="C53">
            <v>501227</v>
          </cell>
        </row>
        <row r="54">
          <cell r="B54">
            <v>494054</v>
          </cell>
          <cell r="C54">
            <v>503885</v>
          </cell>
        </row>
        <row r="55">
          <cell r="B55">
            <v>492292</v>
          </cell>
          <cell r="C55">
            <v>503004</v>
          </cell>
        </row>
        <row r="56">
          <cell r="B56">
            <v>497371</v>
          </cell>
          <cell r="C56">
            <v>510525</v>
          </cell>
        </row>
        <row r="57">
          <cell r="B57">
            <v>464029</v>
          </cell>
          <cell r="C57">
            <v>481713</v>
          </cell>
        </row>
        <row r="58">
          <cell r="B58">
            <v>447040</v>
          </cell>
          <cell r="C58">
            <v>466782</v>
          </cell>
        </row>
        <row r="59">
          <cell r="B59">
            <v>436717</v>
          </cell>
          <cell r="C59">
            <v>458215</v>
          </cell>
        </row>
        <row r="60">
          <cell r="B60">
            <v>422232</v>
          </cell>
          <cell r="C60">
            <v>444436</v>
          </cell>
        </row>
        <row r="61">
          <cell r="B61">
            <v>411591</v>
          </cell>
          <cell r="C61">
            <v>434190</v>
          </cell>
        </row>
        <row r="62">
          <cell r="B62">
            <v>390959</v>
          </cell>
          <cell r="C62">
            <v>416234</v>
          </cell>
        </row>
        <row r="63">
          <cell r="B63">
            <v>387155</v>
          </cell>
          <cell r="C63">
            <v>412121</v>
          </cell>
        </row>
        <row r="64">
          <cell r="B64">
            <v>378202</v>
          </cell>
          <cell r="C64">
            <v>403942</v>
          </cell>
        </row>
        <row r="65">
          <cell r="B65">
            <v>370277</v>
          </cell>
          <cell r="C65">
            <v>396445</v>
          </cell>
        </row>
        <row r="66">
          <cell r="B66">
            <v>362722</v>
          </cell>
          <cell r="C66">
            <v>390979</v>
          </cell>
        </row>
        <row r="67">
          <cell r="B67">
            <v>346553</v>
          </cell>
          <cell r="C67">
            <v>371726</v>
          </cell>
        </row>
        <row r="68">
          <cell r="B68">
            <v>338915</v>
          </cell>
          <cell r="C68">
            <v>366707</v>
          </cell>
        </row>
        <row r="69">
          <cell r="B69">
            <v>336536</v>
          </cell>
          <cell r="C69">
            <v>365380</v>
          </cell>
        </row>
        <row r="70">
          <cell r="B70">
            <v>348167</v>
          </cell>
          <cell r="C70">
            <v>378170</v>
          </cell>
        </row>
        <row r="71">
          <cell r="B71">
            <v>348839</v>
          </cell>
          <cell r="C71">
            <v>379734</v>
          </cell>
        </row>
        <row r="72">
          <cell r="B72">
            <v>361261</v>
          </cell>
          <cell r="C72">
            <v>396373</v>
          </cell>
        </row>
        <row r="73">
          <cell r="B73">
            <v>351467</v>
          </cell>
          <cell r="C73">
            <v>386716</v>
          </cell>
        </row>
        <row r="74">
          <cell r="B74">
            <v>347685</v>
          </cell>
          <cell r="C74">
            <v>386506</v>
          </cell>
        </row>
        <row r="75">
          <cell r="B75">
            <v>265513</v>
          </cell>
          <cell r="C75">
            <v>298768</v>
          </cell>
        </row>
        <row r="76">
          <cell r="B76">
            <v>269630</v>
          </cell>
          <cell r="C76">
            <v>307061</v>
          </cell>
        </row>
        <row r="77">
          <cell r="B77">
            <v>267381</v>
          </cell>
          <cell r="C77">
            <v>310624</v>
          </cell>
        </row>
        <row r="78">
          <cell r="B78">
            <v>261840</v>
          </cell>
          <cell r="C78">
            <v>307892</v>
          </cell>
        </row>
        <row r="79">
          <cell r="B79">
            <v>258411</v>
          </cell>
          <cell r="C79">
            <v>309106</v>
          </cell>
        </row>
        <row r="80">
          <cell r="B80">
            <v>278495</v>
          </cell>
          <cell r="C80">
            <v>338302</v>
          </cell>
        </row>
        <row r="81">
          <cell r="B81">
            <v>268268</v>
          </cell>
          <cell r="C81">
            <v>330524</v>
          </cell>
        </row>
        <row r="82">
          <cell r="B82">
            <v>252250</v>
          </cell>
          <cell r="C82">
            <v>318856</v>
          </cell>
        </row>
        <row r="83">
          <cell r="B83">
            <v>225862</v>
          </cell>
          <cell r="C83">
            <v>292250</v>
          </cell>
        </row>
        <row r="84">
          <cell r="B84">
            <v>202504</v>
          </cell>
          <cell r="C84">
            <v>272242</v>
          </cell>
        </row>
        <row r="85">
          <cell r="B85">
            <v>198025</v>
          </cell>
          <cell r="C85">
            <v>272865</v>
          </cell>
        </row>
        <row r="86">
          <cell r="B86">
            <v>181226</v>
          </cell>
          <cell r="C86">
            <v>259415</v>
          </cell>
        </row>
        <row r="87">
          <cell r="B87">
            <v>165108</v>
          </cell>
          <cell r="C87">
            <v>245156</v>
          </cell>
        </row>
        <row r="88">
          <cell r="B88">
            <v>147188</v>
          </cell>
          <cell r="C88">
            <v>229924</v>
          </cell>
        </row>
        <row r="89">
          <cell r="B89">
            <v>135238</v>
          </cell>
          <cell r="C89">
            <v>220349</v>
          </cell>
        </row>
        <row r="90">
          <cell r="B90">
            <v>125619</v>
          </cell>
          <cell r="C90">
            <v>216788</v>
          </cell>
        </row>
        <row r="91">
          <cell r="B91">
            <v>102395</v>
          </cell>
          <cell r="C91">
            <v>185662</v>
          </cell>
        </row>
        <row r="92">
          <cell r="B92">
            <v>87146</v>
          </cell>
          <cell r="C92">
            <v>169609</v>
          </cell>
        </row>
        <row r="93">
          <cell r="B93">
            <v>73630</v>
          </cell>
          <cell r="C93">
            <v>152466</v>
          </cell>
        </row>
        <row r="94">
          <cell r="B94">
            <v>59413</v>
          </cell>
          <cell r="C94">
            <v>132682</v>
          </cell>
        </row>
        <row r="95">
          <cell r="B95">
            <v>47732</v>
          </cell>
          <cell r="C95">
            <v>114127</v>
          </cell>
        </row>
        <row r="96">
          <cell r="B96">
            <v>37976</v>
          </cell>
          <cell r="C96">
            <v>96323</v>
          </cell>
        </row>
        <row r="97">
          <cell r="B97">
            <v>30015</v>
          </cell>
          <cell r="C97">
            <v>80757</v>
          </cell>
        </row>
        <row r="98">
          <cell r="B98">
            <v>22073</v>
          </cell>
          <cell r="C98">
            <v>64935</v>
          </cell>
        </row>
        <row r="99">
          <cell r="B99">
            <v>16425</v>
          </cell>
          <cell r="C99">
            <v>51527</v>
          </cell>
        </row>
        <row r="100">
          <cell r="B100">
            <v>11593</v>
          </cell>
          <cell r="C100">
            <v>38865</v>
          </cell>
        </row>
        <row r="101">
          <cell r="B101">
            <v>5449</v>
          </cell>
          <cell r="C101">
            <v>19491</v>
          </cell>
        </row>
        <row r="102">
          <cell r="B102">
            <v>2836</v>
          </cell>
          <cell r="C102">
            <v>10870</v>
          </cell>
        </row>
        <row r="103">
          <cell r="B103">
            <v>2096</v>
          </cell>
          <cell r="C103">
            <v>8541</v>
          </cell>
        </row>
        <row r="104">
          <cell r="B104">
            <v>1651</v>
          </cell>
          <cell r="C104">
            <v>7106</v>
          </cell>
        </row>
        <row r="105">
          <cell r="C105">
            <v>15674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139653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awi.com/journals/ijmicro/2021/554170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B562-1ED7-4E2D-9CCA-00BEB924D7AE}">
  <dimension ref="A1:W98"/>
  <sheetViews>
    <sheetView topLeftCell="A45" workbookViewId="0">
      <selection activeCell="G31" sqref="G31"/>
    </sheetView>
  </sheetViews>
  <sheetFormatPr defaultRowHeight="14.4" x14ac:dyDescent="0.55000000000000004"/>
  <cols>
    <col min="1" max="1" width="47.5234375" customWidth="1"/>
    <col min="2" max="2" width="11.578125" style="67" bestFit="1" customWidth="1"/>
    <col min="3" max="3" width="9.9453125" customWidth="1"/>
    <col min="6" max="6" width="10.68359375" customWidth="1"/>
    <col min="7" max="7" width="11.68359375" style="27" bestFit="1" customWidth="1"/>
    <col min="8" max="8" width="13.89453125" customWidth="1"/>
  </cols>
  <sheetData>
    <row r="1" spans="1:23" s="18" customFormat="1" ht="23.1" x14ac:dyDescent="0.75">
      <c r="A1" s="112" t="s">
        <v>146</v>
      </c>
      <c r="B1" s="70"/>
      <c r="D1" s="167"/>
      <c r="E1" s="168"/>
      <c r="G1" s="34"/>
    </row>
    <row r="2" spans="1:23" s="18" customFormat="1" ht="20.399999999999999" x14ac:dyDescent="0.75">
      <c r="A2" s="112"/>
      <c r="B2" s="70"/>
      <c r="D2" s="167"/>
      <c r="E2" s="168"/>
      <c r="G2" s="34"/>
    </row>
    <row r="3" spans="1:23" x14ac:dyDescent="0.55000000000000004">
      <c r="A3" s="28" t="s">
        <v>139</v>
      </c>
      <c r="B3" s="68"/>
      <c r="C3" s="28"/>
      <c r="D3" s="28"/>
      <c r="E3" s="28"/>
      <c r="F3" s="28"/>
      <c r="G3" s="31"/>
      <c r="H3" s="2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3" ht="15.6" x14ac:dyDescent="0.6">
      <c r="A4" s="57" t="s">
        <v>58</v>
      </c>
      <c r="B4" s="70"/>
      <c r="C4" s="18"/>
      <c r="D4" s="55"/>
      <c r="E4" s="168"/>
      <c r="F4" s="18"/>
      <c r="G4" s="34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3" ht="15.6" x14ac:dyDescent="0.6">
      <c r="A5" s="18" t="s">
        <v>60</v>
      </c>
      <c r="B5" s="70"/>
      <c r="C5" s="18"/>
      <c r="D5" s="25"/>
      <c r="E5" s="168"/>
      <c r="F5" s="18"/>
      <c r="G5" s="34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5.6" x14ac:dyDescent="0.6">
      <c r="A6" s="18"/>
      <c r="B6" s="70"/>
      <c r="C6" s="18"/>
      <c r="D6" s="167"/>
      <c r="E6" s="168"/>
      <c r="F6" s="18"/>
      <c r="G6" s="34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.5" x14ac:dyDescent="0.55000000000000004">
      <c r="A7" s="28" t="s">
        <v>197</v>
      </c>
      <c r="B7" s="68"/>
      <c r="C7" s="28"/>
      <c r="D7" s="28"/>
      <c r="E7" s="28"/>
      <c r="F7" s="28"/>
      <c r="G7" s="31"/>
      <c r="H7" s="28"/>
      <c r="I7" s="18" t="s">
        <v>180</v>
      </c>
      <c r="J7" s="18"/>
      <c r="K7" s="18"/>
      <c r="L7" s="18">
        <f>(B9*100000)/B8</f>
        <v>5206.454545454545</v>
      </c>
      <c r="M7" s="18" t="s">
        <v>181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s="18" customFormat="1" ht="16.8" x14ac:dyDescent="0.6">
      <c r="A8" s="32" t="s">
        <v>133</v>
      </c>
      <c r="B8" s="69">
        <v>1100000</v>
      </c>
      <c r="C8" s="33"/>
      <c r="D8" s="167"/>
      <c r="E8" s="168"/>
      <c r="G8" s="34"/>
    </row>
    <row r="9" spans="1:23" ht="16.5" x14ac:dyDescent="0.55000000000000004">
      <c r="A9" s="35" t="s">
        <v>171</v>
      </c>
      <c r="B9" s="71">
        <f>57271</f>
        <v>57271</v>
      </c>
      <c r="C9" s="36" t="s">
        <v>158</v>
      </c>
      <c r="D9" s="36"/>
      <c r="E9" s="36"/>
      <c r="F9" s="36"/>
      <c r="G9" s="36"/>
      <c r="H9" s="36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18" customFormat="1" ht="15.6" x14ac:dyDescent="0.6">
      <c r="A10" s="37"/>
      <c r="B10" s="70"/>
      <c r="D10" s="167"/>
      <c r="E10" s="168"/>
      <c r="G10" s="34"/>
    </row>
    <row r="11" spans="1:23" x14ac:dyDescent="0.55000000000000004">
      <c r="A11" s="28" t="s">
        <v>98</v>
      </c>
      <c r="B11" s="68"/>
      <c r="C11" s="28"/>
      <c r="D11" s="28"/>
      <c r="E11" s="28"/>
      <c r="F11" s="28"/>
      <c r="G11" s="31"/>
      <c r="H11" s="2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4.1" customHeight="1" x14ac:dyDescent="0.6">
      <c r="A12" s="32" t="s">
        <v>99</v>
      </c>
      <c r="B12" s="70">
        <f>'Step 5 Incidence age groups'!D105</f>
        <v>60665551</v>
      </c>
      <c r="C12" s="18"/>
      <c r="D12" s="167"/>
      <c r="E12" s="168"/>
      <c r="F12" s="18"/>
      <c r="G12" s="34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55000000000000004">
      <c r="A13" s="35" t="s">
        <v>100</v>
      </c>
      <c r="B13" s="71">
        <f>(B12*B9)/B8</f>
        <v>3158524.3375645457</v>
      </c>
      <c r="C13" s="39"/>
      <c r="D13" s="35"/>
      <c r="E13" s="35"/>
      <c r="F13" s="35"/>
      <c r="G13" s="36"/>
      <c r="H13" s="35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18" customFormat="1" ht="15.6" x14ac:dyDescent="0.6">
      <c r="A14" s="37"/>
      <c r="B14" s="70"/>
      <c r="D14" s="167"/>
      <c r="E14" s="168"/>
      <c r="G14" s="34"/>
    </row>
    <row r="15" spans="1:23" s="18" customFormat="1" ht="15.6" x14ac:dyDescent="0.6">
      <c r="A15" s="37"/>
      <c r="B15" s="70"/>
      <c r="D15" s="167"/>
      <c r="E15" s="168"/>
      <c r="G15" s="34"/>
    </row>
    <row r="16" spans="1:23" x14ac:dyDescent="0.55000000000000004">
      <c r="A16" s="28" t="s">
        <v>101</v>
      </c>
      <c r="B16" s="78" t="s">
        <v>53</v>
      </c>
      <c r="C16" s="52"/>
      <c r="D16" s="52" t="s">
        <v>54</v>
      </c>
      <c r="E16" s="53"/>
      <c r="F16" s="52" t="s">
        <v>55</v>
      </c>
      <c r="G16" s="79" t="s">
        <v>56</v>
      </c>
      <c r="H16" s="80" t="s">
        <v>57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5.6" x14ac:dyDescent="0.6">
      <c r="A17" s="26" t="s">
        <v>59</v>
      </c>
      <c r="B17" s="72">
        <f>(G17/H17)*100</f>
        <v>7.5498429430757223</v>
      </c>
      <c r="C17" s="21"/>
      <c r="D17" s="22"/>
      <c r="E17" s="23"/>
      <c r="F17" s="20">
        <v>2016</v>
      </c>
      <c r="G17" s="56">
        <f>(B13/100)*62.33</f>
        <v>1968708.2196039811</v>
      </c>
      <c r="H17" s="24">
        <v>26076148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6.5" x14ac:dyDescent="0.55000000000000004">
      <c r="A18" s="26" t="s">
        <v>61</v>
      </c>
      <c r="B18" s="72">
        <f>(G18/H18)*100</f>
        <v>4.9694913082171475</v>
      </c>
      <c r="C18" s="20"/>
      <c r="D18" s="20" t="s">
        <v>62</v>
      </c>
      <c r="E18" s="20" t="s">
        <v>182</v>
      </c>
      <c r="F18" s="20">
        <v>2016</v>
      </c>
      <c r="G18" s="56">
        <f>(B13/100)*37.77</f>
        <v>1192974.6422981289</v>
      </c>
      <c r="H18" s="24">
        <v>24005971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55000000000000004">
      <c r="A19" s="26" t="s">
        <v>131</v>
      </c>
      <c r="B19" s="72">
        <f>(G19/H17)*100</f>
        <v>4.5223559229023573</v>
      </c>
      <c r="C19" s="20"/>
      <c r="D19" s="20"/>
      <c r="E19" s="20"/>
      <c r="F19" s="20"/>
      <c r="G19" s="58">
        <f>0.599*G17</f>
        <v>1179256.2235427846</v>
      </c>
      <c r="H19" s="24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55000000000000004">
      <c r="A20" s="26" t="s">
        <v>132</v>
      </c>
      <c r="B20" s="72">
        <f>(G20/H18)*100</f>
        <v>2.9767252936220712</v>
      </c>
      <c r="C20" s="20"/>
      <c r="D20" s="20"/>
      <c r="E20" s="20"/>
      <c r="F20" s="20"/>
      <c r="G20" s="58">
        <f>0.599*G18</f>
        <v>714591.81073657924</v>
      </c>
      <c r="H20" s="2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55000000000000004">
      <c r="A21" s="35" t="s">
        <v>63</v>
      </c>
      <c r="B21" s="71">
        <f>G21/(H17+H18)*100</f>
        <v>3.7814854325140748</v>
      </c>
      <c r="C21" s="35"/>
      <c r="D21" s="35"/>
      <c r="E21" s="35"/>
      <c r="F21" s="35"/>
      <c r="G21" s="36">
        <f>G19+G20</f>
        <v>1893848.0342793637</v>
      </c>
      <c r="H21" s="35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55000000000000004">
      <c r="A22" s="37"/>
      <c r="B22" s="70"/>
      <c r="C22" s="18"/>
      <c r="D22" s="18"/>
      <c r="E22" s="18"/>
      <c r="F22" s="18"/>
      <c r="G22" s="34"/>
      <c r="H22" s="3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55000000000000004">
      <c r="A23" s="28" t="s">
        <v>104</v>
      </c>
      <c r="B23" s="68"/>
      <c r="C23" s="28"/>
      <c r="D23" s="28"/>
      <c r="E23" s="28"/>
      <c r="F23" s="28"/>
      <c r="G23" s="31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55000000000000004">
      <c r="A24" s="26" t="s">
        <v>129</v>
      </c>
      <c r="B24" s="72">
        <f>(G24/H24)*100</f>
        <v>19.724377706887253</v>
      </c>
      <c r="C24" s="20"/>
      <c r="D24" s="20"/>
      <c r="E24" s="20"/>
      <c r="F24" s="20">
        <v>2016</v>
      </c>
      <c r="G24" s="59">
        <f>$G$17*'Age Sex Distribution Inf.'!N5</f>
        <v>93991.590867744482</v>
      </c>
      <c r="H24" s="24">
        <f>'[1]Italy population 2016'!C5+'[1]Italy population 2016'!C6</f>
        <v>476525</v>
      </c>
      <c r="I24" s="18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x14ac:dyDescent="0.55000000000000004">
      <c r="A25" s="26" t="s">
        <v>64</v>
      </c>
      <c r="B25" s="72">
        <f>(G25/H25)*100</f>
        <v>1.6198540663777568</v>
      </c>
      <c r="C25" s="20"/>
      <c r="D25" s="20"/>
      <c r="E25" s="20"/>
      <c r="F25" s="20">
        <v>2016</v>
      </c>
      <c r="G25" s="59">
        <f>$G$17*'Age Sex Distribution Inf.'!N6</f>
        <v>16944.062299287267</v>
      </c>
      <c r="H25" s="24">
        <f>SUM('[1]Italy population 2016'!C7:C10)</f>
        <v>1046024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55000000000000004">
      <c r="A26" s="26" t="s">
        <v>65</v>
      </c>
      <c r="B26" s="72">
        <f t="shared" ref="B26" si="0">(G26/H26)*100</f>
        <v>0.78881775028725787</v>
      </c>
      <c r="C26" s="20"/>
      <c r="D26" s="20"/>
      <c r="E26" s="20"/>
      <c r="F26" s="20">
        <v>2016</v>
      </c>
      <c r="G26" s="59">
        <f>$G$17*'Age Sex Distribution Inf.'!N7</f>
        <v>15345.565855958281</v>
      </c>
      <c r="H26" s="24">
        <f>SUM('[1]Italy population 2016'!C11:C17)</f>
        <v>1945388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55000000000000004">
      <c r="A27" s="26" t="s">
        <v>66</v>
      </c>
      <c r="B27" s="72">
        <f>(G27/H27)*100</f>
        <v>0.69118151223879665</v>
      </c>
      <c r="C27" s="20"/>
      <c r="D27" s="20"/>
      <c r="E27" s="20"/>
      <c r="F27" s="20">
        <v>2016</v>
      </c>
      <c r="G27" s="59">
        <f>$G$17*'Age Sex Distribution Inf.'!N8</f>
        <v>11509.174391968711</v>
      </c>
      <c r="H27" s="24">
        <f>SUM('[1]Italy population 2016'!C18:C23)</f>
        <v>1665145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55000000000000004">
      <c r="A28" s="26" t="s">
        <v>68</v>
      </c>
      <c r="B28" s="72">
        <f t="shared" ref="B28:B30" si="1">(G28/H28)*100</f>
        <v>3.7304839168325845</v>
      </c>
      <c r="C28" s="20"/>
      <c r="D28" s="20"/>
      <c r="E28" s="20"/>
      <c r="F28" s="20">
        <v>2016</v>
      </c>
      <c r="G28" s="59">
        <f>$G$17*'Age Sex Distribution Inf.'!N9</f>
        <v>374687.56631631468</v>
      </c>
      <c r="H28" s="24">
        <f>SUM('[1]Italy population 2016'!C24:C50)</f>
        <v>10043940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55000000000000004">
      <c r="A29" s="26" t="s">
        <v>69</v>
      </c>
      <c r="B29" s="72">
        <f t="shared" si="1"/>
        <v>4.8292804556970266</v>
      </c>
      <c r="C29" s="20"/>
      <c r="D29" s="20"/>
      <c r="E29" s="20"/>
      <c r="F29" s="20">
        <v>2016</v>
      </c>
      <c r="G29" s="59">
        <f>$G$17*'Age Sex Distribution Inf.'!N10</f>
        <v>334725.15523308999</v>
      </c>
      <c r="H29" s="24">
        <f>SUM('[1]Italy population 2016'!C51:C65)</f>
        <v>6931160</v>
      </c>
      <c r="I29" s="18"/>
      <c r="J29" s="32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55000000000000004">
      <c r="A30" s="26" t="s">
        <v>70</v>
      </c>
      <c r="B30" s="72">
        <f t="shared" si="1"/>
        <v>12.322812764415897</v>
      </c>
      <c r="C30" s="20"/>
      <c r="D30" s="20"/>
      <c r="E30" s="20"/>
      <c r="F30" s="20">
        <v>2016</v>
      </c>
      <c r="G30" s="59">
        <f>$G$17*'Age Sex Distribution Inf.'!N11</f>
        <v>1121505.1046396177</v>
      </c>
      <c r="H30" s="24">
        <f>SUM('[1]Italy population 2016'!C66:C105)</f>
        <v>9101048</v>
      </c>
      <c r="I30" s="18"/>
      <c r="J30" s="3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55000000000000004">
      <c r="A31" s="42" t="s">
        <v>103</v>
      </c>
      <c r="B31" s="73"/>
      <c r="C31" s="43"/>
      <c r="D31" s="43"/>
      <c r="E31" s="43"/>
      <c r="F31" s="43"/>
      <c r="G31" s="60">
        <f>SUM(G24:G30)</f>
        <v>1968708.2196039811</v>
      </c>
      <c r="H31" s="44">
        <f>SUM(H24:H30)</f>
        <v>31209230</v>
      </c>
      <c r="I31" s="18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55000000000000004">
      <c r="A32" s="26" t="s">
        <v>130</v>
      </c>
      <c r="B32" s="72">
        <f>(G32/H32)*100</f>
        <v>25.53106732022934</v>
      </c>
      <c r="C32" s="20"/>
      <c r="D32" s="20"/>
      <c r="E32" s="20"/>
      <c r="F32" s="20">
        <v>2016</v>
      </c>
      <c r="G32" s="59">
        <f>$G$18*'Age Sex Distribution Inf.'!P5</f>
        <v>128616.58128575333</v>
      </c>
      <c r="H32" s="24">
        <f>'[1]Italy population 2016'!B5+'[1]Italy population 2016'!B6</f>
        <v>503765</v>
      </c>
      <c r="I32" s="18"/>
      <c r="J32" s="18"/>
      <c r="K32" s="16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55000000000000004">
      <c r="A33" s="26" t="s">
        <v>72</v>
      </c>
      <c r="B33" s="72">
        <f t="shared" ref="B33:B38" si="2">(G33/H33)*100</f>
        <v>1.0661139708921588</v>
      </c>
      <c r="C33" s="20"/>
      <c r="D33" s="20"/>
      <c r="E33" s="20"/>
      <c r="F33" s="20">
        <v>2016</v>
      </c>
      <c r="G33" s="59">
        <f>$G$18*'Age Sex Distribution Inf.'!P6</f>
        <v>11808.470242116311</v>
      </c>
      <c r="H33" s="24">
        <f>SUM('[1]Italy population 2016'!B7:B10)</f>
        <v>1107618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55000000000000004">
      <c r="A34" s="26" t="s">
        <v>73</v>
      </c>
      <c r="B34" s="72">
        <f t="shared" si="2"/>
        <v>0.4020339460010276</v>
      </c>
      <c r="C34" s="20"/>
      <c r="D34" s="20"/>
      <c r="E34" s="20"/>
      <c r="F34" s="20">
        <v>2016</v>
      </c>
      <c r="G34" s="59">
        <f>$G$18*'Age Sex Distribution Inf.'!P7</f>
        <v>8297.8439539195697</v>
      </c>
      <c r="H34" s="24">
        <f>SUM('[1]Italy population 2016'!B11:B17)</f>
        <v>2063966</v>
      </c>
      <c r="I34" s="18"/>
      <c r="J34" s="18"/>
      <c r="K34" s="16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55000000000000004">
      <c r="A35" s="26" t="s">
        <v>74</v>
      </c>
      <c r="B35" s="72">
        <f t="shared" si="2"/>
        <v>0.41354345269523812</v>
      </c>
      <c r="C35" s="20"/>
      <c r="D35" s="20"/>
      <c r="E35" s="20"/>
      <c r="F35" s="20">
        <v>2016</v>
      </c>
      <c r="G35" s="59">
        <f>$G$18*'Age Sex Distribution Inf.'!P8</f>
        <v>7340.400420775004</v>
      </c>
      <c r="H35" s="24">
        <f>SUM('[1]Italy population 2016'!B18:B23)</f>
        <v>1775001</v>
      </c>
      <c r="I35" s="18"/>
      <c r="J35" s="32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55000000000000004">
      <c r="A36" s="26" t="s">
        <v>75</v>
      </c>
      <c r="B36" s="72">
        <f t="shared" si="2"/>
        <v>1.2236330402629116</v>
      </c>
      <c r="C36" s="20"/>
      <c r="D36" s="20"/>
      <c r="E36" s="20"/>
      <c r="F36" s="20">
        <v>2016</v>
      </c>
      <c r="G36" s="59">
        <f>$G$18*'Age Sex Distribution Inf.'!P9</f>
        <v>124786.80715317508</v>
      </c>
      <c r="H36" s="24">
        <f>SUM('[1]Italy population 2016'!B24:B50)</f>
        <v>10198058</v>
      </c>
      <c r="I36" s="18"/>
      <c r="J36" s="32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55000000000000004">
      <c r="A37" s="26" t="s">
        <v>76</v>
      </c>
      <c r="B37" s="72">
        <f t="shared" si="2"/>
        <v>3.6373051937646803</v>
      </c>
      <c r="C37" s="20"/>
      <c r="D37" s="20"/>
      <c r="E37" s="20"/>
      <c r="F37" s="20">
        <v>2016</v>
      </c>
      <c r="G37" s="59">
        <f>$G$18*'Age Sex Distribution Inf.'!P10</f>
        <v>242233.21388557513</v>
      </c>
      <c r="H37" s="24">
        <f>SUM('[1]Italy population 2016'!B51:B65)</f>
        <v>6659689</v>
      </c>
      <c r="I37" s="18"/>
      <c r="J37" s="32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55000000000000004">
      <c r="A38" s="26" t="s">
        <v>77</v>
      </c>
      <c r="B38" s="72">
        <f t="shared" si="2"/>
        <v>8.9135699230888878</v>
      </c>
      <c r="C38" s="20"/>
      <c r="D38" s="20"/>
      <c r="E38" s="20"/>
      <c r="F38" s="20">
        <v>2016</v>
      </c>
      <c r="G38" s="59">
        <f>$G$18*'Age Sex Distribution Inf.'!P11</f>
        <v>669891.32535681454</v>
      </c>
      <c r="H38" s="24">
        <f>SUM('[1]Italy population 2016'!B65:B104)</f>
        <v>7515410</v>
      </c>
      <c r="I38" s="18"/>
      <c r="J38" s="32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55000000000000004">
      <c r="A39" s="39" t="s">
        <v>102</v>
      </c>
      <c r="B39" s="74"/>
      <c r="C39" s="40"/>
      <c r="D39" s="40"/>
      <c r="E39" s="40"/>
      <c r="F39" s="40"/>
      <c r="G39" s="61">
        <f>SUM(G32:G38)</f>
        <v>1192974.6422981289</v>
      </c>
      <c r="H39" s="41">
        <f>SUM(H32:H38)</f>
        <v>29823507</v>
      </c>
      <c r="I39" s="18"/>
      <c r="J39" s="16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55000000000000004">
      <c r="A40" s="37"/>
      <c r="B40" s="70"/>
      <c r="C40" s="18"/>
      <c r="D40" s="18"/>
      <c r="E40" s="18"/>
      <c r="F40" s="18"/>
      <c r="G40" s="34"/>
      <c r="H40" s="38"/>
      <c r="I40" s="18"/>
      <c r="J40" s="32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55000000000000004">
      <c r="A41" s="28" t="s">
        <v>105</v>
      </c>
      <c r="B41" s="68"/>
      <c r="C41" s="28"/>
      <c r="D41" s="28"/>
      <c r="E41" s="28"/>
      <c r="F41" s="28"/>
      <c r="G41" s="31"/>
      <c r="H41" s="28"/>
      <c r="I41" s="18"/>
      <c r="J41" s="32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55000000000000004">
      <c r="A42" s="26" t="s">
        <v>122</v>
      </c>
      <c r="B42" s="72">
        <f>(G42/H42)*100</f>
        <v>11.814902246425465</v>
      </c>
      <c r="C42" s="20"/>
      <c r="D42" s="20"/>
      <c r="E42" s="20"/>
      <c r="F42" s="20">
        <v>2016</v>
      </c>
      <c r="G42" s="59">
        <f t="shared" ref="G42:G48" si="3">G24*0.599</f>
        <v>56300.962929778943</v>
      </c>
      <c r="H42" s="24">
        <v>476525</v>
      </c>
      <c r="I42" s="37"/>
      <c r="J42" s="18"/>
      <c r="K42" s="3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55000000000000004">
      <c r="A43" s="26" t="s">
        <v>123</v>
      </c>
      <c r="B43" s="72">
        <f>(G43/H43)*100</f>
        <v>0.97029258576027622</v>
      </c>
      <c r="C43" s="20"/>
      <c r="D43" s="20"/>
      <c r="E43" s="20"/>
      <c r="F43" s="20">
        <v>2016</v>
      </c>
      <c r="G43" s="59">
        <f t="shared" si="3"/>
        <v>10149.493317273073</v>
      </c>
      <c r="H43" s="24">
        <v>1046024</v>
      </c>
      <c r="I43" s="37"/>
      <c r="J43" s="18"/>
      <c r="K43" s="3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55000000000000004">
      <c r="A44" s="26" t="s">
        <v>124</v>
      </c>
      <c r="B44" s="72">
        <f>(G44/H44)*100</f>
        <v>0.47250183242206745</v>
      </c>
      <c r="C44" s="20"/>
      <c r="D44" s="20"/>
      <c r="E44" s="20"/>
      <c r="F44" s="20">
        <v>2016</v>
      </c>
      <c r="G44" s="59">
        <f t="shared" si="3"/>
        <v>9191.9939477190092</v>
      </c>
      <c r="H44" s="24">
        <v>1945388</v>
      </c>
      <c r="I44" s="37"/>
      <c r="J44" s="37"/>
      <c r="K44" s="3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55000000000000004">
      <c r="A45" s="26" t="s">
        <v>125</v>
      </c>
      <c r="B45" s="72">
        <f>(G45/H45)*100</f>
        <v>0.41401772583103924</v>
      </c>
      <c r="C45" s="20"/>
      <c r="D45" s="20"/>
      <c r="E45" s="20"/>
      <c r="F45" s="20">
        <v>2016</v>
      </c>
      <c r="G45" s="59">
        <f t="shared" si="3"/>
        <v>6893.9954607892578</v>
      </c>
      <c r="H45" s="24">
        <v>1665145</v>
      </c>
      <c r="I45" s="37"/>
      <c r="J45" s="37"/>
      <c r="K45" s="3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55000000000000004">
      <c r="A46" s="26" t="s">
        <v>78</v>
      </c>
      <c r="B46" s="72">
        <f t="shared" ref="B46:B48" si="4">(G46/H46)*100</f>
        <v>2.234559866182718</v>
      </c>
      <c r="C46" s="20"/>
      <c r="D46" s="20"/>
      <c r="E46" s="20"/>
      <c r="F46" s="20">
        <v>2016</v>
      </c>
      <c r="G46" s="59">
        <f t="shared" si="3"/>
        <v>224437.8522234725</v>
      </c>
      <c r="H46" s="24">
        <v>10043940</v>
      </c>
      <c r="I46" s="37"/>
      <c r="J46" s="37"/>
      <c r="K46" s="3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55000000000000004">
      <c r="A47" s="26" t="s">
        <v>126</v>
      </c>
      <c r="B47" s="72">
        <f t="shared" si="4"/>
        <v>2.8927389929625185</v>
      </c>
      <c r="C47" s="20"/>
      <c r="D47" s="20"/>
      <c r="E47" s="20"/>
      <c r="F47" s="20">
        <v>2016</v>
      </c>
      <c r="G47" s="59">
        <f t="shared" si="3"/>
        <v>200500.36798462088</v>
      </c>
      <c r="H47" s="24">
        <v>6931160</v>
      </c>
      <c r="I47" s="37"/>
      <c r="J47" s="37"/>
      <c r="K47" s="3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55000000000000004">
      <c r="A48" s="26" t="s">
        <v>127</v>
      </c>
      <c r="B48" s="72">
        <f t="shared" si="4"/>
        <v>7.3813648458851233</v>
      </c>
      <c r="C48" s="20"/>
      <c r="D48" s="20"/>
      <c r="E48" s="20"/>
      <c r="F48" s="20">
        <v>2016</v>
      </c>
      <c r="G48" s="59">
        <f t="shared" si="3"/>
        <v>671781.55767913105</v>
      </c>
      <c r="H48" s="24">
        <v>9101048</v>
      </c>
      <c r="I48" s="37"/>
      <c r="J48" s="37"/>
      <c r="K48" s="3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55000000000000004">
      <c r="A49" s="42" t="s">
        <v>71</v>
      </c>
      <c r="B49" s="73"/>
      <c r="C49" s="43"/>
      <c r="D49" s="43"/>
      <c r="E49" s="43"/>
      <c r="F49" s="43"/>
      <c r="G49" s="58">
        <f>SUM(G42:G48)</f>
        <v>1179256.2235427848</v>
      </c>
      <c r="H49" s="45"/>
      <c r="I49" s="37"/>
      <c r="J49" s="37"/>
      <c r="K49" s="3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55000000000000004">
      <c r="A50" s="26" t="s">
        <v>128</v>
      </c>
      <c r="B50" s="72">
        <f>(G50/H50)*100</f>
        <v>15.293109324817374</v>
      </c>
      <c r="C50" s="20"/>
      <c r="D50" s="20"/>
      <c r="E50" s="20"/>
      <c r="F50" s="20">
        <v>2016</v>
      </c>
      <c r="G50" s="59">
        <f t="shared" ref="G50:G56" si="5">G32*0.599</f>
        <v>77041.332190166242</v>
      </c>
      <c r="H50" s="24">
        <v>503765</v>
      </c>
      <c r="I50" s="37"/>
      <c r="J50" s="37"/>
      <c r="K50" s="3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55000000000000004">
      <c r="A51" s="26" t="s">
        <v>79</v>
      </c>
      <c r="B51" s="72">
        <f t="shared" ref="B51:B56" si="6">(G51/H51)*100</f>
        <v>0.63860226856440305</v>
      </c>
      <c r="C51" s="20"/>
      <c r="D51" s="20"/>
      <c r="E51" s="20"/>
      <c r="F51" s="20">
        <v>2016</v>
      </c>
      <c r="G51" s="59">
        <f t="shared" si="5"/>
        <v>7073.2736750276699</v>
      </c>
      <c r="H51" s="24">
        <v>1107618</v>
      </c>
      <c r="I51" s="37"/>
      <c r="J51" s="37"/>
      <c r="K51" s="3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55000000000000004">
      <c r="A52" s="26" t="s">
        <v>80</v>
      </c>
      <c r="B52" s="72">
        <f t="shared" si="6"/>
        <v>0.24081833365461555</v>
      </c>
      <c r="C52" s="20"/>
      <c r="D52" s="20"/>
      <c r="E52" s="20"/>
      <c r="F52" s="20">
        <v>2016</v>
      </c>
      <c r="G52" s="59">
        <f t="shared" si="5"/>
        <v>4970.408528397822</v>
      </c>
      <c r="H52" s="24">
        <v>2063966</v>
      </c>
      <c r="I52" s="37"/>
      <c r="J52" s="37"/>
      <c r="K52" s="3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55000000000000004">
      <c r="A53" s="26" t="s">
        <v>81</v>
      </c>
      <c r="B53" s="72">
        <f t="shared" si="6"/>
        <v>0.24771252816444767</v>
      </c>
      <c r="C53" s="20"/>
      <c r="D53" s="20"/>
      <c r="E53" s="20"/>
      <c r="F53" s="20">
        <v>2016</v>
      </c>
      <c r="G53" s="59">
        <f t="shared" si="5"/>
        <v>4396.8998520442274</v>
      </c>
      <c r="H53" s="24">
        <v>1775001</v>
      </c>
      <c r="I53" s="37"/>
      <c r="J53" s="37"/>
      <c r="K53" s="3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55000000000000004">
      <c r="A54" s="26" t="s">
        <v>82</v>
      </c>
      <c r="B54" s="72">
        <f t="shared" si="6"/>
        <v>0.732956191117484</v>
      </c>
      <c r="C54" s="20"/>
      <c r="D54" s="20"/>
      <c r="E54" s="20"/>
      <c r="F54" s="20">
        <v>2016</v>
      </c>
      <c r="G54" s="59">
        <f t="shared" si="5"/>
        <v>74747.297484751864</v>
      </c>
      <c r="H54" s="24">
        <v>10198058</v>
      </c>
      <c r="I54" s="37"/>
      <c r="J54" s="37"/>
      <c r="K54" s="37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55000000000000004">
      <c r="A55" s="26" t="s">
        <v>83</v>
      </c>
      <c r="B55" s="72">
        <f t="shared" si="6"/>
        <v>2.1787458110650437</v>
      </c>
      <c r="C55" s="20"/>
      <c r="D55" s="20"/>
      <c r="E55" s="20"/>
      <c r="F55" s="20">
        <v>2016</v>
      </c>
      <c r="G55" s="59">
        <f t="shared" si="5"/>
        <v>145097.69511745949</v>
      </c>
      <c r="H55" s="24">
        <v>6659689</v>
      </c>
      <c r="I55" s="37"/>
      <c r="J55" s="37"/>
      <c r="K55" s="3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55000000000000004">
      <c r="A56" s="26" t="s">
        <v>84</v>
      </c>
      <c r="B56" s="72">
        <f t="shared" si="6"/>
        <v>5.3392283839302435</v>
      </c>
      <c r="C56" s="20"/>
      <c r="D56" s="20"/>
      <c r="E56" s="20"/>
      <c r="F56" s="20">
        <v>2016</v>
      </c>
      <c r="G56" s="59">
        <f t="shared" si="5"/>
        <v>401264.9038887319</v>
      </c>
      <c r="H56" s="24">
        <v>7515410</v>
      </c>
      <c r="I56" s="37"/>
      <c r="J56" s="37"/>
      <c r="K56" s="3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55000000000000004">
      <c r="A57" s="46"/>
      <c r="B57" s="74"/>
      <c r="C57" s="40"/>
      <c r="D57" s="40"/>
      <c r="E57" s="40"/>
      <c r="F57" s="40"/>
      <c r="G57" s="62">
        <f>SUM(G50:G56)</f>
        <v>714591.81073657912</v>
      </c>
      <c r="H57" s="47"/>
      <c r="I57" s="37"/>
      <c r="J57" s="37"/>
      <c r="K57" s="3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55000000000000004">
      <c r="A58" s="37"/>
      <c r="B58" s="118"/>
      <c r="C58" s="93"/>
      <c r="D58" s="93"/>
      <c r="E58" s="93"/>
      <c r="F58" s="93"/>
      <c r="G58" s="94"/>
      <c r="H58" s="38"/>
      <c r="I58" s="37"/>
      <c r="J58" s="37"/>
      <c r="K58" s="3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55000000000000004">
      <c r="A59" s="28" t="s">
        <v>106</v>
      </c>
      <c r="B59" s="68"/>
      <c r="C59" s="28"/>
      <c r="D59" s="28"/>
      <c r="E59" s="28"/>
      <c r="F59" s="28"/>
      <c r="G59" s="31"/>
      <c r="H59" s="28"/>
      <c r="I59" s="37"/>
      <c r="J59" s="37"/>
      <c r="K59" s="37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6.5" x14ac:dyDescent="0.55000000000000004">
      <c r="A60" s="19" t="s">
        <v>143</v>
      </c>
      <c r="B60" s="19">
        <v>0.151</v>
      </c>
      <c r="C60" s="18"/>
      <c r="D60" s="18"/>
      <c r="E60" s="18"/>
      <c r="F60" s="18"/>
      <c r="G60" s="34"/>
      <c r="H60" s="38"/>
      <c r="I60" s="37"/>
      <c r="J60" s="37"/>
      <c r="K60" s="37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55000000000000004">
      <c r="A61" s="50" t="s">
        <v>109</v>
      </c>
      <c r="B61" s="72">
        <f>G61/H61*100</f>
        <v>1.7840502392102453</v>
      </c>
      <c r="C61" s="20"/>
      <c r="D61" s="20"/>
      <c r="E61" s="20"/>
      <c r="F61" s="20">
        <v>2016</v>
      </c>
      <c r="G61" s="59">
        <f>B60*G42</f>
        <v>8501.4454023966209</v>
      </c>
      <c r="H61" s="24">
        <v>476525</v>
      </c>
      <c r="I61" s="37"/>
      <c r="J61" s="37"/>
      <c r="K61" s="37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55000000000000004">
      <c r="A62" s="26" t="s">
        <v>110</v>
      </c>
      <c r="B62" s="72">
        <f t="shared" ref="B62:B67" si="7">G62/H62*100</f>
        <v>0.14651418044980172</v>
      </c>
      <c r="C62" s="20"/>
      <c r="D62" s="20"/>
      <c r="E62" s="20"/>
      <c r="F62" s="20">
        <v>2016</v>
      </c>
      <c r="G62" s="59">
        <f>B60*G43</f>
        <v>1532.5734909082339</v>
      </c>
      <c r="H62" s="24">
        <v>1046024</v>
      </c>
      <c r="I62" s="3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x14ac:dyDescent="0.55000000000000004">
      <c r="A63" s="26" t="s">
        <v>111</v>
      </c>
      <c r="B63" s="72">
        <f t="shared" si="7"/>
        <v>7.1347776695732182E-2</v>
      </c>
      <c r="C63" s="20"/>
      <c r="D63" s="20"/>
      <c r="E63" s="20"/>
      <c r="F63" s="20">
        <v>2016</v>
      </c>
      <c r="G63" s="59">
        <f>B60*G44</f>
        <v>1387.9910861055703</v>
      </c>
      <c r="H63" s="24">
        <v>1945388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55000000000000004">
      <c r="A64" s="26" t="s">
        <v>112</v>
      </c>
      <c r="B64" s="72">
        <f t="shared" si="7"/>
        <v>6.2516676600486917E-2</v>
      </c>
      <c r="C64" s="20"/>
      <c r="D64" s="20"/>
      <c r="E64" s="20"/>
      <c r="F64" s="20">
        <v>2016</v>
      </c>
      <c r="G64" s="59">
        <f>B60*G45</f>
        <v>1040.9933145791779</v>
      </c>
      <c r="H64" s="24">
        <v>1665145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x14ac:dyDescent="0.55000000000000004">
      <c r="A65" s="26" t="s">
        <v>85</v>
      </c>
      <c r="B65" s="72">
        <f t="shared" si="7"/>
        <v>0.33741853979359049</v>
      </c>
      <c r="C65" s="20"/>
      <c r="D65" s="20"/>
      <c r="E65" s="20"/>
      <c r="F65" s="20">
        <v>2016</v>
      </c>
      <c r="G65" s="59">
        <f>B60*G46</f>
        <v>33890.115685744349</v>
      </c>
      <c r="H65" s="24">
        <v>10043940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x14ac:dyDescent="0.55000000000000004">
      <c r="A66" s="26" t="s">
        <v>113</v>
      </c>
      <c r="B66" s="72">
        <f t="shared" si="7"/>
        <v>0.43680358793734025</v>
      </c>
      <c r="C66" s="20"/>
      <c r="D66" s="20"/>
      <c r="E66" s="20"/>
      <c r="F66" s="20">
        <v>2016</v>
      </c>
      <c r="G66" s="59">
        <f>B60*G47</f>
        <v>30275.555565677754</v>
      </c>
      <c r="H66" s="24">
        <v>6931160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55000000000000004">
      <c r="A67" s="26" t="s">
        <v>114</v>
      </c>
      <c r="B67" s="72">
        <f t="shared" si="7"/>
        <v>1.1145860917286536</v>
      </c>
      <c r="C67" s="20"/>
      <c r="D67" s="20"/>
      <c r="E67" s="20"/>
      <c r="F67" s="20">
        <v>2016</v>
      </c>
      <c r="G67" s="59">
        <f>B60*G48</f>
        <v>101439.01520954879</v>
      </c>
      <c r="H67" s="24">
        <v>9101048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x14ac:dyDescent="0.55000000000000004">
      <c r="A68" s="49" t="s">
        <v>107</v>
      </c>
      <c r="B68" s="73"/>
      <c r="C68" s="43"/>
      <c r="D68" s="43"/>
      <c r="E68" s="43"/>
      <c r="F68" s="43"/>
      <c r="G68" s="63">
        <f>SUM(G61:G67)</f>
        <v>178067.68975496048</v>
      </c>
      <c r="H68" s="4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x14ac:dyDescent="0.55000000000000004">
      <c r="A69" s="26" t="s">
        <v>115</v>
      </c>
      <c r="B69" s="72">
        <f>G69/H69*100</f>
        <v>2.3092595080474236</v>
      </c>
      <c r="C69" s="20"/>
      <c r="D69" s="20"/>
      <c r="E69" s="20"/>
      <c r="F69" s="20">
        <v>2016</v>
      </c>
      <c r="G69" s="59">
        <f>G50*B60</f>
        <v>11633.241160715103</v>
      </c>
      <c r="H69" s="24">
        <v>503765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x14ac:dyDescent="0.55000000000000004">
      <c r="A70" s="26" t="s">
        <v>116</v>
      </c>
      <c r="B70" s="72">
        <f t="shared" ref="B70:B75" si="8">G70/H70*100</f>
        <v>9.6428942553224872E-2</v>
      </c>
      <c r="C70" s="20"/>
      <c r="D70" s="20"/>
      <c r="E70" s="20"/>
      <c r="F70" s="20">
        <v>2016</v>
      </c>
      <c r="G70" s="59">
        <f>G51*B60</f>
        <v>1068.0643249291782</v>
      </c>
      <c r="H70" s="24">
        <v>1107618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x14ac:dyDescent="0.55000000000000004">
      <c r="A71" s="26" t="s">
        <v>117</v>
      </c>
      <c r="B71" s="72">
        <f t="shared" si="8"/>
        <v>3.6363568381846942E-2</v>
      </c>
      <c r="C71" s="20"/>
      <c r="D71" s="20"/>
      <c r="E71" s="20"/>
      <c r="F71" s="20">
        <v>2016</v>
      </c>
      <c r="G71" s="59">
        <f>G52*B60</f>
        <v>750.53168778807105</v>
      </c>
      <c r="H71" s="24">
        <v>2063966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x14ac:dyDescent="0.55000000000000004">
      <c r="A72" s="26" t="s">
        <v>118</v>
      </c>
      <c r="B72" s="72">
        <f t="shared" si="8"/>
        <v>3.7404591752831597E-2</v>
      </c>
      <c r="C72" s="20"/>
      <c r="D72" s="20"/>
      <c r="E72" s="20"/>
      <c r="F72" s="20">
        <v>2016</v>
      </c>
      <c r="G72" s="59">
        <f>G53*B60</f>
        <v>663.93187765867833</v>
      </c>
      <c r="H72" s="24">
        <v>1775001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x14ac:dyDescent="0.55000000000000004">
      <c r="A73" s="26" t="s">
        <v>119</v>
      </c>
      <c r="B73" s="72">
        <f t="shared" si="8"/>
        <v>0.11067638485874007</v>
      </c>
      <c r="C73" s="20"/>
      <c r="D73" s="20"/>
      <c r="E73" s="20"/>
      <c r="F73" s="20">
        <v>2016</v>
      </c>
      <c r="G73" s="59">
        <f>G54*B60</f>
        <v>11286.84192019753</v>
      </c>
      <c r="H73" s="24">
        <v>10198058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x14ac:dyDescent="0.55000000000000004">
      <c r="A74" s="26" t="s">
        <v>120</v>
      </c>
      <c r="B74" s="72">
        <f t="shared" si="8"/>
        <v>0.32899061747082159</v>
      </c>
      <c r="C74" s="20"/>
      <c r="D74" s="20"/>
      <c r="E74" s="20"/>
      <c r="F74" s="20">
        <v>2016</v>
      </c>
      <c r="G74" s="59">
        <f>G55*B60</f>
        <v>21909.751962736384</v>
      </c>
      <c r="H74" s="24">
        <v>6659689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x14ac:dyDescent="0.55000000000000004">
      <c r="A75" s="26" t="s">
        <v>121</v>
      </c>
      <c r="B75" s="76">
        <f t="shared" si="8"/>
        <v>0.80622348597346671</v>
      </c>
      <c r="C75" s="51"/>
      <c r="D75" s="51"/>
      <c r="E75" s="51"/>
      <c r="F75" s="51">
        <v>2016</v>
      </c>
      <c r="G75" s="64">
        <f>G56*B60</f>
        <v>60591.000487198515</v>
      </c>
      <c r="H75" s="24">
        <v>7515410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x14ac:dyDescent="0.55000000000000004">
      <c r="A76" s="39" t="s">
        <v>108</v>
      </c>
      <c r="B76" s="74"/>
      <c r="C76" s="40"/>
      <c r="D76" s="40"/>
      <c r="E76" s="40"/>
      <c r="F76" s="40"/>
      <c r="G76" s="65">
        <f>SUM(G69:G75)</f>
        <v>107903.36342122346</v>
      </c>
      <c r="H76" s="40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x14ac:dyDescent="0.55000000000000004">
      <c r="A77" s="18"/>
      <c r="B77" s="70"/>
      <c r="C77" s="18"/>
      <c r="D77" s="18"/>
      <c r="E77" s="18"/>
      <c r="F77" s="18"/>
      <c r="G77" s="34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x14ac:dyDescent="0.55000000000000004">
      <c r="A78" s="18"/>
      <c r="B78" s="70"/>
      <c r="C78" s="18"/>
      <c r="D78" s="18"/>
      <c r="E78" s="18"/>
      <c r="F78" s="18"/>
      <c r="G78" s="34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x14ac:dyDescent="0.55000000000000004">
      <c r="A79" s="52" t="s">
        <v>134</v>
      </c>
      <c r="B79" s="77"/>
      <c r="C79" s="53"/>
      <c r="D79" s="53"/>
      <c r="E79" s="53"/>
      <c r="F79" s="53"/>
      <c r="G79" s="66"/>
      <c r="H79" s="53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16.5" x14ac:dyDescent="0.55000000000000004">
      <c r="A80" s="18" t="s">
        <v>135</v>
      </c>
      <c r="B80" s="70"/>
      <c r="C80" s="18"/>
      <c r="D80" s="18"/>
      <c r="E80" s="18"/>
      <c r="F80" s="18"/>
      <c r="G80" s="34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16.5" x14ac:dyDescent="0.55000000000000004">
      <c r="A81" s="18" t="s">
        <v>140</v>
      </c>
      <c r="B81" s="70"/>
      <c r="C81" s="18"/>
      <c r="D81" s="18"/>
      <c r="E81" s="18"/>
      <c r="F81" s="18"/>
      <c r="G81" s="34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16.5" x14ac:dyDescent="0.55000000000000004">
      <c r="A82" s="18" t="s">
        <v>136</v>
      </c>
      <c r="B82" s="70"/>
      <c r="C82" s="18"/>
      <c r="D82" s="18"/>
      <c r="E82" s="18"/>
      <c r="F82" s="18"/>
      <c r="G82" s="34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16.5" x14ac:dyDescent="0.55000000000000004">
      <c r="A83" s="167" t="s">
        <v>138</v>
      </c>
      <c r="B83" s="70"/>
      <c r="C83" s="18"/>
      <c r="D83" s="18"/>
      <c r="E83" s="18"/>
      <c r="F83" s="18"/>
      <c r="G83" s="3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16.5" x14ac:dyDescent="0.55000000000000004">
      <c r="A84" s="93" t="s">
        <v>183</v>
      </c>
      <c r="B84" s="70"/>
      <c r="C84" s="18"/>
      <c r="D84" s="18"/>
      <c r="E84" s="18"/>
      <c r="F84" s="18"/>
      <c r="G84" s="34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x14ac:dyDescent="0.55000000000000004">
      <c r="A85" s="52" t="s">
        <v>137</v>
      </c>
      <c r="B85" s="77"/>
      <c r="C85" s="53"/>
      <c r="D85" s="53"/>
      <c r="E85" s="53"/>
      <c r="F85" s="53"/>
      <c r="G85" s="66"/>
      <c r="H85" s="53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x14ac:dyDescent="0.55000000000000004">
      <c r="A86" s="18" t="s">
        <v>141</v>
      </c>
      <c r="B86" s="70"/>
      <c r="C86" s="18"/>
      <c r="D86" s="18"/>
      <c r="E86" s="18"/>
      <c r="F86" s="18"/>
      <c r="G86" s="34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x14ac:dyDescent="0.55000000000000004">
      <c r="A87" s="18" t="s">
        <v>142</v>
      </c>
      <c r="B87" s="70"/>
      <c r="C87" s="18"/>
      <c r="D87" s="18"/>
      <c r="E87" s="18"/>
      <c r="F87" s="18"/>
      <c r="G87" s="3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x14ac:dyDescent="0.55000000000000004">
      <c r="A88" s="18"/>
      <c r="B88" s="70"/>
      <c r="C88" s="18"/>
      <c r="D88" s="18"/>
      <c r="E88" s="18"/>
      <c r="F88" s="18"/>
      <c r="G88" s="34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x14ac:dyDescent="0.55000000000000004">
      <c r="A89" s="83" t="s">
        <v>145</v>
      </c>
      <c r="B89" s="84"/>
      <c r="C89" s="85"/>
      <c r="D89" s="85"/>
      <c r="E89" s="85"/>
      <c r="F89" s="85"/>
      <c r="G89" s="86"/>
      <c r="H89" s="8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x14ac:dyDescent="0.55000000000000004">
      <c r="A90" s="18" t="s">
        <v>67</v>
      </c>
      <c r="B90" s="70"/>
      <c r="C90" s="18"/>
      <c r="D90" s="18"/>
      <c r="E90" s="18"/>
      <c r="F90" s="18"/>
      <c r="G90" s="34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x14ac:dyDescent="0.55000000000000004">
      <c r="A91" s="32" t="s">
        <v>144</v>
      </c>
      <c r="B91" s="70"/>
      <c r="C91" s="18"/>
      <c r="D91" s="18"/>
      <c r="E91" s="18"/>
      <c r="F91" s="18"/>
      <c r="G91" s="34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x14ac:dyDescent="0.55000000000000004">
      <c r="B92" s="82"/>
      <c r="C92" s="81"/>
    </row>
    <row r="93" spans="1:22" x14ac:dyDescent="0.55000000000000004">
      <c r="B93" s="75"/>
      <c r="C93" s="48"/>
    </row>
    <row r="94" spans="1:22" x14ac:dyDescent="0.55000000000000004">
      <c r="B94" s="75"/>
      <c r="C94" s="48"/>
    </row>
    <row r="95" spans="1:22" x14ac:dyDescent="0.55000000000000004">
      <c r="B95" s="75"/>
      <c r="C95" s="48"/>
    </row>
    <row r="96" spans="1:22" x14ac:dyDescent="0.55000000000000004">
      <c r="B96" s="75"/>
      <c r="C96" s="48"/>
    </row>
    <row r="97" spans="1:3" x14ac:dyDescent="0.55000000000000004">
      <c r="A97" s="48"/>
      <c r="B97" s="75"/>
      <c r="C97" s="48"/>
    </row>
    <row r="98" spans="1:3" x14ac:dyDescent="0.55000000000000004">
      <c r="A98" s="48"/>
      <c r="B98" s="75"/>
      <c r="C98" s="48"/>
    </row>
  </sheetData>
  <hyperlinks>
    <hyperlink ref="A83" r:id="rId1" display="https://pubmed.ncbi.nlm.nih.gov/21396530/" xr:uid="{6C19FCEE-260F-42E0-AD96-ED970DCBA1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7981-B7F4-42DB-81C3-56838911E3D1}">
  <dimension ref="A1:V114"/>
  <sheetViews>
    <sheetView topLeftCell="A84" zoomScale="80" zoomScaleNormal="80" workbookViewId="0">
      <selection activeCell="D106" sqref="D106"/>
    </sheetView>
  </sheetViews>
  <sheetFormatPr defaultRowHeight="15.6" x14ac:dyDescent="0.6"/>
  <cols>
    <col min="1" max="1" width="8.89453125" style="2" bestFit="1" customWidth="1"/>
    <col min="2" max="2" width="12.15625" style="2" customWidth="1"/>
    <col min="3" max="3" width="12.89453125" style="2" customWidth="1"/>
    <col min="4" max="4" width="14.9453125" style="2" customWidth="1"/>
    <col min="5" max="5" width="8.83984375" style="18"/>
    <col min="7" max="7" width="15.734375" customWidth="1"/>
    <col min="8" max="8" width="11.20703125" customWidth="1"/>
    <col min="9" max="9" width="6.47265625" customWidth="1"/>
    <col min="10" max="10" width="11.578125" bestFit="1" customWidth="1"/>
    <col min="12" max="12" width="15.9453125" bestFit="1" customWidth="1"/>
    <col min="13" max="13" width="13" bestFit="1" customWidth="1"/>
    <col min="14" max="14" width="16.41796875" customWidth="1"/>
    <col min="15" max="15" width="14.89453125" style="18" customWidth="1"/>
    <col min="22" max="22" width="8.83984375" style="18"/>
  </cols>
  <sheetData>
    <row r="1" spans="1:21" ht="14.4" x14ac:dyDescent="0.55000000000000004">
      <c r="A1" s="52" t="s">
        <v>168</v>
      </c>
      <c r="B1" s="52"/>
      <c r="C1" s="52"/>
      <c r="D1" s="52"/>
      <c r="F1" s="52" t="s">
        <v>169</v>
      </c>
      <c r="G1" s="52"/>
      <c r="H1" s="52"/>
      <c r="I1" s="52"/>
      <c r="J1" s="52"/>
      <c r="K1" s="52"/>
      <c r="L1" s="52"/>
      <c r="M1" s="52"/>
      <c r="N1" s="52"/>
      <c r="P1" s="52" t="s">
        <v>170</v>
      </c>
      <c r="Q1" s="52"/>
      <c r="R1" s="52"/>
      <c r="S1" s="52"/>
      <c r="T1" s="52"/>
      <c r="U1" s="52"/>
    </row>
    <row r="2" spans="1:21" ht="63.3" customHeight="1" x14ac:dyDescent="0.55000000000000004">
      <c r="A2" s="171" t="s">
        <v>167</v>
      </c>
      <c r="B2" s="171"/>
      <c r="C2" s="171"/>
      <c r="D2" s="171"/>
      <c r="F2" s="18"/>
      <c r="G2" s="170" t="s">
        <v>166</v>
      </c>
      <c r="H2" s="170"/>
      <c r="I2" s="18"/>
      <c r="J2" s="111" t="s">
        <v>192</v>
      </c>
      <c r="K2" s="111"/>
      <c r="L2" s="18"/>
      <c r="M2" s="170" t="s">
        <v>9</v>
      </c>
      <c r="N2" s="170"/>
      <c r="P2" s="170" t="s">
        <v>191</v>
      </c>
      <c r="Q2" s="170"/>
      <c r="R2" s="170"/>
      <c r="S2" s="18"/>
      <c r="T2" s="18"/>
      <c r="U2" s="18"/>
    </row>
    <row r="3" spans="1:21" ht="31.2" x14ac:dyDescent="0.55000000000000004">
      <c r="A3" s="164" t="s">
        <v>3</v>
      </c>
      <c r="B3" s="164" t="s">
        <v>4</v>
      </c>
      <c r="C3" s="164" t="s">
        <v>5</v>
      </c>
      <c r="D3" s="164" t="s">
        <v>6</v>
      </c>
      <c r="F3" s="166" t="s">
        <v>3</v>
      </c>
      <c r="G3" s="19" t="s">
        <v>10</v>
      </c>
      <c r="H3" s="19" t="s">
        <v>11</v>
      </c>
      <c r="I3" s="18"/>
      <c r="J3" s="19" t="s">
        <v>10</v>
      </c>
      <c r="K3" s="19" t="s">
        <v>11</v>
      </c>
      <c r="L3" s="18"/>
      <c r="M3" s="19" t="s">
        <v>10</v>
      </c>
      <c r="N3" s="19" t="s">
        <v>11</v>
      </c>
      <c r="P3" s="166" t="s">
        <v>3</v>
      </c>
      <c r="Q3" s="19" t="s">
        <v>10</v>
      </c>
      <c r="R3" s="19" t="s">
        <v>11</v>
      </c>
      <c r="S3" s="18"/>
      <c r="T3" s="18"/>
      <c r="U3" s="18"/>
    </row>
    <row r="4" spans="1:21" x14ac:dyDescent="0.55000000000000004">
      <c r="A4" s="165">
        <v>0</v>
      </c>
      <c r="B4" s="165">
        <v>246656</v>
      </c>
      <c r="C4" s="165">
        <v>232955</v>
      </c>
      <c r="D4" s="165">
        <v>479611</v>
      </c>
      <c r="F4" s="4" t="s">
        <v>12</v>
      </c>
      <c r="G4" s="5">
        <f>B4</f>
        <v>246656</v>
      </c>
      <c r="H4" s="5">
        <f>C4</f>
        <v>232955</v>
      </c>
      <c r="I4" s="5"/>
      <c r="J4" s="101">
        <f>($M$5/SUM($B$4+$B$5))*B4</f>
        <v>5695.9271321694532</v>
      </c>
      <c r="K4" s="101">
        <f>($N$5/SUM($C$4+$C$5))*C4</f>
        <v>4156.0342347522264</v>
      </c>
      <c r="L4" s="18"/>
      <c r="M4" s="104" t="s">
        <v>172</v>
      </c>
      <c r="N4" s="104" t="s">
        <v>172</v>
      </c>
      <c r="P4" s="4" t="s">
        <v>12</v>
      </c>
      <c r="Q4" s="101">
        <f>J4</f>
        <v>5695.9271321694532</v>
      </c>
      <c r="R4" s="101">
        <f>K4</f>
        <v>4156.0342347522264</v>
      </c>
      <c r="S4" s="18"/>
      <c r="T4" s="18"/>
      <c r="U4" s="18"/>
    </row>
    <row r="5" spans="1:21" x14ac:dyDescent="0.55000000000000004">
      <c r="A5" s="165">
        <v>1</v>
      </c>
      <c r="B5" s="165">
        <v>257109</v>
      </c>
      <c r="C5" s="165">
        <v>243570</v>
      </c>
      <c r="D5" s="165">
        <v>500679</v>
      </c>
      <c r="F5" s="109">
        <v>1</v>
      </c>
      <c r="G5" s="101">
        <f>B5</f>
        <v>257109</v>
      </c>
      <c r="H5" s="101">
        <f>C5</f>
        <v>243570</v>
      </c>
      <c r="I5" s="101"/>
      <c r="J5" s="101">
        <f>($M$5/SUM($B$4+$B$5))*B5</f>
        <v>5937.3140285456502</v>
      </c>
      <c r="K5" s="101">
        <f>($N$5/SUM($C$4+$C$5))*C5</f>
        <v>4345.4111676443945</v>
      </c>
      <c r="L5" s="18"/>
      <c r="M5" s="34">
        <f>'Step 1-4 Incidence non rec GP'!G69</f>
        <v>11633.241160715103</v>
      </c>
      <c r="N5" s="34">
        <f>'Step 1-4 Incidence non rec GP'!G61</f>
        <v>8501.4454023966209</v>
      </c>
      <c r="P5" s="4" t="s">
        <v>13</v>
      </c>
      <c r="Q5" s="101">
        <f>J6+J5</f>
        <v>6726.8173170953487</v>
      </c>
      <c r="R5" s="101">
        <f>K6+K5</f>
        <v>5479.3093175560862</v>
      </c>
      <c r="S5" s="18"/>
      <c r="T5" s="18"/>
      <c r="U5" s="18"/>
    </row>
    <row r="6" spans="1:21" x14ac:dyDescent="0.55000000000000004">
      <c r="A6" s="165">
        <v>2</v>
      </c>
      <c r="B6" s="165">
        <v>263019</v>
      </c>
      <c r="C6" s="165">
        <v>248741</v>
      </c>
      <c r="D6" s="165">
        <v>511760</v>
      </c>
      <c r="F6" s="4" t="s">
        <v>176</v>
      </c>
      <c r="G6" s="5">
        <f>SUM(B6:B8)</f>
        <v>818741</v>
      </c>
      <c r="H6" s="5">
        <f>SUM(C6:C8)</f>
        <v>773917</v>
      </c>
      <c r="I6" s="5"/>
      <c r="J6" s="101">
        <f>(M9/(SUM(B6:B9)))*(B6+B7+B8)</f>
        <v>789.50328854969882</v>
      </c>
      <c r="K6" s="101">
        <f>(N9/(SUM(C6:C9)))*(C6+C7+C8)</f>
        <v>1133.8981499116919</v>
      </c>
      <c r="L6" s="18"/>
      <c r="M6" s="163" t="s">
        <v>15</v>
      </c>
      <c r="N6" s="163" t="s">
        <v>15</v>
      </c>
      <c r="P6" s="4" t="s">
        <v>14</v>
      </c>
      <c r="Q6" s="101">
        <f>J8+J7</f>
        <v>707.86496106735854</v>
      </c>
      <c r="R6" s="101">
        <f>K8+K7</f>
        <v>1192.8816903295508</v>
      </c>
      <c r="S6" s="18"/>
      <c r="T6" s="18"/>
      <c r="U6" s="18"/>
    </row>
    <row r="7" spans="1:21" x14ac:dyDescent="0.55000000000000004">
      <c r="A7" s="165">
        <v>3</v>
      </c>
      <c r="B7" s="165">
        <v>274935</v>
      </c>
      <c r="C7" s="165">
        <v>259955</v>
      </c>
      <c r="D7" s="165">
        <v>534890</v>
      </c>
      <c r="F7" s="109">
        <v>5</v>
      </c>
      <c r="G7" s="101">
        <f>B9</f>
        <v>288877</v>
      </c>
      <c r="H7" s="101">
        <f>C9</f>
        <v>272107</v>
      </c>
      <c r="I7" s="101"/>
      <c r="J7" s="101">
        <f>(M9/(SUM(B6:B9)))*B9</f>
        <v>278.56103637947939</v>
      </c>
      <c r="K7" s="101">
        <f>(N9/(SUM(C6:C9)))*C9</f>
        <v>398.67534099654193</v>
      </c>
      <c r="L7" s="18"/>
      <c r="M7" s="105">
        <f>J4+J5</f>
        <v>11633.241160715104</v>
      </c>
      <c r="N7" s="105">
        <f>K4+K5</f>
        <v>8501.4454023966209</v>
      </c>
      <c r="P7" s="4" t="s">
        <v>16</v>
      </c>
      <c r="Q7" s="101">
        <f>J10+J9</f>
        <v>540.39884633815598</v>
      </c>
      <c r="R7" s="101">
        <f>K10+K9</f>
        <v>939.26814600276828</v>
      </c>
      <c r="S7" s="18"/>
      <c r="T7" s="18"/>
      <c r="U7" s="18"/>
    </row>
    <row r="8" spans="1:21" x14ac:dyDescent="0.55000000000000004">
      <c r="A8" s="165">
        <v>4</v>
      </c>
      <c r="B8" s="165">
        <v>280787</v>
      </c>
      <c r="C8" s="165">
        <v>265221</v>
      </c>
      <c r="D8" s="165">
        <v>546008</v>
      </c>
      <c r="F8" s="4" t="s">
        <v>177</v>
      </c>
      <c r="G8" s="5">
        <f>SUM(B10:B13)</f>
        <v>1180588</v>
      </c>
      <c r="H8" s="5">
        <f>SUM(C10:C13)</f>
        <v>1113148</v>
      </c>
      <c r="I8" s="5"/>
      <c r="J8" s="101">
        <f>(M13/(SUM(B10:B16)))*(SUM(B10:B13))</f>
        <v>429.30392468787915</v>
      </c>
      <c r="K8" s="101">
        <f>(N13/(SUM(C10:C16)))*(SUM(C10:C13))</f>
        <v>794.2063493330088</v>
      </c>
      <c r="L8" s="18"/>
      <c r="M8" s="104" t="s">
        <v>173</v>
      </c>
      <c r="N8" s="104" t="s">
        <v>173</v>
      </c>
      <c r="P8" s="4" t="s">
        <v>96</v>
      </c>
      <c r="Q8" s="101">
        <f>J11+J12</f>
        <v>778.3084289971963</v>
      </c>
      <c r="R8" s="101">
        <f>K11+K12</f>
        <v>1635.5680797701079</v>
      </c>
      <c r="S8" s="18"/>
      <c r="T8" s="18"/>
      <c r="U8" s="18"/>
    </row>
    <row r="9" spans="1:21" x14ac:dyDescent="0.55000000000000004">
      <c r="A9" s="165">
        <v>5</v>
      </c>
      <c r="B9" s="165">
        <v>288877</v>
      </c>
      <c r="C9" s="165">
        <v>272107</v>
      </c>
      <c r="D9" s="165">
        <v>560984</v>
      </c>
      <c r="F9" s="4" t="s">
        <v>178</v>
      </c>
      <c r="G9" s="5">
        <f>SUM(B14:B16)</f>
        <v>883378</v>
      </c>
      <c r="H9" s="5">
        <f>SUM(C14:C16)</f>
        <v>832240</v>
      </c>
      <c r="I9" s="4"/>
      <c r="J9" s="101">
        <f>(M13/(SUM(B10:B16)))*(SUM(B14:B16))</f>
        <v>321.22776310019185</v>
      </c>
      <c r="K9" s="101">
        <f>(N13/(SUM(C10:C16)))*(SUM(C14:C16))</f>
        <v>593.78473677256147</v>
      </c>
      <c r="L9" s="18"/>
      <c r="M9" s="34">
        <f>'Step 1-4 Incidence non rec GP'!G70</f>
        <v>1068.0643249291782</v>
      </c>
      <c r="N9" s="34">
        <f>'Step 1-4 Incidence non rec GP'!G62</f>
        <v>1532.5734909082339</v>
      </c>
      <c r="P9" s="97" t="s">
        <v>18</v>
      </c>
      <c r="Q9" s="102">
        <f t="shared" ref="Q9:R13" si="0">J13</f>
        <v>1730.3101738261478</v>
      </c>
      <c r="R9" s="102">
        <f t="shared" si="0"/>
        <v>4969.4698864114189</v>
      </c>
      <c r="S9" s="18"/>
      <c r="T9" s="18"/>
      <c r="U9" s="18"/>
    </row>
    <row r="10" spans="1:21" x14ac:dyDescent="0.55000000000000004">
      <c r="A10" s="165">
        <v>6</v>
      </c>
      <c r="B10" s="165">
        <v>293468</v>
      </c>
      <c r="C10" s="165">
        <v>276604</v>
      </c>
      <c r="D10" s="165">
        <v>570072</v>
      </c>
      <c r="F10" s="4" t="s">
        <v>179</v>
      </c>
      <c r="G10" s="5">
        <f>SUM(B17:B18)</f>
        <v>585947</v>
      </c>
      <c r="H10" s="5">
        <f>SUM(C17:C18)</f>
        <v>552626</v>
      </c>
      <c r="I10" s="5"/>
      <c r="J10" s="101">
        <f>(M17/(SUM(B17:B22)))*(B17+B18)</f>
        <v>219.17108323796415</v>
      </c>
      <c r="K10" s="101">
        <f>(N17/(SUM(C17:C22)))*(C17+C18)</f>
        <v>345.4834092302068</v>
      </c>
      <c r="L10" s="18"/>
      <c r="M10" s="19" t="s">
        <v>15</v>
      </c>
      <c r="N10" s="19" t="s">
        <v>15</v>
      </c>
      <c r="P10" s="97" t="s">
        <v>19</v>
      </c>
      <c r="Q10" s="102">
        <f t="shared" si="0"/>
        <v>1829.8170979249437</v>
      </c>
      <c r="R10" s="102">
        <f t="shared" si="0"/>
        <v>5423.662234456775</v>
      </c>
      <c r="S10" s="18"/>
      <c r="T10" s="18"/>
      <c r="U10" s="18"/>
    </row>
    <row r="11" spans="1:21" x14ac:dyDescent="0.55000000000000004">
      <c r="A11" s="165">
        <v>7</v>
      </c>
      <c r="B11" s="165">
        <v>295862</v>
      </c>
      <c r="C11" s="165">
        <v>280244</v>
      </c>
      <c r="D11" s="165">
        <v>576106</v>
      </c>
      <c r="F11" s="4" t="s">
        <v>17</v>
      </c>
      <c r="G11" s="5">
        <f>SUM(B19:B22)</f>
        <v>1189054</v>
      </c>
      <c r="H11" s="5">
        <f>SUM(C19:C22)</f>
        <v>1112519</v>
      </c>
      <c r="I11" s="5"/>
      <c r="J11" s="101">
        <f>(M17/(SUM(B17:B22)))*(B19+B20+B21+B22)</f>
        <v>444.76079442071421</v>
      </c>
      <c r="K11" s="101">
        <f>(N17/(SUM(C17:C22)))*(C19+C20+C21+C22)</f>
        <v>695.50990534897107</v>
      </c>
      <c r="L11" s="18"/>
      <c r="M11" s="105">
        <f>J7+J6</f>
        <v>1068.0643249291782</v>
      </c>
      <c r="N11" s="105">
        <f>K7+K6</f>
        <v>1532.5734909082339</v>
      </c>
      <c r="P11" s="97" t="s">
        <v>20</v>
      </c>
      <c r="Q11" s="102">
        <f t="shared" si="0"/>
        <v>1966.0763291437815</v>
      </c>
      <c r="R11" s="102">
        <f t="shared" si="0"/>
        <v>5943.3002824804962</v>
      </c>
      <c r="S11" s="18"/>
      <c r="T11" s="18"/>
      <c r="U11" s="18"/>
    </row>
    <row r="12" spans="1:21" x14ac:dyDescent="0.55000000000000004">
      <c r="A12" s="165">
        <v>8</v>
      </c>
      <c r="B12" s="165">
        <v>295281</v>
      </c>
      <c r="C12" s="165">
        <v>278398</v>
      </c>
      <c r="D12" s="165">
        <v>573679</v>
      </c>
      <c r="F12" s="96">
        <v>19</v>
      </c>
      <c r="G12" s="87">
        <f>B23</f>
        <v>301372</v>
      </c>
      <c r="H12" s="87">
        <f>C23</f>
        <v>278603</v>
      </c>
      <c r="I12" s="87"/>
      <c r="J12" s="102">
        <f>(M21/SUM(G12:G18))*G12</f>
        <v>333.5476345764821</v>
      </c>
      <c r="K12" s="102">
        <f>(N21/SUM(H12:H18))*H12</f>
        <v>940.05817442113687</v>
      </c>
      <c r="L12" s="18"/>
      <c r="M12" s="104" t="s">
        <v>174</v>
      </c>
      <c r="N12" s="104" t="s">
        <v>174</v>
      </c>
      <c r="P12" s="97" t="s">
        <v>21</v>
      </c>
      <c r="Q12" s="102">
        <f t="shared" si="0"/>
        <v>2261.3077992821677</v>
      </c>
      <c r="R12" s="102">
        <f t="shared" si="0"/>
        <v>6874.2245370294204</v>
      </c>
      <c r="S12" s="18"/>
      <c r="T12" s="18"/>
      <c r="U12" s="18"/>
    </row>
    <row r="13" spans="1:21" x14ac:dyDescent="0.55000000000000004">
      <c r="A13" s="165">
        <v>9</v>
      </c>
      <c r="B13" s="165">
        <v>295977</v>
      </c>
      <c r="C13" s="165">
        <v>277902</v>
      </c>
      <c r="D13" s="165">
        <v>573879</v>
      </c>
      <c r="F13" s="97" t="s">
        <v>18</v>
      </c>
      <c r="G13" s="87">
        <f>SUM(B24:B28)</f>
        <v>1563396</v>
      </c>
      <c r="H13" s="87">
        <f>SUM(C24:C28)</f>
        <v>1472791</v>
      </c>
      <c r="I13" s="87"/>
      <c r="J13" s="102">
        <f>(M21/SUM(G12:G18))*G13</f>
        <v>1730.3101738261478</v>
      </c>
      <c r="K13" s="102">
        <f>(N21/SUM(H12:H18))*H13</f>
        <v>4969.4698864114189</v>
      </c>
      <c r="L13" s="18"/>
      <c r="M13" s="34">
        <f>'Step 1-4 Incidence non rec GP'!G71</f>
        <v>750.53168778807105</v>
      </c>
      <c r="N13" s="34">
        <f>'Step 1-4 Incidence non rec GP'!G63</f>
        <v>1387.9910861055703</v>
      </c>
      <c r="P13" s="97" t="s">
        <v>22</v>
      </c>
      <c r="Q13" s="102">
        <f t="shared" si="0"/>
        <v>2634.7155338655252</v>
      </c>
      <c r="R13" s="102">
        <f t="shared" si="0"/>
        <v>8097.9606004112229</v>
      </c>
      <c r="S13" s="18"/>
      <c r="T13" s="18"/>
      <c r="U13" s="18"/>
    </row>
    <row r="14" spans="1:21" x14ac:dyDescent="0.55000000000000004">
      <c r="A14" s="165">
        <v>10</v>
      </c>
      <c r="B14" s="165">
        <v>294098</v>
      </c>
      <c r="C14" s="165">
        <v>275775</v>
      </c>
      <c r="D14" s="165">
        <v>569873</v>
      </c>
      <c r="F14" s="97" t="s">
        <v>19</v>
      </c>
      <c r="G14" s="87">
        <f>SUM(B29:B33)</f>
        <v>1653304</v>
      </c>
      <c r="H14" s="87">
        <f>SUM(C29:C33)</f>
        <v>1607399</v>
      </c>
      <c r="I14" s="87"/>
      <c r="J14" s="102">
        <f>(M21/SUM(G12:G18))*G14</f>
        <v>1829.8170979249437</v>
      </c>
      <c r="K14" s="102">
        <f>(N21/SUM(H12:H18))*H14</f>
        <v>5423.662234456775</v>
      </c>
      <c r="L14" s="18"/>
      <c r="M14" s="19" t="s">
        <v>15</v>
      </c>
      <c r="N14" s="19" t="s">
        <v>15</v>
      </c>
      <c r="P14" s="98" t="s">
        <v>23</v>
      </c>
      <c r="Q14" s="59">
        <f>J18+J19</f>
        <v>6985.284242869252</v>
      </c>
      <c r="R14" s="59">
        <f>K18+K19</f>
        <v>10393.031360760098</v>
      </c>
      <c r="S14" s="18"/>
      <c r="T14" s="18"/>
      <c r="U14" s="18"/>
    </row>
    <row r="15" spans="1:21" x14ac:dyDescent="0.55000000000000004">
      <c r="A15" s="165">
        <v>11</v>
      </c>
      <c r="B15" s="165">
        <v>295795</v>
      </c>
      <c r="C15" s="165">
        <v>279562</v>
      </c>
      <c r="D15" s="165">
        <v>575357</v>
      </c>
      <c r="F15" s="97" t="s">
        <v>20</v>
      </c>
      <c r="G15" s="87">
        <f>SUM(B34:B38)</f>
        <v>1776419</v>
      </c>
      <c r="H15" s="87">
        <f>SUM(C34:C38)</f>
        <v>1761403</v>
      </c>
      <c r="I15" s="87"/>
      <c r="J15" s="102">
        <f>(M21/SUM(G12:G18))*G15</f>
        <v>1966.0763291437815</v>
      </c>
      <c r="K15" s="102">
        <f>(N21/SUM(H12:H18))*H15</f>
        <v>5943.3002824804962</v>
      </c>
      <c r="L15" s="18"/>
      <c r="M15" s="105">
        <f>J8+J9</f>
        <v>750.53168778807094</v>
      </c>
      <c r="N15" s="105">
        <f>K8+K9</f>
        <v>1387.9910861055703</v>
      </c>
      <c r="P15" s="98" t="s">
        <v>24</v>
      </c>
      <c r="Q15" s="59">
        <f>J20</f>
        <v>7689.9878981655438</v>
      </c>
      <c r="R15" s="59">
        <f>K19+K20</f>
        <v>19323.28217888502</v>
      </c>
      <c r="S15" s="18"/>
      <c r="T15" s="18"/>
      <c r="U15" s="18"/>
    </row>
    <row r="16" spans="1:21" x14ac:dyDescent="0.55000000000000004">
      <c r="A16" s="165">
        <v>12</v>
      </c>
      <c r="B16" s="165">
        <v>293485</v>
      </c>
      <c r="C16" s="165">
        <v>276903</v>
      </c>
      <c r="D16" s="165">
        <v>570388</v>
      </c>
      <c r="F16" s="97" t="s">
        <v>21</v>
      </c>
      <c r="G16" s="87">
        <f>SUM(B39:B43)</f>
        <v>2043171</v>
      </c>
      <c r="H16" s="87">
        <f>SUM(C39:C43)</f>
        <v>2037299</v>
      </c>
      <c r="I16" s="87"/>
      <c r="J16" s="102">
        <f>(M21/SUM(G12:G18))*G16</f>
        <v>2261.3077992821677</v>
      </c>
      <c r="K16" s="102">
        <f>(N21/SUM(H12:H18))*H16</f>
        <v>6874.2245370294204</v>
      </c>
      <c r="L16" s="18"/>
      <c r="M16" s="104" t="s">
        <v>175</v>
      </c>
      <c r="N16" s="104" t="s">
        <v>175</v>
      </c>
      <c r="P16" s="98" t="s">
        <v>25</v>
      </c>
      <c r="Q16" s="59">
        <f>J21</f>
        <v>6547.3705846276334</v>
      </c>
      <c r="R16" s="59">
        <f>K20+K21</f>
        <v>19792.278191253346</v>
      </c>
      <c r="S16" s="18"/>
      <c r="T16" s="18"/>
      <c r="U16" s="18"/>
    </row>
    <row r="17" spans="1:21" x14ac:dyDescent="0.55000000000000004">
      <c r="A17" s="165">
        <v>13</v>
      </c>
      <c r="B17" s="165">
        <v>291385</v>
      </c>
      <c r="C17" s="165">
        <v>275243</v>
      </c>
      <c r="D17" s="165">
        <v>566628</v>
      </c>
      <c r="F17" s="97" t="s">
        <v>22</v>
      </c>
      <c r="G17" s="87">
        <f>SUM(B44:B48)</f>
        <v>2380558</v>
      </c>
      <c r="H17" s="87">
        <f>SUM(C44:C48)</f>
        <v>2399975</v>
      </c>
      <c r="I17" s="87"/>
      <c r="J17" s="102">
        <f>(M21/SUM(G12:G18))*G17</f>
        <v>2634.7155338655252</v>
      </c>
      <c r="K17" s="102">
        <f>(N21/SUM(H12:H18))*H17</f>
        <v>8097.9606004112229</v>
      </c>
      <c r="L17" s="18"/>
      <c r="M17" s="34">
        <f>'Step 1-4 Incidence non rec GP'!G72</f>
        <v>663.93187765867833</v>
      </c>
      <c r="N17" s="34">
        <f>'Step 1-4 Incidence non rec GP'!G64</f>
        <v>1040.9933145791779</v>
      </c>
      <c r="P17" s="99" t="s">
        <v>26</v>
      </c>
      <c r="Q17" s="103">
        <f>J22+J23</f>
        <v>12955.628260653262</v>
      </c>
      <c r="R17" s="103">
        <f>K22+K23</f>
        <v>18392.429716470764</v>
      </c>
      <c r="S17" s="18"/>
      <c r="T17" s="18"/>
      <c r="U17" s="18"/>
    </row>
    <row r="18" spans="1:21" x14ac:dyDescent="0.55000000000000004">
      <c r="A18" s="165">
        <v>14</v>
      </c>
      <c r="B18" s="165">
        <v>294562</v>
      </c>
      <c r="C18" s="165">
        <v>277383</v>
      </c>
      <c r="D18" s="165">
        <v>571945</v>
      </c>
      <c r="F18" s="96">
        <v>45</v>
      </c>
      <c r="G18" s="87">
        <f>B49</f>
        <v>479838</v>
      </c>
      <c r="H18" s="87">
        <f>C49</f>
        <v>486470</v>
      </c>
      <c r="I18" s="87"/>
      <c r="J18" s="102">
        <f>(M21/SUM(G12:G18))*G18</f>
        <v>531.06735157848118</v>
      </c>
      <c r="K18" s="102">
        <f>(N21/SUM(H12:H18))*H18</f>
        <v>1641.4399705338797</v>
      </c>
      <c r="L18" s="18"/>
      <c r="M18" s="19" t="s">
        <v>15</v>
      </c>
      <c r="N18" s="19" t="s">
        <v>15</v>
      </c>
      <c r="P18" s="100" t="s">
        <v>27</v>
      </c>
      <c r="Q18" s="103">
        <f t="shared" ref="Q18:R22" si="1">J24</f>
        <v>14896.535906710804</v>
      </c>
      <c r="R18" s="103">
        <f t="shared" si="1"/>
        <v>21483.63577220888</v>
      </c>
      <c r="S18" s="18"/>
      <c r="T18" s="18"/>
      <c r="U18" s="18"/>
    </row>
    <row r="19" spans="1:21" x14ac:dyDescent="0.55000000000000004">
      <c r="A19" s="165">
        <v>15</v>
      </c>
      <c r="B19" s="165">
        <v>300021</v>
      </c>
      <c r="C19" s="165">
        <v>281341</v>
      </c>
      <c r="D19" s="165">
        <v>581362</v>
      </c>
      <c r="F19" s="98" t="s">
        <v>163</v>
      </c>
      <c r="G19" s="20">
        <f>SUM(B50:B53)</f>
        <v>1961824</v>
      </c>
      <c r="H19" s="20">
        <f>SUM(C50:C53)</f>
        <v>2003553</v>
      </c>
      <c r="I19" s="20"/>
      <c r="J19" s="59">
        <f>(M25/(SUM(G19:G22)))*G19</f>
        <v>6454.2168912907709</v>
      </c>
      <c r="K19" s="59">
        <f>(N25/(SUM(H19:H22)))*H19</f>
        <v>8751.5913902262182</v>
      </c>
      <c r="L19" s="18"/>
      <c r="M19" s="105">
        <f>J10+J11</f>
        <v>663.93187765867833</v>
      </c>
      <c r="N19" s="105">
        <f>K10+K11</f>
        <v>1040.9933145791779</v>
      </c>
      <c r="P19" s="100" t="s">
        <v>28</v>
      </c>
      <c r="Q19" s="103">
        <f t="shared" si="1"/>
        <v>11212.331995955083</v>
      </c>
      <c r="R19" s="103">
        <f t="shared" si="1"/>
        <v>17091.631569473953</v>
      </c>
      <c r="S19" s="18"/>
      <c r="T19" s="18"/>
      <c r="U19" s="18"/>
    </row>
    <row r="20" spans="1:21" x14ac:dyDescent="0.55000000000000004">
      <c r="A20" s="165">
        <v>16</v>
      </c>
      <c r="B20" s="165">
        <v>294237</v>
      </c>
      <c r="C20" s="165">
        <v>277158</v>
      </c>
      <c r="D20" s="165">
        <v>571395</v>
      </c>
      <c r="F20" s="98" t="s">
        <v>24</v>
      </c>
      <c r="G20" s="20">
        <f>SUM(B54:B58)</f>
        <v>2337449</v>
      </c>
      <c r="H20" s="20">
        <f>SUM(C54:C58)</f>
        <v>2420239</v>
      </c>
      <c r="I20" s="20"/>
      <c r="J20" s="59">
        <f>(M25/(SUM(G19:G22)))*G20</f>
        <v>7689.9878981655438</v>
      </c>
      <c r="K20" s="59">
        <f>(N25/(SUM(H19:H22)))*H20</f>
        <v>10571.690788658803</v>
      </c>
      <c r="L20" s="18"/>
      <c r="M20" s="88" t="s">
        <v>160</v>
      </c>
      <c r="N20" s="88" t="s">
        <v>160</v>
      </c>
      <c r="P20" s="100" t="s">
        <v>29</v>
      </c>
      <c r="Q20" s="103">
        <f t="shared" si="1"/>
        <v>10403.720083055208</v>
      </c>
      <c r="R20" s="103">
        <f t="shared" si="1"/>
        <v>17300.315523428311</v>
      </c>
      <c r="S20" s="18"/>
      <c r="T20" s="18"/>
      <c r="U20" s="18"/>
    </row>
    <row r="21" spans="1:21" x14ac:dyDescent="0.55000000000000004">
      <c r="A21" s="165">
        <v>17</v>
      </c>
      <c r="B21" s="165">
        <v>296329</v>
      </c>
      <c r="C21" s="165">
        <v>277088</v>
      </c>
      <c r="D21" s="165">
        <v>573417</v>
      </c>
      <c r="F21" s="98" t="s">
        <v>25</v>
      </c>
      <c r="G21" s="20">
        <f>SUM(B59:B63)</f>
        <v>1990139</v>
      </c>
      <c r="H21" s="20">
        <f>SUM(C59:C63)</f>
        <v>2110923</v>
      </c>
      <c r="I21" s="20"/>
      <c r="J21" s="59">
        <f>(M25/(SUM(G19:G22)))*G21</f>
        <v>6547.3705846276334</v>
      </c>
      <c r="K21" s="59">
        <f>(N25/(SUM(H19:H22)))*H21</f>
        <v>9220.5874025945413</v>
      </c>
      <c r="L21" s="18"/>
      <c r="M21" s="34">
        <f>'Step 1-4 Incidence non rec GP'!G73</f>
        <v>11286.84192019753</v>
      </c>
      <c r="N21" s="34">
        <f>'Step 1-4 Incidence non rec GP'!G65</f>
        <v>33890.115685744349</v>
      </c>
      <c r="P21" s="100" t="s">
        <v>30</v>
      </c>
      <c r="Q21" s="103">
        <f t="shared" si="1"/>
        <v>7008.1366137670602</v>
      </c>
      <c r="R21" s="103">
        <f t="shared" si="1"/>
        <v>13683.873760900935</v>
      </c>
      <c r="S21" s="18"/>
      <c r="T21" s="18"/>
      <c r="U21" s="18"/>
    </row>
    <row r="22" spans="1:21" x14ac:dyDescent="0.55000000000000004">
      <c r="A22" s="165">
        <v>18</v>
      </c>
      <c r="B22" s="165">
        <v>298467</v>
      </c>
      <c r="C22" s="165">
        <v>276932</v>
      </c>
      <c r="D22" s="165">
        <v>575399</v>
      </c>
      <c r="F22" s="98" t="s">
        <v>165</v>
      </c>
      <c r="G22" s="20">
        <f>B64</f>
        <v>370277</v>
      </c>
      <c r="H22" s="20">
        <f>C64</f>
        <v>396445</v>
      </c>
      <c r="I22" s="20"/>
      <c r="J22" s="59">
        <f>(M25/(SUM(G19:G22)))*G22</f>
        <v>1218.176588652434</v>
      </c>
      <c r="K22" s="59">
        <f>(N25/(SUM(H19:H22)))*H22</f>
        <v>1731.6859841981884</v>
      </c>
      <c r="L22" s="18"/>
      <c r="M22" s="163" t="s">
        <v>15</v>
      </c>
      <c r="N22" s="163" t="s">
        <v>15</v>
      </c>
      <c r="P22" s="100" t="s">
        <v>31</v>
      </c>
      <c r="Q22" s="103">
        <f t="shared" si="1"/>
        <v>5332.8242157095356</v>
      </c>
      <c r="R22" s="103">
        <f t="shared" si="1"/>
        <v>15218.814851264133</v>
      </c>
      <c r="S22" s="18"/>
      <c r="T22" s="18"/>
      <c r="U22" s="18"/>
    </row>
    <row r="23" spans="1:21" x14ac:dyDescent="0.55000000000000004">
      <c r="A23" s="165">
        <v>19</v>
      </c>
      <c r="B23" s="165">
        <v>301372</v>
      </c>
      <c r="C23" s="165">
        <v>278603</v>
      </c>
      <c r="D23" s="165">
        <v>579975</v>
      </c>
      <c r="F23" s="99" t="s">
        <v>164</v>
      </c>
      <c r="G23" s="99">
        <f>SUM(B65:B68)</f>
        <v>1384726</v>
      </c>
      <c r="H23" s="99">
        <f>SUM(C65:C68)</f>
        <v>1494792</v>
      </c>
      <c r="I23" s="99"/>
      <c r="J23" s="103">
        <f>(M30/SUM(G23:G28))*G23</f>
        <v>11737.451672000829</v>
      </c>
      <c r="K23" s="103">
        <f>(N30/SUM(H23:H28))*H23</f>
        <v>16660.743732272575</v>
      </c>
      <c r="L23" s="18"/>
      <c r="M23" s="105">
        <f>SUM(J12:J18)</f>
        <v>11286.84192019753</v>
      </c>
      <c r="N23" s="105">
        <f>SUM(K12:K18)</f>
        <v>33890.115685744349</v>
      </c>
      <c r="P23" s="18"/>
      <c r="Q23" s="18"/>
      <c r="R23" s="18"/>
      <c r="S23" s="18"/>
      <c r="T23" s="18"/>
      <c r="U23" s="18"/>
    </row>
    <row r="24" spans="1:21" x14ac:dyDescent="0.55000000000000004">
      <c r="A24" s="165">
        <v>20</v>
      </c>
      <c r="B24" s="165">
        <v>301675</v>
      </c>
      <c r="C24" s="165">
        <v>279061</v>
      </c>
      <c r="D24" s="165">
        <v>580736</v>
      </c>
      <c r="F24" s="100" t="s">
        <v>27</v>
      </c>
      <c r="G24" s="99">
        <f>SUM(B69:B73)</f>
        <v>1757419</v>
      </c>
      <c r="H24" s="99">
        <f>SUM(C69:C73)</f>
        <v>1927499</v>
      </c>
      <c r="I24" s="99"/>
      <c r="J24" s="103">
        <f>(M30/SUM(G23:G28))*G24</f>
        <v>14896.535906710804</v>
      </c>
      <c r="K24" s="103">
        <f>(N30/SUM(H23:H28))*H24</f>
        <v>21483.63577220888</v>
      </c>
      <c r="L24" s="18"/>
      <c r="M24" s="106" t="s">
        <v>161</v>
      </c>
      <c r="N24" s="106" t="s">
        <v>161</v>
      </c>
      <c r="P24" s="18"/>
      <c r="Q24" s="18"/>
      <c r="R24" s="18"/>
      <c r="S24" s="18"/>
      <c r="T24" s="18"/>
      <c r="U24" s="18"/>
    </row>
    <row r="25" spans="1:21" x14ac:dyDescent="0.55000000000000004">
      <c r="A25" s="165">
        <v>21</v>
      </c>
      <c r="B25" s="165">
        <v>304795</v>
      </c>
      <c r="C25" s="165">
        <v>284652</v>
      </c>
      <c r="D25" s="165">
        <v>589447</v>
      </c>
      <c r="F25" s="100" t="s">
        <v>28</v>
      </c>
      <c r="G25" s="99">
        <f>SUM(B74:B78)</f>
        <v>1322775</v>
      </c>
      <c r="H25" s="99">
        <f>SUM(C74:C78)</f>
        <v>1533451</v>
      </c>
      <c r="I25" s="99"/>
      <c r="J25" s="103">
        <f>(M30/SUM(G23:G28))*G25</f>
        <v>11212.331995955083</v>
      </c>
      <c r="K25" s="103">
        <f>(N30/SUM(H23:H28))*H25</f>
        <v>17091.631569473953</v>
      </c>
      <c r="L25" s="18"/>
      <c r="M25" s="34">
        <f>'Step 1-4 Incidence non rec GP'!G74</f>
        <v>21909.751962736384</v>
      </c>
      <c r="N25" s="34">
        <f>'Step 1-4 Incidence non rec GP'!G66</f>
        <v>30275.555565677754</v>
      </c>
      <c r="P25" s="18"/>
      <c r="Q25" s="18"/>
      <c r="R25" s="18"/>
      <c r="S25" s="18"/>
      <c r="T25" s="18"/>
      <c r="U25" s="18"/>
    </row>
    <row r="26" spans="1:21" x14ac:dyDescent="0.55000000000000004">
      <c r="A26" s="165">
        <v>22</v>
      </c>
      <c r="B26" s="165">
        <v>310400</v>
      </c>
      <c r="C26" s="165">
        <v>293373</v>
      </c>
      <c r="D26" s="165">
        <v>603773</v>
      </c>
      <c r="F26" s="100" t="s">
        <v>29</v>
      </c>
      <c r="G26" s="99">
        <f>SUM(B79:B83)</f>
        <v>1227379</v>
      </c>
      <c r="H26" s="99">
        <f>SUM(C79:C83)</f>
        <v>1552174</v>
      </c>
      <c r="I26" s="99"/>
      <c r="J26" s="103">
        <f>(M30/SUM(G23:G28))*G26</f>
        <v>10403.720083055208</v>
      </c>
      <c r="K26" s="103">
        <f>(N30/SUM(H23:H28))*H26</f>
        <v>17300.315523428311</v>
      </c>
      <c r="L26" s="18"/>
      <c r="M26" s="163" t="s">
        <v>15</v>
      </c>
      <c r="N26" s="163" t="s">
        <v>15</v>
      </c>
      <c r="P26" s="18"/>
      <c r="Q26" s="18"/>
      <c r="R26" s="18"/>
      <c r="S26" s="18"/>
      <c r="T26" s="18"/>
      <c r="U26" s="18"/>
    </row>
    <row r="27" spans="1:21" x14ac:dyDescent="0.55000000000000004">
      <c r="A27" s="165">
        <v>23</v>
      </c>
      <c r="B27" s="165">
        <v>323316</v>
      </c>
      <c r="C27" s="165">
        <v>307112</v>
      </c>
      <c r="D27" s="165">
        <v>630428</v>
      </c>
      <c r="F27" s="100" t="s">
        <v>30</v>
      </c>
      <c r="G27" s="99">
        <f>SUM(B84:B88)</f>
        <v>826785</v>
      </c>
      <c r="H27" s="99">
        <f>SUM(C84:C88)</f>
        <v>1227709</v>
      </c>
      <c r="I27" s="99"/>
      <c r="J27" s="103">
        <f>($M$30/SUM($G$23:$G$28))*G27</f>
        <v>7008.1366137670602</v>
      </c>
      <c r="K27" s="103">
        <f>($N$30/SUM($H$23:$H$28))*H27</f>
        <v>13683.873760900935</v>
      </c>
      <c r="L27" s="18"/>
      <c r="M27" s="105">
        <f>SUM(J19:J22)</f>
        <v>21909.751962736384</v>
      </c>
      <c r="N27" s="105">
        <f>SUM(K19:K22)</f>
        <v>30275.555565677751</v>
      </c>
      <c r="P27" s="18"/>
      <c r="Q27" s="18"/>
      <c r="R27" s="18"/>
      <c r="S27" s="18"/>
      <c r="T27" s="18"/>
      <c r="U27" s="18"/>
    </row>
    <row r="28" spans="1:21" x14ac:dyDescent="0.55000000000000004">
      <c r="A28" s="165">
        <v>24</v>
      </c>
      <c r="B28" s="165">
        <v>323210</v>
      </c>
      <c r="C28" s="165">
        <v>308593</v>
      </c>
      <c r="D28" s="165">
        <v>631803</v>
      </c>
      <c r="F28" s="100" t="s">
        <v>31</v>
      </c>
      <c r="G28" s="99">
        <f>SUM(B89:B104)</f>
        <v>629140</v>
      </c>
      <c r="H28" s="99">
        <f>SUM(C89:C104)</f>
        <v>1365423</v>
      </c>
      <c r="I28" s="99"/>
      <c r="J28" s="103">
        <f>($M$30/SUM($G$23:$G$28))*G28</f>
        <v>5332.8242157095356</v>
      </c>
      <c r="K28" s="103">
        <f>($N$30/SUM($H$23:$H$28))*H28</f>
        <v>15218.814851264133</v>
      </c>
      <c r="L28" s="18"/>
      <c r="M28" s="34"/>
      <c r="N28" s="34"/>
      <c r="P28" s="18"/>
      <c r="Q28" s="18"/>
      <c r="R28" s="18"/>
      <c r="S28" s="18"/>
      <c r="T28" s="18"/>
      <c r="U28" s="18"/>
    </row>
    <row r="29" spans="1:21" x14ac:dyDescent="0.55000000000000004">
      <c r="A29" s="165">
        <v>25</v>
      </c>
      <c r="B29" s="165">
        <v>329042</v>
      </c>
      <c r="C29" s="165">
        <v>315648</v>
      </c>
      <c r="D29" s="165">
        <v>644690</v>
      </c>
      <c r="F29" s="18"/>
      <c r="G29" s="18"/>
      <c r="H29" s="18"/>
      <c r="I29" s="18"/>
      <c r="J29" s="18"/>
      <c r="K29" s="18"/>
      <c r="L29" s="18"/>
      <c r="M29" s="107" t="s">
        <v>162</v>
      </c>
      <c r="N29" s="107" t="s">
        <v>162</v>
      </c>
      <c r="P29" s="18"/>
      <c r="Q29" s="18"/>
      <c r="R29" s="18"/>
      <c r="S29" s="18"/>
      <c r="T29" s="18"/>
      <c r="U29" s="18"/>
    </row>
    <row r="30" spans="1:21" x14ac:dyDescent="0.55000000000000004">
      <c r="A30" s="165">
        <v>26</v>
      </c>
      <c r="B30" s="165">
        <v>327858</v>
      </c>
      <c r="C30" s="165">
        <v>317995</v>
      </c>
      <c r="D30" s="165">
        <v>645853</v>
      </c>
      <c r="F30" s="18"/>
      <c r="G30" s="18"/>
      <c r="H30" s="18"/>
      <c r="I30" s="18"/>
      <c r="J30" s="18"/>
      <c r="K30" s="18"/>
      <c r="L30" s="18"/>
      <c r="M30" s="34">
        <f>'Step 1-4 Incidence non rec GP'!G75</f>
        <v>60591.000487198515</v>
      </c>
      <c r="N30" s="34">
        <f>'Step 1-4 Incidence non rec GP'!G67</f>
        <v>101439.01520954879</v>
      </c>
      <c r="P30" s="18"/>
      <c r="Q30" s="18"/>
      <c r="R30" s="18"/>
      <c r="S30" s="18"/>
      <c r="T30" s="18"/>
      <c r="U30" s="18"/>
    </row>
    <row r="31" spans="1:21" x14ac:dyDescent="0.55000000000000004">
      <c r="A31" s="165">
        <v>27</v>
      </c>
      <c r="B31" s="165">
        <v>335901</v>
      </c>
      <c r="C31" s="165">
        <v>326453</v>
      </c>
      <c r="D31" s="165">
        <v>662354</v>
      </c>
      <c r="F31" s="18"/>
      <c r="G31" s="18"/>
      <c r="H31" s="18"/>
      <c r="I31" s="18"/>
      <c r="J31" s="18"/>
      <c r="K31" s="18"/>
      <c r="L31" s="18"/>
      <c r="M31" s="163" t="s">
        <v>15</v>
      </c>
      <c r="N31" s="163" t="s">
        <v>15</v>
      </c>
      <c r="P31" s="18"/>
      <c r="Q31" s="18"/>
      <c r="R31" s="18"/>
      <c r="S31" s="18"/>
      <c r="T31" s="18"/>
      <c r="U31" s="18"/>
    </row>
    <row r="32" spans="1:21" x14ac:dyDescent="0.55000000000000004">
      <c r="A32" s="165">
        <v>28</v>
      </c>
      <c r="B32" s="165">
        <v>329271</v>
      </c>
      <c r="C32" s="165">
        <v>322185</v>
      </c>
      <c r="D32" s="165">
        <v>651456</v>
      </c>
      <c r="F32" s="18"/>
      <c r="G32" s="18"/>
      <c r="H32" s="18"/>
      <c r="I32" s="18"/>
      <c r="J32" s="18"/>
      <c r="K32" s="18"/>
      <c r="L32" s="18"/>
      <c r="M32" s="105">
        <f>SUM(J23:J28)</f>
        <v>60591.000487198529</v>
      </c>
      <c r="N32" s="105">
        <f>SUM(K23:K28)</f>
        <v>101439.01520954879</v>
      </c>
      <c r="P32" s="18"/>
      <c r="Q32" s="18"/>
      <c r="R32" s="18"/>
      <c r="S32" s="18"/>
      <c r="T32" s="18"/>
      <c r="U32" s="18"/>
    </row>
    <row r="33" spans="1:21" x14ac:dyDescent="0.55000000000000004">
      <c r="A33" s="165">
        <v>29</v>
      </c>
      <c r="B33" s="165">
        <v>331232</v>
      </c>
      <c r="C33" s="165">
        <v>325118</v>
      </c>
      <c r="D33" s="165">
        <v>656350</v>
      </c>
      <c r="F33" s="18"/>
      <c r="G33" s="18"/>
      <c r="H33" s="18"/>
      <c r="I33" s="18"/>
      <c r="J33" s="18"/>
      <c r="K33" s="18"/>
      <c r="L33" s="18"/>
      <c r="M33" s="18"/>
      <c r="N33" s="18"/>
      <c r="O33" s="34"/>
      <c r="P33" s="18"/>
      <c r="Q33" s="18"/>
      <c r="R33" s="18"/>
      <c r="S33" s="18"/>
      <c r="T33" s="18"/>
      <c r="U33" s="18"/>
    </row>
    <row r="34" spans="1:21" x14ac:dyDescent="0.55000000000000004">
      <c r="A34" s="165">
        <v>30</v>
      </c>
      <c r="B34" s="165">
        <v>340809</v>
      </c>
      <c r="C34" s="165">
        <v>337248</v>
      </c>
      <c r="D34" s="165">
        <v>678057</v>
      </c>
      <c r="F34" s="18"/>
      <c r="G34" s="18"/>
      <c r="H34" s="18"/>
      <c r="I34" s="18"/>
      <c r="J34" s="18"/>
      <c r="K34" s="18"/>
      <c r="L34" s="18"/>
      <c r="M34" s="18"/>
      <c r="N34" s="18"/>
      <c r="P34" s="18"/>
      <c r="Q34" s="18"/>
      <c r="R34" s="18"/>
      <c r="S34" s="18"/>
      <c r="T34" s="18"/>
      <c r="U34" s="18"/>
    </row>
    <row r="35" spans="1:21" x14ac:dyDescent="0.55000000000000004">
      <c r="A35" s="165">
        <v>31</v>
      </c>
      <c r="B35" s="165">
        <v>347793</v>
      </c>
      <c r="C35" s="165">
        <v>343775</v>
      </c>
      <c r="D35" s="165">
        <v>691568</v>
      </c>
      <c r="F35" s="18"/>
      <c r="G35" s="18"/>
      <c r="H35" s="18"/>
      <c r="I35" s="18"/>
      <c r="J35" s="18"/>
      <c r="K35" s="18"/>
      <c r="L35" s="18"/>
      <c r="M35" s="18"/>
      <c r="N35" s="18"/>
      <c r="P35" s="18"/>
      <c r="Q35" s="18"/>
      <c r="R35" s="18"/>
      <c r="S35" s="18"/>
      <c r="T35" s="18"/>
      <c r="U35" s="18"/>
    </row>
    <row r="36" spans="1:21" x14ac:dyDescent="0.55000000000000004">
      <c r="A36" s="165">
        <v>32</v>
      </c>
      <c r="B36" s="165">
        <v>354102</v>
      </c>
      <c r="C36" s="165">
        <v>350050</v>
      </c>
      <c r="D36" s="165">
        <v>704152</v>
      </c>
      <c r="F36" s="18"/>
      <c r="G36" s="18"/>
      <c r="H36" s="18"/>
      <c r="I36" s="18"/>
      <c r="J36" s="18"/>
      <c r="K36" s="18"/>
      <c r="L36" s="18"/>
      <c r="M36" s="18"/>
      <c r="N36" s="18"/>
      <c r="P36" s="18"/>
      <c r="Q36" s="18"/>
      <c r="R36" s="18"/>
      <c r="S36" s="18"/>
      <c r="T36" s="18"/>
      <c r="U36" s="18"/>
    </row>
    <row r="37" spans="1:21" x14ac:dyDescent="0.55000000000000004">
      <c r="A37" s="165">
        <v>33</v>
      </c>
      <c r="B37" s="165">
        <v>365712</v>
      </c>
      <c r="C37" s="165">
        <v>363269</v>
      </c>
      <c r="D37" s="165">
        <v>728981</v>
      </c>
      <c r="F37" s="18"/>
      <c r="G37" s="18"/>
      <c r="H37" s="18"/>
      <c r="I37" s="18"/>
      <c r="J37" s="18"/>
      <c r="K37" s="18"/>
      <c r="L37" s="18"/>
      <c r="M37" s="18"/>
      <c r="N37" s="18"/>
      <c r="P37" s="18"/>
      <c r="Q37" s="18"/>
      <c r="R37" s="18"/>
      <c r="S37" s="18"/>
      <c r="T37" s="18"/>
      <c r="U37" s="18"/>
    </row>
    <row r="38" spans="1:21" x14ac:dyDescent="0.55000000000000004">
      <c r="A38" s="165">
        <v>34</v>
      </c>
      <c r="B38" s="165">
        <v>368003</v>
      </c>
      <c r="C38" s="165">
        <v>367061</v>
      </c>
      <c r="D38" s="165">
        <v>735064</v>
      </c>
      <c r="F38" s="18"/>
      <c r="G38" s="18"/>
      <c r="H38" s="18"/>
      <c r="I38" s="18"/>
      <c r="J38" s="18"/>
      <c r="K38" s="18"/>
      <c r="L38" s="18"/>
      <c r="M38" s="18"/>
      <c r="N38" s="18"/>
      <c r="P38" s="18"/>
      <c r="Q38" s="18"/>
      <c r="R38" s="18"/>
      <c r="S38" s="18"/>
      <c r="T38" s="18"/>
      <c r="U38" s="18"/>
    </row>
    <row r="39" spans="1:21" x14ac:dyDescent="0.55000000000000004">
      <c r="A39" s="165">
        <v>35</v>
      </c>
      <c r="B39" s="165">
        <v>378749</v>
      </c>
      <c r="C39" s="165">
        <v>374844</v>
      </c>
      <c r="D39" s="165">
        <v>753593</v>
      </c>
      <c r="F39" s="18"/>
      <c r="G39" s="18"/>
      <c r="H39" s="18"/>
      <c r="I39" s="18"/>
      <c r="J39" s="18"/>
      <c r="K39" s="18"/>
      <c r="L39" s="18"/>
      <c r="M39" s="18"/>
      <c r="N39" s="18"/>
      <c r="P39" s="18"/>
      <c r="Q39" s="18"/>
      <c r="R39" s="18"/>
      <c r="S39" s="18"/>
      <c r="T39" s="18"/>
      <c r="U39" s="18"/>
    </row>
    <row r="40" spans="1:21" x14ac:dyDescent="0.55000000000000004">
      <c r="A40" s="165">
        <v>36</v>
      </c>
      <c r="B40" s="165">
        <v>389614</v>
      </c>
      <c r="C40" s="165">
        <v>388484</v>
      </c>
      <c r="D40" s="165">
        <v>778098</v>
      </c>
      <c r="F40" s="18"/>
      <c r="G40" s="18"/>
      <c r="H40" s="18"/>
      <c r="I40" s="18"/>
      <c r="J40" s="18"/>
      <c r="K40" s="18"/>
      <c r="L40" s="18"/>
      <c r="M40" s="18"/>
      <c r="N40" s="18"/>
      <c r="P40" s="18"/>
      <c r="Q40" s="18"/>
      <c r="R40" s="18"/>
      <c r="S40" s="18"/>
      <c r="T40" s="18"/>
      <c r="U40" s="18"/>
    </row>
    <row r="41" spans="1:21" x14ac:dyDescent="0.55000000000000004">
      <c r="A41" s="165">
        <v>37</v>
      </c>
      <c r="B41" s="165">
        <v>410742</v>
      </c>
      <c r="C41" s="165">
        <v>408959</v>
      </c>
      <c r="D41" s="165">
        <v>819701</v>
      </c>
      <c r="F41" s="18"/>
      <c r="G41" s="18"/>
      <c r="H41" s="18"/>
      <c r="I41" s="18"/>
      <c r="J41" s="18"/>
      <c r="K41" s="18"/>
      <c r="L41" s="18"/>
      <c r="M41" s="18"/>
      <c r="N41" s="18"/>
      <c r="P41" s="18"/>
      <c r="Q41" s="18"/>
      <c r="R41" s="18"/>
      <c r="S41" s="18"/>
      <c r="T41" s="18"/>
      <c r="U41" s="18"/>
    </row>
    <row r="42" spans="1:21" x14ac:dyDescent="0.55000000000000004">
      <c r="A42" s="165">
        <v>38</v>
      </c>
      <c r="B42" s="165">
        <v>422639</v>
      </c>
      <c r="C42" s="165">
        <v>423313</v>
      </c>
      <c r="D42" s="165">
        <v>845952</v>
      </c>
      <c r="F42" s="18"/>
      <c r="G42" s="18"/>
      <c r="H42" s="18"/>
      <c r="I42" s="18"/>
      <c r="J42" s="18"/>
      <c r="K42" s="18"/>
      <c r="L42" s="18"/>
      <c r="M42" s="18"/>
      <c r="N42" s="18"/>
      <c r="P42" s="18"/>
      <c r="Q42" s="18"/>
      <c r="R42" s="18"/>
      <c r="S42" s="18"/>
      <c r="T42" s="18"/>
      <c r="U42" s="18"/>
    </row>
    <row r="43" spans="1:21" x14ac:dyDescent="0.55000000000000004">
      <c r="A43" s="165">
        <v>39</v>
      </c>
      <c r="B43" s="165">
        <v>441427</v>
      </c>
      <c r="C43" s="165">
        <v>441699</v>
      </c>
      <c r="D43" s="165">
        <v>883126</v>
      </c>
      <c r="F43" s="18"/>
      <c r="G43" s="18"/>
      <c r="H43" s="18"/>
      <c r="I43" s="18"/>
      <c r="J43" s="18"/>
      <c r="K43" s="18"/>
      <c r="L43" s="18"/>
      <c r="M43" s="18"/>
      <c r="N43" s="18"/>
      <c r="P43" s="18"/>
      <c r="Q43" s="18"/>
      <c r="R43" s="18"/>
      <c r="S43" s="18"/>
      <c r="T43" s="18"/>
      <c r="U43" s="18"/>
    </row>
    <row r="44" spans="1:21" x14ac:dyDescent="0.55000000000000004">
      <c r="A44" s="165">
        <v>40</v>
      </c>
      <c r="B44" s="165">
        <v>461195</v>
      </c>
      <c r="C44" s="165">
        <v>462776</v>
      </c>
      <c r="D44" s="165">
        <v>923971</v>
      </c>
      <c r="F44" s="18"/>
      <c r="G44" s="18"/>
      <c r="H44" s="18"/>
      <c r="I44" s="18"/>
      <c r="J44" s="18"/>
      <c r="K44" s="18"/>
      <c r="L44" s="18"/>
      <c r="M44" s="18"/>
      <c r="N44" s="18"/>
      <c r="P44" s="18"/>
      <c r="Q44" s="18"/>
      <c r="R44" s="18"/>
      <c r="S44" s="18"/>
      <c r="T44" s="18"/>
      <c r="U44" s="18"/>
    </row>
    <row r="45" spans="1:21" x14ac:dyDescent="0.55000000000000004">
      <c r="A45" s="165">
        <v>41</v>
      </c>
      <c r="B45" s="165">
        <v>479571</v>
      </c>
      <c r="C45" s="165">
        <v>481850</v>
      </c>
      <c r="D45" s="165">
        <v>961421</v>
      </c>
      <c r="F45" s="18"/>
      <c r="G45" s="18"/>
      <c r="H45" s="18"/>
      <c r="I45" s="18"/>
      <c r="J45" s="18"/>
      <c r="K45" s="18"/>
      <c r="L45" s="18"/>
      <c r="M45" s="18"/>
      <c r="N45" s="18"/>
      <c r="P45" s="18"/>
      <c r="Q45" s="18"/>
      <c r="R45" s="18"/>
      <c r="S45" s="18"/>
      <c r="T45" s="18"/>
      <c r="U45" s="18"/>
    </row>
    <row r="46" spans="1:21" x14ac:dyDescent="0.55000000000000004">
      <c r="A46" s="165">
        <v>42</v>
      </c>
      <c r="B46" s="165">
        <v>475697</v>
      </c>
      <c r="C46" s="165">
        <v>479941</v>
      </c>
      <c r="D46" s="165">
        <v>955638</v>
      </c>
      <c r="F46" s="18"/>
      <c r="G46" s="18"/>
      <c r="H46" s="18"/>
      <c r="I46" s="18"/>
      <c r="J46" s="18"/>
      <c r="K46" s="18"/>
      <c r="L46" s="18"/>
    </row>
    <row r="47" spans="1:21" x14ac:dyDescent="0.55000000000000004">
      <c r="A47" s="165">
        <v>43</v>
      </c>
      <c r="B47" s="165">
        <v>480767</v>
      </c>
      <c r="C47" s="165">
        <v>484491</v>
      </c>
      <c r="D47" s="165">
        <v>965258</v>
      </c>
      <c r="F47" s="29"/>
      <c r="G47" s="29"/>
      <c r="H47" s="29"/>
    </row>
    <row r="48" spans="1:21" x14ac:dyDescent="0.55000000000000004">
      <c r="A48" s="165">
        <v>44</v>
      </c>
      <c r="B48" s="165">
        <v>483328</v>
      </c>
      <c r="C48" s="165">
        <v>490917</v>
      </c>
      <c r="D48" s="165">
        <v>974245</v>
      </c>
      <c r="F48" s="29"/>
      <c r="G48" s="29"/>
      <c r="H48" s="29"/>
    </row>
    <row r="49" spans="1:8" x14ac:dyDescent="0.55000000000000004">
      <c r="A49" s="165">
        <v>45</v>
      </c>
      <c r="B49" s="165">
        <v>479838</v>
      </c>
      <c r="C49" s="165">
        <v>486470</v>
      </c>
      <c r="D49" s="165">
        <v>966308</v>
      </c>
      <c r="F49" s="29"/>
      <c r="G49" s="29"/>
      <c r="H49" s="29"/>
    </row>
    <row r="50" spans="1:8" x14ac:dyDescent="0.55000000000000004">
      <c r="A50" s="165">
        <v>46</v>
      </c>
      <c r="B50" s="165">
        <v>491930</v>
      </c>
      <c r="C50" s="165">
        <v>500677</v>
      </c>
      <c r="D50" s="165">
        <v>992607</v>
      </c>
      <c r="F50" s="29"/>
      <c r="G50" s="29"/>
      <c r="H50" s="29"/>
    </row>
    <row r="51" spans="1:8" x14ac:dyDescent="0.55000000000000004">
      <c r="A51" s="165">
        <v>47</v>
      </c>
      <c r="B51" s="165">
        <v>487622</v>
      </c>
      <c r="C51" s="165">
        <v>497764</v>
      </c>
      <c r="D51" s="165">
        <v>985386</v>
      </c>
      <c r="F51" s="29"/>
      <c r="G51" s="29"/>
      <c r="H51" s="29"/>
    </row>
    <row r="52" spans="1:8" x14ac:dyDescent="0.55000000000000004">
      <c r="A52" s="165">
        <v>48</v>
      </c>
      <c r="B52" s="165">
        <v>488218</v>
      </c>
      <c r="C52" s="165">
        <v>501227</v>
      </c>
      <c r="D52" s="165">
        <v>989445</v>
      </c>
      <c r="F52" s="29"/>
      <c r="G52" s="29"/>
      <c r="H52" s="29"/>
    </row>
    <row r="53" spans="1:8" x14ac:dyDescent="0.55000000000000004">
      <c r="A53" s="165">
        <v>49</v>
      </c>
      <c r="B53" s="165">
        <v>494054</v>
      </c>
      <c r="C53" s="165">
        <v>503885</v>
      </c>
      <c r="D53" s="165">
        <v>997939</v>
      </c>
      <c r="F53" s="29"/>
      <c r="G53" s="29"/>
      <c r="H53" s="29"/>
    </row>
    <row r="54" spans="1:8" x14ac:dyDescent="0.55000000000000004">
      <c r="A54" s="165">
        <v>50</v>
      </c>
      <c r="B54" s="165">
        <v>492292</v>
      </c>
      <c r="C54" s="165">
        <v>503004</v>
      </c>
      <c r="D54" s="165">
        <v>995296</v>
      </c>
      <c r="F54" s="29"/>
      <c r="G54" s="29"/>
      <c r="H54" s="29"/>
    </row>
    <row r="55" spans="1:8" x14ac:dyDescent="0.55000000000000004">
      <c r="A55" s="165">
        <v>51</v>
      </c>
      <c r="B55" s="165">
        <v>497371</v>
      </c>
      <c r="C55" s="165">
        <v>510525</v>
      </c>
      <c r="D55" s="165">
        <v>1007896</v>
      </c>
      <c r="F55" s="29"/>
      <c r="G55" s="29"/>
      <c r="H55" s="29"/>
    </row>
    <row r="56" spans="1:8" x14ac:dyDescent="0.55000000000000004">
      <c r="A56" s="165">
        <v>52</v>
      </c>
      <c r="B56" s="165">
        <v>464029</v>
      </c>
      <c r="C56" s="165">
        <v>481713</v>
      </c>
      <c r="D56" s="165">
        <v>945742</v>
      </c>
      <c r="F56" s="29"/>
      <c r="G56" s="29"/>
      <c r="H56" s="29"/>
    </row>
    <row r="57" spans="1:8" x14ac:dyDescent="0.55000000000000004">
      <c r="A57" s="165">
        <v>53</v>
      </c>
      <c r="B57" s="165">
        <v>447040</v>
      </c>
      <c r="C57" s="165">
        <v>466782</v>
      </c>
      <c r="D57" s="165">
        <v>913822</v>
      </c>
      <c r="F57" s="29"/>
      <c r="G57" s="29"/>
      <c r="H57" s="29"/>
    </row>
    <row r="58" spans="1:8" x14ac:dyDescent="0.55000000000000004">
      <c r="A58" s="165">
        <v>54</v>
      </c>
      <c r="B58" s="165">
        <v>436717</v>
      </c>
      <c r="C58" s="165">
        <v>458215</v>
      </c>
      <c r="D58" s="165">
        <v>894932</v>
      </c>
      <c r="F58" s="29"/>
      <c r="G58" s="29"/>
      <c r="H58" s="29"/>
    </row>
    <row r="59" spans="1:8" x14ac:dyDescent="0.55000000000000004">
      <c r="A59" s="165">
        <v>55</v>
      </c>
      <c r="B59" s="165">
        <v>422232</v>
      </c>
      <c r="C59" s="165">
        <v>444436</v>
      </c>
      <c r="D59" s="165">
        <v>866668</v>
      </c>
      <c r="F59" s="29"/>
      <c r="G59" s="29"/>
      <c r="H59" s="29"/>
    </row>
    <row r="60" spans="1:8" x14ac:dyDescent="0.55000000000000004">
      <c r="A60" s="165">
        <v>56</v>
      </c>
      <c r="B60" s="165">
        <v>411591</v>
      </c>
      <c r="C60" s="165">
        <v>434190</v>
      </c>
      <c r="D60" s="165">
        <v>845781</v>
      </c>
      <c r="F60" s="29"/>
      <c r="G60" s="29"/>
      <c r="H60" s="29"/>
    </row>
    <row r="61" spans="1:8" x14ac:dyDescent="0.55000000000000004">
      <c r="A61" s="165">
        <v>57</v>
      </c>
      <c r="B61" s="165">
        <v>390959</v>
      </c>
      <c r="C61" s="165">
        <v>416234</v>
      </c>
      <c r="D61" s="165">
        <v>807193</v>
      </c>
    </row>
    <row r="62" spans="1:8" x14ac:dyDescent="0.55000000000000004">
      <c r="A62" s="165">
        <v>58</v>
      </c>
      <c r="B62" s="165">
        <v>387155</v>
      </c>
      <c r="C62" s="165">
        <v>412121</v>
      </c>
      <c r="D62" s="165">
        <v>799276</v>
      </c>
    </row>
    <row r="63" spans="1:8" x14ac:dyDescent="0.55000000000000004">
      <c r="A63" s="165">
        <v>59</v>
      </c>
      <c r="B63" s="165">
        <v>378202</v>
      </c>
      <c r="C63" s="165">
        <v>403942</v>
      </c>
      <c r="D63" s="165">
        <v>782144</v>
      </c>
    </row>
    <row r="64" spans="1:8" x14ac:dyDescent="0.55000000000000004">
      <c r="A64" s="165">
        <v>60</v>
      </c>
      <c r="B64" s="165">
        <v>370277</v>
      </c>
      <c r="C64" s="165">
        <v>396445</v>
      </c>
      <c r="D64" s="165">
        <v>766722</v>
      </c>
    </row>
    <row r="65" spans="1:4" x14ac:dyDescent="0.55000000000000004">
      <c r="A65" s="165">
        <v>61</v>
      </c>
      <c r="B65" s="165">
        <v>362722</v>
      </c>
      <c r="C65" s="165">
        <v>390979</v>
      </c>
      <c r="D65" s="165">
        <v>753701</v>
      </c>
    </row>
    <row r="66" spans="1:4" x14ac:dyDescent="0.55000000000000004">
      <c r="A66" s="165">
        <v>62</v>
      </c>
      <c r="B66" s="165">
        <v>346553</v>
      </c>
      <c r="C66" s="165">
        <v>371726</v>
      </c>
      <c r="D66" s="165">
        <v>718279</v>
      </c>
    </row>
    <row r="67" spans="1:4" x14ac:dyDescent="0.55000000000000004">
      <c r="A67" s="165">
        <v>63</v>
      </c>
      <c r="B67" s="165">
        <v>338915</v>
      </c>
      <c r="C67" s="165">
        <v>366707</v>
      </c>
      <c r="D67" s="165">
        <v>705622</v>
      </c>
    </row>
    <row r="68" spans="1:4" x14ac:dyDescent="0.55000000000000004">
      <c r="A68" s="165">
        <v>64</v>
      </c>
      <c r="B68" s="165">
        <v>336536</v>
      </c>
      <c r="C68" s="165">
        <v>365380</v>
      </c>
      <c r="D68" s="165">
        <v>701916</v>
      </c>
    </row>
    <row r="69" spans="1:4" x14ac:dyDescent="0.55000000000000004">
      <c r="A69" s="165">
        <v>65</v>
      </c>
      <c r="B69" s="165">
        <v>348167</v>
      </c>
      <c r="C69" s="165">
        <v>378170</v>
      </c>
      <c r="D69" s="165">
        <v>726337</v>
      </c>
    </row>
    <row r="70" spans="1:4" x14ac:dyDescent="0.55000000000000004">
      <c r="A70" s="165">
        <v>66</v>
      </c>
      <c r="B70" s="165">
        <v>348839</v>
      </c>
      <c r="C70" s="165">
        <v>379734</v>
      </c>
      <c r="D70" s="165">
        <v>728573</v>
      </c>
    </row>
    <row r="71" spans="1:4" x14ac:dyDescent="0.55000000000000004">
      <c r="A71" s="165">
        <v>67</v>
      </c>
      <c r="B71" s="165">
        <v>361261</v>
      </c>
      <c r="C71" s="165">
        <v>396373</v>
      </c>
      <c r="D71" s="165">
        <v>757634</v>
      </c>
    </row>
    <row r="72" spans="1:4" x14ac:dyDescent="0.55000000000000004">
      <c r="A72" s="165">
        <v>68</v>
      </c>
      <c r="B72" s="165">
        <v>351467</v>
      </c>
      <c r="C72" s="165">
        <v>386716</v>
      </c>
      <c r="D72" s="165">
        <v>738183</v>
      </c>
    </row>
    <row r="73" spans="1:4" x14ac:dyDescent="0.55000000000000004">
      <c r="A73" s="165">
        <v>69</v>
      </c>
      <c r="B73" s="165">
        <v>347685</v>
      </c>
      <c r="C73" s="165">
        <v>386506</v>
      </c>
      <c r="D73" s="165">
        <v>734191</v>
      </c>
    </row>
    <row r="74" spans="1:4" x14ac:dyDescent="0.55000000000000004">
      <c r="A74" s="165">
        <v>70</v>
      </c>
      <c r="B74" s="165">
        <v>265513</v>
      </c>
      <c r="C74" s="165">
        <v>298768</v>
      </c>
      <c r="D74" s="165">
        <v>564281</v>
      </c>
    </row>
    <row r="75" spans="1:4" x14ac:dyDescent="0.55000000000000004">
      <c r="A75" s="165">
        <v>71</v>
      </c>
      <c r="B75" s="165">
        <v>269630</v>
      </c>
      <c r="C75" s="165">
        <v>307061</v>
      </c>
      <c r="D75" s="165">
        <v>576691</v>
      </c>
    </row>
    <row r="76" spans="1:4" x14ac:dyDescent="0.55000000000000004">
      <c r="A76" s="165">
        <v>72</v>
      </c>
      <c r="B76" s="165">
        <v>267381</v>
      </c>
      <c r="C76" s="165">
        <v>310624</v>
      </c>
      <c r="D76" s="165">
        <v>578005</v>
      </c>
    </row>
    <row r="77" spans="1:4" x14ac:dyDescent="0.55000000000000004">
      <c r="A77" s="165">
        <v>73</v>
      </c>
      <c r="B77" s="165">
        <v>261840</v>
      </c>
      <c r="C77" s="165">
        <v>307892</v>
      </c>
      <c r="D77" s="165">
        <v>569732</v>
      </c>
    </row>
    <row r="78" spans="1:4" x14ac:dyDescent="0.55000000000000004">
      <c r="A78" s="165">
        <v>74</v>
      </c>
      <c r="B78" s="165">
        <v>258411</v>
      </c>
      <c r="C78" s="165">
        <v>309106</v>
      </c>
      <c r="D78" s="165">
        <v>567517</v>
      </c>
    </row>
    <row r="79" spans="1:4" x14ac:dyDescent="0.55000000000000004">
      <c r="A79" s="165">
        <v>75</v>
      </c>
      <c r="B79" s="165">
        <v>278495</v>
      </c>
      <c r="C79" s="165">
        <v>338302</v>
      </c>
      <c r="D79" s="165">
        <v>616797</v>
      </c>
    </row>
    <row r="80" spans="1:4" x14ac:dyDescent="0.55000000000000004">
      <c r="A80" s="165">
        <v>76</v>
      </c>
      <c r="B80" s="165">
        <v>268268</v>
      </c>
      <c r="C80" s="165">
        <v>330524</v>
      </c>
      <c r="D80" s="165">
        <v>598792</v>
      </c>
    </row>
    <row r="81" spans="1:4" x14ac:dyDescent="0.55000000000000004">
      <c r="A81" s="165">
        <v>77</v>
      </c>
      <c r="B81" s="165">
        <v>252250</v>
      </c>
      <c r="C81" s="165">
        <v>318856</v>
      </c>
      <c r="D81" s="165">
        <v>571106</v>
      </c>
    </row>
    <row r="82" spans="1:4" x14ac:dyDescent="0.55000000000000004">
      <c r="A82" s="165">
        <v>78</v>
      </c>
      <c r="B82" s="165">
        <v>225862</v>
      </c>
      <c r="C82" s="165">
        <v>292250</v>
      </c>
      <c r="D82" s="165">
        <v>518112</v>
      </c>
    </row>
    <row r="83" spans="1:4" x14ac:dyDescent="0.55000000000000004">
      <c r="A83" s="165">
        <v>79</v>
      </c>
      <c r="B83" s="165">
        <v>202504</v>
      </c>
      <c r="C83" s="165">
        <v>272242</v>
      </c>
      <c r="D83" s="165">
        <v>474746</v>
      </c>
    </row>
    <row r="84" spans="1:4" x14ac:dyDescent="0.55000000000000004">
      <c r="A84" s="165">
        <v>80</v>
      </c>
      <c r="B84" s="165">
        <v>198025</v>
      </c>
      <c r="C84" s="165">
        <v>272865</v>
      </c>
      <c r="D84" s="165">
        <v>470890</v>
      </c>
    </row>
    <row r="85" spans="1:4" x14ac:dyDescent="0.55000000000000004">
      <c r="A85" s="165">
        <v>81</v>
      </c>
      <c r="B85" s="165">
        <v>181226</v>
      </c>
      <c r="C85" s="165">
        <v>259415</v>
      </c>
      <c r="D85" s="165">
        <v>440641</v>
      </c>
    </row>
    <row r="86" spans="1:4" x14ac:dyDescent="0.55000000000000004">
      <c r="A86" s="165">
        <v>82</v>
      </c>
      <c r="B86" s="165">
        <v>165108</v>
      </c>
      <c r="C86" s="165">
        <v>245156</v>
      </c>
      <c r="D86" s="165">
        <v>410264</v>
      </c>
    </row>
    <row r="87" spans="1:4" x14ac:dyDescent="0.55000000000000004">
      <c r="A87" s="165">
        <v>83</v>
      </c>
      <c r="B87" s="165">
        <v>147188</v>
      </c>
      <c r="C87" s="165">
        <v>229924</v>
      </c>
      <c r="D87" s="165">
        <v>377112</v>
      </c>
    </row>
    <row r="88" spans="1:4" x14ac:dyDescent="0.55000000000000004">
      <c r="A88" s="165">
        <v>84</v>
      </c>
      <c r="B88" s="165">
        <v>135238</v>
      </c>
      <c r="C88" s="165">
        <v>220349</v>
      </c>
      <c r="D88" s="165">
        <v>355587</v>
      </c>
    </row>
    <row r="89" spans="1:4" x14ac:dyDescent="0.55000000000000004">
      <c r="A89" s="165">
        <v>85</v>
      </c>
      <c r="B89" s="165">
        <v>125619</v>
      </c>
      <c r="C89" s="165">
        <v>216788</v>
      </c>
      <c r="D89" s="165">
        <v>342407</v>
      </c>
    </row>
    <row r="90" spans="1:4" x14ac:dyDescent="0.55000000000000004">
      <c r="A90" s="165">
        <v>86</v>
      </c>
      <c r="B90" s="165">
        <v>102395</v>
      </c>
      <c r="C90" s="165">
        <v>185662</v>
      </c>
      <c r="D90" s="165">
        <v>288057</v>
      </c>
    </row>
    <row r="91" spans="1:4" x14ac:dyDescent="0.55000000000000004">
      <c r="A91" s="165">
        <v>87</v>
      </c>
      <c r="B91" s="165">
        <v>87146</v>
      </c>
      <c r="C91" s="165">
        <v>169609</v>
      </c>
      <c r="D91" s="165">
        <v>256755</v>
      </c>
    </row>
    <row r="92" spans="1:4" x14ac:dyDescent="0.55000000000000004">
      <c r="A92" s="165">
        <v>88</v>
      </c>
      <c r="B92" s="165">
        <v>73630</v>
      </c>
      <c r="C92" s="165">
        <v>152466</v>
      </c>
      <c r="D92" s="165">
        <v>226096</v>
      </c>
    </row>
    <row r="93" spans="1:4" x14ac:dyDescent="0.55000000000000004">
      <c r="A93" s="165">
        <v>89</v>
      </c>
      <c r="B93" s="165">
        <v>59413</v>
      </c>
      <c r="C93" s="165">
        <v>132682</v>
      </c>
      <c r="D93" s="165">
        <v>192095</v>
      </c>
    </row>
    <row r="94" spans="1:4" x14ac:dyDescent="0.55000000000000004">
      <c r="A94" s="165">
        <v>90</v>
      </c>
      <c r="B94" s="165">
        <v>47732</v>
      </c>
      <c r="C94" s="165">
        <v>114127</v>
      </c>
      <c r="D94" s="165">
        <v>161859</v>
      </c>
    </row>
    <row r="95" spans="1:4" x14ac:dyDescent="0.55000000000000004">
      <c r="A95" s="165">
        <v>91</v>
      </c>
      <c r="B95" s="165">
        <v>37976</v>
      </c>
      <c r="C95" s="165">
        <v>96323</v>
      </c>
      <c r="D95" s="165">
        <v>134299</v>
      </c>
    </row>
    <row r="96" spans="1:4" x14ac:dyDescent="0.55000000000000004">
      <c r="A96" s="165">
        <v>92</v>
      </c>
      <c r="B96" s="165">
        <v>30015</v>
      </c>
      <c r="C96" s="165">
        <v>80757</v>
      </c>
      <c r="D96" s="165">
        <v>110772</v>
      </c>
    </row>
    <row r="97" spans="1:4" x14ac:dyDescent="0.55000000000000004">
      <c r="A97" s="165">
        <v>93</v>
      </c>
      <c r="B97" s="165">
        <v>22073</v>
      </c>
      <c r="C97" s="165">
        <v>64935</v>
      </c>
      <c r="D97" s="165">
        <v>87008</v>
      </c>
    </row>
    <row r="98" spans="1:4" x14ac:dyDescent="0.55000000000000004">
      <c r="A98" s="165">
        <v>94</v>
      </c>
      <c r="B98" s="165">
        <v>16425</v>
      </c>
      <c r="C98" s="165">
        <v>51527</v>
      </c>
      <c r="D98" s="165">
        <v>67952</v>
      </c>
    </row>
    <row r="99" spans="1:4" x14ac:dyDescent="0.55000000000000004">
      <c r="A99" s="165">
        <v>95</v>
      </c>
      <c r="B99" s="165">
        <v>11593</v>
      </c>
      <c r="C99" s="165">
        <v>38865</v>
      </c>
      <c r="D99" s="165">
        <v>50458</v>
      </c>
    </row>
    <row r="100" spans="1:4" x14ac:dyDescent="0.55000000000000004">
      <c r="A100" s="165">
        <v>96</v>
      </c>
      <c r="B100" s="165">
        <v>5449</v>
      </c>
      <c r="C100" s="165">
        <v>19491</v>
      </c>
      <c r="D100" s="165">
        <v>24940</v>
      </c>
    </row>
    <row r="101" spans="1:4" x14ac:dyDescent="0.55000000000000004">
      <c r="A101" s="165">
        <v>97</v>
      </c>
      <c r="B101" s="165">
        <v>2836</v>
      </c>
      <c r="C101" s="165">
        <v>10870</v>
      </c>
      <c r="D101" s="165">
        <v>13706</v>
      </c>
    </row>
    <row r="102" spans="1:4" x14ac:dyDescent="0.55000000000000004">
      <c r="A102" s="165">
        <v>98</v>
      </c>
      <c r="B102" s="165">
        <v>2096</v>
      </c>
      <c r="C102" s="165">
        <v>8541</v>
      </c>
      <c r="D102" s="165">
        <v>10637</v>
      </c>
    </row>
    <row r="103" spans="1:4" x14ac:dyDescent="0.55000000000000004">
      <c r="A103" s="165">
        <v>99</v>
      </c>
      <c r="B103" s="165">
        <v>1651</v>
      </c>
      <c r="C103" s="165">
        <v>7106</v>
      </c>
      <c r="D103" s="165">
        <v>8757</v>
      </c>
    </row>
    <row r="104" spans="1:4" ht="31.2" x14ac:dyDescent="0.55000000000000004">
      <c r="A104" s="165" t="s">
        <v>32</v>
      </c>
      <c r="B104" s="165">
        <v>3091</v>
      </c>
      <c r="C104" s="165">
        <v>15674</v>
      </c>
      <c r="D104" s="165">
        <v>18765</v>
      </c>
    </row>
    <row r="105" spans="1:4" x14ac:dyDescent="0.55000000000000004">
      <c r="A105" s="164" t="s">
        <v>33</v>
      </c>
      <c r="B105" s="165">
        <v>29456321</v>
      </c>
      <c r="C105" s="165">
        <v>31209230</v>
      </c>
      <c r="D105" s="165">
        <f>SUM(D4:D104)</f>
        <v>60665551</v>
      </c>
    </row>
    <row r="106" spans="1:4" x14ac:dyDescent="0.6">
      <c r="A106" s="108"/>
      <c r="B106" s="108"/>
      <c r="C106" s="108"/>
      <c r="D106" s="108"/>
    </row>
    <row r="107" spans="1:4" x14ac:dyDescent="0.6">
      <c r="A107" s="108"/>
      <c r="B107" s="108"/>
      <c r="C107" s="108"/>
      <c r="D107" s="108"/>
    </row>
    <row r="110" spans="1:4" x14ac:dyDescent="0.6">
      <c r="A110" s="1" t="s">
        <v>0</v>
      </c>
      <c r="B110" s="1">
        <f>SUM(C23:C104)</f>
        <v>26076148</v>
      </c>
    </row>
    <row r="111" spans="1:4" x14ac:dyDescent="0.6">
      <c r="A111" t="s">
        <v>2</v>
      </c>
      <c r="B111">
        <f>SUM(B23:B104)</f>
        <v>24005971</v>
      </c>
    </row>
    <row r="112" spans="1:4" x14ac:dyDescent="0.6">
      <c r="A112"/>
      <c r="B112"/>
    </row>
    <row r="113" spans="1:2" ht="31.2" x14ac:dyDescent="0.6">
      <c r="A113" s="3" t="s">
        <v>7</v>
      </c>
      <c r="B113" s="3" t="s">
        <v>8</v>
      </c>
    </row>
    <row r="114" spans="1:2" x14ac:dyDescent="0.6">
      <c r="A114">
        <f>SUM(B4:B22)</f>
        <v>5450350</v>
      </c>
      <c r="B114">
        <f>SUM(C4:C22)</f>
        <v>5133082</v>
      </c>
    </row>
  </sheetData>
  <mergeCells count="4">
    <mergeCell ref="G2:H2"/>
    <mergeCell ref="M2:N2"/>
    <mergeCell ref="P2:R2"/>
    <mergeCell ref="A2:D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FD14-7B17-4C18-A8EB-3358884B7EC6}">
  <dimension ref="A1:P70"/>
  <sheetViews>
    <sheetView tabSelected="1" topLeftCell="A34" workbookViewId="0">
      <selection activeCell="S41" sqref="S41"/>
    </sheetView>
  </sheetViews>
  <sheetFormatPr defaultRowHeight="14.4" x14ac:dyDescent="0.55000000000000004"/>
  <cols>
    <col min="1" max="1" width="11.9453125" customWidth="1"/>
    <col min="2" max="2" width="16.15625" customWidth="1"/>
    <col min="3" max="3" width="10.62890625" customWidth="1"/>
    <col min="4" max="4" width="8.89453125" bestFit="1" customWidth="1"/>
    <col min="5" max="5" width="11.20703125" customWidth="1"/>
    <col min="6" max="6" width="8.89453125" bestFit="1" customWidth="1"/>
    <col min="7" max="7" width="12.7890625" customWidth="1"/>
    <col min="8" max="8" width="9.20703125" bestFit="1" customWidth="1"/>
    <col min="9" max="9" width="11.5234375" customWidth="1"/>
    <col min="10" max="10" width="8.89453125" bestFit="1" customWidth="1"/>
    <col min="11" max="11" width="11.68359375" customWidth="1"/>
    <col min="12" max="12" width="12.05078125" customWidth="1"/>
  </cols>
  <sheetData>
    <row r="1" spans="1:15" ht="23.1" x14ac:dyDescent="0.75">
      <c r="A1" s="54" t="s">
        <v>147</v>
      </c>
      <c r="L1" s="18"/>
      <c r="M1" s="18"/>
      <c r="N1" s="18"/>
      <c r="O1" s="18"/>
    </row>
    <row r="2" spans="1:15" ht="20.399999999999999" x14ac:dyDescent="0.75">
      <c r="A2" s="112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55000000000000004">
      <c r="A3" s="52" t="s">
        <v>152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55000000000000004">
      <c r="A4" s="30"/>
      <c r="B4" s="2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55000000000000004">
      <c r="A5" s="52" t="s">
        <v>184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55000000000000004">
      <c r="A6" s="19" t="s">
        <v>159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55000000000000004">
      <c r="B7" s="170" t="s">
        <v>97</v>
      </c>
      <c r="C7" s="170"/>
      <c r="D7" s="170"/>
      <c r="E7" s="170"/>
      <c r="F7" s="170"/>
      <c r="G7" s="170" t="s">
        <v>190</v>
      </c>
      <c r="H7" s="170"/>
      <c r="I7" s="170"/>
      <c r="J7" s="170"/>
      <c r="K7" s="170"/>
      <c r="L7" s="18"/>
      <c r="M7" s="18"/>
      <c r="N7" s="18"/>
      <c r="O7" s="18"/>
    </row>
    <row r="8" spans="1:15" x14ac:dyDescent="0.55000000000000004">
      <c r="A8" s="19" t="s">
        <v>35</v>
      </c>
      <c r="B8" s="127" t="s">
        <v>185</v>
      </c>
      <c r="C8" s="127" t="s">
        <v>186</v>
      </c>
      <c r="D8" s="127" t="s">
        <v>187</v>
      </c>
      <c r="E8" s="127" t="s">
        <v>188</v>
      </c>
      <c r="F8" s="127" t="s">
        <v>189</v>
      </c>
      <c r="G8" s="127" t="s">
        <v>185</v>
      </c>
      <c r="H8" s="127" t="s">
        <v>186</v>
      </c>
      <c r="I8" s="127" t="s">
        <v>187</v>
      </c>
      <c r="J8" s="127" t="s">
        <v>188</v>
      </c>
      <c r="K8" s="127" t="s">
        <v>189</v>
      </c>
      <c r="L8" s="18"/>
      <c r="M8" s="18"/>
      <c r="N8" s="18"/>
      <c r="O8" s="18"/>
    </row>
    <row r="9" spans="1:15" x14ac:dyDescent="0.55000000000000004">
      <c r="A9" s="18" t="s">
        <v>12</v>
      </c>
      <c r="B9" s="137">
        <v>4</v>
      </c>
      <c r="C9" s="137">
        <v>7</v>
      </c>
      <c r="D9" s="137">
        <v>5</v>
      </c>
      <c r="E9" s="137">
        <v>0.56999999999999995</v>
      </c>
      <c r="F9" s="137">
        <v>0.8</v>
      </c>
      <c r="G9" s="137">
        <v>1</v>
      </c>
      <c r="H9" s="137">
        <v>11</v>
      </c>
      <c r="I9" s="137">
        <v>1</v>
      </c>
      <c r="J9" s="137">
        <v>0.09</v>
      </c>
      <c r="K9" s="137">
        <v>1</v>
      </c>
      <c r="L9" s="18"/>
      <c r="M9" s="18"/>
      <c r="N9" s="18"/>
      <c r="O9" s="18"/>
    </row>
    <row r="10" spans="1:15" x14ac:dyDescent="0.55000000000000004">
      <c r="A10" s="18" t="s">
        <v>13</v>
      </c>
      <c r="B10" s="137">
        <v>13</v>
      </c>
      <c r="C10" s="137">
        <v>10</v>
      </c>
      <c r="D10" s="137">
        <v>1</v>
      </c>
      <c r="E10" s="137">
        <v>1.3</v>
      </c>
      <c r="F10" s="137">
        <v>13</v>
      </c>
      <c r="G10" s="137">
        <v>86</v>
      </c>
      <c r="H10" s="137">
        <v>22</v>
      </c>
      <c r="I10" s="137">
        <v>20</v>
      </c>
      <c r="J10" s="137">
        <v>3.91</v>
      </c>
      <c r="K10" s="137">
        <v>4.3</v>
      </c>
      <c r="L10" s="18"/>
      <c r="M10" s="18"/>
      <c r="N10" s="18"/>
      <c r="O10" s="18"/>
    </row>
    <row r="11" spans="1:15" x14ac:dyDescent="0.55000000000000004">
      <c r="A11" s="18" t="s">
        <v>14</v>
      </c>
      <c r="B11" s="137">
        <v>4</v>
      </c>
      <c r="C11" s="137">
        <v>6</v>
      </c>
      <c r="D11" s="137">
        <v>17</v>
      </c>
      <c r="E11" s="137">
        <v>0.67</v>
      </c>
      <c r="F11" s="137">
        <v>0.24</v>
      </c>
      <c r="G11" s="137">
        <v>129</v>
      </c>
      <c r="H11" s="137">
        <v>22</v>
      </c>
      <c r="I11" s="137">
        <v>16</v>
      </c>
      <c r="J11" s="137">
        <v>5.86</v>
      </c>
      <c r="K11" s="137">
        <v>8.06</v>
      </c>
      <c r="L11" s="18"/>
      <c r="M11" s="18"/>
      <c r="N11" s="18"/>
      <c r="O11" s="18"/>
    </row>
    <row r="12" spans="1:15" x14ac:dyDescent="0.55000000000000004">
      <c r="A12" s="18" t="s">
        <v>16</v>
      </c>
      <c r="B12" s="137">
        <v>7</v>
      </c>
      <c r="C12" s="137">
        <v>3</v>
      </c>
      <c r="D12" s="137">
        <v>1</v>
      </c>
      <c r="E12" s="137">
        <v>2.33</v>
      </c>
      <c r="F12" s="137">
        <v>7</v>
      </c>
      <c r="G12" s="137">
        <v>47</v>
      </c>
      <c r="H12" s="137">
        <v>10</v>
      </c>
      <c r="I12" s="137">
        <v>1</v>
      </c>
      <c r="J12" s="137">
        <v>4.7</v>
      </c>
      <c r="K12" s="137">
        <v>47</v>
      </c>
      <c r="L12" s="18"/>
      <c r="M12" s="18"/>
      <c r="N12" s="18"/>
      <c r="O12" s="18"/>
    </row>
    <row r="13" spans="1:15" x14ac:dyDescent="0.55000000000000004">
      <c r="A13" s="18" t="s">
        <v>96</v>
      </c>
      <c r="B13" s="137">
        <v>10</v>
      </c>
      <c r="C13" s="137">
        <v>8</v>
      </c>
      <c r="D13" s="137">
        <v>4</v>
      </c>
      <c r="E13" s="137">
        <v>1.25</v>
      </c>
      <c r="F13" s="137">
        <v>2.5</v>
      </c>
      <c r="G13" s="137">
        <v>38</v>
      </c>
      <c r="H13" s="137">
        <v>8</v>
      </c>
      <c r="I13" s="137">
        <v>15</v>
      </c>
      <c r="J13" s="137">
        <v>4.75</v>
      </c>
      <c r="K13" s="137">
        <v>2.5299999999999998</v>
      </c>
      <c r="L13" s="18"/>
      <c r="M13" s="18"/>
      <c r="N13" s="18"/>
      <c r="O13" s="18"/>
    </row>
    <row r="14" spans="1:15" x14ac:dyDescent="0.55000000000000004">
      <c r="A14" s="18" t="s">
        <v>18</v>
      </c>
      <c r="B14" s="137">
        <v>9</v>
      </c>
      <c r="C14" s="137">
        <v>3</v>
      </c>
      <c r="D14" s="137">
        <v>9</v>
      </c>
      <c r="E14" s="137">
        <v>3</v>
      </c>
      <c r="F14" s="137">
        <v>1</v>
      </c>
      <c r="G14" s="137">
        <v>100</v>
      </c>
      <c r="H14" s="137">
        <v>20</v>
      </c>
      <c r="I14" s="137">
        <v>9</v>
      </c>
      <c r="J14" s="137">
        <v>5</v>
      </c>
      <c r="K14" s="137">
        <v>11.11</v>
      </c>
      <c r="L14" s="18"/>
      <c r="M14" s="18"/>
      <c r="N14" s="18"/>
      <c r="O14" s="18"/>
    </row>
    <row r="15" spans="1:15" x14ac:dyDescent="0.55000000000000004">
      <c r="A15" s="18" t="s">
        <v>19</v>
      </c>
      <c r="B15" s="137">
        <v>24</v>
      </c>
      <c r="C15" s="137">
        <v>7</v>
      </c>
      <c r="D15" s="137">
        <v>9</v>
      </c>
      <c r="E15" s="137">
        <v>3.43</v>
      </c>
      <c r="F15" s="137">
        <v>2.67</v>
      </c>
      <c r="G15" s="137">
        <v>118</v>
      </c>
      <c r="H15" s="137">
        <v>23</v>
      </c>
      <c r="I15" s="137">
        <v>3</v>
      </c>
      <c r="J15" s="137">
        <v>5.13</v>
      </c>
      <c r="K15" s="137">
        <v>39.33</v>
      </c>
      <c r="L15" s="18"/>
      <c r="M15" s="18"/>
      <c r="N15" s="18"/>
      <c r="O15" s="18"/>
    </row>
    <row r="16" spans="1:15" x14ac:dyDescent="0.55000000000000004">
      <c r="A16" s="18" t="s">
        <v>20</v>
      </c>
      <c r="B16" s="137">
        <v>26</v>
      </c>
      <c r="C16" s="137">
        <v>13</v>
      </c>
      <c r="D16" s="137">
        <v>7</v>
      </c>
      <c r="E16" s="137">
        <v>2</v>
      </c>
      <c r="F16" s="137">
        <v>3.71</v>
      </c>
      <c r="G16" s="137">
        <v>110</v>
      </c>
      <c r="H16" s="137">
        <v>34</v>
      </c>
      <c r="I16" s="137">
        <v>3</v>
      </c>
      <c r="J16" s="137">
        <v>3.24</v>
      </c>
      <c r="K16" s="137">
        <v>36.67</v>
      </c>
      <c r="L16" s="18"/>
      <c r="M16" s="18"/>
      <c r="N16" s="18"/>
      <c r="O16" s="18"/>
    </row>
    <row r="17" spans="1:15" x14ac:dyDescent="0.55000000000000004">
      <c r="A17" s="18" t="s">
        <v>21</v>
      </c>
      <c r="B17" s="137">
        <v>10</v>
      </c>
      <c r="C17" s="137">
        <v>22</v>
      </c>
      <c r="D17" s="137">
        <v>10</v>
      </c>
      <c r="E17" s="137">
        <v>0.45</v>
      </c>
      <c r="F17" s="137">
        <v>1</v>
      </c>
      <c r="G17" s="137">
        <v>77</v>
      </c>
      <c r="H17" s="137">
        <v>35</v>
      </c>
      <c r="I17" s="137">
        <v>1</v>
      </c>
      <c r="J17" s="137">
        <v>2.2000000000000002</v>
      </c>
      <c r="K17" s="137">
        <v>77</v>
      </c>
      <c r="L17" s="18"/>
      <c r="M17" s="18"/>
      <c r="N17" s="18"/>
      <c r="O17" s="18"/>
    </row>
    <row r="18" spans="1:15" x14ac:dyDescent="0.55000000000000004">
      <c r="A18" s="18" t="s">
        <v>22</v>
      </c>
      <c r="B18" s="137">
        <v>27</v>
      </c>
      <c r="C18" s="137">
        <v>12</v>
      </c>
      <c r="D18" s="137">
        <v>3</v>
      </c>
      <c r="E18" s="137">
        <v>2.25</v>
      </c>
      <c r="F18" s="137">
        <v>9</v>
      </c>
      <c r="G18" s="137">
        <v>81</v>
      </c>
      <c r="H18" s="137">
        <v>26</v>
      </c>
      <c r="I18" s="137">
        <v>33</v>
      </c>
      <c r="J18" s="137">
        <v>3.12</v>
      </c>
      <c r="K18" s="137">
        <v>2.4500000000000002</v>
      </c>
      <c r="L18" s="18"/>
      <c r="M18" s="18"/>
      <c r="N18" s="18"/>
      <c r="O18" s="18"/>
    </row>
    <row r="19" spans="1:15" x14ac:dyDescent="0.55000000000000004">
      <c r="A19" s="18" t="s">
        <v>23</v>
      </c>
      <c r="B19" s="137">
        <v>51</v>
      </c>
      <c r="C19" s="137">
        <v>24</v>
      </c>
      <c r="D19" s="137">
        <v>1</v>
      </c>
      <c r="E19" s="137">
        <v>2.12</v>
      </c>
      <c r="F19" s="137">
        <v>51</v>
      </c>
      <c r="G19" s="137">
        <v>117</v>
      </c>
      <c r="H19" s="137">
        <v>43</v>
      </c>
      <c r="I19" s="137">
        <v>2</v>
      </c>
      <c r="J19" s="137">
        <v>2.72</v>
      </c>
      <c r="K19" s="137">
        <v>58.5</v>
      </c>
      <c r="L19" s="18"/>
      <c r="M19" s="18"/>
      <c r="N19" s="18"/>
      <c r="O19" s="18"/>
    </row>
    <row r="20" spans="1:15" x14ac:dyDescent="0.55000000000000004">
      <c r="A20" s="18" t="s">
        <v>24</v>
      </c>
      <c r="B20" s="137">
        <v>85</v>
      </c>
      <c r="C20" s="137">
        <v>38</v>
      </c>
      <c r="D20" s="137">
        <v>2</v>
      </c>
      <c r="E20" s="137">
        <v>2.2400000000000002</v>
      </c>
      <c r="F20" s="137">
        <v>42.5</v>
      </c>
      <c r="G20" s="137">
        <v>182</v>
      </c>
      <c r="H20" s="137">
        <v>50</v>
      </c>
      <c r="I20" s="137">
        <v>1</v>
      </c>
      <c r="J20" s="137">
        <v>3.64</v>
      </c>
      <c r="K20" s="137">
        <v>182</v>
      </c>
      <c r="L20" s="18"/>
      <c r="M20" s="18"/>
      <c r="N20" s="18"/>
      <c r="O20" s="18"/>
    </row>
    <row r="21" spans="1:15" x14ac:dyDescent="0.55000000000000004">
      <c r="A21" s="18" t="s">
        <v>25</v>
      </c>
      <c r="B21" s="137">
        <v>111</v>
      </c>
      <c r="C21" s="137">
        <v>61</v>
      </c>
      <c r="D21" s="137">
        <v>3</v>
      </c>
      <c r="E21" s="137">
        <v>1.82</v>
      </c>
      <c r="F21" s="137">
        <v>37</v>
      </c>
      <c r="G21" s="137">
        <v>285</v>
      </c>
      <c r="H21" s="137">
        <v>87</v>
      </c>
      <c r="I21" s="137">
        <v>2</v>
      </c>
      <c r="J21" s="137">
        <v>3.28</v>
      </c>
      <c r="K21" s="137">
        <v>142.5</v>
      </c>
      <c r="L21" s="18"/>
      <c r="M21" s="18"/>
      <c r="N21" s="18"/>
      <c r="O21" s="18"/>
    </row>
    <row r="22" spans="1:15" x14ac:dyDescent="0.55000000000000004">
      <c r="A22" s="18" t="s">
        <v>26</v>
      </c>
      <c r="B22" s="137">
        <v>137</v>
      </c>
      <c r="C22" s="137">
        <v>94</v>
      </c>
      <c r="D22" s="137">
        <v>94</v>
      </c>
      <c r="E22" s="137">
        <v>1.46</v>
      </c>
      <c r="F22" s="137">
        <v>1.46</v>
      </c>
      <c r="G22" s="137">
        <v>265</v>
      </c>
      <c r="H22" s="137">
        <v>106</v>
      </c>
      <c r="I22" s="137">
        <v>11</v>
      </c>
      <c r="J22" s="137">
        <v>2.5</v>
      </c>
      <c r="K22" s="137">
        <v>24.09</v>
      </c>
      <c r="L22" s="18"/>
      <c r="M22" s="18"/>
      <c r="N22" s="18"/>
      <c r="O22" s="18"/>
    </row>
    <row r="23" spans="1:15" x14ac:dyDescent="0.55000000000000004">
      <c r="A23" s="18" t="s">
        <v>27</v>
      </c>
      <c r="B23" s="137">
        <v>205</v>
      </c>
      <c r="C23" s="137">
        <v>171</v>
      </c>
      <c r="D23" s="137">
        <v>135</v>
      </c>
      <c r="E23" s="137">
        <v>1.2</v>
      </c>
      <c r="F23" s="137">
        <v>1.52</v>
      </c>
      <c r="G23" s="137">
        <v>295</v>
      </c>
      <c r="H23" s="137">
        <v>107</v>
      </c>
      <c r="I23" s="137">
        <v>3</v>
      </c>
      <c r="J23" s="137">
        <v>2.76</v>
      </c>
      <c r="K23" s="137">
        <v>98.33</v>
      </c>
      <c r="L23" s="18"/>
      <c r="M23" s="18"/>
      <c r="N23" s="18"/>
      <c r="O23" s="18"/>
    </row>
    <row r="24" spans="1:15" x14ac:dyDescent="0.55000000000000004">
      <c r="A24" s="18" t="s">
        <v>28</v>
      </c>
      <c r="B24" s="137">
        <v>244</v>
      </c>
      <c r="C24" s="137">
        <v>210</v>
      </c>
      <c r="D24" s="137">
        <v>12</v>
      </c>
      <c r="E24" s="137">
        <v>1.1599999999999999</v>
      </c>
      <c r="F24" s="137">
        <v>20.329999999999998</v>
      </c>
      <c r="G24" s="137">
        <v>391</v>
      </c>
      <c r="H24" s="137">
        <v>133</v>
      </c>
      <c r="I24" s="137">
        <v>2</v>
      </c>
      <c r="J24" s="137">
        <v>2.94</v>
      </c>
      <c r="K24" s="137">
        <v>195.5</v>
      </c>
      <c r="L24" s="18"/>
      <c r="M24" s="18"/>
      <c r="N24" s="18"/>
      <c r="O24" s="18"/>
    </row>
    <row r="25" spans="1:15" x14ac:dyDescent="0.55000000000000004">
      <c r="A25" s="18" t="s">
        <v>29</v>
      </c>
      <c r="B25" s="137">
        <v>287</v>
      </c>
      <c r="C25" s="137">
        <v>187</v>
      </c>
      <c r="D25" s="137">
        <v>3</v>
      </c>
      <c r="E25" s="137">
        <v>1.53</v>
      </c>
      <c r="F25" s="137">
        <v>95.67</v>
      </c>
      <c r="G25" s="137">
        <v>394</v>
      </c>
      <c r="H25" s="137">
        <v>168</v>
      </c>
      <c r="I25" s="137">
        <v>6</v>
      </c>
      <c r="J25" s="137">
        <v>2.35</v>
      </c>
      <c r="K25" s="137">
        <v>65.67</v>
      </c>
      <c r="L25" s="18"/>
      <c r="M25" s="18"/>
      <c r="N25" s="18"/>
      <c r="O25" s="18"/>
    </row>
    <row r="26" spans="1:15" x14ac:dyDescent="0.55000000000000004">
      <c r="A26" s="18" t="s">
        <v>30</v>
      </c>
      <c r="B26" s="137">
        <v>198</v>
      </c>
      <c r="C26" s="137">
        <v>194</v>
      </c>
      <c r="D26" s="137">
        <v>3</v>
      </c>
      <c r="E26" s="137">
        <v>1.02</v>
      </c>
      <c r="F26" s="137">
        <v>66</v>
      </c>
      <c r="G26" s="137">
        <v>386</v>
      </c>
      <c r="H26" s="137">
        <v>134</v>
      </c>
      <c r="I26" s="137">
        <v>12</v>
      </c>
      <c r="J26" s="137">
        <v>2.88</v>
      </c>
      <c r="K26" s="137">
        <v>32.17</v>
      </c>
      <c r="L26" s="18"/>
      <c r="M26" s="18"/>
      <c r="N26" s="18"/>
      <c r="O26" s="18"/>
    </row>
    <row r="27" spans="1:15" x14ac:dyDescent="0.55000000000000004">
      <c r="A27" s="18" t="s">
        <v>31</v>
      </c>
      <c r="B27" s="137">
        <v>231</v>
      </c>
      <c r="C27" s="137">
        <v>152</v>
      </c>
      <c r="D27" s="137">
        <v>2</v>
      </c>
      <c r="E27" s="137">
        <v>1.52</v>
      </c>
      <c r="F27" s="137">
        <v>115.5</v>
      </c>
      <c r="G27" s="137">
        <v>541</v>
      </c>
      <c r="H27" s="137">
        <v>216</v>
      </c>
      <c r="I27" s="137">
        <v>19</v>
      </c>
      <c r="J27" s="137">
        <v>2.5</v>
      </c>
      <c r="K27" s="137">
        <v>28.47</v>
      </c>
      <c r="L27" s="18"/>
      <c r="M27" s="18"/>
      <c r="N27" s="18"/>
      <c r="O27" s="18"/>
    </row>
    <row r="28" spans="1:15" x14ac:dyDescent="0.5500000000000000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55000000000000004">
      <c r="A29" s="52" t="s">
        <v>153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</row>
    <row r="30" spans="1:15" x14ac:dyDescent="0.55000000000000004">
      <c r="A30" s="1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55000000000000004">
      <c r="A31" s="52" t="s">
        <v>155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</row>
    <row r="32" spans="1:15" s="18" customFormat="1" x14ac:dyDescent="0.55000000000000004">
      <c r="A32" s="57" t="s">
        <v>195</v>
      </c>
    </row>
    <row r="33" spans="1:15" s="18" customFormat="1" x14ac:dyDescent="0.55000000000000004">
      <c r="A33" s="135"/>
      <c r="B33" s="19" t="s">
        <v>198</v>
      </c>
    </row>
    <row r="34" spans="1:15" s="18" customFormat="1" x14ac:dyDescent="0.55000000000000004">
      <c r="A34" s="170" t="s">
        <v>97</v>
      </c>
      <c r="B34" s="170"/>
      <c r="C34" s="170"/>
      <c r="D34" s="170"/>
      <c r="E34" s="170"/>
      <c r="F34" s="170"/>
      <c r="G34" s="170"/>
      <c r="H34" s="38"/>
      <c r="I34" s="170" t="s">
        <v>11</v>
      </c>
      <c r="J34" s="170"/>
      <c r="K34" s="170"/>
      <c r="L34" s="170"/>
      <c r="M34" s="170"/>
      <c r="N34" s="170"/>
      <c r="O34" s="170"/>
    </row>
    <row r="35" spans="1:15" s="29" customFormat="1" x14ac:dyDescent="0.55000000000000004">
      <c r="A35" s="19"/>
      <c r="B35" s="170" t="s">
        <v>148</v>
      </c>
      <c r="C35" s="170"/>
      <c r="D35" s="170" t="s">
        <v>193</v>
      </c>
      <c r="E35" s="170"/>
      <c r="F35" s="170" t="s">
        <v>154</v>
      </c>
      <c r="G35" s="170"/>
      <c r="H35" s="132" t="s">
        <v>36</v>
      </c>
      <c r="I35" s="110" t="s">
        <v>148</v>
      </c>
      <c r="J35" s="110"/>
      <c r="K35" s="110" t="s">
        <v>193</v>
      </c>
      <c r="L35" s="110"/>
      <c r="M35" s="110" t="s">
        <v>154</v>
      </c>
      <c r="N35" s="110"/>
      <c r="O35" s="19" t="s">
        <v>36</v>
      </c>
    </row>
    <row r="36" spans="1:15" ht="28.8" x14ac:dyDescent="0.55000000000000004">
      <c r="A36" s="19" t="s">
        <v>35</v>
      </c>
      <c r="B36" s="127" t="s">
        <v>56</v>
      </c>
      <c r="C36" s="138" t="s">
        <v>196</v>
      </c>
      <c r="D36" s="119" t="s">
        <v>194</v>
      </c>
      <c r="E36" s="138" t="s">
        <v>196</v>
      </c>
      <c r="F36" s="119" t="s">
        <v>194</v>
      </c>
      <c r="G36" s="138" t="s">
        <v>196</v>
      </c>
      <c r="H36" s="38"/>
      <c r="I36" s="127" t="s">
        <v>56</v>
      </c>
      <c r="J36" s="138" t="s">
        <v>196</v>
      </c>
      <c r="K36" s="119" t="s">
        <v>194</v>
      </c>
      <c r="L36" s="138" t="s">
        <v>196</v>
      </c>
      <c r="M36" s="119" t="s">
        <v>194</v>
      </c>
      <c r="N36" s="138" t="s">
        <v>196</v>
      </c>
      <c r="O36" s="18"/>
    </row>
    <row r="37" spans="1:15" x14ac:dyDescent="0.55000000000000004">
      <c r="A37" s="4" t="s">
        <v>12</v>
      </c>
      <c r="B37" s="120">
        <f>'Step 5 Incidence age groups'!Q4</f>
        <v>5695.9271321694532</v>
      </c>
      <c r="C37" s="120"/>
      <c r="D37" s="120">
        <f>B37/F10</f>
        <v>438.14824093611179</v>
      </c>
      <c r="E37" s="120"/>
      <c r="F37" s="120">
        <f>B37/E10</f>
        <v>4381.4824093611178</v>
      </c>
      <c r="G37" s="120"/>
      <c r="H37" s="133">
        <f>B37+D37+F37</f>
        <v>10515.557782466683</v>
      </c>
      <c r="I37" s="120">
        <f>'Step 5 Incidence age groups'!R4</f>
        <v>4156.0342347522264</v>
      </c>
      <c r="J37" s="120"/>
      <c r="K37" s="120">
        <f>I37/K10</f>
        <v>966.519589477262</v>
      </c>
      <c r="L37" s="120"/>
      <c r="M37" s="120">
        <f>I37/J10</f>
        <v>1062.9243567141243</v>
      </c>
      <c r="N37" s="120"/>
      <c r="O37" s="120">
        <f>I37+K37+M37</f>
        <v>6185.4781809436136</v>
      </c>
    </row>
    <row r="38" spans="1:15" x14ac:dyDescent="0.55000000000000004">
      <c r="A38" s="4" t="s">
        <v>13</v>
      </c>
      <c r="B38" s="120">
        <f>'Step 5 Incidence age groups'!Q5</f>
        <v>6726.8173170953487</v>
      </c>
      <c r="C38" s="120"/>
      <c r="D38" s="120">
        <f t="shared" ref="D38:D55" si="0">B38/F10</f>
        <v>517.4474859304114</v>
      </c>
      <c r="E38" s="120"/>
      <c r="F38" s="120">
        <f t="shared" ref="F38:F55" si="1">B38/E10</f>
        <v>5174.474859304114</v>
      </c>
      <c r="G38" s="120"/>
      <c r="H38" s="133">
        <f t="shared" ref="H38:H56" si="2">B38+D38+F38</f>
        <v>12418.739662329874</v>
      </c>
      <c r="I38" s="120">
        <f>'Step 5 Incidence age groups'!R5</f>
        <v>5479.3093175560862</v>
      </c>
      <c r="J38" s="120"/>
      <c r="K38" s="120">
        <f t="shared" ref="K38:K55" si="3">I38/K10</f>
        <v>1274.2579808269968</v>
      </c>
      <c r="L38" s="120"/>
      <c r="M38" s="120">
        <f t="shared" ref="M38:M55" si="4">I38/J10</f>
        <v>1401.3578817278992</v>
      </c>
      <c r="N38" s="120"/>
      <c r="O38" s="120">
        <f t="shared" ref="O38:O55" si="5">I38+K38+M38</f>
        <v>8154.9251801109822</v>
      </c>
    </row>
    <row r="39" spans="1:15" x14ac:dyDescent="0.55000000000000004">
      <c r="A39" s="4" t="s">
        <v>14</v>
      </c>
      <c r="B39" s="120">
        <f>'Step 5 Incidence age groups'!Q6</f>
        <v>707.86496106735854</v>
      </c>
      <c r="C39" s="120"/>
      <c r="D39" s="120">
        <f t="shared" si="0"/>
        <v>2949.4373377806605</v>
      </c>
      <c r="E39" s="120"/>
      <c r="F39" s="120">
        <f t="shared" si="1"/>
        <v>1056.5148672647142</v>
      </c>
      <c r="G39" s="120"/>
      <c r="H39" s="133">
        <f t="shared" si="2"/>
        <v>4713.8171661127326</v>
      </c>
      <c r="I39" s="120">
        <f>'Step 5 Incidence age groups'!R6</f>
        <v>1192.8816903295508</v>
      </c>
      <c r="J39" s="120"/>
      <c r="K39" s="120">
        <f t="shared" si="3"/>
        <v>148.00020971830654</v>
      </c>
      <c r="L39" s="120"/>
      <c r="M39" s="120">
        <f t="shared" si="4"/>
        <v>203.56342838388238</v>
      </c>
      <c r="N39" s="120"/>
      <c r="O39" s="120">
        <f t="shared" si="5"/>
        <v>1544.4453284317397</v>
      </c>
    </row>
    <row r="40" spans="1:15" x14ac:dyDescent="0.55000000000000004">
      <c r="A40" s="4" t="s">
        <v>16</v>
      </c>
      <c r="B40" s="120">
        <f>'Step 5 Incidence age groups'!Q7</f>
        <v>540.39884633815598</v>
      </c>
      <c r="C40" s="120"/>
      <c r="D40" s="120">
        <f t="shared" si="0"/>
        <v>77.199835191165135</v>
      </c>
      <c r="E40" s="120"/>
      <c r="F40" s="120">
        <f t="shared" si="1"/>
        <v>231.93083533826436</v>
      </c>
      <c r="G40" s="120"/>
      <c r="H40" s="133">
        <f t="shared" si="2"/>
        <v>849.52951686758547</v>
      </c>
      <c r="I40" s="120">
        <f>'Step 5 Incidence age groups'!R7</f>
        <v>939.26814600276828</v>
      </c>
      <c r="J40" s="120"/>
      <c r="K40" s="120">
        <f t="shared" si="3"/>
        <v>19.984428638356771</v>
      </c>
      <c r="L40" s="120"/>
      <c r="M40" s="120">
        <f t="shared" si="4"/>
        <v>199.84428638356772</v>
      </c>
      <c r="N40" s="120"/>
      <c r="O40" s="120">
        <f t="shared" si="5"/>
        <v>1159.0968610246928</v>
      </c>
    </row>
    <row r="41" spans="1:15" x14ac:dyDescent="0.55000000000000004">
      <c r="A41" s="4" t="s">
        <v>96</v>
      </c>
      <c r="B41" s="120">
        <f>'Step 5 Incidence age groups'!Q8</f>
        <v>778.3084289971963</v>
      </c>
      <c r="C41" s="120"/>
      <c r="D41" s="120">
        <f t="shared" si="0"/>
        <v>311.32337159887851</v>
      </c>
      <c r="E41" s="120"/>
      <c r="F41" s="120">
        <f t="shared" si="1"/>
        <v>622.64674319775702</v>
      </c>
      <c r="G41" s="120"/>
      <c r="H41" s="133">
        <f t="shared" si="2"/>
        <v>1712.2785437938319</v>
      </c>
      <c r="I41" s="120">
        <f>'Step 5 Incidence age groups'!R8</f>
        <v>1635.5680797701079</v>
      </c>
      <c r="J41" s="120"/>
      <c r="K41" s="120">
        <f t="shared" si="3"/>
        <v>646.4695967470783</v>
      </c>
      <c r="L41" s="120"/>
      <c r="M41" s="120">
        <f t="shared" si="4"/>
        <v>344.33012205686481</v>
      </c>
      <c r="N41" s="120"/>
      <c r="O41" s="120">
        <f t="shared" si="5"/>
        <v>2626.367798574051</v>
      </c>
    </row>
    <row r="42" spans="1:15" x14ac:dyDescent="0.55000000000000004">
      <c r="A42" s="97" t="s">
        <v>18</v>
      </c>
      <c r="B42" s="121">
        <f>'Step 5 Incidence age groups'!Q9</f>
        <v>1730.3101738261478</v>
      </c>
      <c r="C42" s="121"/>
      <c r="D42" s="121">
        <f t="shared" si="0"/>
        <v>1730.3101738261478</v>
      </c>
      <c r="E42" s="121"/>
      <c r="F42" s="121">
        <f t="shared" si="1"/>
        <v>576.77005794204922</v>
      </c>
      <c r="G42" s="121"/>
      <c r="H42" s="121">
        <f t="shared" si="2"/>
        <v>4037.3904055943449</v>
      </c>
      <c r="I42" s="121">
        <f>'Step 5 Incidence age groups'!R9</f>
        <v>4969.4698864114189</v>
      </c>
      <c r="J42" s="121"/>
      <c r="K42" s="121">
        <f t="shared" si="3"/>
        <v>447.29701947897564</v>
      </c>
      <c r="L42" s="121"/>
      <c r="M42" s="121">
        <f t="shared" si="4"/>
        <v>993.8939772822838</v>
      </c>
      <c r="N42" s="121"/>
      <c r="O42" s="121">
        <f t="shared" si="5"/>
        <v>6410.660883172679</v>
      </c>
    </row>
    <row r="43" spans="1:15" x14ac:dyDescent="0.55000000000000004">
      <c r="A43" s="97" t="s">
        <v>19</v>
      </c>
      <c r="B43" s="121">
        <f>'Step 5 Incidence age groups'!Q10</f>
        <v>1829.8170979249437</v>
      </c>
      <c r="C43" s="121"/>
      <c r="D43" s="121">
        <f t="shared" si="0"/>
        <v>685.32475577713251</v>
      </c>
      <c r="E43" s="121"/>
      <c r="F43" s="121">
        <f t="shared" si="1"/>
        <v>533.47437257286981</v>
      </c>
      <c r="G43" s="121"/>
      <c r="H43" s="121">
        <f t="shared" si="2"/>
        <v>3048.6162262749463</v>
      </c>
      <c r="I43" s="121">
        <f>'Step 5 Incidence age groups'!R10</f>
        <v>5423.662234456775</v>
      </c>
      <c r="J43" s="121"/>
      <c r="K43" s="121">
        <f t="shared" si="3"/>
        <v>137.90140438486588</v>
      </c>
      <c r="L43" s="121"/>
      <c r="M43" s="121">
        <f t="shared" si="4"/>
        <v>1057.2441002839716</v>
      </c>
      <c r="N43" s="121"/>
      <c r="O43" s="121">
        <f t="shared" si="5"/>
        <v>6618.807739125612</v>
      </c>
    </row>
    <row r="44" spans="1:15" x14ac:dyDescent="0.55000000000000004">
      <c r="A44" s="97" t="s">
        <v>20</v>
      </c>
      <c r="B44" s="121">
        <f>'Step 5 Incidence age groups'!Q11</f>
        <v>1966.0763291437815</v>
      </c>
      <c r="C44" s="121"/>
      <c r="D44" s="121">
        <f t="shared" si="0"/>
        <v>529.93971135950983</v>
      </c>
      <c r="E44" s="121"/>
      <c r="F44" s="121">
        <f t="shared" si="1"/>
        <v>983.03816457189077</v>
      </c>
      <c r="G44" s="121"/>
      <c r="H44" s="121">
        <f t="shared" si="2"/>
        <v>3479.0542050751819</v>
      </c>
      <c r="I44" s="121">
        <f>'Step 5 Incidence age groups'!R11</f>
        <v>5943.3002824804962</v>
      </c>
      <c r="J44" s="121"/>
      <c r="K44" s="121">
        <f t="shared" si="3"/>
        <v>162.07527358823279</v>
      </c>
      <c r="L44" s="121"/>
      <c r="M44" s="121">
        <f t="shared" si="4"/>
        <v>1834.35193903719</v>
      </c>
      <c r="N44" s="121"/>
      <c r="O44" s="121">
        <f t="shared" si="5"/>
        <v>7939.7274951059189</v>
      </c>
    </row>
    <row r="45" spans="1:15" x14ac:dyDescent="0.55000000000000004">
      <c r="A45" s="97" t="s">
        <v>21</v>
      </c>
      <c r="B45" s="121">
        <f>'Step 5 Incidence age groups'!Q12</f>
        <v>2261.3077992821677</v>
      </c>
      <c r="C45" s="121"/>
      <c r="D45" s="121">
        <f t="shared" si="0"/>
        <v>2261.3077992821677</v>
      </c>
      <c r="E45" s="121"/>
      <c r="F45" s="121">
        <f t="shared" si="1"/>
        <v>5025.1284428492618</v>
      </c>
      <c r="G45" s="121"/>
      <c r="H45" s="121">
        <f t="shared" si="2"/>
        <v>9547.7440414135963</v>
      </c>
      <c r="I45" s="121">
        <f>'Step 5 Incidence age groups'!R12</f>
        <v>6874.2245370294204</v>
      </c>
      <c r="J45" s="121"/>
      <c r="K45" s="121">
        <f t="shared" si="3"/>
        <v>89.275643338044418</v>
      </c>
      <c r="L45" s="121"/>
      <c r="M45" s="121">
        <f t="shared" si="4"/>
        <v>3124.6475168315546</v>
      </c>
      <c r="N45" s="121"/>
      <c r="O45" s="121">
        <f t="shared" si="5"/>
        <v>10088.14769719902</v>
      </c>
    </row>
    <row r="46" spans="1:15" x14ac:dyDescent="0.55000000000000004">
      <c r="A46" s="97" t="s">
        <v>22</v>
      </c>
      <c r="B46" s="121">
        <f>'Step 5 Incidence age groups'!Q13</f>
        <v>2634.7155338655252</v>
      </c>
      <c r="C46" s="121"/>
      <c r="D46" s="121">
        <f t="shared" si="0"/>
        <v>292.7461704295028</v>
      </c>
      <c r="E46" s="121"/>
      <c r="F46" s="121">
        <f t="shared" si="1"/>
        <v>1170.9846817180112</v>
      </c>
      <c r="G46" s="121"/>
      <c r="H46" s="121">
        <f t="shared" si="2"/>
        <v>4098.446386013039</v>
      </c>
      <c r="I46" s="121">
        <f>'Step 5 Incidence age groups'!R13</f>
        <v>8097.9606004112229</v>
      </c>
      <c r="J46" s="121"/>
      <c r="K46" s="121">
        <f t="shared" si="3"/>
        <v>3305.2900409841723</v>
      </c>
      <c r="L46" s="121"/>
      <c r="M46" s="121">
        <f t="shared" si="4"/>
        <v>2595.5001924394946</v>
      </c>
      <c r="N46" s="121"/>
      <c r="O46" s="121">
        <f t="shared" si="5"/>
        <v>13998.750833834891</v>
      </c>
    </row>
    <row r="47" spans="1:15" x14ac:dyDescent="0.55000000000000004">
      <c r="A47" s="98" t="s">
        <v>23</v>
      </c>
      <c r="B47" s="122">
        <f>'Step 5 Incidence age groups'!Q14</f>
        <v>6985.284242869252</v>
      </c>
      <c r="C47" s="122"/>
      <c r="D47" s="122">
        <f t="shared" si="0"/>
        <v>136.96635770331866</v>
      </c>
      <c r="E47" s="122"/>
      <c r="F47" s="122">
        <f t="shared" si="1"/>
        <v>3294.9453975798356</v>
      </c>
      <c r="G47" s="122"/>
      <c r="H47" s="122">
        <f t="shared" si="2"/>
        <v>10417.195998152407</v>
      </c>
      <c r="I47" s="122">
        <f>'Step 5 Incidence age groups'!R14</f>
        <v>10393.031360760098</v>
      </c>
      <c r="J47" s="122"/>
      <c r="K47" s="122">
        <f t="shared" si="3"/>
        <v>177.65865573948886</v>
      </c>
      <c r="L47" s="122"/>
      <c r="M47" s="122">
        <f t="shared" si="4"/>
        <v>3820.9674120441537</v>
      </c>
      <c r="N47" s="122"/>
      <c r="O47" s="122">
        <f t="shared" si="5"/>
        <v>14391.657428543742</v>
      </c>
    </row>
    <row r="48" spans="1:15" x14ac:dyDescent="0.55000000000000004">
      <c r="A48" s="98" t="s">
        <v>24</v>
      </c>
      <c r="B48" s="122">
        <f>'Step 5 Incidence age groups'!Q15</f>
        <v>7689.9878981655438</v>
      </c>
      <c r="C48" s="122"/>
      <c r="D48" s="122">
        <f t="shared" si="0"/>
        <v>180.94089172154222</v>
      </c>
      <c r="E48" s="122"/>
      <c r="F48" s="122">
        <f t="shared" si="1"/>
        <v>3433.030311681046</v>
      </c>
      <c r="G48" s="122"/>
      <c r="H48" s="122">
        <f t="shared" si="2"/>
        <v>11303.959101568133</v>
      </c>
      <c r="I48" s="122">
        <f>'Step 5 Incidence age groups'!R15</f>
        <v>19323.28217888502</v>
      </c>
      <c r="J48" s="122"/>
      <c r="K48" s="122">
        <f t="shared" si="3"/>
        <v>106.17188010376384</v>
      </c>
      <c r="L48" s="122"/>
      <c r="M48" s="122">
        <f t="shared" si="4"/>
        <v>5308.5940051881917</v>
      </c>
      <c r="N48" s="122"/>
      <c r="O48" s="122">
        <f t="shared" si="5"/>
        <v>24738.048064176975</v>
      </c>
    </row>
    <row r="49" spans="1:16" x14ac:dyDescent="0.55000000000000004">
      <c r="A49" s="98" t="s">
        <v>25</v>
      </c>
      <c r="B49" s="122">
        <f>'Step 5 Incidence age groups'!Q16</f>
        <v>6547.3705846276334</v>
      </c>
      <c r="C49" s="122"/>
      <c r="D49" s="122">
        <f t="shared" si="0"/>
        <v>176.95596174669279</v>
      </c>
      <c r="E49" s="122"/>
      <c r="F49" s="122">
        <f t="shared" si="1"/>
        <v>3597.4563651800181</v>
      </c>
      <c r="G49" s="122"/>
      <c r="H49" s="122">
        <f t="shared" si="2"/>
        <v>10321.782911554345</v>
      </c>
      <c r="I49" s="122">
        <f>'Step 5 Incidence age groups'!R16</f>
        <v>19792.278191253346</v>
      </c>
      <c r="J49" s="122"/>
      <c r="K49" s="122">
        <f t="shared" si="3"/>
        <v>138.89318028949717</v>
      </c>
      <c r="L49" s="122"/>
      <c r="M49" s="122">
        <f t="shared" si="4"/>
        <v>6034.231155869923</v>
      </c>
      <c r="N49" s="122"/>
      <c r="O49" s="122">
        <f t="shared" si="5"/>
        <v>25965.402527412767</v>
      </c>
    </row>
    <row r="50" spans="1:16" x14ac:dyDescent="0.55000000000000004">
      <c r="A50" s="100" t="s">
        <v>26</v>
      </c>
      <c r="B50" s="123">
        <f>'Step 5 Incidence age groups'!Q17</f>
        <v>12955.628260653262</v>
      </c>
      <c r="C50" s="123"/>
      <c r="D50" s="123">
        <f t="shared" si="0"/>
        <v>8873.7179867488103</v>
      </c>
      <c r="E50" s="123"/>
      <c r="F50" s="123">
        <f t="shared" si="1"/>
        <v>8873.7179867488103</v>
      </c>
      <c r="G50" s="123"/>
      <c r="H50" s="123">
        <f t="shared" si="2"/>
        <v>30703.064234150879</v>
      </c>
      <c r="I50" s="123">
        <f>'Step 5 Incidence age groups'!R17</f>
        <v>18392.429716470764</v>
      </c>
      <c r="J50" s="123"/>
      <c r="K50" s="123">
        <f t="shared" si="3"/>
        <v>763.48815759529941</v>
      </c>
      <c r="L50" s="123"/>
      <c r="M50" s="123">
        <f t="shared" si="4"/>
        <v>7356.971886588306</v>
      </c>
      <c r="N50" s="123"/>
      <c r="O50" s="123">
        <f t="shared" si="5"/>
        <v>26512.889760654369</v>
      </c>
    </row>
    <row r="51" spans="1:16" x14ac:dyDescent="0.55000000000000004">
      <c r="A51" s="100" t="s">
        <v>27</v>
      </c>
      <c r="B51" s="123">
        <f>'Step 5 Incidence age groups'!Q18</f>
        <v>14896.535906710804</v>
      </c>
      <c r="C51" s="123"/>
      <c r="D51" s="123">
        <f t="shared" si="0"/>
        <v>9800.3525702044753</v>
      </c>
      <c r="E51" s="123"/>
      <c r="F51" s="123">
        <f t="shared" si="1"/>
        <v>12413.779922259004</v>
      </c>
      <c r="G51" s="123"/>
      <c r="H51" s="123">
        <f t="shared" si="2"/>
        <v>37110.668399174283</v>
      </c>
      <c r="I51" s="123">
        <f>'Step 5 Incidence age groups'!R18</f>
        <v>21483.63577220888</v>
      </c>
      <c r="J51" s="123"/>
      <c r="K51" s="123">
        <f t="shared" si="3"/>
        <v>218.48505819392739</v>
      </c>
      <c r="L51" s="123"/>
      <c r="M51" s="123">
        <f t="shared" si="4"/>
        <v>7783.9260044235079</v>
      </c>
      <c r="N51" s="123"/>
      <c r="O51" s="123">
        <f t="shared" si="5"/>
        <v>29486.046834826317</v>
      </c>
    </row>
    <row r="52" spans="1:16" x14ac:dyDescent="0.55000000000000004">
      <c r="A52" s="100" t="s">
        <v>28</v>
      </c>
      <c r="B52" s="123">
        <f>'Step 5 Incidence age groups'!Q19</f>
        <v>11212.331995955083</v>
      </c>
      <c r="C52" s="123"/>
      <c r="D52" s="123">
        <f t="shared" si="0"/>
        <v>551.5165762889859</v>
      </c>
      <c r="E52" s="123"/>
      <c r="F52" s="123">
        <f t="shared" si="1"/>
        <v>9665.8034447888658</v>
      </c>
      <c r="G52" s="123"/>
      <c r="H52" s="123">
        <f t="shared" si="2"/>
        <v>21429.652017032935</v>
      </c>
      <c r="I52" s="123">
        <f>'Step 5 Incidence age groups'!R19</f>
        <v>17091.631569473953</v>
      </c>
      <c r="J52" s="123"/>
      <c r="K52" s="123">
        <f t="shared" si="3"/>
        <v>87.425225419304113</v>
      </c>
      <c r="L52" s="123"/>
      <c r="M52" s="123">
        <f t="shared" si="4"/>
        <v>5813.4801256714127</v>
      </c>
      <c r="N52" s="123"/>
      <c r="O52" s="123">
        <f t="shared" si="5"/>
        <v>22992.536920564671</v>
      </c>
    </row>
    <row r="53" spans="1:16" x14ac:dyDescent="0.55000000000000004">
      <c r="A53" s="100" t="s">
        <v>29</v>
      </c>
      <c r="B53" s="123">
        <f>'Step 5 Incidence age groups'!Q20</f>
        <v>10403.720083055208</v>
      </c>
      <c r="C53" s="123"/>
      <c r="D53" s="123">
        <f t="shared" si="0"/>
        <v>108.74589822363549</v>
      </c>
      <c r="E53" s="123"/>
      <c r="F53" s="123">
        <f t="shared" si="1"/>
        <v>6799.8170477485019</v>
      </c>
      <c r="G53" s="123"/>
      <c r="H53" s="123">
        <f t="shared" si="2"/>
        <v>17312.283029027345</v>
      </c>
      <c r="I53" s="123">
        <f>'Step 5 Incidence age groups'!R20</f>
        <v>17300.315523428311</v>
      </c>
      <c r="J53" s="123"/>
      <c r="K53" s="123">
        <f t="shared" si="3"/>
        <v>263.44320882333352</v>
      </c>
      <c r="L53" s="123"/>
      <c r="M53" s="123">
        <f t="shared" si="4"/>
        <v>7361.8363929482175</v>
      </c>
      <c r="N53" s="123"/>
      <c r="O53" s="123">
        <f t="shared" si="5"/>
        <v>24925.595125199863</v>
      </c>
    </row>
    <row r="54" spans="1:16" x14ac:dyDescent="0.55000000000000004">
      <c r="A54" s="100" t="s">
        <v>30</v>
      </c>
      <c r="B54" s="123">
        <f>'Step 5 Incidence age groups'!Q21</f>
        <v>7008.1366137670602</v>
      </c>
      <c r="C54" s="123"/>
      <c r="D54" s="123">
        <f t="shared" si="0"/>
        <v>106.1838880873797</v>
      </c>
      <c r="E54" s="123"/>
      <c r="F54" s="123">
        <f t="shared" si="1"/>
        <v>6870.7221703598625</v>
      </c>
      <c r="G54" s="123"/>
      <c r="H54" s="123">
        <f t="shared" si="2"/>
        <v>13985.042672214302</v>
      </c>
      <c r="I54" s="123">
        <f>'Step 5 Incidence age groups'!R21</f>
        <v>13683.873760900935</v>
      </c>
      <c r="J54" s="123"/>
      <c r="K54" s="123">
        <f t="shared" si="3"/>
        <v>425.3613229997182</v>
      </c>
      <c r="L54" s="123"/>
      <c r="M54" s="123">
        <f t="shared" si="4"/>
        <v>4751.3450558683808</v>
      </c>
      <c r="N54" s="123"/>
      <c r="O54" s="123">
        <f t="shared" si="5"/>
        <v>18860.580139769034</v>
      </c>
    </row>
    <row r="55" spans="1:16" x14ac:dyDescent="0.55000000000000004">
      <c r="A55" s="100" t="s">
        <v>31</v>
      </c>
      <c r="B55" s="123">
        <f>'Step 5 Incidence age groups'!Q22</f>
        <v>5332.8242157095356</v>
      </c>
      <c r="C55" s="123"/>
      <c r="D55" s="123">
        <f t="shared" si="0"/>
        <v>46.171638231251393</v>
      </c>
      <c r="E55" s="123"/>
      <c r="F55" s="123">
        <f t="shared" si="1"/>
        <v>3508.4369840194313</v>
      </c>
      <c r="G55" s="123"/>
      <c r="H55" s="123">
        <f t="shared" si="2"/>
        <v>8887.4328379602193</v>
      </c>
      <c r="I55" s="123">
        <f>'Step 5 Incidence age groups'!R22</f>
        <v>15218.814851264133</v>
      </c>
      <c r="J55" s="123"/>
      <c r="K55" s="123">
        <f t="shared" si="3"/>
        <v>534.55619428395266</v>
      </c>
      <c r="L55" s="123"/>
      <c r="M55" s="123">
        <f t="shared" si="4"/>
        <v>6087.5259405056531</v>
      </c>
      <c r="N55" s="123"/>
      <c r="O55" s="123">
        <f t="shared" si="5"/>
        <v>21840.89698605374</v>
      </c>
    </row>
    <row r="56" spans="1:16" x14ac:dyDescent="0.55000000000000004">
      <c r="A56" s="129" t="s">
        <v>36</v>
      </c>
      <c r="B56" s="125">
        <f>SUM(B37:B55)</f>
        <v>107903.36342122346</v>
      </c>
      <c r="C56" s="130">
        <f>(B56/'Step 5 Incidence age groups'!B105)*1000</f>
        <v>3.6631649764145178</v>
      </c>
      <c r="D56" s="125">
        <f>SUM(D37:D55)</f>
        <v>29774.736651067778</v>
      </c>
      <c r="E56" s="131">
        <f>(D56/'Step 5 Incidence age groups'!B105)*1000</f>
        <v>1.0108097562851714</v>
      </c>
      <c r="F56" s="125">
        <f>SUM(F37:F55)</f>
        <v>78214.155064485414</v>
      </c>
      <c r="G56" s="125">
        <f>(F56/'Step 5 Incidence age groups'!B105)*1000</f>
        <v>2.6552587834877754</v>
      </c>
      <c r="H56" s="139">
        <f t="shared" si="2"/>
        <v>215892.25513677666</v>
      </c>
      <c r="I56" s="125">
        <f>SUM(I37:I55)</f>
        <v>197390.97193384549</v>
      </c>
      <c r="J56" s="125">
        <f>(I56/'Step 5 Incidence age groups'!C105)*1000</f>
        <v>6.3247626402139847</v>
      </c>
      <c r="K56" s="125">
        <f>SUM(K37:K55)</f>
        <v>9912.5540706305765</v>
      </c>
      <c r="L56" s="128">
        <f>(K56/'Step 5 Incidence age groups'!C105)*1000</f>
        <v>0.31761610493532128</v>
      </c>
      <c r="M56" s="125">
        <f>SUM(M37:M55)</f>
        <v>67136.535780248581</v>
      </c>
      <c r="N56" s="163">
        <f>(M56/'Step 5 Incidence age groups'!C105)*1000</f>
        <v>2.1511756547741991</v>
      </c>
      <c r="O56" s="163">
        <f>SUM(O37:O55)</f>
        <v>274440.0617847247</v>
      </c>
      <c r="P56" s="134">
        <f>B56+D56+F56+I56+K56+M56</f>
        <v>490332.3169215013</v>
      </c>
    </row>
    <row r="57" spans="1:16" x14ac:dyDescent="0.55000000000000004">
      <c r="A57" s="33"/>
      <c r="B57" s="113"/>
      <c r="C57" s="114"/>
      <c r="D57" s="113"/>
      <c r="E57" s="115"/>
      <c r="F57" s="113"/>
      <c r="G57" s="125"/>
      <c r="H57" s="113"/>
      <c r="I57" s="125"/>
      <c r="J57" s="124"/>
      <c r="K57" s="125"/>
      <c r="L57" s="126"/>
      <c r="M57" s="93"/>
      <c r="N57" s="18"/>
      <c r="O57" s="18"/>
    </row>
    <row r="58" spans="1:16" x14ac:dyDescent="0.55000000000000004">
      <c r="A58" s="93"/>
      <c r="B58" s="116"/>
      <c r="C58" s="116"/>
      <c r="D58" s="93"/>
      <c r="E58" s="117"/>
      <c r="F58" s="93"/>
      <c r="G58" s="93"/>
      <c r="H58" s="93"/>
      <c r="I58" s="93"/>
      <c r="J58" s="92"/>
      <c r="K58" s="94"/>
      <c r="L58" s="118"/>
      <c r="M58" s="93"/>
      <c r="N58" s="18"/>
      <c r="O58" s="18"/>
    </row>
    <row r="59" spans="1:16" x14ac:dyDescent="0.55000000000000004">
      <c r="A59" s="52" t="s">
        <v>156</v>
      </c>
      <c r="B59" s="95"/>
      <c r="C59" s="95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0" spans="1:16" x14ac:dyDescent="0.55000000000000004">
      <c r="A60" s="172" t="s">
        <v>157</v>
      </c>
      <c r="B60" s="172"/>
      <c r="C60" s="136">
        <f>P56/'Step 5 Incidence age groups'!D105*1000</f>
        <v>8.0825494673492919</v>
      </c>
      <c r="D60" s="18"/>
      <c r="E60" s="90"/>
      <c r="F60" s="18"/>
      <c r="G60" s="18"/>
      <c r="H60" s="18"/>
      <c r="I60" s="18"/>
      <c r="J60" s="91"/>
      <c r="K60" s="34"/>
      <c r="L60" s="70"/>
      <c r="M60" s="18"/>
      <c r="N60" s="18"/>
      <c r="O60" s="18"/>
    </row>
    <row r="61" spans="1:16" x14ac:dyDescent="0.55000000000000004">
      <c r="A61" s="19" t="s">
        <v>199</v>
      </c>
      <c r="B61" s="89">
        <f>C60/0.44</f>
        <v>18.369430607612028</v>
      </c>
      <c r="C61" s="89"/>
      <c r="D61" s="18"/>
      <c r="E61" s="90"/>
      <c r="F61" s="18"/>
      <c r="G61" s="18"/>
      <c r="H61" s="18"/>
      <c r="I61" s="18"/>
      <c r="J61" s="91"/>
      <c r="K61" s="34"/>
      <c r="L61" s="70"/>
      <c r="M61" s="18"/>
      <c r="N61" s="18"/>
      <c r="O61" s="18"/>
    </row>
    <row r="62" spans="1:16" x14ac:dyDescent="0.55000000000000004">
      <c r="A62" s="18"/>
      <c r="B62" s="18"/>
      <c r="C62" s="18"/>
      <c r="D62" s="18"/>
      <c r="E62" s="18"/>
      <c r="F62" s="18"/>
      <c r="G62" s="18"/>
      <c r="H62" s="18"/>
      <c r="I62" s="18"/>
      <c r="J62" s="91"/>
      <c r="K62" s="34"/>
      <c r="L62" s="70"/>
      <c r="M62" s="18"/>
      <c r="N62" s="18"/>
      <c r="O62" s="18"/>
    </row>
    <row r="63" spans="1:16" x14ac:dyDescent="0.55000000000000004">
      <c r="A63" s="18"/>
      <c r="B63" s="18"/>
      <c r="C63" s="18"/>
      <c r="D63" s="18"/>
      <c r="E63" s="19" t="s">
        <v>149</v>
      </c>
      <c r="F63" s="18"/>
      <c r="G63" s="18"/>
      <c r="H63" s="18"/>
      <c r="I63" s="18"/>
      <c r="J63" s="91"/>
      <c r="K63" s="34"/>
      <c r="L63" s="70"/>
      <c r="M63" s="18"/>
      <c r="N63" s="18"/>
      <c r="O63" s="18"/>
    </row>
    <row r="64" spans="1:16" x14ac:dyDescent="0.55000000000000004">
      <c r="A64" s="18" t="s">
        <v>150</v>
      </c>
      <c r="B64" s="18"/>
      <c r="C64" s="18"/>
      <c r="D64" s="18"/>
      <c r="E64" s="70">
        <f>(O56/P56)*100</f>
        <v>55.970216996458056</v>
      </c>
      <c r="F64" s="18"/>
      <c r="G64" s="18"/>
      <c r="H64" s="18"/>
      <c r="I64" s="18"/>
      <c r="J64" s="91"/>
      <c r="K64" s="34"/>
      <c r="L64" s="70"/>
      <c r="M64" s="18"/>
      <c r="N64" s="18"/>
      <c r="O64" s="18"/>
    </row>
    <row r="65" spans="1:15" x14ac:dyDescent="0.55000000000000004">
      <c r="A65" s="18" t="s">
        <v>151</v>
      </c>
      <c r="B65" s="18"/>
      <c r="C65" s="18"/>
      <c r="D65" s="70"/>
      <c r="E65" s="70">
        <f>((SUM(B51:B55)+SUM(D51:D55)+SUM(F51:F55)+SUM(O51:O55))/P56)*100</f>
        <v>44.221179693635357</v>
      </c>
      <c r="F65" s="18"/>
      <c r="G65" s="18"/>
      <c r="H65" s="18"/>
      <c r="I65" s="18"/>
      <c r="J65" s="91"/>
      <c r="K65" s="34"/>
      <c r="L65" s="70"/>
      <c r="M65" s="18"/>
      <c r="N65" s="18"/>
      <c r="O65" s="18"/>
    </row>
    <row r="66" spans="1:15" x14ac:dyDescent="0.55000000000000004">
      <c r="A66" s="18"/>
      <c r="B66" s="18"/>
      <c r="C66" s="18"/>
      <c r="D66" s="18"/>
      <c r="E66" s="18"/>
      <c r="F66" s="18"/>
      <c r="G66" s="18"/>
      <c r="H66" s="18"/>
      <c r="I66" s="18"/>
      <c r="J66" s="91"/>
      <c r="K66" s="34"/>
      <c r="L66" s="70"/>
      <c r="M66" s="18"/>
      <c r="N66" s="18"/>
      <c r="O66" s="18"/>
    </row>
    <row r="67" spans="1:15" x14ac:dyDescent="0.55000000000000004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5500000000000000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5500000000000000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5500000000000000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</sheetData>
  <mergeCells count="8">
    <mergeCell ref="A60:B60"/>
    <mergeCell ref="I34:O34"/>
    <mergeCell ref="B7:F7"/>
    <mergeCell ref="G7:K7"/>
    <mergeCell ref="B35:C35"/>
    <mergeCell ref="A34:G34"/>
    <mergeCell ref="D35:E35"/>
    <mergeCell ref="F35:G3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34E-074C-4892-9743-9F77E22B6915}">
  <dimension ref="A1:R20"/>
  <sheetViews>
    <sheetView workbookViewId="0">
      <selection activeCell="F21" sqref="F21"/>
    </sheetView>
  </sheetViews>
  <sheetFormatPr defaultRowHeight="14.4" x14ac:dyDescent="0.55000000000000004"/>
  <cols>
    <col min="3" max="3" width="11.15625" bestFit="1" customWidth="1"/>
    <col min="5" max="5" width="11.15625" bestFit="1" customWidth="1"/>
  </cols>
  <sheetData>
    <row r="1" spans="1:18" ht="33.299999999999997" customHeight="1" x14ac:dyDescent="0.55000000000000004">
      <c r="A1" s="175" t="s">
        <v>52</v>
      </c>
      <c r="B1" s="175"/>
      <c r="C1" s="175"/>
      <c r="D1" s="175"/>
      <c r="E1" s="175"/>
      <c r="F1" s="175"/>
      <c r="G1" s="175"/>
      <c r="H1" s="175"/>
      <c r="I1" s="175"/>
      <c r="J1" s="175"/>
    </row>
    <row r="2" spans="1:18" ht="14.7" thickBot="1" x14ac:dyDescent="0.6">
      <c r="L2" s="1" t="s">
        <v>34</v>
      </c>
    </row>
    <row r="3" spans="1:18" ht="14.7" thickBot="1" x14ac:dyDescent="0.6">
      <c r="A3" s="6" t="s">
        <v>35</v>
      </c>
      <c r="B3" s="173" t="s">
        <v>11</v>
      </c>
      <c r="C3" s="174"/>
      <c r="D3" s="173" t="s">
        <v>10</v>
      </c>
      <c r="E3" s="174"/>
      <c r="F3" s="6" t="s">
        <v>36</v>
      </c>
      <c r="L3" s="6" t="s">
        <v>35</v>
      </c>
      <c r="M3" s="173" t="s">
        <v>11</v>
      </c>
      <c r="N3" s="174"/>
      <c r="O3" s="173" t="s">
        <v>10</v>
      </c>
      <c r="P3" s="174"/>
      <c r="Q3" s="6" t="s">
        <v>36</v>
      </c>
    </row>
    <row r="4" spans="1:18" ht="14.7" thickBot="1" x14ac:dyDescent="0.6">
      <c r="A4" s="7"/>
      <c r="B4" s="8" t="s">
        <v>37</v>
      </c>
      <c r="C4" s="9" t="s">
        <v>38</v>
      </c>
      <c r="D4" s="8" t="s">
        <v>37</v>
      </c>
      <c r="E4" s="9" t="s">
        <v>38</v>
      </c>
      <c r="F4" s="7" t="s">
        <v>37</v>
      </c>
      <c r="G4" s="10" t="s">
        <v>39</v>
      </c>
      <c r="L4" s="11"/>
      <c r="M4" s="8" t="s">
        <v>37</v>
      </c>
      <c r="N4" s="9" t="s">
        <v>40</v>
      </c>
      <c r="O4" s="8" t="s">
        <v>37</v>
      </c>
      <c r="P4" s="9" t="s">
        <v>40</v>
      </c>
      <c r="Q4" s="7" t="s">
        <v>37</v>
      </c>
      <c r="R4" s="10" t="s">
        <v>38</v>
      </c>
    </row>
    <row r="5" spans="1:18" ht="14.7" thickBot="1" x14ac:dyDescent="0.6">
      <c r="A5" s="12" t="s">
        <v>41</v>
      </c>
      <c r="B5" s="9">
        <v>294</v>
      </c>
      <c r="C5" s="13">
        <f>B5/F5</f>
        <v>0.4218077474892396</v>
      </c>
      <c r="D5" s="9">
        <v>403</v>
      </c>
      <c r="E5" s="13">
        <f>D5/F5</f>
        <v>0.57819225251076045</v>
      </c>
      <c r="F5" s="14">
        <v>697</v>
      </c>
      <c r="G5">
        <f>F5/F12</f>
        <v>7.0432497978981407E-2</v>
      </c>
      <c r="L5" s="12" t="s">
        <v>41</v>
      </c>
      <c r="M5" s="9">
        <v>294</v>
      </c>
      <c r="N5" s="13">
        <f>M5/M12</f>
        <v>4.7742773627801237E-2</v>
      </c>
      <c r="O5" s="9">
        <v>403</v>
      </c>
      <c r="P5" s="13">
        <f>O5/O12</f>
        <v>0.10781166399143927</v>
      </c>
      <c r="Q5" s="14">
        <v>697</v>
      </c>
      <c r="R5">
        <f>Q5/Q12</f>
        <v>7.0432497978981407E-2</v>
      </c>
    </row>
    <row r="6" spans="1:18" ht="14.7" thickBot="1" x14ac:dyDescent="0.6">
      <c r="A6" s="15" t="s">
        <v>42</v>
      </c>
      <c r="B6" s="9">
        <v>53</v>
      </c>
      <c r="C6" s="13">
        <f t="shared" ref="C6:C11" si="0">B6/F6</f>
        <v>0.58888888888888891</v>
      </c>
      <c r="D6" s="9">
        <v>37</v>
      </c>
      <c r="E6" s="13">
        <f t="shared" ref="E6:E11" si="1">D6/F6</f>
        <v>0.41111111111111109</v>
      </c>
      <c r="F6" s="14">
        <v>90</v>
      </c>
      <c r="G6">
        <f>F6/F12</f>
        <v>9.094583670169765E-3</v>
      </c>
      <c r="L6" s="15" t="s">
        <v>42</v>
      </c>
      <c r="M6" s="9">
        <v>53</v>
      </c>
      <c r="N6" s="13">
        <f>M6/M12</f>
        <v>8.6066904839233512E-3</v>
      </c>
      <c r="O6" s="9">
        <v>37</v>
      </c>
      <c r="P6" s="13">
        <f>O6/O12</f>
        <v>9.8983413590155167E-3</v>
      </c>
      <c r="Q6" s="14">
        <v>90</v>
      </c>
      <c r="R6">
        <f>Q6/Q12</f>
        <v>9.094583670169765E-3</v>
      </c>
    </row>
    <row r="7" spans="1:18" ht="14.7" thickBot="1" x14ac:dyDescent="0.6">
      <c r="A7" s="15" t="s">
        <v>43</v>
      </c>
      <c r="B7" s="9">
        <v>48</v>
      </c>
      <c r="C7" s="13">
        <f t="shared" si="0"/>
        <v>0.64864864864864868</v>
      </c>
      <c r="D7" s="9">
        <v>26</v>
      </c>
      <c r="E7" s="13">
        <f t="shared" si="1"/>
        <v>0.35135135135135137</v>
      </c>
      <c r="F7" s="14">
        <v>74</v>
      </c>
      <c r="G7">
        <f>F7/F12</f>
        <v>7.4777687954729185E-3</v>
      </c>
      <c r="L7" s="15" t="s">
        <v>43</v>
      </c>
      <c r="M7" s="9">
        <v>48</v>
      </c>
      <c r="N7" s="13">
        <f>M7/M12</f>
        <v>7.7947385514777522E-3</v>
      </c>
      <c r="O7" s="9">
        <v>26</v>
      </c>
      <c r="P7" s="13">
        <f>O7/O12</f>
        <v>6.9555912252541466E-3</v>
      </c>
      <c r="Q7" s="14">
        <v>74</v>
      </c>
      <c r="R7">
        <f>Q7/Q12</f>
        <v>7.4777687954729185E-3</v>
      </c>
    </row>
    <row r="8" spans="1:18" ht="14.7" thickBot="1" x14ac:dyDescent="0.6">
      <c r="A8" s="7" t="s">
        <v>44</v>
      </c>
      <c r="B8" s="9">
        <v>36</v>
      </c>
      <c r="C8" s="13">
        <f t="shared" si="0"/>
        <v>0.61016949152542377</v>
      </c>
      <c r="D8" s="9">
        <v>23</v>
      </c>
      <c r="E8" s="13">
        <f t="shared" si="1"/>
        <v>0.38983050847457629</v>
      </c>
      <c r="F8" s="14">
        <v>59</v>
      </c>
      <c r="G8">
        <f>F8/F12</f>
        <v>5.9620048504446244E-3</v>
      </c>
      <c r="L8" s="7" t="s">
        <v>44</v>
      </c>
      <c r="M8" s="9">
        <v>36</v>
      </c>
      <c r="N8" s="13">
        <f>M8/M12</f>
        <v>5.8460539136083144E-3</v>
      </c>
      <c r="O8" s="9">
        <v>23</v>
      </c>
      <c r="P8" s="13">
        <f>O8/O12</f>
        <v>6.1530230069555911E-3</v>
      </c>
      <c r="Q8" s="14">
        <v>59</v>
      </c>
      <c r="R8">
        <f>Q8/Q12</f>
        <v>5.9620048504446244E-3</v>
      </c>
    </row>
    <row r="9" spans="1:18" ht="14.7" thickBot="1" x14ac:dyDescent="0.6">
      <c r="A9" s="7" t="s">
        <v>45</v>
      </c>
      <c r="B9" s="9">
        <v>1172</v>
      </c>
      <c r="C9" s="13">
        <f t="shared" si="0"/>
        <v>0.74984005118362129</v>
      </c>
      <c r="D9" s="9">
        <v>391</v>
      </c>
      <c r="E9" s="13">
        <f t="shared" si="1"/>
        <v>0.25015994881637876</v>
      </c>
      <c r="F9" s="14">
        <v>1563</v>
      </c>
      <c r="G9">
        <f>F9/F12</f>
        <v>0.15794260307194827</v>
      </c>
      <c r="L9" s="7" t="s">
        <v>45</v>
      </c>
      <c r="M9" s="9">
        <v>1172</v>
      </c>
      <c r="N9" s="13">
        <f>M9/M12</f>
        <v>0.19032153296524845</v>
      </c>
      <c r="O9" s="9">
        <v>391</v>
      </c>
      <c r="P9" s="13">
        <f>O9/O12</f>
        <v>0.10460139111824505</v>
      </c>
      <c r="Q9" s="14">
        <v>1563</v>
      </c>
      <c r="R9">
        <f>Q9/Q12</f>
        <v>0.15794260307194827</v>
      </c>
    </row>
    <row r="10" spans="1:18" ht="14.7" thickBot="1" x14ac:dyDescent="0.6">
      <c r="A10" s="7" t="s">
        <v>46</v>
      </c>
      <c r="B10" s="9">
        <v>1047</v>
      </c>
      <c r="C10" s="13">
        <f t="shared" si="0"/>
        <v>0.57973421926910296</v>
      </c>
      <c r="D10" s="9">
        <v>759</v>
      </c>
      <c r="E10" s="13">
        <f t="shared" si="1"/>
        <v>0.42026578073089699</v>
      </c>
      <c r="F10" s="14">
        <v>1806</v>
      </c>
      <c r="G10">
        <f>F10/F12</f>
        <v>0.18249797898140663</v>
      </c>
      <c r="L10" s="7" t="s">
        <v>46</v>
      </c>
      <c r="M10" s="9">
        <v>1047</v>
      </c>
      <c r="N10" s="13">
        <f>M10/M12</f>
        <v>0.17002273465410847</v>
      </c>
      <c r="O10" s="9">
        <v>759</v>
      </c>
      <c r="P10" s="13">
        <f>O10/O12</f>
        <v>0.2030497592295345</v>
      </c>
      <c r="Q10" s="14">
        <v>1806</v>
      </c>
      <c r="R10">
        <f>Q10/Q12</f>
        <v>0.18249797898140663</v>
      </c>
    </row>
    <row r="11" spans="1:18" ht="14.7" thickBot="1" x14ac:dyDescent="0.6">
      <c r="A11" s="7" t="s">
        <v>47</v>
      </c>
      <c r="B11" s="9">
        <v>3508</v>
      </c>
      <c r="C11" s="13">
        <f t="shared" si="0"/>
        <v>0.62564651328696275</v>
      </c>
      <c r="D11" s="9">
        <v>2099</v>
      </c>
      <c r="E11" s="13">
        <f t="shared" si="1"/>
        <v>0.37435348671303725</v>
      </c>
      <c r="F11" s="14">
        <v>5607</v>
      </c>
      <c r="G11">
        <f>F11/F12</f>
        <v>0.56659256265157643</v>
      </c>
      <c r="L11" s="7" t="s">
        <v>47</v>
      </c>
      <c r="M11" s="9">
        <v>3508</v>
      </c>
      <c r="N11" s="13">
        <f>M11/M12</f>
        <v>0.56966547580383242</v>
      </c>
      <c r="O11" s="9">
        <v>2099</v>
      </c>
      <c r="P11" s="13">
        <f>O11/O12</f>
        <v>0.56153023006955594</v>
      </c>
      <c r="Q11" s="14">
        <v>5607</v>
      </c>
      <c r="R11">
        <f>Q11/Q12</f>
        <v>0.56659256265157643</v>
      </c>
    </row>
    <row r="12" spans="1:18" ht="14.7" thickBot="1" x14ac:dyDescent="0.6">
      <c r="A12" s="7" t="s">
        <v>36</v>
      </c>
      <c r="B12" s="9">
        <f>SUM(B5:B11)</f>
        <v>6158</v>
      </c>
      <c r="C12" s="9"/>
      <c r="D12" s="9">
        <f>SUM(D5:D11)</f>
        <v>3738</v>
      </c>
      <c r="E12" s="9"/>
      <c r="F12" s="16">
        <f>SUM(F5:F11)</f>
        <v>9896</v>
      </c>
      <c r="L12" s="7" t="s">
        <v>36</v>
      </c>
      <c r="M12" s="9">
        <f t="shared" ref="M12:R12" si="2">SUM(M5:M11)</f>
        <v>6158</v>
      </c>
      <c r="N12" s="9">
        <f t="shared" si="2"/>
        <v>1</v>
      </c>
      <c r="O12" s="9">
        <f>SUM(O5:O11)</f>
        <v>3738</v>
      </c>
      <c r="P12" s="9">
        <f t="shared" si="2"/>
        <v>1</v>
      </c>
      <c r="Q12" s="16">
        <f t="shared" si="2"/>
        <v>9896</v>
      </c>
      <c r="R12" s="16">
        <f t="shared" si="2"/>
        <v>1</v>
      </c>
    </row>
    <row r="14" spans="1:18" x14ac:dyDescent="0.55000000000000004">
      <c r="B14">
        <f>B12+D12</f>
        <v>9896</v>
      </c>
    </row>
    <row r="17" spans="7:9" x14ac:dyDescent="0.55000000000000004">
      <c r="H17" t="s">
        <v>48</v>
      </c>
    </row>
    <row r="18" spans="7:9" x14ac:dyDescent="0.55000000000000004">
      <c r="G18" t="s">
        <v>49</v>
      </c>
      <c r="H18">
        <f>(F12*G6)*E6/100</f>
        <v>0.37</v>
      </c>
      <c r="I18" s="17" t="s">
        <v>50</v>
      </c>
    </row>
    <row r="20" spans="7:9" x14ac:dyDescent="0.55000000000000004">
      <c r="H20" t="s">
        <v>51</v>
      </c>
    </row>
  </sheetData>
  <mergeCells count="5">
    <mergeCell ref="B3:C3"/>
    <mergeCell ref="D3:E3"/>
    <mergeCell ref="M3:N3"/>
    <mergeCell ref="O3:P3"/>
    <mergeCell ref="A1:J1"/>
  </mergeCells>
  <hyperlinks>
    <hyperlink ref="A1:J1" r:id="rId1" display="Source: Trend of Bacterial Uropathogens and Their Susceptibility Pattern: Study of Single Academic High-Volume Center in Italy (2015–2019)" xr:uid="{270A9F16-90DC-4F79-BB87-E8DCD377F1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34CB-1D58-4FFA-AC50-8161ECAC8D80}">
  <dimension ref="A1:I46"/>
  <sheetViews>
    <sheetView zoomScaleNormal="100" workbookViewId="0">
      <selection activeCell="I45" sqref="I45"/>
    </sheetView>
  </sheetViews>
  <sheetFormatPr defaultRowHeight="15.9" x14ac:dyDescent="0.7"/>
  <cols>
    <col min="1" max="1" width="18.20703125" style="141" customWidth="1"/>
    <col min="2" max="2" width="12.3125" style="141" customWidth="1"/>
    <col min="3" max="3" width="12.1015625" style="141" customWidth="1"/>
    <col min="4" max="4" width="15.83984375" style="141" customWidth="1"/>
    <col min="5" max="5" width="23.05078125" style="141" customWidth="1"/>
    <col min="6" max="6" width="8.83984375" style="141"/>
    <col min="7" max="7" width="11.20703125" style="141" customWidth="1"/>
    <col min="8" max="8" width="16.9453125" style="141" customWidth="1"/>
    <col min="9" max="9" width="16.41796875" style="141" customWidth="1"/>
    <col min="10" max="16384" width="8.83984375" style="141"/>
  </cols>
  <sheetData>
    <row r="1" spans="1:9" x14ac:dyDescent="0.7">
      <c r="A1" s="140"/>
      <c r="B1" s="176" t="s">
        <v>86</v>
      </c>
      <c r="C1" s="176"/>
      <c r="D1" s="176"/>
      <c r="E1" s="176"/>
      <c r="F1" s="176" t="s">
        <v>1</v>
      </c>
      <c r="G1" s="176"/>
      <c r="H1" s="176"/>
      <c r="I1" s="176"/>
    </row>
    <row r="2" spans="1:9" x14ac:dyDescent="0.7">
      <c r="A2" s="142"/>
      <c r="B2" s="177"/>
      <c r="C2" s="177"/>
      <c r="D2" s="177"/>
      <c r="E2" s="177"/>
      <c r="F2" s="177"/>
      <c r="G2" s="177"/>
      <c r="H2" s="177"/>
      <c r="I2" s="177"/>
    </row>
    <row r="3" spans="1:9" ht="50.7" customHeight="1" x14ac:dyDescent="0.7">
      <c r="A3" s="143" t="s">
        <v>87</v>
      </c>
      <c r="B3" s="143" t="s">
        <v>88</v>
      </c>
      <c r="C3" s="143" t="s">
        <v>89</v>
      </c>
      <c r="D3" s="143" t="s">
        <v>90</v>
      </c>
      <c r="E3" s="143" t="s">
        <v>91</v>
      </c>
      <c r="F3" s="143" t="s">
        <v>88</v>
      </c>
      <c r="G3" s="143" t="s">
        <v>89</v>
      </c>
      <c r="H3" s="143" t="s">
        <v>90</v>
      </c>
      <c r="I3" s="143" t="s">
        <v>91</v>
      </c>
    </row>
    <row r="4" spans="1:9" ht="16.5" x14ac:dyDescent="0.7">
      <c r="A4" s="144" t="s">
        <v>92</v>
      </c>
      <c r="B4" s="145"/>
      <c r="C4" s="145"/>
      <c r="D4" s="146"/>
      <c r="E4" s="146"/>
      <c r="F4" s="145"/>
      <c r="G4" s="145"/>
      <c r="H4" s="145"/>
      <c r="I4" s="145"/>
    </row>
    <row r="5" spans="1:9" x14ac:dyDescent="0.7">
      <c r="A5" s="147">
        <v>0</v>
      </c>
      <c r="B5" s="145">
        <v>82565</v>
      </c>
      <c r="C5" s="145">
        <v>10</v>
      </c>
      <c r="D5" s="148">
        <f>C5/B5</f>
        <v>1.2111669593653485E-4</v>
      </c>
      <c r="E5" s="149">
        <f>D5*100000</f>
        <v>12.111669593653485</v>
      </c>
      <c r="F5" s="146">
        <v>232955</v>
      </c>
      <c r="G5" s="150">
        <f>'Step 6 Incidence GP, Out, In'!O37</f>
        <v>6185.4781809436136</v>
      </c>
      <c r="H5" s="151">
        <f>G5/F5</f>
        <v>2.6552244772353517E-2</v>
      </c>
      <c r="I5" s="152">
        <f>H5*100000</f>
        <v>2655.2244772353515</v>
      </c>
    </row>
    <row r="6" spans="1:9" x14ac:dyDescent="0.7">
      <c r="A6" s="153" t="s">
        <v>93</v>
      </c>
      <c r="B6" s="145">
        <v>340514</v>
      </c>
      <c r="C6" s="145">
        <v>110</v>
      </c>
      <c r="D6" s="148">
        <f t="shared" ref="D6:D23" si="0">C6/B6</f>
        <v>3.2304104970720736E-4</v>
      </c>
      <c r="E6" s="149">
        <f t="shared" ref="E6:E23" si="1">D6*100000</f>
        <v>32.304104970720736</v>
      </c>
      <c r="F6" s="146">
        <v>1017487</v>
      </c>
      <c r="G6" s="150">
        <f>'Step 6 Incidence GP, Out, In'!O38</f>
        <v>8154.9251801109822</v>
      </c>
      <c r="H6" s="151">
        <f t="shared" ref="H6:H23" si="2">G6/F6</f>
        <v>8.0147708817026476E-3</v>
      </c>
      <c r="I6" s="152">
        <f t="shared" ref="I6:I23" si="3">H6*100000</f>
        <v>801.47708817026478</v>
      </c>
    </row>
    <row r="7" spans="1:9" x14ac:dyDescent="0.7">
      <c r="A7" s="145" t="s">
        <v>94</v>
      </c>
      <c r="B7" s="145">
        <v>452563</v>
      </c>
      <c r="C7" s="145">
        <v>130</v>
      </c>
      <c r="D7" s="148">
        <f>C7/B7</f>
        <v>2.8725282446863751E-4</v>
      </c>
      <c r="E7" s="149">
        <f>D7*100000</f>
        <v>28.725282446863751</v>
      </c>
      <c r="F7" s="146">
        <v>1385255</v>
      </c>
      <c r="G7" s="150">
        <f>'Step 6 Incidence GP, Out, In'!O39</f>
        <v>1544.4453284317397</v>
      </c>
      <c r="H7" s="151">
        <f t="shared" si="2"/>
        <v>1.1149177071598656E-3</v>
      </c>
      <c r="I7" s="152">
        <f t="shared" si="3"/>
        <v>111.49177071598656</v>
      </c>
    </row>
    <row r="8" spans="1:9" x14ac:dyDescent="0.7">
      <c r="A8" s="145" t="s">
        <v>95</v>
      </c>
      <c r="B8" s="145">
        <v>471948</v>
      </c>
      <c r="C8" s="145">
        <v>58</v>
      </c>
      <c r="D8" s="148">
        <f t="shared" si="0"/>
        <v>1.2289489520031868E-4</v>
      </c>
      <c r="E8" s="149">
        <f t="shared" si="1"/>
        <v>12.289489520031868</v>
      </c>
      <c r="F8" s="146">
        <v>1384866</v>
      </c>
      <c r="G8" s="150">
        <f>'Step 6 Incidence GP, Out, In'!O40</f>
        <v>1159.0968610246928</v>
      </c>
      <c r="H8" s="151">
        <f t="shared" si="2"/>
        <v>8.3697401844271772E-4</v>
      </c>
      <c r="I8" s="152">
        <f t="shared" si="3"/>
        <v>83.697401844271766</v>
      </c>
    </row>
    <row r="9" spans="1:9" x14ac:dyDescent="0.7">
      <c r="A9" s="145" t="s">
        <v>96</v>
      </c>
      <c r="B9" s="145">
        <v>511180</v>
      </c>
      <c r="C9" s="145">
        <v>54</v>
      </c>
      <c r="D9" s="148">
        <f t="shared" si="0"/>
        <v>1.05637935756485E-4</v>
      </c>
      <c r="E9" s="149">
        <f t="shared" si="1"/>
        <v>10.5637935756485</v>
      </c>
      <c r="F9" s="146">
        <v>1391122</v>
      </c>
      <c r="G9" s="150">
        <f>'Step 6 Incidence GP, Out, In'!O41</f>
        <v>2626.367798574051</v>
      </c>
      <c r="H9" s="151">
        <f t="shared" si="2"/>
        <v>1.8879492945795199E-3</v>
      </c>
      <c r="I9" s="152">
        <f t="shared" si="3"/>
        <v>188.79492945795198</v>
      </c>
    </row>
    <row r="10" spans="1:9" x14ac:dyDescent="0.7">
      <c r="A10" s="145" t="s">
        <v>18</v>
      </c>
      <c r="B10" s="145">
        <v>525964</v>
      </c>
      <c r="C10" s="145">
        <v>121</v>
      </c>
      <c r="D10" s="148">
        <f t="shared" si="0"/>
        <v>2.3005376793849009E-4</v>
      </c>
      <c r="E10" s="149">
        <f t="shared" si="1"/>
        <v>23.00537679384901</v>
      </c>
      <c r="F10" s="146">
        <v>1472791</v>
      </c>
      <c r="G10" s="150">
        <f>'Step 6 Incidence GP, Out, In'!O42</f>
        <v>6410.660883172679</v>
      </c>
      <c r="H10" s="151">
        <f t="shared" si="2"/>
        <v>4.3527295340429692E-3</v>
      </c>
      <c r="I10" s="152">
        <f t="shared" si="3"/>
        <v>435.27295340429691</v>
      </c>
    </row>
    <row r="11" spans="1:9" x14ac:dyDescent="0.7">
      <c r="A11" s="145" t="s">
        <v>19</v>
      </c>
      <c r="B11" s="145">
        <v>545838</v>
      </c>
      <c r="C11" s="145">
        <v>155</v>
      </c>
      <c r="D11" s="148">
        <f t="shared" si="0"/>
        <v>2.839670378390658E-4</v>
      </c>
      <c r="E11" s="149">
        <f t="shared" si="1"/>
        <v>28.396703783906581</v>
      </c>
      <c r="F11" s="146">
        <v>1607399</v>
      </c>
      <c r="G11" s="150">
        <f>'Step 6 Incidence GP, Out, In'!O43</f>
        <v>6618.807739125612</v>
      </c>
      <c r="H11" s="151">
        <f t="shared" si="2"/>
        <v>4.1177129879548342E-3</v>
      </c>
      <c r="I11" s="152">
        <f t="shared" si="3"/>
        <v>411.7712987954834</v>
      </c>
    </row>
    <row r="12" spans="1:9" x14ac:dyDescent="0.7">
      <c r="A12" s="145" t="s">
        <v>20</v>
      </c>
      <c r="B12" s="145">
        <v>522235</v>
      </c>
      <c r="C12" s="145">
        <v>131</v>
      </c>
      <c r="D12" s="148">
        <f t="shared" si="0"/>
        <v>2.5084492613478606E-4</v>
      </c>
      <c r="E12" s="149">
        <f t="shared" si="1"/>
        <v>25.084492613478606</v>
      </c>
      <c r="F12" s="146">
        <v>1761403</v>
      </c>
      <c r="G12" s="150">
        <f>'Step 6 Incidence GP, Out, In'!O44</f>
        <v>7939.7274951059189</v>
      </c>
      <c r="H12" s="151">
        <f t="shared" si="2"/>
        <v>4.5076155173494762E-3</v>
      </c>
      <c r="I12" s="152">
        <f t="shared" si="3"/>
        <v>450.7615517349476</v>
      </c>
    </row>
    <row r="13" spans="1:9" x14ac:dyDescent="0.7">
      <c r="A13" s="145" t="s">
        <v>21</v>
      </c>
      <c r="B13" s="145">
        <v>512431</v>
      </c>
      <c r="C13" s="145">
        <v>105</v>
      </c>
      <c r="D13" s="148">
        <f t="shared" si="0"/>
        <v>2.0490563607588144E-4</v>
      </c>
      <c r="E13" s="149">
        <f t="shared" si="1"/>
        <v>20.490563607588143</v>
      </c>
      <c r="F13" s="146">
        <v>2037299</v>
      </c>
      <c r="G13" s="150">
        <f>'Step 6 Incidence GP, Out, In'!O45</f>
        <v>10088.14769719902</v>
      </c>
      <c r="H13" s="151">
        <f t="shared" si="2"/>
        <v>4.9517266229448988E-3</v>
      </c>
      <c r="I13" s="152">
        <f t="shared" si="3"/>
        <v>495.1726622944899</v>
      </c>
    </row>
    <row r="14" spans="1:9" x14ac:dyDescent="0.7">
      <c r="A14" s="145" t="s">
        <v>22</v>
      </c>
      <c r="B14" s="145">
        <v>521589</v>
      </c>
      <c r="C14" s="145">
        <v>100</v>
      </c>
      <c r="D14" s="148">
        <f t="shared" si="0"/>
        <v>1.917218346245799E-4</v>
      </c>
      <c r="E14" s="149">
        <f t="shared" si="1"/>
        <v>19.172183462457991</v>
      </c>
      <c r="F14" s="146">
        <v>2399975</v>
      </c>
      <c r="G14" s="150">
        <f>'Step 6 Incidence GP, Out, In'!O46</f>
        <v>13998.750833834891</v>
      </c>
      <c r="H14" s="151">
        <f t="shared" si="2"/>
        <v>5.8328736065312728E-3</v>
      </c>
      <c r="I14" s="152">
        <f t="shared" si="3"/>
        <v>583.28736065312728</v>
      </c>
    </row>
    <row r="15" spans="1:9" x14ac:dyDescent="0.7">
      <c r="A15" s="145" t="s">
        <v>23</v>
      </c>
      <c r="B15" s="145">
        <v>634635</v>
      </c>
      <c r="C15" s="145">
        <v>173</v>
      </c>
      <c r="D15" s="148">
        <f t="shared" si="0"/>
        <v>2.7259763486098309E-4</v>
      </c>
      <c r="E15" s="149">
        <f t="shared" si="1"/>
        <v>27.259763486098308</v>
      </c>
      <c r="F15" s="146">
        <v>2490023</v>
      </c>
      <c r="G15" s="150">
        <f>'Step 6 Incidence GP, Out, In'!O47</f>
        <v>14391.657428543742</v>
      </c>
      <c r="H15" s="151">
        <f t="shared" si="2"/>
        <v>5.7797287127643966E-3</v>
      </c>
      <c r="I15" s="152">
        <f t="shared" si="3"/>
        <v>577.97287127643961</v>
      </c>
    </row>
    <row r="16" spans="1:9" x14ac:dyDescent="0.7">
      <c r="A16" s="145" t="s">
        <v>24</v>
      </c>
      <c r="B16" s="145">
        <v>635623</v>
      </c>
      <c r="C16" s="145">
        <v>227</v>
      </c>
      <c r="D16" s="148">
        <f t="shared" si="0"/>
        <v>3.5712993393882854E-4</v>
      </c>
      <c r="E16" s="149">
        <f t="shared" si="1"/>
        <v>35.712993393882854</v>
      </c>
      <c r="F16" s="154">
        <v>2420239</v>
      </c>
      <c r="G16" s="150">
        <f>'Step 6 Incidence GP, Out, In'!O48</f>
        <v>24738.048064176975</v>
      </c>
      <c r="H16" s="151">
        <f t="shared" si="2"/>
        <v>1.0221324449435356E-2</v>
      </c>
      <c r="I16" s="152">
        <f t="shared" si="3"/>
        <v>1022.1324449435356</v>
      </c>
    </row>
    <row r="17" spans="1:9" x14ac:dyDescent="0.7">
      <c r="A17" s="145" t="s">
        <v>25</v>
      </c>
      <c r="B17" s="145">
        <v>605380</v>
      </c>
      <c r="C17" s="145">
        <v>362</v>
      </c>
      <c r="D17" s="148">
        <f t="shared" si="0"/>
        <v>5.9797152201922763E-4</v>
      </c>
      <c r="E17" s="149">
        <f t="shared" si="1"/>
        <v>59.797152201922763</v>
      </c>
      <c r="F17" s="145">
        <v>2110923</v>
      </c>
      <c r="G17" s="150">
        <f>'Step 6 Incidence GP, Out, In'!O49</f>
        <v>25965.402527412767</v>
      </c>
      <c r="H17" s="151">
        <f t="shared" si="2"/>
        <v>1.2300497236238729E-2</v>
      </c>
      <c r="I17" s="152">
        <f t="shared" si="3"/>
        <v>1230.049723623873</v>
      </c>
    </row>
    <row r="18" spans="1:9" x14ac:dyDescent="0.7">
      <c r="A18" s="145" t="s">
        <v>26</v>
      </c>
      <c r="B18" s="145">
        <v>542198</v>
      </c>
      <c r="C18" s="145">
        <v>364</v>
      </c>
      <c r="D18" s="148">
        <f t="shared" si="0"/>
        <v>6.7134146566383496E-4</v>
      </c>
      <c r="E18" s="149">
        <f t="shared" si="1"/>
        <v>67.134146566383492</v>
      </c>
      <c r="F18" s="145">
        <v>1891237</v>
      </c>
      <c r="G18" s="150">
        <f>'Step 6 Incidence GP, Out, In'!O50</f>
        <v>26512.889760654369</v>
      </c>
      <c r="H18" s="151">
        <f t="shared" si="2"/>
        <v>1.4018808727121121E-2</v>
      </c>
      <c r="I18" s="152">
        <f t="shared" si="3"/>
        <v>1401.880872712112</v>
      </c>
    </row>
    <row r="19" spans="1:9" x14ac:dyDescent="0.7">
      <c r="A19" s="145" t="s">
        <v>27</v>
      </c>
      <c r="B19" s="145">
        <v>503662</v>
      </c>
      <c r="C19" s="145">
        <v>388</v>
      </c>
      <c r="D19" s="148">
        <f t="shared" si="0"/>
        <v>7.7035789874955823E-4</v>
      </c>
      <c r="E19" s="149">
        <f t="shared" si="1"/>
        <v>77.035789874955825</v>
      </c>
      <c r="F19" s="145">
        <v>1927499</v>
      </c>
      <c r="G19" s="150">
        <f>'Step 6 Incidence GP, Out, In'!O51</f>
        <v>29486.046834826317</v>
      </c>
      <c r="H19" s="151">
        <f t="shared" si="2"/>
        <v>1.5297567902668856E-2</v>
      </c>
      <c r="I19" s="152">
        <f t="shared" si="3"/>
        <v>1529.7567902668857</v>
      </c>
    </row>
    <row r="20" spans="1:9" x14ac:dyDescent="0.7">
      <c r="A20" s="145" t="s">
        <v>28</v>
      </c>
      <c r="B20" s="145">
        <v>447439</v>
      </c>
      <c r="C20" s="145">
        <v>499</v>
      </c>
      <c r="D20" s="148">
        <f t="shared" si="0"/>
        <v>1.1152358198547735E-3</v>
      </c>
      <c r="E20" s="149">
        <f t="shared" si="1"/>
        <v>111.52358198547735</v>
      </c>
      <c r="F20" s="145">
        <v>1533451</v>
      </c>
      <c r="G20" s="150">
        <f>'Step 6 Incidence GP, Out, In'!O52</f>
        <v>22992.536920564671</v>
      </c>
      <c r="H20" s="151">
        <f t="shared" si="2"/>
        <v>1.4993982149129429E-2</v>
      </c>
      <c r="I20" s="152">
        <f t="shared" si="3"/>
        <v>1499.3982149129429</v>
      </c>
    </row>
    <row r="21" spans="1:9" x14ac:dyDescent="0.7">
      <c r="A21" s="145" t="s">
        <v>29</v>
      </c>
      <c r="B21" s="145">
        <v>314838</v>
      </c>
      <c r="C21" s="145">
        <v>540</v>
      </c>
      <c r="D21" s="148">
        <f t="shared" si="0"/>
        <v>1.7151678005831571E-3</v>
      </c>
      <c r="E21" s="149">
        <f t="shared" si="1"/>
        <v>171.5167800583157</v>
      </c>
      <c r="F21" s="145">
        <v>1552174</v>
      </c>
      <c r="G21" s="150">
        <f>'Step 6 Incidence GP, Out, In'!O53</f>
        <v>24925.595125199863</v>
      </c>
      <c r="H21" s="151">
        <f t="shared" si="2"/>
        <v>1.6058505763657853E-2</v>
      </c>
      <c r="I21" s="152">
        <f t="shared" si="3"/>
        <v>1605.8505763657854</v>
      </c>
    </row>
    <row r="22" spans="1:9" x14ac:dyDescent="0.7">
      <c r="A22" s="145" t="s">
        <v>30</v>
      </c>
      <c r="B22" s="145">
        <v>235430</v>
      </c>
      <c r="C22" s="145">
        <v>525</v>
      </c>
      <c r="D22" s="148">
        <f t="shared" si="0"/>
        <v>2.2299621968313297E-3</v>
      </c>
      <c r="E22" s="149">
        <f t="shared" si="1"/>
        <v>222.99621968313298</v>
      </c>
      <c r="F22" s="145">
        <v>1227709</v>
      </c>
      <c r="G22" s="150">
        <f>'Step 6 Incidence GP, Out, In'!O54</f>
        <v>18860.580139769034</v>
      </c>
      <c r="H22" s="151">
        <f t="shared" si="2"/>
        <v>1.536241905839986E-2</v>
      </c>
      <c r="I22" s="152">
        <f t="shared" si="3"/>
        <v>1536.241905839986</v>
      </c>
    </row>
    <row r="23" spans="1:9" x14ac:dyDescent="0.7">
      <c r="A23" s="145" t="s">
        <v>31</v>
      </c>
      <c r="B23" s="145">
        <v>248011</v>
      </c>
      <c r="C23" s="145">
        <v>820</v>
      </c>
      <c r="D23" s="148">
        <f t="shared" si="0"/>
        <v>3.3063049622798989E-3</v>
      </c>
      <c r="E23" s="149">
        <f t="shared" si="1"/>
        <v>330.63049622798991</v>
      </c>
      <c r="F23" s="145">
        <v>1365423</v>
      </c>
      <c r="G23" s="150">
        <f>'Step 6 Incidence GP, Out, In'!O55</f>
        <v>21840.89698605374</v>
      </c>
      <c r="H23" s="151">
        <f t="shared" si="2"/>
        <v>1.5995700223340122E-2</v>
      </c>
      <c r="I23" s="152">
        <f t="shared" si="3"/>
        <v>1599.5700223340123</v>
      </c>
    </row>
    <row r="24" spans="1:9" ht="16.5" x14ac:dyDescent="0.75">
      <c r="A24" s="155" t="s">
        <v>97</v>
      </c>
      <c r="B24" s="145"/>
      <c r="C24" s="145"/>
      <c r="D24" s="156"/>
      <c r="E24" s="157"/>
      <c r="F24" s="145"/>
      <c r="G24" s="158"/>
      <c r="H24" s="156"/>
      <c r="I24" s="159"/>
    </row>
    <row r="25" spans="1:9" x14ac:dyDescent="0.7">
      <c r="A25" s="147">
        <v>0</v>
      </c>
      <c r="B25" s="145">
        <v>87001</v>
      </c>
      <c r="C25" s="145">
        <v>12</v>
      </c>
      <c r="D25" s="148">
        <f>C25/B25</f>
        <v>1.379294490867921E-4</v>
      </c>
      <c r="E25" s="149">
        <f>D25*100000</f>
        <v>13.79294490867921</v>
      </c>
      <c r="F25" s="145">
        <v>246656</v>
      </c>
      <c r="G25" s="158">
        <f>'Step 6 Incidence GP, Out, In'!H37</f>
        <v>10515.557782466683</v>
      </c>
      <c r="H25" s="151">
        <f>G25/F25</f>
        <v>4.2632483225490903E-2</v>
      </c>
      <c r="I25" s="152">
        <f>H25*100000</f>
        <v>4263.2483225490905</v>
      </c>
    </row>
    <row r="26" spans="1:9" x14ac:dyDescent="0.7">
      <c r="A26" s="153" t="s">
        <v>93</v>
      </c>
      <c r="B26" s="145">
        <v>358019</v>
      </c>
      <c r="C26" s="145">
        <v>21</v>
      </c>
      <c r="D26" s="148">
        <f t="shared" ref="D26:D43" si="4">C26/B26</f>
        <v>5.8656104843597687E-5</v>
      </c>
      <c r="E26" s="149">
        <f t="shared" ref="E26:E43" si="5">D26*100000</f>
        <v>5.8656104843597685</v>
      </c>
      <c r="F26" s="145">
        <v>1075850</v>
      </c>
      <c r="G26" s="158">
        <f>'Step 6 Incidence GP, Out, In'!H38</f>
        <v>12418.739662329874</v>
      </c>
      <c r="H26" s="151">
        <f t="shared" ref="H26:H43" si="6">G26/F26</f>
        <v>1.1543188792424478E-2</v>
      </c>
      <c r="I26" s="152">
        <f t="shared" ref="I26:I43" si="7">H26*100000</f>
        <v>1154.3188792424478</v>
      </c>
    </row>
    <row r="27" spans="1:9" x14ac:dyDescent="0.7">
      <c r="A27" s="145" t="s">
        <v>94</v>
      </c>
      <c r="B27" s="145">
        <v>475503</v>
      </c>
      <c r="C27" s="145">
        <v>10</v>
      </c>
      <c r="D27" s="148">
        <f t="shared" si="4"/>
        <v>2.1030361532945112E-5</v>
      </c>
      <c r="E27" s="149">
        <f t="shared" si="5"/>
        <v>2.1030361532945112</v>
      </c>
      <c r="F27" s="145">
        <v>1469465</v>
      </c>
      <c r="G27" s="158">
        <f>'Step 6 Incidence GP, Out, In'!H39</f>
        <v>4713.8171661127326</v>
      </c>
      <c r="H27" s="151">
        <f t="shared" si="6"/>
        <v>3.2078458255982503E-3</v>
      </c>
      <c r="I27" s="152">
        <f t="shared" si="7"/>
        <v>320.78458255982503</v>
      </c>
    </row>
    <row r="28" spans="1:9" x14ac:dyDescent="0.7">
      <c r="A28" s="145" t="s">
        <v>95</v>
      </c>
      <c r="B28" s="145">
        <v>494511</v>
      </c>
      <c r="C28" s="145">
        <v>8</v>
      </c>
      <c r="D28" s="148">
        <f t="shared" si="4"/>
        <v>1.6177597667190415E-5</v>
      </c>
      <c r="E28" s="149">
        <f t="shared" si="5"/>
        <v>1.6177597667190415</v>
      </c>
      <c r="F28" s="145">
        <v>1469325</v>
      </c>
      <c r="G28" s="158">
        <f>'Step 6 Incidence GP, Out, In'!H40</f>
        <v>849.52951686758547</v>
      </c>
      <c r="H28" s="151">
        <f t="shared" si="6"/>
        <v>5.7817672527697109E-4</v>
      </c>
      <c r="I28" s="152">
        <f t="shared" si="7"/>
        <v>57.817672527697113</v>
      </c>
    </row>
    <row r="29" spans="1:9" x14ac:dyDescent="0.7">
      <c r="A29" s="145" t="s">
        <v>96</v>
      </c>
      <c r="B29" s="145">
        <v>536852</v>
      </c>
      <c r="C29" s="145">
        <v>15</v>
      </c>
      <c r="D29" s="148">
        <f t="shared" si="4"/>
        <v>2.7940661485847123E-5</v>
      </c>
      <c r="E29" s="149">
        <f t="shared" si="5"/>
        <v>2.7940661485847125</v>
      </c>
      <c r="F29" s="145">
        <v>1490426</v>
      </c>
      <c r="G29" s="158">
        <f>'Step 6 Incidence GP, Out, In'!H41</f>
        <v>1712.2785437938319</v>
      </c>
      <c r="H29" s="151">
        <f t="shared" si="6"/>
        <v>1.1488517670745356E-3</v>
      </c>
      <c r="I29" s="152">
        <f t="shared" si="7"/>
        <v>114.88517670745357</v>
      </c>
    </row>
    <row r="30" spans="1:9" x14ac:dyDescent="0.7">
      <c r="A30" s="145" t="s">
        <v>18</v>
      </c>
      <c r="B30" s="145">
        <v>542817</v>
      </c>
      <c r="C30" s="145">
        <v>15</v>
      </c>
      <c r="D30" s="148">
        <f t="shared" si="4"/>
        <v>2.7633622381023439E-5</v>
      </c>
      <c r="E30" s="149">
        <f t="shared" si="5"/>
        <v>2.7633622381023439</v>
      </c>
      <c r="F30" s="145">
        <v>1563396</v>
      </c>
      <c r="G30" s="158">
        <f>'Step 6 Incidence GP, Out, In'!H42</f>
        <v>4037.3904055943449</v>
      </c>
      <c r="H30" s="151">
        <f t="shared" si="6"/>
        <v>2.5824489800372681E-3</v>
      </c>
      <c r="I30" s="152">
        <f t="shared" si="7"/>
        <v>258.2448980037268</v>
      </c>
    </row>
    <row r="31" spans="1:9" x14ac:dyDescent="0.7">
      <c r="A31" s="145" t="s">
        <v>19</v>
      </c>
      <c r="B31" s="145">
        <v>560319</v>
      </c>
      <c r="C31" s="145">
        <v>31</v>
      </c>
      <c r="D31" s="148">
        <f t="shared" si="4"/>
        <v>5.5325627008900288E-5</v>
      </c>
      <c r="E31" s="149">
        <f t="shared" si="5"/>
        <v>5.5325627008900291</v>
      </c>
      <c r="F31" s="145">
        <v>1653304</v>
      </c>
      <c r="G31" s="158">
        <f>'Step 6 Incidence GP, Out, In'!H43</f>
        <v>3048.6162262749463</v>
      </c>
      <c r="H31" s="151">
        <f t="shared" si="6"/>
        <v>1.8439538199114902E-3</v>
      </c>
      <c r="I31" s="152">
        <f t="shared" si="7"/>
        <v>184.39538199114901</v>
      </c>
    </row>
    <row r="32" spans="1:9" x14ac:dyDescent="0.7">
      <c r="A32" s="145" t="s">
        <v>20</v>
      </c>
      <c r="B32" s="145">
        <v>530554</v>
      </c>
      <c r="C32" s="145">
        <v>35</v>
      </c>
      <c r="D32" s="148">
        <f t="shared" si="4"/>
        <v>6.5968779803752308E-5</v>
      </c>
      <c r="E32" s="149">
        <f t="shared" si="5"/>
        <v>6.5968779803752309</v>
      </c>
      <c r="F32" s="145">
        <v>1776419</v>
      </c>
      <c r="G32" s="158">
        <f>'Step 6 Incidence GP, Out, In'!H44</f>
        <v>3479.0542050751819</v>
      </c>
      <c r="H32" s="151">
        <f t="shared" si="6"/>
        <v>1.9584648695353864E-3</v>
      </c>
      <c r="I32" s="152">
        <f t="shared" si="7"/>
        <v>195.84648695353863</v>
      </c>
    </row>
    <row r="33" spans="1:9" x14ac:dyDescent="0.7">
      <c r="A33" s="145" t="s">
        <v>21</v>
      </c>
      <c r="B33" s="145">
        <v>512925</v>
      </c>
      <c r="C33" s="145">
        <v>19</v>
      </c>
      <c r="D33" s="148">
        <f t="shared" si="4"/>
        <v>3.7042452600282694E-5</v>
      </c>
      <c r="E33" s="149">
        <f t="shared" si="5"/>
        <v>3.7042452600282694</v>
      </c>
      <c r="F33" s="145">
        <v>2043171</v>
      </c>
      <c r="G33" s="158">
        <f>'Step 6 Incidence GP, Out, In'!H45</f>
        <v>9547.7440414135963</v>
      </c>
      <c r="H33" s="151">
        <f t="shared" si="6"/>
        <v>4.6730029162579132E-3</v>
      </c>
      <c r="I33" s="152">
        <f t="shared" si="7"/>
        <v>467.30029162579132</v>
      </c>
    </row>
    <row r="34" spans="1:9" x14ac:dyDescent="0.7">
      <c r="A34" s="145" t="s">
        <v>22</v>
      </c>
      <c r="B34" s="145">
        <v>516723</v>
      </c>
      <c r="C34" s="145">
        <v>35</v>
      </c>
      <c r="D34" s="148">
        <f t="shared" si="4"/>
        <v>6.7734550232910083E-5</v>
      </c>
      <c r="E34" s="149">
        <f t="shared" si="5"/>
        <v>6.7734550232910085</v>
      </c>
      <c r="F34" s="145">
        <v>2380558</v>
      </c>
      <c r="G34" s="158">
        <f>'Step 6 Incidence GP, Out, In'!H46</f>
        <v>4098.446386013039</v>
      </c>
      <c r="H34" s="151">
        <f t="shared" si="6"/>
        <v>1.7216326533581786E-3</v>
      </c>
      <c r="I34" s="152">
        <f t="shared" si="7"/>
        <v>172.16326533581787</v>
      </c>
    </row>
    <row r="35" spans="1:9" x14ac:dyDescent="0.7">
      <c r="A35" s="145" t="s">
        <v>23</v>
      </c>
      <c r="B35" s="145">
        <v>634188</v>
      </c>
      <c r="C35" s="145">
        <v>69</v>
      </c>
      <c r="D35" s="148">
        <f t="shared" si="4"/>
        <v>1.0880054494881643E-4</v>
      </c>
      <c r="E35" s="149">
        <f t="shared" si="5"/>
        <v>10.880054494881643</v>
      </c>
      <c r="F35" s="145">
        <v>2441662</v>
      </c>
      <c r="G35" s="158">
        <f>'Step 6 Incidence GP, Out, In'!H47</f>
        <v>10417.195998152407</v>
      </c>
      <c r="H35" s="151">
        <f t="shared" si="6"/>
        <v>4.2664365494292028E-3</v>
      </c>
      <c r="I35" s="152">
        <f t="shared" si="7"/>
        <v>426.64365494292031</v>
      </c>
    </row>
    <row r="36" spans="1:9" x14ac:dyDescent="0.7">
      <c r="A36" s="145" t="s">
        <v>24</v>
      </c>
      <c r="B36" s="145">
        <v>644223</v>
      </c>
      <c r="C36" s="145">
        <v>114</v>
      </c>
      <c r="D36" s="148">
        <f t="shared" si="4"/>
        <v>1.769573579335106E-4</v>
      </c>
      <c r="E36" s="149">
        <f t="shared" si="5"/>
        <v>17.695735793351059</v>
      </c>
      <c r="F36" s="145">
        <v>2337449</v>
      </c>
      <c r="G36" s="158">
        <f>'Step 6 Incidence GP, Out, In'!H48</f>
        <v>11303.959101568133</v>
      </c>
      <c r="H36" s="151">
        <f t="shared" si="6"/>
        <v>4.8360238454691982E-3</v>
      </c>
      <c r="I36" s="152">
        <f t="shared" si="7"/>
        <v>483.60238454691984</v>
      </c>
    </row>
    <row r="37" spans="1:9" x14ac:dyDescent="0.7">
      <c r="A37" s="145" t="s">
        <v>25</v>
      </c>
      <c r="B37" s="145">
        <v>606130</v>
      </c>
      <c r="C37" s="145">
        <v>163</v>
      </c>
      <c r="D37" s="148">
        <f t="shared" si="4"/>
        <v>2.6891920875059803E-4</v>
      </c>
      <c r="E37" s="149">
        <f t="shared" si="5"/>
        <v>26.891920875059803</v>
      </c>
      <c r="F37" s="145">
        <v>1990139</v>
      </c>
      <c r="G37" s="158">
        <f>'Step 6 Incidence GP, Out, In'!H49</f>
        <v>10321.782911554345</v>
      </c>
      <c r="H37" s="151">
        <f t="shared" si="6"/>
        <v>5.1864633131426217E-3</v>
      </c>
      <c r="I37" s="152">
        <f t="shared" si="7"/>
        <v>518.64633131426217</v>
      </c>
    </row>
    <row r="38" spans="1:9" x14ac:dyDescent="0.7">
      <c r="A38" s="145" t="s">
        <v>26</v>
      </c>
      <c r="B38" s="145">
        <v>537540</v>
      </c>
      <c r="C38" s="145">
        <v>216</v>
      </c>
      <c r="D38" s="148">
        <f t="shared" si="4"/>
        <v>4.0183056144659E-4</v>
      </c>
      <c r="E38" s="149">
        <f t="shared" si="5"/>
        <v>40.183056144658998</v>
      </c>
      <c r="F38" s="145">
        <v>1755003</v>
      </c>
      <c r="G38" s="158">
        <f>'Step 6 Incidence GP, Out, In'!H50</f>
        <v>30703.064234150879</v>
      </c>
      <c r="H38" s="151">
        <f t="shared" si="6"/>
        <v>1.7494593589954477E-2</v>
      </c>
      <c r="I38" s="152">
        <f t="shared" si="7"/>
        <v>1749.4593589954477</v>
      </c>
    </row>
    <row r="39" spans="1:9" x14ac:dyDescent="0.7">
      <c r="A39" s="145" t="s">
        <v>27</v>
      </c>
      <c r="B39" s="145">
        <v>495875</v>
      </c>
      <c r="C39" s="145">
        <v>349</v>
      </c>
      <c r="D39" s="148">
        <f t="shared" si="4"/>
        <v>7.0380640282329216E-4</v>
      </c>
      <c r="E39" s="149">
        <f t="shared" si="5"/>
        <v>70.38064028232921</v>
      </c>
      <c r="F39" s="145">
        <v>1757419</v>
      </c>
      <c r="G39" s="158">
        <f>'Step 6 Incidence GP, Out, In'!H51</f>
        <v>37110.668399174283</v>
      </c>
      <c r="H39" s="151">
        <f t="shared" si="6"/>
        <v>2.1116574020864851E-2</v>
      </c>
      <c r="I39" s="152">
        <f t="shared" si="7"/>
        <v>2111.657402086485</v>
      </c>
    </row>
    <row r="40" spans="1:9" x14ac:dyDescent="0.7">
      <c r="A40" s="145" t="s">
        <v>28</v>
      </c>
      <c r="B40" s="145">
        <v>424486</v>
      </c>
      <c r="C40" s="145">
        <v>440</v>
      </c>
      <c r="D40" s="148">
        <f t="shared" si="4"/>
        <v>1.0365477306672069E-3</v>
      </c>
      <c r="E40" s="149">
        <f t="shared" si="5"/>
        <v>103.65477306672069</v>
      </c>
      <c r="F40" s="145">
        <v>1322775</v>
      </c>
      <c r="G40" s="158">
        <f>'Step 6 Incidence GP, Out, In'!H52</f>
        <v>21429.652017032935</v>
      </c>
      <c r="H40" s="151">
        <f t="shared" si="6"/>
        <v>1.6200526935444753E-2</v>
      </c>
      <c r="I40" s="152">
        <f t="shared" si="7"/>
        <v>1620.0526935444752</v>
      </c>
    </row>
    <row r="41" spans="1:9" x14ac:dyDescent="0.7">
      <c r="A41" s="145" t="s">
        <v>29</v>
      </c>
      <c r="B41" s="145">
        <v>273902</v>
      </c>
      <c r="C41" s="145">
        <v>437</v>
      </c>
      <c r="D41" s="148">
        <f t="shared" si="4"/>
        <v>1.5954611503384423E-3</v>
      </c>
      <c r="E41" s="149">
        <f t="shared" si="5"/>
        <v>159.54611503384422</v>
      </c>
      <c r="F41" s="145">
        <v>1227379</v>
      </c>
      <c r="G41" s="158">
        <f>'Step 6 Incidence GP, Out, In'!H53</f>
        <v>17312.283029027345</v>
      </c>
      <c r="H41" s="151">
        <f t="shared" si="6"/>
        <v>1.4105083294587364E-2</v>
      </c>
      <c r="I41" s="152">
        <f t="shared" si="7"/>
        <v>1410.5083294587364</v>
      </c>
    </row>
    <row r="42" spans="1:9" x14ac:dyDescent="0.7">
      <c r="A42" s="145" t="s">
        <v>30</v>
      </c>
      <c r="B42" s="145">
        <v>172825</v>
      </c>
      <c r="C42" s="145">
        <v>357</v>
      </c>
      <c r="D42" s="148">
        <f t="shared" si="4"/>
        <v>2.0656733690148994E-3</v>
      </c>
      <c r="E42" s="149">
        <f t="shared" si="5"/>
        <v>206.56733690148994</v>
      </c>
      <c r="F42" s="145">
        <v>826785</v>
      </c>
      <c r="G42" s="158">
        <f>'Step 6 Incidence GP, Out, In'!H54</f>
        <v>13985.042672214302</v>
      </c>
      <c r="H42" s="151">
        <f t="shared" si="6"/>
        <v>1.6914969033320997E-2</v>
      </c>
      <c r="I42" s="152">
        <f t="shared" si="7"/>
        <v>1691.4969033320997</v>
      </c>
    </row>
    <row r="43" spans="1:9" x14ac:dyDescent="0.7">
      <c r="A43" s="145" t="s">
        <v>31</v>
      </c>
      <c r="B43" s="145">
        <v>122648</v>
      </c>
      <c r="C43" s="145">
        <v>368</v>
      </c>
      <c r="D43" s="148">
        <f t="shared" si="4"/>
        <v>3.0004565912204032E-3</v>
      </c>
      <c r="E43" s="149">
        <f t="shared" si="5"/>
        <v>300.04565912204032</v>
      </c>
      <c r="F43" s="145">
        <v>629140</v>
      </c>
      <c r="G43" s="158">
        <f>'Step 6 Incidence GP, Out, In'!H55</f>
        <v>8887.4328379602193</v>
      </c>
      <c r="H43" s="151">
        <f t="shared" si="6"/>
        <v>1.4126319798391804E-2</v>
      </c>
      <c r="I43" s="152">
        <f t="shared" si="7"/>
        <v>1412.6319798391803</v>
      </c>
    </row>
    <row r="44" spans="1:9" x14ac:dyDescent="0.7">
      <c r="A44" s="145"/>
      <c r="B44" s="145"/>
      <c r="C44" s="145"/>
      <c r="D44" s="156"/>
      <c r="E44" s="157"/>
      <c r="F44" s="145"/>
      <c r="G44" s="145"/>
      <c r="H44" s="160"/>
      <c r="I44" s="159"/>
    </row>
    <row r="45" spans="1:9" x14ac:dyDescent="0.7">
      <c r="A45" s="161" t="s">
        <v>36</v>
      </c>
      <c r="B45" s="145">
        <f>SUM(B5:B43)</f>
        <v>17181084</v>
      </c>
      <c r="C45" s="145">
        <f t="shared" ref="C45" si="8">SUM(C5:C43)</f>
        <v>7586</v>
      </c>
      <c r="D45" s="148">
        <f>C45/B45</f>
        <v>4.4153209424969926E-4</v>
      </c>
      <c r="E45" s="157">
        <f>(C45/B45)*100000</f>
        <v>44.153209424969923</v>
      </c>
      <c r="F45" s="145">
        <f>SUM(F5:F43)</f>
        <v>60665551</v>
      </c>
      <c r="G45" s="158">
        <f>SUM(G5:G43)</f>
        <v>490332.31692150142</v>
      </c>
      <c r="H45" s="162">
        <f>G45/F45</f>
        <v>8.0825494673492943E-3</v>
      </c>
      <c r="I45" s="159">
        <f>('Step 6 Incidence GP, Out, In'!P56/'Step 5 Incidence age groups'!D105)*100000</f>
        <v>808.25494673492926</v>
      </c>
    </row>
    <row r="46" spans="1:9" x14ac:dyDescent="0.7">
      <c r="A46" s="145"/>
      <c r="B46" s="145"/>
      <c r="C46" s="145"/>
      <c r="D46" s="145"/>
      <c r="E46" s="145"/>
      <c r="F46" s="145"/>
      <c r="G46" s="145"/>
      <c r="H46" s="145"/>
      <c r="I46" s="145"/>
    </row>
  </sheetData>
  <mergeCells count="4">
    <mergeCell ref="B1:E1"/>
    <mergeCell ref="F1:I1"/>
    <mergeCell ref="B2:E2"/>
    <mergeCell ref="F2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1-4 Incidence non rec GP</vt:lpstr>
      <vt:lpstr>Step 5 Incidence age groups</vt:lpstr>
      <vt:lpstr>Step 6 Incidence GP, Out, In</vt:lpstr>
      <vt:lpstr>Age Sex Distribution Inf.</vt:lpstr>
      <vt:lpstr>Table 3 excl. 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Godijk</dc:creator>
  <cp:lastModifiedBy>Noor Godijk</cp:lastModifiedBy>
  <dcterms:created xsi:type="dcterms:W3CDTF">2021-08-25T07:51:24Z</dcterms:created>
  <dcterms:modified xsi:type="dcterms:W3CDTF">2021-08-30T08:14:05Z</dcterms:modified>
</cp:coreProperties>
</file>