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/Users/ericandrews/Desktop/Youtube/3 Statement Financial Model/"/>
    </mc:Choice>
  </mc:AlternateContent>
  <xr:revisionPtr revIDLastSave="1013" documentId="11_04FEE443CF5CC573CC335A564F0C0E72CA740499" xr6:coauthVersionLast="46" xr6:coauthVersionMax="46" xr10:uidLastSave="{07FA52A8-3055-4E05-B038-701AE52D92F9}"/>
  <bookViews>
    <workbookView xWindow="180" yWindow="820" windowWidth="28600" windowHeight="16120" tabRatio="727" firstSheet="2" activeTab="4" xr2:uid="{00000000-000D-0000-FFFF-FFFF00000000}"/>
  </bookViews>
  <sheets>
    <sheet name="Income Statement" sheetId="3" r:id="rId1"/>
    <sheet name="Capex &amp; Depreciation Schedule" sheetId="2" r:id="rId2"/>
    <sheet name="Balance Sheet" sheetId="1" r:id="rId3"/>
    <sheet name="Cash Flow Statement" sheetId="4" r:id="rId4"/>
    <sheet name="Sensitivity_Analysis1" sheetId="8" r:id="rId5"/>
    <sheet name="Sensitivity_Analysis2" sheetId="9" r:id="rId6"/>
    <sheet name="Market Share" sheetId="10" r:id="rId7"/>
  </sheets>
  <calcPr calcId="191028" iterate="1" calcCompleted="0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1" l="1"/>
  <c r="B51" i="3"/>
  <c r="B49" i="3"/>
  <c r="B10" i="9"/>
  <c r="G5" i="9"/>
  <c r="B10" i="8"/>
  <c r="E4" i="8"/>
  <c r="B6" i="10"/>
  <c r="B73" i="1"/>
  <c r="C8" i="1"/>
  <c r="C7" i="1"/>
  <c r="C21" i="1"/>
  <c r="C20" i="1"/>
  <c r="B10" i="3"/>
  <c r="B19" i="3"/>
  <c r="B30" i="1"/>
  <c r="B21" i="1"/>
  <c r="B24" i="1"/>
  <c r="B20" i="1"/>
  <c r="B19" i="1"/>
  <c r="B18" i="1"/>
  <c r="B11" i="1"/>
  <c r="B10" i="1"/>
  <c r="B7" i="1"/>
  <c r="B6" i="1"/>
  <c r="B5" i="1"/>
  <c r="B72" i="1"/>
  <c r="B9" i="3"/>
  <c r="B7" i="4"/>
  <c r="B18" i="4"/>
  <c r="C6" i="1"/>
  <c r="C11" i="1"/>
  <c r="C11" i="2"/>
  <c r="C48" i="1"/>
  <c r="B12" i="1"/>
  <c r="C18" i="1"/>
  <c r="C14" i="2"/>
  <c r="C12" i="2"/>
  <c r="C13" i="2"/>
  <c r="B5" i="3"/>
  <c r="B22" i="1"/>
  <c r="C19" i="1"/>
  <c r="B8" i="1"/>
  <c r="B14" i="1" s="1"/>
  <c r="C30" i="1"/>
  <c r="B25" i="3"/>
  <c r="B17" i="4"/>
  <c r="B16" i="4"/>
  <c r="C8" i="2"/>
  <c r="C10" i="1" s="1"/>
  <c r="C5" i="10" l="1"/>
  <c r="C4" i="10"/>
  <c r="C3" i="10"/>
  <c r="C6" i="10" s="1"/>
  <c r="B26" i="1"/>
  <c r="B11" i="4"/>
  <c r="B6" i="3"/>
  <c r="C40" i="1" l="1"/>
  <c r="B18" i="3"/>
  <c r="C22" i="1"/>
  <c r="C26" i="1" s="1"/>
  <c r="B11" i="3"/>
  <c r="B12" i="3"/>
  <c r="B31" i="1" s="1"/>
  <c r="B14" i="3" l="1"/>
  <c r="B32" i="1"/>
  <c r="B34" i="1" s="1"/>
  <c r="B36" i="1" s="1"/>
  <c r="B15" i="3"/>
  <c r="C15" i="2" l="1"/>
  <c r="C12" i="1" s="1"/>
  <c r="B6" i="4"/>
  <c r="B20" i="3"/>
  <c r="B21" i="3"/>
  <c r="B23" i="3"/>
  <c r="B27" i="3"/>
  <c r="B29" i="3"/>
  <c r="B31" i="3"/>
  <c r="B32" i="3"/>
  <c r="B3" i="4" l="1"/>
  <c r="B8" i="4"/>
  <c r="B13" i="4" s="1"/>
  <c r="B20" i="4" s="1"/>
  <c r="C31" i="1"/>
  <c r="C32" i="1" s="1"/>
  <c r="C34" i="1" s="1"/>
  <c r="C5" i="1" l="1"/>
  <c r="C14" i="1"/>
  <c r="C36" i="1" s="1"/>
</calcChain>
</file>

<file path=xl/sharedStrings.xml><?xml version="1.0" encoding="utf-8"?>
<sst xmlns="http://schemas.openxmlformats.org/spreadsheetml/2006/main" count="156" uniqueCount="130">
  <si>
    <t>Income Statement</t>
  </si>
  <si>
    <t>Year 1</t>
  </si>
  <si>
    <t>Revenue</t>
  </si>
  <si>
    <t>Gross Revenue</t>
  </si>
  <si>
    <t>Net Revenue</t>
  </si>
  <si>
    <t>Cost of Goods Sold</t>
  </si>
  <si>
    <t>Product</t>
  </si>
  <si>
    <t>Fulfillment</t>
  </si>
  <si>
    <t>Merchant Services</t>
  </si>
  <si>
    <t>Total COGS</t>
  </si>
  <si>
    <t>Gross Margin</t>
  </si>
  <si>
    <t>GM %</t>
  </si>
  <si>
    <t>Operating Expenses</t>
  </si>
  <si>
    <t>Personnel</t>
  </si>
  <si>
    <t>Other</t>
  </si>
  <si>
    <t>Depreciation</t>
  </si>
  <si>
    <t>Total OPEX</t>
  </si>
  <si>
    <t>Operating Income</t>
  </si>
  <si>
    <t xml:space="preserve">Interest </t>
  </si>
  <si>
    <t>Net Income Before Taxes</t>
  </si>
  <si>
    <t>Taxes</t>
  </si>
  <si>
    <t xml:space="preserve">Net Income </t>
  </si>
  <si>
    <t>NI %</t>
  </si>
  <si>
    <t>ASSUMPTIONS</t>
  </si>
  <si>
    <t xml:space="preserve">Services </t>
  </si>
  <si>
    <t>Product Sales</t>
  </si>
  <si>
    <t>COGS</t>
  </si>
  <si>
    <t>Interest</t>
  </si>
  <si>
    <t>Tax Rate</t>
  </si>
  <si>
    <t>Capex &amp; Depreciation</t>
  </si>
  <si>
    <t>Useful Life (Years)</t>
  </si>
  <si>
    <t>Capex</t>
  </si>
  <si>
    <t>Hotel Equipment</t>
  </si>
  <si>
    <t>Truck Maintenance</t>
  </si>
  <si>
    <t>Rent (Year)</t>
  </si>
  <si>
    <t>Interior Design</t>
  </si>
  <si>
    <t>Total Capex</t>
  </si>
  <si>
    <t>Total D&amp;A</t>
  </si>
  <si>
    <t>Balance Sheet</t>
  </si>
  <si>
    <t>Dec 31, Year 0</t>
  </si>
  <si>
    <t>Historicals</t>
  </si>
  <si>
    <t>ASSETS</t>
  </si>
  <si>
    <t xml:space="preserve">Cash </t>
  </si>
  <si>
    <t>Supplies</t>
  </si>
  <si>
    <t>Prepaid Expenses</t>
  </si>
  <si>
    <t>Total Current Assets</t>
  </si>
  <si>
    <t>PPE</t>
  </si>
  <si>
    <t>Accumulated Depreciation</t>
  </si>
  <si>
    <t>Net Fixed Assets</t>
  </si>
  <si>
    <t>Total Assets</t>
  </si>
  <si>
    <t>LIABILITIES</t>
  </si>
  <si>
    <t>Accounts Payable</t>
  </si>
  <si>
    <t>Salaries Payable</t>
  </si>
  <si>
    <t>Income Tax Payable</t>
  </si>
  <si>
    <t>Interest Payable</t>
  </si>
  <si>
    <t>Long Term Debt</t>
  </si>
  <si>
    <t>Total Liabilities</t>
  </si>
  <si>
    <t>EQUITY</t>
  </si>
  <si>
    <t>Owners Equity</t>
  </si>
  <si>
    <t>Retained Earnings</t>
  </si>
  <si>
    <t>Total Shareholders Equity</t>
  </si>
  <si>
    <t>Liabilities &amp; Shareholders Equity</t>
  </si>
  <si>
    <t>Balance Check</t>
  </si>
  <si>
    <t>AR (% of revenue)</t>
  </si>
  <si>
    <t xml:space="preserve">AP </t>
  </si>
  <si>
    <t>Deferred Rev</t>
  </si>
  <si>
    <t>Net Borrowing</t>
  </si>
  <si>
    <t>Debt Payments</t>
  </si>
  <si>
    <t>Interest Rate</t>
  </si>
  <si>
    <t>Interest Payments</t>
  </si>
  <si>
    <t xml:space="preserve">Transactions: </t>
  </si>
  <si>
    <t>Owner makes capital contributions of $60</t>
  </si>
  <si>
    <t xml:space="preserve">Takes out a further $250 loan to fund its activities </t>
  </si>
  <si>
    <t xml:space="preserve">Spend $30 on Hotel equipment </t>
  </si>
  <si>
    <t>Spend $15 on Grooming supplies</t>
  </si>
  <si>
    <t xml:space="preserve">Spend $5 on Truck Maintenance </t>
  </si>
  <si>
    <t>Spend $24 on rent annualy</t>
  </si>
  <si>
    <t>Spend $40 on product restock paid later</t>
  </si>
  <si>
    <t>Spend $5 on interior design</t>
  </si>
  <si>
    <t>Makes $80 from services</t>
  </si>
  <si>
    <t>Make $100 profit from product sales</t>
  </si>
  <si>
    <t>Uses third of grooming supplies</t>
  </si>
  <si>
    <t xml:space="preserve">Cost for expansion: </t>
  </si>
  <si>
    <t>Employees:</t>
  </si>
  <si>
    <t>Salary:</t>
  </si>
  <si>
    <t>Employment:</t>
  </si>
  <si>
    <t>Vet</t>
  </si>
  <si>
    <t>Full Time</t>
  </si>
  <si>
    <t>Groomer</t>
  </si>
  <si>
    <t>Cashier</t>
  </si>
  <si>
    <t>Consultant + Trainer</t>
  </si>
  <si>
    <t>Part Time (Twice weekly)</t>
  </si>
  <si>
    <t>2x Care taker (hotel+daycare)</t>
  </si>
  <si>
    <t>Total</t>
  </si>
  <si>
    <t>Total yearly</t>
  </si>
  <si>
    <t>Cash Flow Statement</t>
  </si>
  <si>
    <t>Net Income</t>
  </si>
  <si>
    <t>Operating Activities</t>
  </si>
  <si>
    <t>Chg in AP</t>
  </si>
  <si>
    <t>Operating Cash Flow</t>
  </si>
  <si>
    <t>Investing Activities</t>
  </si>
  <si>
    <t>Free Cash Flow</t>
  </si>
  <si>
    <t>Financing Activities</t>
  </si>
  <si>
    <t>Debt Repayment</t>
  </si>
  <si>
    <t>Net Borrowings</t>
  </si>
  <si>
    <t>NCF from Financing</t>
  </si>
  <si>
    <t>Net Cash Flow</t>
  </si>
  <si>
    <t>Loan Period</t>
  </si>
  <si>
    <t xml:space="preserve">Goal Seek Analysis </t>
  </si>
  <si>
    <t xml:space="preserve">Principal </t>
  </si>
  <si>
    <t xml:space="preserve">Interest Rate </t>
  </si>
  <si>
    <t>loan Period (Annualy)</t>
  </si>
  <si>
    <t xml:space="preserve">Annual payment </t>
  </si>
  <si>
    <t xml:space="preserve">Future Value </t>
  </si>
  <si>
    <t>Time to Maturity</t>
  </si>
  <si>
    <t>Bond Price</t>
  </si>
  <si>
    <t>Intrest Rate</t>
  </si>
  <si>
    <t>Maturity (years)</t>
  </si>
  <si>
    <t xml:space="preserve">Annual Payment </t>
  </si>
  <si>
    <t>Future Price</t>
  </si>
  <si>
    <t>Annual Market share</t>
  </si>
  <si>
    <t>Company</t>
  </si>
  <si>
    <t>Year 1 MS</t>
  </si>
  <si>
    <t>Market Share</t>
  </si>
  <si>
    <t>Power Puff Pets</t>
  </si>
  <si>
    <t>Pets Mart</t>
  </si>
  <si>
    <t>Petopia</t>
  </si>
  <si>
    <t>Total Industry Sales</t>
  </si>
  <si>
    <t xml:space="preserve">Definition: </t>
  </si>
  <si>
    <t>A companies market share is its portion of total sales in relation to the market or industry in which it operates.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</si>
</sst>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_);_(&quot;$&quot;* \(#,##0.0\);_(&quot;$&quot;* &quot;-&quot;??_);_(@_)"/>
    <numFmt numFmtId="171" formatCode="_(* #,##0.0_);_(* \(#,##0.0\);_(* &quot;-&quot;??_);_(@_)"/>
    <numFmt numFmtId="172" formatCode="_-[$$-409]* #,##0.00_ ;_-[$$-409]* \-#,##0.00\ ;_-[$$-409]* &quot;-&quot;??_ ;_-@_ "/>
    <numFmt numFmtId="173" formatCode="&quot;$&quot;#,##0.00"/>
    <numFmt numFmtId="174" formatCode="0.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sz val="12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scheme val="minor"/>
    </font>
    <font>
      <b/>
      <u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3B9FB"/>
        <bgColor indexed="64"/>
      </patternFill>
    </fill>
    <fill>
      <patternFill patternType="solid">
        <fgColor rgb="FFFFDB8F"/>
        <bgColor indexed="64"/>
      </patternFill>
    </fill>
    <fill>
      <patternFill patternType="solid">
        <fgColor rgb="FF9DE0EE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0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8" fontId="0" fillId="0" borderId="0" xfId="1" applyNumberFormat="1" applyFont="1"/>
    <xf numFmtId="168" fontId="0" fillId="0" borderId="0" xfId="1" applyNumberFormat="1" applyFont="1" applyBorder="1"/>
    <xf numFmtId="169" fontId="6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168" fontId="0" fillId="0" borderId="2" xfId="1" applyNumberFormat="1" applyFont="1" applyBorder="1"/>
    <xf numFmtId="169" fontId="3" fillId="0" borderId="0" xfId="0" applyNumberFormat="1" applyFont="1"/>
    <xf numFmtId="169" fontId="3" fillId="0" borderId="1" xfId="0" applyNumberFormat="1" applyFont="1" applyBorder="1"/>
    <xf numFmtId="0" fontId="8" fillId="0" borderId="0" xfId="0" applyFont="1"/>
    <xf numFmtId="9" fontId="8" fillId="0" borderId="0" xfId="3" applyFont="1"/>
    <xf numFmtId="0" fontId="0" fillId="0" borderId="0" xfId="0" applyFont="1" applyFill="1"/>
    <xf numFmtId="169" fontId="0" fillId="0" borderId="0" xfId="0" applyNumberFormat="1" applyFont="1" applyFill="1"/>
    <xf numFmtId="169" fontId="0" fillId="0" borderId="0" xfId="2" applyNumberFormat="1" applyFont="1" applyBorder="1"/>
    <xf numFmtId="168" fontId="0" fillId="0" borderId="0" xfId="1" applyNumberFormat="1" applyFont="1" applyFill="1"/>
    <xf numFmtId="169" fontId="0" fillId="0" borderId="0" xfId="0" applyNumberFormat="1" applyFont="1"/>
    <xf numFmtId="169" fontId="8" fillId="0" borderId="0" xfId="0" applyNumberFormat="1" applyFont="1"/>
    <xf numFmtId="9" fontId="6" fillId="0" borderId="0" xfId="0" applyNumberFormat="1" applyFont="1"/>
    <xf numFmtId="169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10" fillId="0" borderId="0" xfId="0" applyFont="1" applyFill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169" fontId="0" fillId="0" borderId="0" xfId="0" applyNumberFormat="1" applyFill="1" applyBorder="1"/>
    <xf numFmtId="0" fontId="3" fillId="0" borderId="0" xfId="0" applyFont="1" applyBorder="1"/>
    <xf numFmtId="169" fontId="0" fillId="0" borderId="0" xfId="0" applyNumberFormat="1" applyBorder="1"/>
    <xf numFmtId="168" fontId="0" fillId="0" borderId="0" xfId="0" applyNumberFormat="1" applyBorder="1"/>
    <xf numFmtId="168" fontId="2" fillId="0" borderId="0" xfId="1" applyNumberFormat="1" applyFont="1" applyBorder="1"/>
    <xf numFmtId="10" fontId="8" fillId="0" borderId="0" xfId="3" applyNumberFormat="1" applyFont="1"/>
    <xf numFmtId="0" fontId="11" fillId="0" borderId="0" xfId="0" applyFont="1" applyAlignment="1">
      <alignment wrapText="1"/>
    </xf>
    <xf numFmtId="166" fontId="0" fillId="0" borderId="0" xfId="0" applyNumberFormat="1"/>
    <xf numFmtId="166" fontId="0" fillId="0" borderId="0" xfId="2" applyNumberFormat="1" applyFont="1"/>
    <xf numFmtId="166" fontId="0" fillId="0" borderId="3" xfId="2" applyNumberFormat="1" applyFont="1" applyBorder="1"/>
    <xf numFmtId="166" fontId="0" fillId="0" borderId="0" xfId="2" applyNumberFormat="1" applyFont="1" applyAlignment="1">
      <alignment horizontal="right"/>
    </xf>
    <xf numFmtId="169" fontId="2" fillId="0" borderId="2" xfId="2" applyNumberFormat="1" applyFont="1" applyBorder="1"/>
    <xf numFmtId="168" fontId="2" fillId="0" borderId="2" xfId="1" applyNumberFormat="1" applyFont="1" applyBorder="1"/>
    <xf numFmtId="167" fontId="0" fillId="0" borderId="0" xfId="1" applyNumberFormat="1" applyFont="1"/>
    <xf numFmtId="167" fontId="0" fillId="0" borderId="2" xfId="1" applyNumberFormat="1" applyFont="1" applyBorder="1"/>
    <xf numFmtId="167" fontId="0" fillId="0" borderId="0" xfId="0" applyNumberFormat="1"/>
    <xf numFmtId="167" fontId="0" fillId="0" borderId="0" xfId="1" applyNumberFormat="1" applyFont="1" applyBorder="1"/>
    <xf numFmtId="169" fontId="3" fillId="0" borderId="0" xfId="0" applyNumberFormat="1" applyFont="1" applyBorder="1"/>
    <xf numFmtId="0" fontId="12" fillId="0" borderId="0" xfId="0" applyFont="1" applyAlignment="1">
      <alignment wrapText="1"/>
    </xf>
    <xf numFmtId="0" fontId="14" fillId="0" borderId="0" xfId="0" applyFont="1"/>
    <xf numFmtId="173" fontId="0" fillId="0" borderId="0" xfId="0" applyNumberFormat="1"/>
    <xf numFmtId="0" fontId="0" fillId="0" borderId="3" xfId="0" applyBorder="1"/>
    <xf numFmtId="10" fontId="0" fillId="0" borderId="0" xfId="0" applyNumberFormat="1" applyBorder="1"/>
    <xf numFmtId="0" fontId="16" fillId="0" borderId="0" xfId="0" applyFont="1"/>
    <xf numFmtId="165" fontId="16" fillId="0" borderId="0" xfId="0" applyNumberFormat="1" applyFont="1"/>
    <xf numFmtId="10" fontId="16" fillId="0" borderId="0" xfId="0" applyNumberFormat="1" applyFont="1"/>
    <xf numFmtId="174" fontId="16" fillId="0" borderId="0" xfId="0" applyNumberFormat="1" applyFont="1"/>
    <xf numFmtId="173" fontId="16" fillId="0" borderId="0" xfId="0" applyNumberFormat="1" applyFont="1"/>
    <xf numFmtId="165" fontId="0" fillId="0" borderId="0" xfId="0" applyNumberFormat="1"/>
    <xf numFmtId="9" fontId="16" fillId="0" borderId="0" xfId="0" applyNumberFormat="1" applyFont="1"/>
    <xf numFmtId="164" fontId="16" fillId="0" borderId="0" xfId="0" applyNumberFormat="1" applyFont="1"/>
    <xf numFmtId="168" fontId="0" fillId="0" borderId="2" xfId="1" applyNumberFormat="1" applyFont="1" applyFill="1" applyBorder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7" fillId="3" borderId="0" xfId="0" applyFont="1" applyFill="1"/>
    <xf numFmtId="0" fontId="4" fillId="4" borderId="0" xfId="0" applyFont="1" applyFill="1"/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/>
    <xf numFmtId="169" fontId="16" fillId="0" borderId="0" xfId="2" applyNumberFormat="1" applyFont="1"/>
    <xf numFmtId="9" fontId="16" fillId="0" borderId="0" xfId="3" applyFont="1"/>
    <xf numFmtId="172" fontId="16" fillId="0" borderId="0" xfId="0" applyNumberFormat="1" applyFont="1"/>
    <xf numFmtId="0" fontId="5" fillId="4" borderId="0" xfId="0" applyFont="1" applyFill="1"/>
    <xf numFmtId="0" fontId="3" fillId="4" borderId="0" xfId="0" applyFont="1" applyFill="1"/>
    <xf numFmtId="0" fontId="9" fillId="4" borderId="0" xfId="0" applyFont="1" applyFill="1"/>
    <xf numFmtId="0" fontId="13" fillId="4" borderId="0" xfId="0" applyFont="1" applyFill="1" applyAlignment="1">
      <alignment wrapText="1"/>
    </xf>
    <xf numFmtId="169" fontId="16" fillId="0" borderId="0" xfId="0" applyNumberFormat="1" applyFont="1"/>
    <xf numFmtId="169" fontId="0" fillId="0" borderId="2" xfId="0" applyNumberFormat="1" applyFill="1" applyBorder="1"/>
    <xf numFmtId="170" fontId="16" fillId="0" borderId="0" xfId="2" applyNumberFormat="1" applyFont="1"/>
    <xf numFmtId="166" fontId="16" fillId="0" borderId="0" xfId="2" applyNumberFormat="1" applyFont="1" applyBorder="1"/>
    <xf numFmtId="169" fontId="16" fillId="0" borderId="2" xfId="2" applyNumberFormat="1" applyFont="1" applyBorder="1"/>
    <xf numFmtId="0" fontId="17" fillId="0" borderId="0" xfId="0" applyFont="1"/>
    <xf numFmtId="170" fontId="16" fillId="0" borderId="2" xfId="2" applyNumberFormat="1" applyFont="1" applyBorder="1"/>
    <xf numFmtId="169" fontId="16" fillId="0" borderId="0" xfId="2" applyNumberFormat="1" applyFont="1" applyBorder="1"/>
    <xf numFmtId="168" fontId="16" fillId="0" borderId="0" xfId="1" applyNumberFormat="1" applyFont="1"/>
    <xf numFmtId="0" fontId="16" fillId="3" borderId="0" xfId="0" applyFont="1" applyFill="1" applyAlignment="1">
      <alignment horizontal="center"/>
    </xf>
    <xf numFmtId="168" fontId="2" fillId="3" borderId="0" xfId="1" applyNumberFormat="1" applyFont="1" applyFill="1"/>
    <xf numFmtId="172" fontId="12" fillId="0" borderId="0" xfId="0" applyNumberFormat="1" applyFont="1" applyAlignment="1">
      <alignment wrapText="1"/>
    </xf>
    <xf numFmtId="0" fontId="18" fillId="4" borderId="0" xfId="0" applyFont="1" applyFill="1" applyAlignment="1">
      <alignment wrapText="1"/>
    </xf>
    <xf numFmtId="0" fontId="7" fillId="4" borderId="0" xfId="0" applyFont="1" applyFill="1"/>
    <xf numFmtId="0" fontId="12" fillId="0" borderId="3" xfId="0" applyFont="1" applyBorder="1" applyAlignment="1">
      <alignment wrapText="1"/>
    </xf>
    <xf numFmtId="172" fontId="12" fillId="0" borderId="3" xfId="0" applyNumberFormat="1" applyFont="1" applyBorder="1" applyAlignment="1">
      <alignment wrapText="1"/>
    </xf>
    <xf numFmtId="172" fontId="13" fillId="0" borderId="0" xfId="0" applyNumberFormat="1" applyFont="1" applyAlignment="1">
      <alignment wrapText="1"/>
    </xf>
    <xf numFmtId="0" fontId="3" fillId="4" borderId="3" xfId="0" applyFont="1" applyFill="1" applyBorder="1"/>
    <xf numFmtId="0" fontId="13" fillId="4" borderId="3" xfId="0" applyFont="1" applyFill="1" applyBorder="1" applyAlignment="1">
      <alignment wrapText="1"/>
    </xf>
    <xf numFmtId="172" fontId="3" fillId="0" borderId="3" xfId="0" applyNumberFormat="1" applyFont="1" applyBorder="1"/>
    <xf numFmtId="0" fontId="15" fillId="4" borderId="0" xfId="0" applyFont="1" applyFill="1"/>
    <xf numFmtId="0" fontId="16" fillId="4" borderId="0" xfId="0" applyFont="1" applyFill="1"/>
    <xf numFmtId="172" fontId="0" fillId="0" borderId="0" xfId="1" applyNumberFormat="1" applyFont="1"/>
    <xf numFmtId="167" fontId="0" fillId="0" borderId="0" xfId="1" applyFont="1"/>
    <xf numFmtId="172" fontId="0" fillId="0" borderId="0" xfId="2" applyNumberFormat="1" applyFont="1"/>
    <xf numFmtId="166" fontId="16" fillId="0" borderId="0" xfId="2" applyNumberFormat="1" applyFont="1"/>
    <xf numFmtId="166" fontId="16" fillId="0" borderId="3" xfId="2" applyNumberFormat="1" applyFont="1" applyBorder="1"/>
    <xf numFmtId="168" fontId="16" fillId="0" borderId="3" xfId="1" applyNumberFormat="1" applyFont="1" applyBorder="1"/>
    <xf numFmtId="167" fontId="3" fillId="3" borderId="1" xfId="0" applyNumberFormat="1" applyFont="1" applyFill="1" applyBorder="1"/>
    <xf numFmtId="0" fontId="3" fillId="0" borderId="3" xfId="0" applyFont="1" applyBorder="1"/>
    <xf numFmtId="166" fontId="0" fillId="3" borderId="0" xfId="2" applyNumberFormat="1" applyFont="1" applyFill="1"/>
    <xf numFmtId="0" fontId="0" fillId="3" borderId="0" xfId="0" applyFill="1" applyBorder="1"/>
    <xf numFmtId="172" fontId="0" fillId="0" borderId="0" xfId="0" applyNumberFormat="1" applyBorder="1"/>
    <xf numFmtId="0" fontId="3" fillId="2" borderId="0" xfId="0" applyFont="1" applyFill="1" applyBorder="1"/>
    <xf numFmtId="172" fontId="3" fillId="4" borderId="0" xfId="0" applyNumberFormat="1" applyFont="1" applyFill="1" applyBorder="1"/>
    <xf numFmtId="10" fontId="0" fillId="4" borderId="0" xfId="0" applyNumberFormat="1" applyFill="1" applyBorder="1"/>
    <xf numFmtId="166" fontId="3" fillId="2" borderId="3" xfId="0" applyNumberFormat="1" applyFont="1" applyFill="1" applyBorder="1" applyAlignment="1"/>
    <xf numFmtId="166" fontId="3" fillId="2" borderId="3" xfId="2" applyFont="1" applyFill="1" applyBorder="1"/>
    <xf numFmtId="0" fontId="15" fillId="3" borderId="0" xfId="0" applyFont="1" applyFill="1"/>
    <xf numFmtId="173" fontId="15" fillId="0" borderId="0" xfId="0" applyNumberFormat="1" applyFont="1"/>
    <xf numFmtId="0" fontId="15" fillId="3" borderId="3" xfId="0" applyFont="1" applyFill="1" applyBorder="1"/>
    <xf numFmtId="9" fontId="15" fillId="3" borderId="4" xfId="0" applyNumberFormat="1" applyFont="1" applyFill="1" applyBorder="1"/>
    <xf numFmtId="165" fontId="15" fillId="2" borderId="3" xfId="0" applyNumberFormat="1" applyFont="1" applyFill="1" applyBorder="1"/>
    <xf numFmtId="0" fontId="12" fillId="0" borderId="0" xfId="0" applyFont="1" applyAlignment="1">
      <alignment horizontal="left" wrapText="1"/>
    </xf>
    <xf numFmtId="0" fontId="3" fillId="4" borderId="0" xfId="0" applyFont="1" applyFill="1" applyAlignment="1">
      <alignment horizontal="center"/>
    </xf>
    <xf numFmtId="2" fontId="0" fillId="0" borderId="0" xfId="0" applyNumberFormat="1"/>
    <xf numFmtId="173" fontId="15" fillId="0" borderId="0" xfId="1" applyNumberFormat="1" applyFont="1"/>
    <xf numFmtId="173" fontId="3" fillId="0" borderId="0" xfId="1" applyNumberFormat="1" applyFont="1"/>
    <xf numFmtId="2" fontId="3" fillId="0" borderId="0" xfId="1" applyNumberFormat="1" applyFont="1"/>
    <xf numFmtId="2" fontId="3" fillId="0" borderId="1" xfId="1" applyNumberFormat="1" applyFont="1" applyBorder="1"/>
    <xf numFmtId="173" fontId="15" fillId="0" borderId="1" xfId="0" applyNumberFormat="1" applyFont="1" applyBorder="1"/>
    <xf numFmtId="173" fontId="3" fillId="0" borderId="1" xfId="0" applyNumberFormat="1" applyFont="1" applyBorder="1"/>
    <xf numFmtId="171" fontId="3" fillId="0" borderId="0" xfId="1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 2" xfId="4" xr:uid="{14274F7C-ECF0-402A-B8B2-5E456924E719}"/>
    <cellStyle name="Percent" xfId="3" builtinId="5"/>
  </cellStyles>
  <dxfs count="6">
    <dxf>
      <numFmt numFmtId="14" formatCode="0.00%"/>
    </dxf>
    <dxf>
      <numFmt numFmtId="172" formatCode="_-[$$-409]* #,##0.00_ ;_-[$$-409]* \-#,##0.00\ ;_-[$$-409]* &quot;-&quot;??_ ;_-@_ "/>
    </dxf>
    <dxf>
      <border>
        <left/>
        <right/>
        <top/>
        <bottom/>
      </border>
    </dxf>
    <dxf>
      <fill>
        <patternFill patternType="solid">
          <fgColor indexed="64"/>
          <bgColor rgb="FFFFDB8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DB8F"/>
      <color rgb="FF9DE0EE"/>
      <color rgb="FFB3B9FB"/>
      <color rgb="FF000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10</xdr:row>
      <xdr:rowOff>9525</xdr:rowOff>
    </xdr:from>
    <xdr:to>
      <xdr:col>7</xdr:col>
      <xdr:colOff>114300</xdr:colOff>
      <xdr:row>23</xdr:row>
      <xdr:rowOff>161925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27EFF712-C9AC-4BAD-820E-21F8013A7725}"/>
            </a:ext>
            <a:ext uri="{147F2762-F138-4A5C-976F-8EAC2B608ADB}">
              <a16:predDERef xmlns:a16="http://schemas.microsoft.com/office/drawing/2014/main" pred="{020F77A6-AFAE-4CC1-8020-F5D6ABAC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009775"/>
          <a:ext cx="4581525" cy="275272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</xdr:row>
      <xdr:rowOff>0</xdr:rowOff>
    </xdr:from>
    <xdr:to>
      <xdr:col>7</xdr:col>
      <xdr:colOff>114300</xdr:colOff>
      <xdr:row>38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0434A5-A0E6-44E0-A2C2-1DFB95B41F30}"/>
            </a:ext>
            <a:ext uri="{147F2762-F138-4A5C-976F-8EAC2B608ADB}">
              <a16:predDERef xmlns:a16="http://schemas.microsoft.com/office/drawing/2014/main" pred="{27EFF712-C9AC-4BAD-820E-21F8013A7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5000625"/>
          <a:ext cx="4581525" cy="2752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38B5B-CFEA-4452-86F7-F738F4A893F5}" name="Table1" displayName="Table1" ref="A2:C6" totalsRowShown="0" headerRowDxfId="3" tableBorderDxfId="2">
  <autoFilter ref="A2:C6" xr:uid="{4BFF6B9D-7404-4556-8886-B47C5DBD4D4A}"/>
  <tableColumns count="3">
    <tableColumn id="1" xr3:uid="{3F6B2D56-5B17-4E4D-B1BF-5950163541A0}" name="Company"/>
    <tableColumn id="2" xr3:uid="{644E02BE-FD20-4575-B405-FDCCEECD8D46}" name="Year 1 MS" dataDxfId="1"/>
    <tableColumn id="3" xr3:uid="{F0FB9E73-884F-46EF-86F3-262BB110516F}" name="Market Sha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zoomScale="140" zoomScaleNormal="140" zoomScalePageLayoutView="140" workbookViewId="0">
      <pane xSplit="1" ySplit="1" topLeftCell="B2" activePane="bottomRight" state="frozen"/>
      <selection pane="bottomRight" activeCell="A41" sqref="A41"/>
      <selection pane="bottomLeft" activeCell="A2" sqref="A2"/>
      <selection pane="topRight" activeCell="B1" sqref="B1"/>
    </sheetView>
  </sheetViews>
  <sheetFormatPr defaultColWidth="11" defaultRowHeight="15.75"/>
  <cols>
    <col min="1" max="1" width="22.5" bestFit="1" customWidth="1"/>
    <col min="2" max="2" width="13.5" customWidth="1"/>
  </cols>
  <sheetData>
    <row r="1" spans="1:2">
      <c r="A1" s="61" t="s">
        <v>0</v>
      </c>
      <c r="B1" s="62" t="s">
        <v>1</v>
      </c>
    </row>
    <row r="3" spans="1:2">
      <c r="A3" s="65" t="s">
        <v>2</v>
      </c>
    </row>
    <row r="5" spans="1:2">
      <c r="A5" t="s">
        <v>3</v>
      </c>
      <c r="B5" s="17">
        <f>B38+B39</f>
        <v>180</v>
      </c>
    </row>
    <row r="6" spans="1:2" s="1" customFormat="1">
      <c r="A6" s="64" t="s">
        <v>4</v>
      </c>
      <c r="B6" s="11">
        <f>SUM(B5:B5)</f>
        <v>180</v>
      </c>
    </row>
    <row r="8" spans="1:2">
      <c r="A8" s="65" t="s">
        <v>5</v>
      </c>
    </row>
    <row r="9" spans="1:2">
      <c r="A9" t="s">
        <v>6</v>
      </c>
      <c r="B9" s="9">
        <f>B$6*B42</f>
        <v>39.6</v>
      </c>
    </row>
    <row r="10" spans="1:2">
      <c r="A10" t="s">
        <v>7</v>
      </c>
      <c r="B10" s="5">
        <f>B$6*B43</f>
        <v>14.4</v>
      </c>
    </row>
    <row r="11" spans="1:2">
      <c r="A11" t="s">
        <v>8</v>
      </c>
      <c r="B11" s="10">
        <f>B$6*B44</f>
        <v>15.84</v>
      </c>
    </row>
    <row r="12" spans="1:2" s="1" customFormat="1">
      <c r="A12" s="64" t="s">
        <v>9</v>
      </c>
      <c r="B12" s="11">
        <f>SUM(B9:B11)</f>
        <v>69.84</v>
      </c>
    </row>
    <row r="14" spans="1:2" s="1" customFormat="1">
      <c r="A14" s="64" t="s">
        <v>10</v>
      </c>
      <c r="B14" s="12">
        <f>B6-B12</f>
        <v>110.16</v>
      </c>
    </row>
    <row r="15" spans="1:2" s="13" customFormat="1">
      <c r="A15" s="13" t="s">
        <v>11</v>
      </c>
      <c r="B15" s="14">
        <f>B14/B6</f>
        <v>0.61199999999999999</v>
      </c>
    </row>
    <row r="17" spans="1:2">
      <c r="A17" s="65" t="s">
        <v>12</v>
      </c>
    </row>
    <row r="18" spans="1:2">
      <c r="A18" t="s">
        <v>13</v>
      </c>
      <c r="B18" s="16">
        <f>B$6*B47</f>
        <v>21.599999999999998</v>
      </c>
    </row>
    <row r="19" spans="1:2">
      <c r="A19" t="s">
        <v>14</v>
      </c>
      <c r="B19" s="18">
        <f>B$6*B48</f>
        <v>7.2</v>
      </c>
    </row>
    <row r="20" spans="1:2">
      <c r="A20" t="s">
        <v>15</v>
      </c>
      <c r="B20" s="60">
        <f>'Capex &amp; Depreciation Schedule'!C15</f>
        <v>43.166666666666671</v>
      </c>
    </row>
    <row r="21" spans="1:2" s="1" customFormat="1">
      <c r="A21" s="1" t="s">
        <v>16</v>
      </c>
      <c r="B21" s="11">
        <f>SUM(B18:B20)</f>
        <v>71.966666666666669</v>
      </c>
    </row>
    <row r="23" spans="1:2" s="1" customFormat="1">
      <c r="A23" s="64" t="s">
        <v>17</v>
      </c>
      <c r="B23" s="11">
        <f>B14-B21</f>
        <v>38.193333333333328</v>
      </c>
    </row>
    <row r="24" spans="1:2" s="1" customFormat="1">
      <c r="B24" s="11"/>
    </row>
    <row r="25" spans="1:2" s="2" customFormat="1">
      <c r="A25" s="2" t="s">
        <v>18</v>
      </c>
      <c r="B25" s="16">
        <f>'Balance Sheet'!C48</f>
        <v>0</v>
      </c>
    </row>
    <row r="26" spans="1:2" s="1" customFormat="1">
      <c r="B26" s="11"/>
    </row>
    <row r="27" spans="1:2" s="1" customFormat="1">
      <c r="A27" s="64" t="s">
        <v>19</v>
      </c>
      <c r="B27" s="11">
        <f>B23-B25</f>
        <v>38.193333333333328</v>
      </c>
    </row>
    <row r="28" spans="1:2" s="1" customFormat="1">
      <c r="B28" s="11"/>
    </row>
    <row r="29" spans="1:2" s="2" customFormat="1">
      <c r="A29" s="2" t="s">
        <v>20</v>
      </c>
      <c r="B29" s="19">
        <f>B27*B53</f>
        <v>4.2012666666666663</v>
      </c>
    </row>
    <row r="30" spans="1:2" s="2" customFormat="1">
      <c r="B30" s="19"/>
    </row>
    <row r="31" spans="1:2" s="1" customFormat="1">
      <c r="A31" s="64" t="s">
        <v>21</v>
      </c>
      <c r="B31" s="11">
        <f>B27-B29</f>
        <v>33.992066666666659</v>
      </c>
    </row>
    <row r="32" spans="1:2" s="13" customFormat="1">
      <c r="A32" s="13" t="s">
        <v>22</v>
      </c>
      <c r="B32" s="34">
        <f>B31/B6</f>
        <v>0.18884481481481477</v>
      </c>
    </row>
    <row r="33" spans="1:2" s="13" customFormat="1">
      <c r="B33" s="20"/>
    </row>
    <row r="34" spans="1:2" s="15" customFormat="1"/>
    <row r="35" spans="1:2" s="63" customFormat="1">
      <c r="A35" s="63" t="s">
        <v>23</v>
      </c>
    </row>
    <row r="37" spans="1:2">
      <c r="A37" s="66" t="s">
        <v>2</v>
      </c>
    </row>
    <row r="38" spans="1:2">
      <c r="A38" t="s">
        <v>24</v>
      </c>
      <c r="B38" s="70">
        <v>80</v>
      </c>
    </row>
    <row r="39" spans="1:2">
      <c r="A39" t="s">
        <v>25</v>
      </c>
      <c r="B39" s="70">
        <v>100</v>
      </c>
    </row>
    <row r="40" spans="1:2">
      <c r="B40" s="52"/>
    </row>
    <row r="41" spans="1:2">
      <c r="A41" s="66" t="s">
        <v>26</v>
      </c>
      <c r="B41" s="52"/>
    </row>
    <row r="42" spans="1:2">
      <c r="A42" t="s">
        <v>6</v>
      </c>
      <c r="B42" s="71">
        <v>0.22</v>
      </c>
    </row>
    <row r="43" spans="1:2">
      <c r="A43" t="s">
        <v>7</v>
      </c>
      <c r="B43" s="71">
        <v>0.08</v>
      </c>
    </row>
    <row r="44" spans="1:2">
      <c r="A44" t="s">
        <v>8</v>
      </c>
      <c r="B44" s="71">
        <v>8.7999999999999995E-2</v>
      </c>
    </row>
    <row r="45" spans="1:2">
      <c r="B45" s="52"/>
    </row>
    <row r="46" spans="1:2">
      <c r="A46" s="66" t="s">
        <v>12</v>
      </c>
      <c r="B46" s="52"/>
    </row>
    <row r="47" spans="1:2">
      <c r="A47" t="s">
        <v>13</v>
      </c>
      <c r="B47" s="71">
        <v>0.12</v>
      </c>
    </row>
    <row r="48" spans="1:2">
      <c r="A48" t="s">
        <v>14</v>
      </c>
      <c r="B48" s="71">
        <v>0.04</v>
      </c>
    </row>
    <row r="49" spans="1:2">
      <c r="A49" t="s">
        <v>15</v>
      </c>
      <c r="B49" s="72">
        <f>'Capex &amp; Depreciation Schedule'!C15</f>
        <v>43.166666666666671</v>
      </c>
    </row>
    <row r="50" spans="1:2">
      <c r="B50" s="52"/>
    </row>
    <row r="51" spans="1:2">
      <c r="A51" t="s">
        <v>27</v>
      </c>
      <c r="B51" s="58">
        <f>'Balance Sheet'!C47</f>
        <v>0.02</v>
      </c>
    </row>
    <row r="52" spans="1:2">
      <c r="B52" s="52"/>
    </row>
    <row r="53" spans="1:2">
      <c r="A53" s="66" t="s">
        <v>28</v>
      </c>
      <c r="B53" s="71">
        <v>0.11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zoomScale="160" zoomScaleNormal="160" zoomScalePageLayoutView="160" workbookViewId="0">
      <selection sqref="A1:C1"/>
    </sheetView>
  </sheetViews>
  <sheetFormatPr defaultColWidth="11" defaultRowHeight="15.95"/>
  <cols>
    <col min="1" max="1" width="18.875" bestFit="1" customWidth="1"/>
    <col min="2" max="2" width="18.875" customWidth="1"/>
    <col min="3" max="3" width="11.375" bestFit="1" customWidth="1"/>
  </cols>
  <sheetData>
    <row r="1" spans="1:3" ht="15.75">
      <c r="A1" s="64" t="s">
        <v>29</v>
      </c>
      <c r="B1" s="67" t="s">
        <v>30</v>
      </c>
      <c r="C1" s="68" t="s">
        <v>1</v>
      </c>
    </row>
    <row r="3" spans="1:3" ht="15.75">
      <c r="A3" s="65" t="s">
        <v>31</v>
      </c>
    </row>
    <row r="4" spans="1:3" ht="15.75">
      <c r="A4" t="s">
        <v>32</v>
      </c>
      <c r="B4" s="85">
        <v>2</v>
      </c>
      <c r="C4" s="102">
        <v>30</v>
      </c>
    </row>
    <row r="5" spans="1:3" ht="15.75">
      <c r="A5" t="s">
        <v>33</v>
      </c>
      <c r="B5" s="85">
        <v>3</v>
      </c>
      <c r="C5" s="102">
        <v>5</v>
      </c>
    </row>
    <row r="6" spans="1:3" ht="15.75">
      <c r="A6" s="35" t="s">
        <v>34</v>
      </c>
      <c r="B6" s="85">
        <v>1</v>
      </c>
      <c r="C6" s="80">
        <v>24</v>
      </c>
    </row>
    <row r="7" spans="1:3" ht="15.75">
      <c r="A7" s="50" t="s">
        <v>35</v>
      </c>
      <c r="B7" s="104">
        <v>2</v>
      </c>
      <c r="C7" s="103">
        <v>5</v>
      </c>
    </row>
    <row r="8" spans="1:3" s="1" customFormat="1" ht="15.75">
      <c r="A8" s="94" t="s">
        <v>36</v>
      </c>
      <c r="B8" s="106"/>
      <c r="C8" s="113">
        <f>SUM(C4:C7)</f>
        <v>64</v>
      </c>
    </row>
    <row r="9" spans="1:3" ht="15.75">
      <c r="C9" s="36"/>
    </row>
    <row r="10" spans="1:3" ht="15.75">
      <c r="A10" s="65" t="s">
        <v>15</v>
      </c>
      <c r="C10" s="36"/>
    </row>
    <row r="11" spans="1:3">
      <c r="A11" t="s">
        <v>32</v>
      </c>
      <c r="C11" s="39">
        <f>$C$4/$B$4</f>
        <v>15</v>
      </c>
    </row>
    <row r="12" spans="1:3">
      <c r="A12" t="s">
        <v>33</v>
      </c>
      <c r="C12" s="37">
        <f>$C$5/$B$5</f>
        <v>1.6666666666666667</v>
      </c>
    </row>
    <row r="13" spans="1:3">
      <c r="A13" t="s">
        <v>34</v>
      </c>
      <c r="C13" s="37">
        <f>C6/$B$6</f>
        <v>24</v>
      </c>
    </row>
    <row r="14" spans="1:3">
      <c r="A14" s="50" t="s">
        <v>35</v>
      </c>
      <c r="B14" s="50"/>
      <c r="C14" s="38">
        <f>C7/$B$7</f>
        <v>2.5</v>
      </c>
    </row>
    <row r="15" spans="1:3" s="1" customFormat="1" ht="15.75">
      <c r="A15" s="94" t="s">
        <v>37</v>
      </c>
      <c r="B15" s="106"/>
      <c r="C15" s="114">
        <f>SUM(C11:C14)</f>
        <v>43.166666666666671</v>
      </c>
    </row>
    <row r="16" spans="1:3" ht="15.75"/>
    <row r="17" ht="15.75"/>
    <row r="18" ht="15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3"/>
  <sheetViews>
    <sheetView zoomScale="120" zoomScaleNormal="120" zoomScalePageLayoutView="120" workbookViewId="0">
      <pane xSplit="1" ySplit="1" topLeftCell="D60" activePane="bottomRight" state="frozen"/>
      <selection pane="bottomRight" activeCell="F62" sqref="F62"/>
      <selection pane="bottomLeft" activeCell="A2" sqref="A2"/>
      <selection pane="topRight" activeCell="B1" sqref="B1"/>
    </sheetView>
  </sheetViews>
  <sheetFormatPr defaultColWidth="11" defaultRowHeight="15.75"/>
  <cols>
    <col min="1" max="1" width="27.125" bestFit="1" customWidth="1"/>
    <col min="2" max="2" width="13.125" customWidth="1"/>
    <col min="3" max="5" width="11.5" bestFit="1" customWidth="1"/>
    <col min="6" max="6" width="12.5" bestFit="1" customWidth="1"/>
  </cols>
  <sheetData>
    <row r="1" spans="1:16">
      <c r="A1" s="61" t="s">
        <v>38</v>
      </c>
      <c r="B1" s="69" t="s">
        <v>39</v>
      </c>
      <c r="C1" s="62" t="s">
        <v>1</v>
      </c>
      <c r="D1" s="26"/>
      <c r="E1" s="26"/>
      <c r="F1" s="26"/>
    </row>
    <row r="2" spans="1:16">
      <c r="B2" s="86" t="s">
        <v>40</v>
      </c>
      <c r="D2" s="27"/>
      <c r="E2" s="27"/>
      <c r="F2" s="27"/>
    </row>
    <row r="3" spans="1:16">
      <c r="A3" s="73" t="s">
        <v>41</v>
      </c>
      <c r="B3" s="4"/>
      <c r="D3" s="27"/>
      <c r="E3" s="27"/>
      <c r="F3" s="27"/>
    </row>
    <row r="4" spans="1:16" s="2" customFormat="1">
      <c r="B4" s="52"/>
      <c r="D4" s="28"/>
      <c r="E4" s="28"/>
      <c r="F4" s="28"/>
    </row>
    <row r="5" spans="1:16">
      <c r="A5" t="s">
        <v>42</v>
      </c>
      <c r="B5" s="70">
        <f>B52+B53-B54-B55-B56-B57-B59+B60+B61</f>
        <v>411</v>
      </c>
      <c r="C5" s="22">
        <f>B5+'Cash Flow Statement'!B20</f>
        <v>144.95873333333333</v>
      </c>
      <c r="D5" s="29"/>
      <c r="E5" s="29"/>
      <c r="F5" s="29"/>
    </row>
    <row r="6" spans="1:16">
      <c r="A6" t="s">
        <v>43</v>
      </c>
      <c r="B6" s="84">
        <f>B55+B58-B62</f>
        <v>50</v>
      </c>
      <c r="C6" s="6">
        <f>C40*C41</f>
        <v>9</v>
      </c>
      <c r="D6" s="6"/>
      <c r="E6" s="6"/>
      <c r="F6" s="6"/>
    </row>
    <row r="7" spans="1:16">
      <c r="A7" t="s">
        <v>44</v>
      </c>
      <c r="B7" s="81">
        <f>B56</f>
        <v>5</v>
      </c>
      <c r="C7" s="10">
        <f>5</f>
        <v>5</v>
      </c>
      <c r="D7" s="6"/>
      <c r="E7" s="6"/>
      <c r="F7" s="6"/>
    </row>
    <row r="8" spans="1:16">
      <c r="A8" s="74" t="s">
        <v>45</v>
      </c>
      <c r="B8" s="123">
        <f>SUM(B5:B7)</f>
        <v>466</v>
      </c>
      <c r="C8" s="124">
        <f>SUM(C5:C7)</f>
        <v>158.95873333333333</v>
      </c>
      <c r="D8" s="6"/>
      <c r="E8" s="6"/>
      <c r="F8" s="6"/>
    </row>
    <row r="9" spans="1:16">
      <c r="B9" s="52"/>
      <c r="D9" s="27"/>
      <c r="E9" s="27"/>
      <c r="F9" s="27"/>
      <c r="M9" s="23"/>
      <c r="N9" s="24"/>
      <c r="O9" s="24"/>
      <c r="P9" s="24"/>
    </row>
    <row r="10" spans="1:16">
      <c r="A10" t="s">
        <v>46</v>
      </c>
      <c r="B10" s="70">
        <f>B54+B59+B57+B56</f>
        <v>64</v>
      </c>
      <c r="C10" s="6">
        <f>B10+'Capex &amp; Depreciation Schedule'!C8</f>
        <v>128</v>
      </c>
      <c r="D10" s="6"/>
      <c r="E10" s="6"/>
      <c r="F10" s="6"/>
      <c r="M10" s="24"/>
      <c r="N10" s="24"/>
      <c r="O10" s="24"/>
      <c r="P10" s="24"/>
    </row>
    <row r="11" spans="1:16">
      <c r="A11" t="s">
        <v>47</v>
      </c>
      <c r="B11" s="40">
        <f>-'Capex &amp; Depreciation Schedule'!C15</f>
        <v>-43.166666666666671</v>
      </c>
      <c r="C11" s="41">
        <f>B11-'Capex &amp; Depreciation Schedule'!C15</f>
        <v>-86.333333333333343</v>
      </c>
      <c r="D11" s="6"/>
      <c r="E11" s="6"/>
      <c r="F11" s="6"/>
      <c r="M11" s="24"/>
      <c r="N11" s="24"/>
      <c r="O11" s="24"/>
      <c r="P11" s="24"/>
    </row>
    <row r="12" spans="1:16">
      <c r="A12" s="74" t="s">
        <v>48</v>
      </c>
      <c r="B12" s="125">
        <f>SUM(B10:B11)</f>
        <v>20.833333333333329</v>
      </c>
      <c r="C12" s="125">
        <f t="shared" ref="C12" si="0">SUM(C10:C11)</f>
        <v>41.666666666666657</v>
      </c>
      <c r="D12" s="6"/>
      <c r="E12" s="6"/>
      <c r="F12" s="6"/>
      <c r="M12" s="24"/>
      <c r="N12" s="24"/>
      <c r="O12" s="24"/>
      <c r="P12" s="24"/>
    </row>
    <row r="13" spans="1:16">
      <c r="B13" s="122"/>
      <c r="C13" s="122"/>
      <c r="D13" s="27"/>
      <c r="E13" s="27"/>
      <c r="F13" s="27"/>
      <c r="M13" s="24"/>
      <c r="N13" s="24"/>
      <c r="O13" s="24"/>
      <c r="P13" s="24"/>
    </row>
    <row r="14" spans="1:16">
      <c r="A14" s="74" t="s">
        <v>49</v>
      </c>
      <c r="B14" s="126">
        <f>B8+B12</f>
        <v>486.83333333333331</v>
      </c>
      <c r="C14" s="126">
        <f t="shared" ref="C14:F14" si="1">C8+C12</f>
        <v>200.62539999999998</v>
      </c>
      <c r="D14" s="6"/>
      <c r="E14" s="6"/>
      <c r="F14" s="6"/>
      <c r="M14" s="24"/>
      <c r="N14" s="24"/>
      <c r="O14" s="24"/>
      <c r="P14" s="24"/>
    </row>
    <row r="15" spans="1:16">
      <c r="D15" s="27"/>
      <c r="E15" s="27"/>
      <c r="F15" s="27"/>
      <c r="M15" s="24"/>
      <c r="N15" s="24"/>
      <c r="O15" s="24"/>
      <c r="P15" s="24"/>
    </row>
    <row r="16" spans="1:16" s="1" customFormat="1">
      <c r="A16" s="73" t="s">
        <v>50</v>
      </c>
      <c r="B16" s="4"/>
      <c r="D16" s="30"/>
      <c r="E16" s="30"/>
      <c r="F16" s="30"/>
      <c r="M16" s="24"/>
      <c r="N16" s="24"/>
      <c r="O16" s="24"/>
      <c r="P16" s="24"/>
    </row>
    <row r="17" spans="1:6">
      <c r="D17" s="27"/>
      <c r="E17" s="27"/>
      <c r="F17" s="27"/>
    </row>
    <row r="18" spans="1:6">
      <c r="A18" t="s">
        <v>51</v>
      </c>
      <c r="B18" s="79">
        <f>B58</f>
        <v>40</v>
      </c>
      <c r="C18" s="6">
        <f>C40*C42</f>
        <v>10.799999999999999</v>
      </c>
      <c r="D18" s="6"/>
      <c r="E18" s="6"/>
      <c r="F18" s="6"/>
    </row>
    <row r="19" spans="1:6">
      <c r="A19" t="s">
        <v>52</v>
      </c>
      <c r="B19" s="70">
        <f>B72</f>
        <v>22</v>
      </c>
      <c r="C19" s="6">
        <f>C41*C43</f>
        <v>1.5E-3</v>
      </c>
      <c r="D19" s="6"/>
      <c r="E19" s="6"/>
      <c r="F19" s="6"/>
    </row>
    <row r="20" spans="1:6">
      <c r="A20" s="2" t="s">
        <v>53</v>
      </c>
      <c r="B20" s="80">
        <f>C40* 0.11</f>
        <v>19.8</v>
      </c>
      <c r="C20" s="6">
        <f>C40*C43</f>
        <v>5.3999999999999995</v>
      </c>
      <c r="D20" s="6"/>
      <c r="E20" s="6"/>
      <c r="F20" s="6"/>
    </row>
    <row r="21" spans="1:6">
      <c r="A21" s="2" t="s">
        <v>54</v>
      </c>
      <c r="B21" s="81">
        <f xml:space="preserve"> B24* 0.02</f>
        <v>5</v>
      </c>
      <c r="C21" s="10">
        <f>0</f>
        <v>0</v>
      </c>
      <c r="D21" s="6"/>
      <c r="E21" s="6"/>
      <c r="F21" s="6"/>
    </row>
    <row r="22" spans="1:6">
      <c r="A22" s="74" t="s">
        <v>45</v>
      </c>
      <c r="B22" s="116">
        <f>SUM(B18:B21)</f>
        <v>86.8</v>
      </c>
      <c r="C22" s="124">
        <f t="shared" ref="C22" si="2">SUM(C18:C20)</f>
        <v>16.201499999999999</v>
      </c>
      <c r="D22" s="6"/>
      <c r="E22" s="6"/>
      <c r="F22" s="6"/>
    </row>
    <row r="23" spans="1:6">
      <c r="B23" s="52"/>
      <c r="D23" s="27"/>
      <c r="E23" s="27"/>
      <c r="F23" s="27"/>
    </row>
    <row r="24" spans="1:6">
      <c r="A24" t="s">
        <v>55</v>
      </c>
      <c r="B24" s="70">
        <f>B53</f>
        <v>250</v>
      </c>
      <c r="C24" s="9"/>
      <c r="D24" s="31"/>
      <c r="E24" s="31"/>
      <c r="F24" s="31"/>
    </row>
    <row r="25" spans="1:6">
      <c r="B25" s="52"/>
      <c r="D25" s="27"/>
      <c r="E25" s="27"/>
      <c r="F25" s="27"/>
    </row>
    <row r="26" spans="1:6">
      <c r="A26" s="74" t="s">
        <v>56</v>
      </c>
      <c r="B26" s="127">
        <f>B22+B24</f>
        <v>336.8</v>
      </c>
      <c r="C26" s="128">
        <f t="shared" ref="C26:F26" si="3">C22+C24</f>
        <v>16.201499999999999</v>
      </c>
      <c r="D26" s="32"/>
      <c r="E26" s="32"/>
      <c r="F26" s="32"/>
    </row>
    <row r="27" spans="1:6">
      <c r="B27" s="52"/>
      <c r="D27" s="27"/>
      <c r="E27" s="27"/>
      <c r="F27" s="27"/>
    </row>
    <row r="28" spans="1:6" s="1" customFormat="1">
      <c r="A28" s="73" t="s">
        <v>57</v>
      </c>
      <c r="B28" s="82"/>
      <c r="D28" s="30"/>
      <c r="E28" s="30"/>
      <c r="F28" s="30"/>
    </row>
    <row r="29" spans="1:6">
      <c r="B29" s="52"/>
      <c r="D29" s="27"/>
      <c r="E29" s="27"/>
      <c r="F29" s="27"/>
    </row>
    <row r="30" spans="1:6">
      <c r="A30" t="s">
        <v>58</v>
      </c>
      <c r="B30" s="70">
        <f>B52</f>
        <v>60</v>
      </c>
      <c r="C30" s="9">
        <f>B30</f>
        <v>60</v>
      </c>
      <c r="D30" s="31"/>
      <c r="E30" s="31"/>
      <c r="F30" s="31"/>
    </row>
    <row r="31" spans="1:6">
      <c r="A31" t="s">
        <v>59</v>
      </c>
      <c r="B31" s="83">
        <f>'Income Statement'!B6 - 'Income Statement'!B12 -'Balance Sheet'!B20</f>
        <v>90.36</v>
      </c>
      <c r="C31" s="78">
        <f>B31+'Income Statement'!B31</f>
        <v>124.35206666666666</v>
      </c>
      <c r="D31" s="29"/>
      <c r="E31" s="29"/>
      <c r="F31" s="29"/>
    </row>
    <row r="32" spans="1:6">
      <c r="A32" t="s">
        <v>60</v>
      </c>
      <c r="B32" s="129">
        <f>SUM(B30:B31)</f>
        <v>150.36000000000001</v>
      </c>
      <c r="C32" s="11">
        <f>SUM(C30:C31)</f>
        <v>184.35206666666664</v>
      </c>
      <c r="D32" s="31"/>
      <c r="E32" s="31"/>
      <c r="F32" s="31"/>
    </row>
    <row r="33" spans="1:6">
      <c r="D33" s="27"/>
      <c r="E33" s="27"/>
      <c r="F33" s="27"/>
    </row>
    <row r="34" spans="1:6">
      <c r="A34" s="74" t="s">
        <v>61</v>
      </c>
      <c r="B34" s="128">
        <f>B26+B32</f>
        <v>487.16</v>
      </c>
      <c r="C34" s="128">
        <f t="shared" ref="C34:F34" si="4">C26+C32</f>
        <v>200.55356666666665</v>
      </c>
      <c r="D34" s="32"/>
      <c r="E34" s="32"/>
      <c r="F34" s="32"/>
    </row>
    <row r="35" spans="1:6">
      <c r="D35" s="27"/>
      <c r="E35" s="27"/>
      <c r="F35" s="27"/>
    </row>
    <row r="36" spans="1:6">
      <c r="A36" t="s">
        <v>62</v>
      </c>
      <c r="B36" s="87">
        <f>B14-B34</f>
        <v>-0.32666666666671063</v>
      </c>
      <c r="C36" s="87">
        <f>C14-C34</f>
        <v>7.1833333333330529E-2</v>
      </c>
      <c r="D36" s="33"/>
      <c r="E36" s="33"/>
      <c r="F36" s="33"/>
    </row>
    <row r="38" spans="1:6" s="63" customFormat="1">
      <c r="A38" s="63" t="s">
        <v>23</v>
      </c>
    </row>
    <row r="40" spans="1:6">
      <c r="A40" t="s">
        <v>4</v>
      </c>
      <c r="C40" s="8">
        <f>'Income Statement'!B6</f>
        <v>180</v>
      </c>
      <c r="D40" s="8"/>
      <c r="E40" s="8"/>
      <c r="F40" s="8"/>
    </row>
    <row r="41" spans="1:6">
      <c r="A41" t="s">
        <v>63</v>
      </c>
      <c r="C41" s="58">
        <v>0.05</v>
      </c>
      <c r="D41" s="21"/>
      <c r="E41" s="21"/>
      <c r="F41" s="21"/>
    </row>
    <row r="42" spans="1:6">
      <c r="A42" t="s">
        <v>64</v>
      </c>
      <c r="C42" s="58">
        <v>0.06</v>
      </c>
      <c r="D42" s="21"/>
      <c r="E42" s="21"/>
      <c r="F42" s="21"/>
    </row>
    <row r="43" spans="1:6">
      <c r="A43" t="s">
        <v>65</v>
      </c>
      <c r="C43" s="58">
        <v>0.03</v>
      </c>
      <c r="D43" s="21"/>
      <c r="E43" s="21"/>
      <c r="F43" s="21"/>
    </row>
    <row r="44" spans="1:6">
      <c r="C44" s="52"/>
    </row>
    <row r="45" spans="1:6">
      <c r="A45" t="s">
        <v>66</v>
      </c>
      <c r="C45" s="70"/>
      <c r="D45" s="7"/>
      <c r="E45" s="7"/>
      <c r="F45" s="7"/>
    </row>
    <row r="46" spans="1:6">
      <c r="A46" t="s">
        <v>67</v>
      </c>
      <c r="C46" s="70">
        <v>250</v>
      </c>
      <c r="D46" s="7"/>
      <c r="E46" s="7"/>
      <c r="F46" s="7"/>
    </row>
    <row r="47" spans="1:6">
      <c r="A47" t="s">
        <v>68</v>
      </c>
      <c r="C47" s="58">
        <v>0.02</v>
      </c>
      <c r="D47" s="21"/>
      <c r="E47" s="21"/>
      <c r="F47" s="21"/>
    </row>
    <row r="48" spans="1:6">
      <c r="A48" t="s">
        <v>69</v>
      </c>
      <c r="C48" s="77">
        <f>C47*C24</f>
        <v>0</v>
      </c>
      <c r="D48" s="9"/>
      <c r="E48" s="9"/>
      <c r="F48" s="9"/>
    </row>
    <row r="51" spans="1:5">
      <c r="A51" s="74" t="s">
        <v>70</v>
      </c>
    </row>
    <row r="52" spans="1:5" ht="31.5">
      <c r="A52" s="25" t="s">
        <v>71</v>
      </c>
      <c r="B52">
        <v>60</v>
      </c>
    </row>
    <row r="53" spans="1:5" ht="31.5">
      <c r="A53" s="25" t="s">
        <v>72</v>
      </c>
      <c r="B53">
        <v>250</v>
      </c>
    </row>
    <row r="54" spans="1:5">
      <c r="A54" s="25" t="s">
        <v>73</v>
      </c>
      <c r="B54">
        <v>30</v>
      </c>
    </row>
    <row r="55" spans="1:5" ht="31.5">
      <c r="A55" s="25" t="s">
        <v>74</v>
      </c>
      <c r="B55">
        <v>15</v>
      </c>
    </row>
    <row r="56" spans="1:5">
      <c r="A56" s="25" t="s">
        <v>75</v>
      </c>
      <c r="B56">
        <v>5</v>
      </c>
    </row>
    <row r="57" spans="1:5">
      <c r="A57" s="25" t="s">
        <v>76</v>
      </c>
      <c r="B57">
        <v>24</v>
      </c>
    </row>
    <row r="58" spans="1:5" ht="31.5">
      <c r="A58" s="25" t="s">
        <v>77</v>
      </c>
      <c r="B58">
        <v>40</v>
      </c>
    </row>
    <row r="59" spans="1:5">
      <c r="A59" s="25" t="s">
        <v>78</v>
      </c>
      <c r="B59">
        <v>5</v>
      </c>
    </row>
    <row r="60" spans="1:5">
      <c r="A60" s="25" t="s">
        <v>79</v>
      </c>
      <c r="B60">
        <v>80</v>
      </c>
    </row>
    <row r="61" spans="1:5" ht="31.5">
      <c r="A61" s="25" t="s">
        <v>80</v>
      </c>
      <c r="B61">
        <v>100</v>
      </c>
    </row>
    <row r="62" spans="1:5">
      <c r="A62" s="25" t="s">
        <v>81</v>
      </c>
      <c r="B62">
        <v>5</v>
      </c>
    </row>
    <row r="63" spans="1:5">
      <c r="A63" s="75" t="s">
        <v>82</v>
      </c>
      <c r="B63">
        <f>SUM(B54,B57,B59,(B67*12),(B70*12),(B71*12))</f>
        <v>287</v>
      </c>
      <c r="E63" s="35"/>
    </row>
    <row r="66" spans="1:4" ht="18" customHeight="1">
      <c r="A66" s="89" t="s">
        <v>83</v>
      </c>
      <c r="B66" s="76" t="s">
        <v>84</v>
      </c>
      <c r="C66" s="76" t="s">
        <v>85</v>
      </c>
    </row>
    <row r="67" spans="1:4">
      <c r="A67" s="47" t="s">
        <v>86</v>
      </c>
      <c r="B67" s="88">
        <v>8</v>
      </c>
      <c r="C67" s="47" t="s">
        <v>87</v>
      </c>
    </row>
    <row r="68" spans="1:4">
      <c r="A68" s="47" t="s">
        <v>88</v>
      </c>
      <c r="B68" s="88">
        <v>2</v>
      </c>
      <c r="C68" s="47" t="s">
        <v>87</v>
      </c>
    </row>
    <row r="69" spans="1:4">
      <c r="A69" s="47" t="s">
        <v>89</v>
      </c>
      <c r="B69" s="88">
        <v>1</v>
      </c>
      <c r="C69" s="47" t="s">
        <v>87</v>
      </c>
    </row>
    <row r="70" spans="1:4" ht="19.5" customHeight="1">
      <c r="A70" s="47" t="s">
        <v>90</v>
      </c>
      <c r="B70" s="88">
        <v>7</v>
      </c>
      <c r="C70" s="120" t="s">
        <v>91</v>
      </c>
      <c r="D70" s="120"/>
    </row>
    <row r="71" spans="1:4" ht="17.25" customHeight="1">
      <c r="A71" s="91" t="s">
        <v>92</v>
      </c>
      <c r="B71" s="92">
        <v>4</v>
      </c>
      <c r="C71" s="91" t="s">
        <v>87</v>
      </c>
    </row>
    <row r="72" spans="1:4">
      <c r="A72" s="95" t="s">
        <v>93</v>
      </c>
      <c r="B72" s="93">
        <f>SUM(B67:B71)</f>
        <v>22</v>
      </c>
      <c r="C72" s="47"/>
    </row>
    <row r="73" spans="1:4">
      <c r="A73" s="94" t="s">
        <v>94</v>
      </c>
      <c r="B73" s="96">
        <f>B72*12</f>
        <v>264</v>
      </c>
      <c r="C73" s="50"/>
    </row>
  </sheetData>
  <mergeCells count="1">
    <mergeCell ref="C70:D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zoomScale="150" zoomScaleNormal="150" zoomScalePageLayoutView="150" workbookViewId="0">
      <pane xSplit="1" ySplit="1" topLeftCell="B10" activePane="bottomRight" state="frozen"/>
      <selection pane="bottomRight" activeCell="A20" sqref="A20"/>
      <selection pane="bottomLeft" activeCell="A2" sqref="A2"/>
      <selection pane="topRight" activeCell="B1" sqref="B1"/>
    </sheetView>
  </sheetViews>
  <sheetFormatPr defaultColWidth="11" defaultRowHeight="15.95"/>
  <cols>
    <col min="1" max="1" width="20.125" bestFit="1" customWidth="1"/>
    <col min="2" max="2" width="13.125" bestFit="1" customWidth="1"/>
    <col min="3" max="3" width="12.625" bestFit="1" customWidth="1"/>
    <col min="4" max="5" width="13.875" bestFit="1" customWidth="1"/>
  </cols>
  <sheetData>
    <row r="1" spans="1:5">
      <c r="A1" s="61" t="s">
        <v>95</v>
      </c>
      <c r="B1" s="62" t="s">
        <v>1</v>
      </c>
      <c r="C1" s="3"/>
      <c r="D1" s="3"/>
      <c r="E1" s="3"/>
    </row>
    <row r="3" spans="1:5" ht="15.75">
      <c r="A3" s="74" t="s">
        <v>96</v>
      </c>
      <c r="B3" s="107">
        <f>'Income Statement'!B31</f>
        <v>33.992066666666659</v>
      </c>
      <c r="C3" s="8"/>
      <c r="D3" s="8"/>
      <c r="E3" s="8"/>
    </row>
    <row r="5" spans="1:5" ht="15.75">
      <c r="A5" s="90" t="s">
        <v>97</v>
      </c>
    </row>
    <row r="6" spans="1:5">
      <c r="A6" t="s">
        <v>15</v>
      </c>
      <c r="B6" s="99">
        <f>'Capex &amp; Depreciation Schedule'!C15</f>
        <v>43.166666666666671</v>
      </c>
      <c r="C6" s="5"/>
      <c r="D6" s="5"/>
      <c r="E6" s="5"/>
    </row>
    <row r="7" spans="1:5">
      <c r="A7" t="s">
        <v>98</v>
      </c>
      <c r="B7" s="100">
        <f>'Balance Sheet'!C18-'Balance Sheet'!B18</f>
        <v>-29.200000000000003</v>
      </c>
      <c r="C7" s="5"/>
      <c r="D7" s="5"/>
      <c r="E7" s="5"/>
    </row>
    <row r="8" spans="1:5" ht="15.75">
      <c r="A8" t="s">
        <v>99</v>
      </c>
      <c r="B8" s="101">
        <f>B3+SUM(B6:B7)</f>
        <v>47.958733333333328</v>
      </c>
      <c r="C8" s="8"/>
      <c r="D8" s="8"/>
      <c r="E8" s="8"/>
    </row>
    <row r="9" spans="1:5">
      <c r="B9" s="44"/>
    </row>
    <row r="10" spans="1:5" ht="15.75">
      <c r="A10" s="90" t="s">
        <v>100</v>
      </c>
      <c r="B10" s="44"/>
    </row>
    <row r="11" spans="1:5">
      <c r="A11" t="s">
        <v>31</v>
      </c>
      <c r="B11" s="42">
        <f>'Capex &amp; Depreciation Schedule'!C8</f>
        <v>64</v>
      </c>
      <c r="C11" s="5"/>
      <c r="D11" s="5"/>
      <c r="E11" s="5"/>
    </row>
    <row r="12" spans="1:5">
      <c r="B12" s="44"/>
    </row>
    <row r="13" spans="1:5">
      <c r="A13" t="s">
        <v>101</v>
      </c>
      <c r="B13" s="44">
        <f>B8-B11</f>
        <v>-16.041266666666672</v>
      </c>
      <c r="C13" s="9"/>
      <c r="D13" s="9"/>
      <c r="E13" s="9"/>
    </row>
    <row r="14" spans="1:5">
      <c r="B14" s="44"/>
    </row>
    <row r="15" spans="1:5" ht="15.75">
      <c r="A15" s="90" t="s">
        <v>102</v>
      </c>
      <c r="B15" s="44"/>
    </row>
    <row r="16" spans="1:5" ht="15.75">
      <c r="A16" t="s">
        <v>103</v>
      </c>
      <c r="B16" s="45">
        <f>-'Balance Sheet'!C46</f>
        <v>-250</v>
      </c>
      <c r="C16" s="6"/>
      <c r="D16" s="6"/>
      <c r="E16" s="6"/>
    </row>
    <row r="17" spans="1:5" ht="15.75">
      <c r="A17" t="s">
        <v>104</v>
      </c>
      <c r="B17" s="43">
        <f>'Balance Sheet'!C45</f>
        <v>0</v>
      </c>
      <c r="C17" s="6"/>
      <c r="D17" s="6"/>
      <c r="E17" s="6"/>
    </row>
    <row r="18" spans="1:5" ht="15.75">
      <c r="A18" t="s">
        <v>105</v>
      </c>
      <c r="B18" s="44">
        <f>SUM(B16:B17)</f>
        <v>-250</v>
      </c>
      <c r="C18" s="32"/>
      <c r="D18" s="32"/>
      <c r="E18" s="32"/>
    </row>
    <row r="19" spans="1:5" ht="15.75">
      <c r="B19" s="44"/>
      <c r="C19" s="27"/>
      <c r="D19" s="27"/>
      <c r="E19" s="27"/>
    </row>
    <row r="20" spans="1:5" s="1" customFormat="1" ht="15.75">
      <c r="A20" s="74" t="s">
        <v>106</v>
      </c>
      <c r="B20" s="105">
        <f>B13+B18</f>
        <v>-266.04126666666667</v>
      </c>
      <c r="C20" s="46"/>
      <c r="D20" s="46"/>
      <c r="E20" s="46"/>
    </row>
    <row r="21" spans="1:5" ht="15.75"/>
    <row r="22" spans="1:5" ht="15.75"/>
    <row r="23" spans="1:5" ht="15.7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EEF2-ADE9-44FF-9A56-82644A180797}">
  <dimension ref="A3:O18"/>
  <sheetViews>
    <sheetView tabSelected="1" workbookViewId="0">
      <selection activeCell="D10" sqref="D10"/>
    </sheetView>
  </sheetViews>
  <sheetFormatPr defaultRowHeight="15.75"/>
  <cols>
    <col min="1" max="1" width="20" bestFit="1" customWidth="1"/>
    <col min="2" max="2" width="11.5" bestFit="1" customWidth="1"/>
    <col min="3" max="3" width="11.25" customWidth="1"/>
    <col min="4" max="4" width="12" bestFit="1" customWidth="1"/>
    <col min="6" max="9" width="11.625" bestFit="1" customWidth="1"/>
    <col min="10" max="10" width="10.625" bestFit="1" customWidth="1"/>
    <col min="11" max="11" width="10" bestFit="1" customWidth="1"/>
    <col min="12" max="15" width="11" bestFit="1" customWidth="1"/>
  </cols>
  <sheetData>
    <row r="3" spans="1:15">
      <c r="I3" s="121" t="s">
        <v>107</v>
      </c>
      <c r="J3" s="121"/>
    </row>
    <row r="4" spans="1:15">
      <c r="A4" s="97" t="s">
        <v>108</v>
      </c>
      <c r="B4" s="98"/>
      <c r="C4" s="52"/>
      <c r="D4" s="52"/>
      <c r="E4" s="53">
        <f>B10</f>
        <v>1.1641532182693481E-10</v>
      </c>
      <c r="F4" s="52">
        <v>1</v>
      </c>
      <c r="G4" s="52">
        <v>2</v>
      </c>
      <c r="H4" s="52">
        <v>3</v>
      </c>
      <c r="I4" s="52">
        <v>4</v>
      </c>
      <c r="J4" s="52">
        <v>5</v>
      </c>
      <c r="K4" s="52">
        <v>6</v>
      </c>
      <c r="L4" s="52">
        <v>7</v>
      </c>
      <c r="M4" s="52">
        <v>8</v>
      </c>
      <c r="N4" s="52">
        <v>9</v>
      </c>
      <c r="O4" s="52">
        <v>10</v>
      </c>
    </row>
    <row r="5" spans="1:15">
      <c r="A5" s="97" t="s">
        <v>109</v>
      </c>
      <c r="B5" s="53">
        <v>287000</v>
      </c>
      <c r="C5" s="52"/>
      <c r="D5" s="52"/>
      <c r="E5" s="54">
        <v>1.4999999999999999E-2</v>
      </c>
      <c r="F5" s="49">
        <v>-229529.15091934218</v>
      </c>
      <c r="G5" s="49">
        <v>-171196.2391024747</v>
      </c>
      <c r="H5" s="49">
        <v>-111988.33360835409</v>
      </c>
      <c r="I5" s="49">
        <v>-51892.309531821782</v>
      </c>
      <c r="J5" s="49">
        <v>9105.1549058585661</v>
      </c>
      <c r="K5" s="49">
        <v>71017.58131010388</v>
      </c>
      <c r="L5" s="49">
        <v>133858.69411041297</v>
      </c>
      <c r="M5" s="49">
        <v>197642.42360272707</v>
      </c>
      <c r="N5" s="49">
        <v>262382.90903742565</v>
      </c>
      <c r="O5" s="49">
        <v>328094.50175364478</v>
      </c>
    </row>
    <row r="6" spans="1:15">
      <c r="A6" s="97" t="s">
        <v>110</v>
      </c>
      <c r="B6" s="55">
        <v>2.5000000000000001E-2</v>
      </c>
      <c r="C6" s="52"/>
      <c r="D6" s="52"/>
      <c r="E6" s="54">
        <v>0.02</v>
      </c>
      <c r="F6" s="49">
        <v>-230964.15091934172</v>
      </c>
      <c r="G6" s="49">
        <v>-173807.58485707041</v>
      </c>
      <c r="H6" s="49">
        <v>-115507.8874735538</v>
      </c>
      <c r="I6" s="49">
        <v>-56042.196142366534</v>
      </c>
      <c r="J6" s="49">
        <v>4612.8090154445381</v>
      </c>
      <c r="K6" s="49">
        <v>66480.914276411699</v>
      </c>
      <c r="L6" s="49">
        <v>129586.38164259749</v>
      </c>
      <c r="M6" s="49">
        <v>193953.95835610793</v>
      </c>
      <c r="N6" s="49">
        <v>259608.88660388842</v>
      </c>
      <c r="O6" s="49">
        <v>326576.91341662442</v>
      </c>
    </row>
    <row r="7" spans="1:15">
      <c r="A7" s="97" t="s">
        <v>111</v>
      </c>
      <c r="B7" s="52">
        <v>5</v>
      </c>
      <c r="C7" s="52"/>
      <c r="D7" s="52"/>
      <c r="E7" s="54">
        <v>2.5000000000000001E-2</v>
      </c>
      <c r="F7" s="49">
        <v>-232399.15091934201</v>
      </c>
      <c r="G7" s="49">
        <v>-176433.28061166732</v>
      </c>
      <c r="H7" s="49">
        <v>-119068.26354630079</v>
      </c>
      <c r="I7" s="49">
        <v>-60269.121054300398</v>
      </c>
      <c r="J7" s="49">
        <v>1.1641532182693481E-10</v>
      </c>
      <c r="K7" s="49">
        <v>61775.84908065811</v>
      </c>
      <c r="L7" s="49">
        <v>125096.09438833297</v>
      </c>
      <c r="M7" s="49">
        <v>189999.34582869924</v>
      </c>
      <c r="N7" s="49">
        <v>256525.17855507444</v>
      </c>
      <c r="O7" s="49">
        <v>324714.15709960961</v>
      </c>
    </row>
    <row r="8" spans="1:15">
      <c r="A8" s="97" t="s">
        <v>112</v>
      </c>
      <c r="B8" s="56">
        <v>-61775.849080658219</v>
      </c>
      <c r="C8" s="52"/>
      <c r="D8" s="52"/>
      <c r="E8" s="54">
        <v>0.03</v>
      </c>
      <c r="F8" s="49">
        <v>-233834.15091934172</v>
      </c>
      <c r="G8" s="49">
        <v>-179073.32636626391</v>
      </c>
      <c r="H8" s="49">
        <v>-122669.67707659345</v>
      </c>
      <c r="I8" s="49">
        <v>-64573.918308233202</v>
      </c>
      <c r="J8" s="49">
        <v>-4735.2867768221186</v>
      </c>
      <c r="K8" s="49">
        <v>56898.503700531553</v>
      </c>
      <c r="L8" s="49">
        <v>120381.30789220583</v>
      </c>
      <c r="M8" s="49">
        <v>185768.59620962996</v>
      </c>
      <c r="N8" s="49">
        <v>253117.50317657727</v>
      </c>
      <c r="O8" s="49">
        <v>322486.87735253276</v>
      </c>
    </row>
    <row r="9" spans="1:15">
      <c r="A9" s="97"/>
      <c r="B9" s="52"/>
      <c r="C9" s="52"/>
      <c r="D9" s="97" t="s">
        <v>68</v>
      </c>
      <c r="E9" s="54">
        <v>3.5000000000000003E-2</v>
      </c>
      <c r="F9" s="49">
        <v>-235269.15091934192</v>
      </c>
      <c r="G9" s="49">
        <v>-181727.72212086071</v>
      </c>
      <c r="H9" s="49">
        <v>-126312.34331443283</v>
      </c>
      <c r="I9" s="49">
        <v>-68957.426249779848</v>
      </c>
      <c r="J9" s="49">
        <v>-9595.0870878641726</v>
      </c>
      <c r="K9" s="49">
        <v>51844.933944718854</v>
      </c>
      <c r="L9" s="49">
        <v>115435.35571344214</v>
      </c>
      <c r="M9" s="49">
        <v>181251.44224407052</v>
      </c>
      <c r="N9" s="49">
        <v>249371.0918032708</v>
      </c>
      <c r="O9" s="49">
        <v>319874.92909704341</v>
      </c>
    </row>
    <row r="10" spans="1:15">
      <c r="A10" s="97" t="s">
        <v>113</v>
      </c>
      <c r="B10" s="53">
        <f>FV(B6,B7,B8,B5)</f>
        <v>1.1641532182693481E-10</v>
      </c>
      <c r="C10" s="52"/>
      <c r="D10" s="52"/>
      <c r="E10" s="54">
        <v>0.04</v>
      </c>
      <c r="F10" s="49">
        <v>-236704.15091934172</v>
      </c>
      <c r="G10" s="49">
        <v>-184396.46787545708</v>
      </c>
      <c r="H10" s="49">
        <v>-129996.47750981722</v>
      </c>
      <c r="I10" s="49">
        <v>-73420.487529551552</v>
      </c>
      <c r="J10" s="49">
        <v>-14581.457950075215</v>
      </c>
      <c r="K10" s="49">
        <v>46611.132812579977</v>
      </c>
      <c r="L10" s="49">
        <v>110251.42720574129</v>
      </c>
      <c r="M10" s="49">
        <v>176437.33337462944</v>
      </c>
      <c r="N10" s="49">
        <v>245270.67579027294</v>
      </c>
      <c r="O10" s="49">
        <v>316857.35190254211</v>
      </c>
    </row>
    <row r="11" spans="1:15">
      <c r="A11" s="52"/>
      <c r="B11" s="52"/>
      <c r="C11" s="52"/>
      <c r="D11" s="52"/>
      <c r="E11" s="54">
        <v>4.4999999999999998E-2</v>
      </c>
      <c r="F11" s="49">
        <v>-238139.15091934189</v>
      </c>
      <c r="G11" s="49">
        <v>-187079.56363005415</v>
      </c>
      <c r="H11" s="49">
        <v>-133722.29491274833</v>
      </c>
      <c r="I11" s="49">
        <v>-77963.949103164196</v>
      </c>
      <c r="J11" s="49">
        <v>-19696.477732148312</v>
      </c>
      <c r="K11" s="49">
        <v>41193.02985056286</v>
      </c>
      <c r="L11" s="49">
        <v>104822.56527449656</v>
      </c>
      <c r="M11" s="49">
        <v>171315.42979250656</v>
      </c>
      <c r="N11" s="49">
        <v>240800.47321382759</v>
      </c>
      <c r="O11" s="49">
        <v>313412.34358910762</v>
      </c>
    </row>
    <row r="12" spans="1:15">
      <c r="A12" s="52"/>
      <c r="B12" s="52"/>
      <c r="C12" s="52"/>
      <c r="D12" s="52"/>
      <c r="E12" s="54">
        <v>0.05</v>
      </c>
      <c r="F12" s="49">
        <v>-239574.15091934172</v>
      </c>
      <c r="G12" s="49">
        <v>-189777.00938465062</v>
      </c>
      <c r="H12" s="49">
        <v>-137490.01077322487</v>
      </c>
      <c r="I12" s="49">
        <v>-82588.662231227965</v>
      </c>
      <c r="J12" s="49">
        <v>-24942.246262131026</v>
      </c>
      <c r="K12" s="49">
        <v>35586.490505420486</v>
      </c>
      <c r="L12" s="49">
        <v>99141.664111349965</v>
      </c>
      <c r="M12" s="49">
        <v>165874.59639757546</v>
      </c>
      <c r="N12" s="49">
        <v>235944.17529811262</v>
      </c>
      <c r="O12" s="49">
        <v>309517.23314367636</v>
      </c>
    </row>
    <row r="13" spans="1:15" ht="18.75">
      <c r="A13" s="48"/>
      <c r="B13" s="53"/>
      <c r="C13" s="52"/>
      <c r="D13" s="52"/>
      <c r="E13" s="54">
        <v>5.5E-2</v>
      </c>
      <c r="F13" s="49">
        <v>-241009.15091934183</v>
      </c>
      <c r="G13" s="49">
        <v>-192488.80513924742</v>
      </c>
      <c r="H13" s="49">
        <v>-141299.84034124791</v>
      </c>
      <c r="I13" s="49">
        <v>-87295.482479358267</v>
      </c>
      <c r="J13" s="49">
        <v>-30320.88493506494</v>
      </c>
      <c r="K13" s="49">
        <v>29787.31547416473</v>
      </c>
      <c r="L13" s="49">
        <v>93201.466905901965</v>
      </c>
      <c r="M13" s="49">
        <v>160103.39666638477</v>
      </c>
      <c r="N13" s="49">
        <v>230684.93256369414</v>
      </c>
      <c r="O13" s="49">
        <v>305148.45293535542</v>
      </c>
    </row>
    <row r="14" spans="1:15">
      <c r="A14" s="52"/>
      <c r="B14" s="52"/>
      <c r="C14" s="52"/>
      <c r="D14" s="52"/>
      <c r="E14" s="54">
        <v>0.06</v>
      </c>
      <c r="F14" s="49">
        <v>-242444.15091934172</v>
      </c>
      <c r="G14" s="49">
        <v>-195214.95089384395</v>
      </c>
      <c r="H14" s="49">
        <v>-145151.99886681623</v>
      </c>
      <c r="I14" s="49">
        <v>-92085.269718167023</v>
      </c>
      <c r="J14" s="49">
        <v>-35834.536820598703</v>
      </c>
      <c r="K14" s="49">
        <v>23791.240050823602</v>
      </c>
      <c r="L14" s="49">
        <v>86994.563534531393</v>
      </c>
      <c r="M14" s="49">
        <v>153990.08642726147</v>
      </c>
      <c r="N14" s="49">
        <v>225005.34069355536</v>
      </c>
      <c r="O14" s="49">
        <v>300281.51021582691</v>
      </c>
    </row>
    <row r="15" spans="1:15">
      <c r="A15" s="53"/>
      <c r="B15" s="52"/>
      <c r="C15" s="52"/>
      <c r="D15" s="52"/>
      <c r="E15" s="54">
        <v>6.5000000000000002E-2</v>
      </c>
      <c r="F15" s="49">
        <v>-243879.15091934183</v>
      </c>
      <c r="G15" s="49">
        <v>-197955.44664844091</v>
      </c>
      <c r="H15" s="49">
        <v>-149046.7015999314</v>
      </c>
      <c r="I15" s="49">
        <v>-96958.888123268785</v>
      </c>
      <c r="J15" s="49">
        <v>-41485.366770623077</v>
      </c>
      <c r="K15" s="49">
        <v>17593.933469944517</v>
      </c>
      <c r="L15" s="49">
        <v>80513.388226149022</v>
      </c>
      <c r="M15" s="49">
        <v>147522.60754150682</v>
      </c>
      <c r="N15" s="49">
        <v>218887.42611236294</v>
      </c>
      <c r="O15" s="49">
        <v>294890.95789032464</v>
      </c>
    </row>
    <row r="16" spans="1:15">
      <c r="A16" s="57"/>
      <c r="E16" s="54">
        <v>7.0000000000000007E-2</v>
      </c>
      <c r="F16" s="49">
        <v>-245314.15091934172</v>
      </c>
      <c r="G16" s="49">
        <v>-200710.29240303746</v>
      </c>
      <c r="H16" s="49">
        <v>-152984.16379059185</v>
      </c>
      <c r="I16" s="49">
        <v>-101917.20617527515</v>
      </c>
      <c r="J16" s="49">
        <v>-47275.561526886013</v>
      </c>
      <c r="K16" s="49">
        <v>11190.998246890027</v>
      </c>
      <c r="L16" s="49">
        <v>73750.217204830609</v>
      </c>
      <c r="M16" s="49">
        <v>140688.5814898269</v>
      </c>
      <c r="N16" s="49">
        <v>212312.63127477316</v>
      </c>
      <c r="O16" s="49">
        <v>288950.36454466556</v>
      </c>
    </row>
    <row r="17" spans="1:15">
      <c r="A17" s="57"/>
      <c r="E17" s="54">
        <v>7.4999999999999997E-2</v>
      </c>
      <c r="F17" s="49">
        <v>-246749.15091934183</v>
      </c>
      <c r="G17" s="49">
        <v>-203479.48815763427</v>
      </c>
      <c r="H17" s="49">
        <v>-156964.60068879859</v>
      </c>
      <c r="I17" s="49">
        <v>-106961.09665980021</v>
      </c>
      <c r="J17" s="49">
        <v>-53207.329828627058</v>
      </c>
      <c r="K17" s="49">
        <v>4577.9695148839965</v>
      </c>
      <c r="L17" s="49">
        <v>66697.166309158667</v>
      </c>
      <c r="M17" s="49">
        <v>133475.30286300374</v>
      </c>
      <c r="N17" s="49">
        <v>205261.7996583872</v>
      </c>
      <c r="O17" s="49">
        <v>282432.28371342423</v>
      </c>
    </row>
    <row r="18" spans="1:15">
      <c r="E18" s="54">
        <v>0.08</v>
      </c>
      <c r="F18" s="49">
        <v>-248184.15091934172</v>
      </c>
      <c r="G18" s="49">
        <v>-206263.03391223087</v>
      </c>
      <c r="H18" s="49">
        <v>-160988.22754455107</v>
      </c>
      <c r="I18" s="49">
        <v>-112091.43666745687</v>
      </c>
      <c r="J18" s="49">
        <v>-59282.902520195232</v>
      </c>
      <c r="K18" s="49">
        <v>-2249.6856411524932</v>
      </c>
      <c r="L18" s="49">
        <v>59346.188588213525</v>
      </c>
      <c r="M18" s="49">
        <v>125869.73275592888</v>
      </c>
      <c r="N18" s="49">
        <v>197715.16045706149</v>
      </c>
      <c r="O18" s="49">
        <v>275308.22237428464</v>
      </c>
    </row>
  </sheetData>
  <mergeCells count="1">
    <mergeCell ref="I3:J3"/>
  </mergeCells>
  <conditionalFormatting sqref="F5:O18">
    <cfRule type="cellIs" dxfId="5" priority="1" operator="between">
      <formula>0</formula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FD9B-F8B0-4942-8237-8F9D92E98B23}">
  <dimension ref="A4:K20"/>
  <sheetViews>
    <sheetView workbookViewId="0">
      <selection activeCell="B26" sqref="B26"/>
    </sheetView>
  </sheetViews>
  <sheetFormatPr defaultRowHeight="15.75"/>
  <cols>
    <col min="1" max="1" width="15.875" bestFit="1" customWidth="1"/>
    <col min="2" max="2" width="11.5" bestFit="1" customWidth="1"/>
    <col min="3" max="3" width="8.625" customWidth="1"/>
    <col min="6" max="7" width="10.5" bestFit="1" customWidth="1"/>
    <col min="8" max="8" width="12.5" customWidth="1"/>
    <col min="9" max="9" width="14.625" bestFit="1" customWidth="1"/>
    <col min="10" max="11" width="11.625" bestFit="1" customWidth="1"/>
  </cols>
  <sheetData>
    <row r="4" spans="1:11">
      <c r="A4" s="52"/>
      <c r="B4" s="52"/>
      <c r="C4" s="52"/>
      <c r="D4" s="52"/>
      <c r="E4" s="52"/>
      <c r="F4" s="52"/>
      <c r="G4" s="52"/>
      <c r="H4" s="52"/>
      <c r="I4" s="115" t="s">
        <v>114</v>
      </c>
      <c r="J4" s="52"/>
      <c r="K4" s="52"/>
    </row>
    <row r="5" spans="1:11">
      <c r="A5" s="97" t="s">
        <v>115</v>
      </c>
      <c r="B5" s="53">
        <v>287000</v>
      </c>
      <c r="C5" s="52"/>
      <c r="D5" s="52"/>
      <c r="E5" s="52"/>
      <c r="F5" s="52"/>
      <c r="G5" s="119">
        <f>B10</f>
        <v>-1.1641532182693481E-10</v>
      </c>
      <c r="H5" s="117">
        <v>5</v>
      </c>
      <c r="I5" s="117">
        <v>4</v>
      </c>
      <c r="J5" s="117">
        <v>3</v>
      </c>
      <c r="K5" s="117">
        <v>2</v>
      </c>
    </row>
    <row r="6" spans="1:11">
      <c r="A6" s="97" t="s">
        <v>116</v>
      </c>
      <c r="B6" s="58">
        <v>0.15</v>
      </c>
      <c r="C6" s="52"/>
      <c r="D6" s="52"/>
      <c r="E6" s="52"/>
      <c r="F6" s="52"/>
      <c r="G6" s="118">
        <v>0.01</v>
      </c>
      <c r="H6" s="56">
        <v>135090.63526177831</v>
      </c>
      <c r="I6" s="56">
        <v>48984.22941120842</v>
      </c>
      <c r="J6" s="56">
        <v>-36269.637767575419</v>
      </c>
      <c r="K6" s="56">
        <v>-120679.40725151807</v>
      </c>
    </row>
    <row r="7" spans="1:11">
      <c r="A7" s="97" t="s">
        <v>117</v>
      </c>
      <c r="B7" s="52">
        <v>5</v>
      </c>
      <c r="C7" s="52"/>
      <c r="D7" s="52"/>
      <c r="E7" s="52"/>
      <c r="F7" s="52"/>
      <c r="G7" s="118">
        <v>0.02</v>
      </c>
      <c r="H7" s="56">
        <v>128680.84459060326</v>
      </c>
      <c r="I7" s="56">
        <v>42219.883366808237</v>
      </c>
      <c r="J7" s="56">
        <v>-42545.764891814266</v>
      </c>
      <c r="K7" s="56">
        <v>-125649.34161595357</v>
      </c>
    </row>
    <row r="8" spans="1:11">
      <c r="A8" s="97" t="s">
        <v>118</v>
      </c>
      <c r="B8" s="59">
        <v>-85616.563556458641</v>
      </c>
      <c r="C8" s="52"/>
      <c r="D8" s="52"/>
      <c r="E8" s="52"/>
      <c r="G8" s="118">
        <v>0.03</v>
      </c>
      <c r="H8" s="56">
        <v>121838.30418263521</v>
      </c>
      <c r="I8" s="56">
        <v>35166.738472016237</v>
      </c>
      <c r="J8" s="56">
        <v>-48980.412703341921</v>
      </c>
      <c r="K8" s="56">
        <v>-130676.67598038909</v>
      </c>
    </row>
    <row r="9" spans="1:11">
      <c r="A9" s="97"/>
      <c r="B9" s="52"/>
      <c r="C9" s="52"/>
      <c r="D9" s="52"/>
      <c r="E9" s="52"/>
      <c r="F9" s="52"/>
      <c r="G9" s="118">
        <v>0.04</v>
      </c>
      <c r="H9" s="56">
        <v>114547.54171172134</v>
      </c>
      <c r="I9" s="56">
        <v>27818.248226213909</v>
      </c>
      <c r="J9" s="56">
        <v>-55575.303202158597</v>
      </c>
      <c r="K9" s="56">
        <v>-135761.41034482417</v>
      </c>
    </row>
    <row r="10" spans="1:11">
      <c r="A10" s="97" t="s">
        <v>119</v>
      </c>
      <c r="B10" s="57">
        <f>FV(B6,B7,B8,B5)</f>
        <v>-1.1641532182693481E-10</v>
      </c>
      <c r="C10" s="52"/>
      <c r="D10" s="52"/>
      <c r="E10" s="52"/>
      <c r="F10" s="52"/>
      <c r="G10" s="118">
        <v>0.05</v>
      </c>
      <c r="H10" s="56">
        <v>106792.75066767918</v>
      </c>
      <c r="I10" s="56">
        <v>20167.797248781309</v>
      </c>
      <c r="J10" s="56">
        <v>-62332.158388263953</v>
      </c>
      <c r="K10" s="56">
        <v>-140903.54470925973</v>
      </c>
    </row>
    <row r="11" spans="1:11">
      <c r="C11" s="52"/>
      <c r="D11" s="52"/>
      <c r="E11" s="52"/>
      <c r="F11" s="115" t="s">
        <v>116</v>
      </c>
      <c r="G11" s="118">
        <v>0.06</v>
      </c>
      <c r="H11" s="56">
        <v>98557.786912306154</v>
      </c>
      <c r="I11" s="56">
        <v>12208.701279101253</v>
      </c>
      <c r="J11" s="56">
        <v>-69252.700261657883</v>
      </c>
      <c r="K11" s="56">
        <v>-146103.07907369503</v>
      </c>
    </row>
    <row r="12" spans="1:11">
      <c r="C12" s="52"/>
      <c r="D12" s="52"/>
      <c r="E12" s="52"/>
      <c r="G12" s="118">
        <v>7.0000000000000007E-2</v>
      </c>
      <c r="H12" s="56">
        <v>89826.165235371212</v>
      </c>
      <c r="I12" s="56">
        <v>3934.2071765536093</v>
      </c>
      <c r="J12" s="56">
        <v>-76338.650822341035</v>
      </c>
      <c r="K12" s="56">
        <v>-151360.01343813058</v>
      </c>
    </row>
    <row r="13" spans="1:11">
      <c r="A13" s="52"/>
      <c r="B13" s="52"/>
      <c r="C13" s="52"/>
      <c r="D13" s="52"/>
      <c r="E13" s="52"/>
      <c r="F13" s="52"/>
      <c r="G13" s="118">
        <v>0.08</v>
      </c>
      <c r="H13" s="56">
        <v>80581.055910621537</v>
      </c>
      <c r="I13" s="56">
        <v>-4662.5070794788189</v>
      </c>
      <c r="J13" s="56">
        <v>-83591.732070312544</v>
      </c>
      <c r="K13" s="56">
        <v>-156674.34780256596</v>
      </c>
    </row>
    <row r="14" spans="1:11">
      <c r="A14" s="52"/>
      <c r="B14" s="52"/>
      <c r="C14" s="52"/>
      <c r="D14" s="52"/>
      <c r="E14" s="52"/>
      <c r="F14" s="52"/>
      <c r="G14" s="118">
        <v>0.09</v>
      </c>
      <c r="H14" s="56">
        <v>70805.28125177772</v>
      </c>
      <c r="I14" s="56">
        <v>-13588.332389615651</v>
      </c>
      <c r="J14" s="56">
        <v>-91013.66600557277</v>
      </c>
      <c r="K14" s="56">
        <v>-162046.08216700138</v>
      </c>
    </row>
    <row r="15" spans="1:11">
      <c r="A15" s="52"/>
      <c r="B15" s="52"/>
      <c r="C15" s="52"/>
      <c r="D15" s="52"/>
      <c r="E15" s="52"/>
      <c r="F15" s="52"/>
      <c r="G15" s="118">
        <v>0.1</v>
      </c>
      <c r="H15" s="56">
        <v>60481.312168535951</v>
      </c>
      <c r="I15" s="56">
        <v>-22850.22853447526</v>
      </c>
      <c r="J15" s="56">
        <v>-98606.174628121662</v>
      </c>
      <c r="K15" s="56">
        <v>-167475.21653143674</v>
      </c>
    </row>
    <row r="16" spans="1:11">
      <c r="A16" s="52"/>
      <c r="B16" s="52"/>
      <c r="C16" s="52"/>
      <c r="D16" s="52"/>
      <c r="E16" s="52"/>
      <c r="F16" s="52"/>
      <c r="G16" s="118">
        <v>0.11</v>
      </c>
      <c r="H16" s="56">
        <v>49591.264722567925</v>
      </c>
      <c r="I16" s="56">
        <v>-32455.224174676288</v>
      </c>
      <c r="J16" s="56">
        <v>-106370.9799379594</v>
      </c>
      <c r="K16" s="56">
        <v>-172961.75089587219</v>
      </c>
    </row>
    <row r="17" spans="1:11">
      <c r="A17" s="52"/>
      <c r="B17" s="52"/>
      <c r="C17" s="52"/>
      <c r="D17" s="52"/>
      <c r="E17" s="52"/>
      <c r="F17" s="52"/>
      <c r="G17" s="118">
        <v>0.12</v>
      </c>
      <c r="H17" s="56">
        <v>38116.896683520696</v>
      </c>
      <c r="I17" s="56">
        <v>-42410.416850837471</v>
      </c>
      <c r="J17" s="56">
        <v>-114309.80393508577</v>
      </c>
      <c r="K17" s="56">
        <v>-178505.6852603076</v>
      </c>
    </row>
    <row r="18" spans="1:11">
      <c r="A18" s="52"/>
      <c r="B18" s="52"/>
      <c r="C18" s="52"/>
      <c r="D18" s="52"/>
      <c r="E18" s="52"/>
      <c r="F18" s="52"/>
      <c r="G18" s="118">
        <v>0.13</v>
      </c>
      <c r="H18" s="56">
        <v>26039.604085015482</v>
      </c>
      <c r="I18" s="56">
        <v>-52722.972983577813</v>
      </c>
      <c r="J18" s="56">
        <v>-122424.3686195013</v>
      </c>
      <c r="K18" s="56">
        <v>-184107.01962474323</v>
      </c>
    </row>
    <row r="19" spans="1:11">
      <c r="A19" s="52"/>
      <c r="B19" s="52"/>
      <c r="C19" s="52"/>
      <c r="D19" s="52"/>
      <c r="E19" s="52"/>
      <c r="F19" s="52"/>
      <c r="G19" s="118">
        <v>0.14000000000000001</v>
      </c>
      <c r="H19" s="56">
        <v>13340.417780651944</v>
      </c>
      <c r="I19" s="56">
        <v>-63400.127873514721</v>
      </c>
      <c r="J19" s="56">
        <v>-130716.39599120477</v>
      </c>
      <c r="K19" s="56">
        <v>-189765.75398917843</v>
      </c>
    </row>
    <row r="20" spans="1:11">
      <c r="A20" s="52"/>
      <c r="B20" s="52"/>
      <c r="C20" s="52"/>
      <c r="D20" s="52"/>
      <c r="E20" s="52"/>
      <c r="F20" s="52"/>
      <c r="G20" s="118">
        <v>0.15</v>
      </c>
      <c r="H20" s="116">
        <v>-1.1641532182693481E-10</v>
      </c>
      <c r="I20" s="56">
        <v>-74449.185701268434</v>
      </c>
      <c r="J20" s="56">
        <v>-139187.60805019748</v>
      </c>
      <c r="K20" s="56">
        <v>-195481.88835361399</v>
      </c>
    </row>
  </sheetData>
  <conditionalFormatting sqref="H6:K20">
    <cfRule type="cellIs" dxfId="4" priority="1" operator="between">
      <formula>-1</formula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28DF-B3EF-47D4-8A7B-4C59EF213EC4}">
  <dimension ref="A1:C9"/>
  <sheetViews>
    <sheetView workbookViewId="0">
      <selection activeCell="P24" sqref="P24"/>
    </sheetView>
  </sheetViews>
  <sheetFormatPr defaultRowHeight="15.75"/>
  <cols>
    <col min="1" max="1" width="18.125" bestFit="1" customWidth="1"/>
    <col min="2" max="2" width="10.875" bestFit="1" customWidth="1"/>
    <col min="3" max="3" width="14.625" bestFit="1" customWidth="1"/>
  </cols>
  <sheetData>
    <row r="1" spans="1:3">
      <c r="A1" t="s">
        <v>120</v>
      </c>
    </row>
    <row r="2" spans="1:3">
      <c r="A2" s="108" t="s">
        <v>121</v>
      </c>
      <c r="B2" s="108" t="s">
        <v>122</v>
      </c>
      <c r="C2" s="108" t="s">
        <v>123</v>
      </c>
    </row>
    <row r="3" spans="1:3">
      <c r="A3" s="27" t="s">
        <v>124</v>
      </c>
      <c r="B3" s="109">
        <v>34</v>
      </c>
      <c r="C3" s="51">
        <f>B3/B6</f>
        <v>0.35416666666666669</v>
      </c>
    </row>
    <row r="4" spans="1:3">
      <c r="A4" s="27" t="s">
        <v>125</v>
      </c>
      <c r="B4" s="109">
        <v>45</v>
      </c>
      <c r="C4" s="51">
        <f>B4/B6</f>
        <v>0.46875</v>
      </c>
    </row>
    <row r="5" spans="1:3">
      <c r="A5" s="27" t="s">
        <v>126</v>
      </c>
      <c r="B5" s="109">
        <v>17</v>
      </c>
      <c r="C5" s="51">
        <f>B5/B6</f>
        <v>0.17708333333333334</v>
      </c>
    </row>
    <row r="6" spans="1:3">
      <c r="A6" s="110" t="s">
        <v>127</v>
      </c>
      <c r="B6" s="111">
        <f>SUM(B3:B5)</f>
        <v>96</v>
      </c>
      <c r="C6" s="112">
        <f>SUM(C3:C5)</f>
        <v>1</v>
      </c>
    </row>
    <row r="9" spans="1:3">
      <c r="A9" t="s">
        <v>128</v>
      </c>
      <c r="B9" t="s">
        <v>129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Wejdan Alahmadi</cp:lastModifiedBy>
  <cp:revision/>
  <dcterms:created xsi:type="dcterms:W3CDTF">2020-06-01T20:52:29Z</dcterms:created>
  <dcterms:modified xsi:type="dcterms:W3CDTF">2021-04-03T21:24:30Z</dcterms:modified>
  <cp:category/>
  <cp:contentStatus/>
</cp:coreProperties>
</file>