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Desktop\prices_car\"/>
    </mc:Choice>
  </mc:AlternateContent>
  <xr:revisionPtr revIDLastSave="0" documentId="13_ncr:1_{3CC440B9-5364-426F-825E-1BA1E553B772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ref" sheetId="2" r:id="rId1"/>
    <sheet name="raw" sheetId="1" r:id="rId2"/>
    <sheet name="raw_eng" sheetId="15" r:id="rId3"/>
    <sheet name="transelation_style" sheetId="18" r:id="rId4"/>
    <sheet name="matching_transelated_with_ref" sheetId="19" r:id="rId5"/>
    <sheet name="MAKER" sheetId="9" r:id="rId6"/>
    <sheet name="FuzzyLookup_AddIn_Undo_Sheet" sheetId="11" state="hidden" r:id="rId7"/>
    <sheet name="STYLE" sheetId="14" r:id="rId8"/>
    <sheet name="Sheet7" sheetId="16" r:id="rId9"/>
    <sheet name="Sheet4" sheetId="21" r:id="rId10"/>
    <sheet name="matching_arabic_with_ref" sheetId="22" r:id="rId11"/>
    <sheet name="Sheet5" sheetId="5" r:id="rId12"/>
  </sheets>
  <definedNames>
    <definedName name="_xlnm._FilterDatabase" localSheetId="5" hidden="1">MAKER!$A$1:$D$66</definedName>
    <definedName name="_xlnm._FilterDatabase" localSheetId="10" hidden="1">matching_arabic_with_ref!$A$1:$C$1317</definedName>
    <definedName name="_xlnm._FilterDatabase" localSheetId="4" hidden="1">matching_transelated_with_ref!$A$1:$C$184</definedName>
    <definedName name="_xlnm._FilterDatabase" localSheetId="1" hidden="1">raw!$A$1:$C$2458</definedName>
    <definedName name="_xlnm._FilterDatabase" localSheetId="2" hidden="1">raw_eng!$A$1:$H$1317</definedName>
    <definedName name="_xlnm._FilterDatabase" localSheetId="0" hidden="1">ref!$A$1:$B$661</definedName>
    <definedName name="_xlnm._FilterDatabase" localSheetId="9">Sheet4!$A$1:$C$188</definedName>
    <definedName name="_xlnm._FilterDatabase" localSheetId="11" hidden="1">Sheet5!$J$2:$K$1557</definedName>
    <definedName name="_xlnm._FilterDatabase" localSheetId="7" hidden="1">STYLE!$A$1:$I$661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5" l="1"/>
  <c r="F2" i="15"/>
  <c r="H3" i="15"/>
  <c r="H4" i="15"/>
  <c r="H5" i="15"/>
  <c r="H6" i="15"/>
  <c r="H7" i="15"/>
  <c r="H8" i="15"/>
  <c r="H9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5" i="15"/>
  <c r="H456" i="15"/>
  <c r="H457" i="15"/>
  <c r="H458" i="15"/>
  <c r="H459" i="15"/>
  <c r="H460" i="15"/>
  <c r="H461" i="15"/>
  <c r="H462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77" i="15"/>
  <c r="H478" i="15"/>
  <c r="H479" i="15"/>
  <c r="H480" i="15"/>
  <c r="H481" i="15"/>
  <c r="H482" i="15"/>
  <c r="H483" i="15"/>
  <c r="H484" i="15"/>
  <c r="H485" i="15"/>
  <c r="H486" i="15"/>
  <c r="H487" i="15"/>
  <c r="H488" i="15"/>
  <c r="H489" i="15"/>
  <c r="H490" i="15"/>
  <c r="H491" i="15"/>
  <c r="H492" i="15"/>
  <c r="H493" i="15"/>
  <c r="H494" i="15"/>
  <c r="H495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17" i="15"/>
  <c r="H518" i="15"/>
  <c r="H519" i="15"/>
  <c r="H520" i="15"/>
  <c r="H521" i="15"/>
  <c r="H522" i="15"/>
  <c r="H523" i="15"/>
  <c r="H524" i="15"/>
  <c r="H525" i="15"/>
  <c r="H526" i="15"/>
  <c r="H527" i="15"/>
  <c r="H528" i="15"/>
  <c r="H529" i="15"/>
  <c r="H530" i="15"/>
  <c r="H531" i="15"/>
  <c r="H532" i="15"/>
  <c r="H533" i="15"/>
  <c r="H534" i="15"/>
  <c r="H535" i="15"/>
  <c r="H536" i="15"/>
  <c r="H537" i="15"/>
  <c r="H538" i="15"/>
  <c r="H539" i="15"/>
  <c r="H540" i="15"/>
  <c r="H541" i="15"/>
  <c r="H542" i="15"/>
  <c r="H543" i="15"/>
  <c r="H544" i="15"/>
  <c r="H545" i="15"/>
  <c r="H546" i="15"/>
  <c r="H547" i="15"/>
  <c r="H548" i="15"/>
  <c r="H549" i="15"/>
  <c r="H550" i="15"/>
  <c r="H551" i="15"/>
  <c r="H552" i="15"/>
  <c r="H553" i="15"/>
  <c r="H554" i="15"/>
  <c r="H555" i="15"/>
  <c r="H556" i="15"/>
  <c r="H557" i="15"/>
  <c r="H558" i="15"/>
  <c r="H559" i="15"/>
  <c r="H560" i="15"/>
  <c r="H561" i="15"/>
  <c r="H562" i="15"/>
  <c r="H563" i="15"/>
  <c r="H564" i="15"/>
  <c r="H565" i="15"/>
  <c r="H566" i="15"/>
  <c r="H567" i="15"/>
  <c r="H568" i="15"/>
  <c r="H569" i="15"/>
  <c r="H570" i="15"/>
  <c r="H571" i="15"/>
  <c r="H572" i="15"/>
  <c r="H573" i="15"/>
  <c r="H574" i="15"/>
  <c r="H575" i="15"/>
  <c r="H576" i="15"/>
  <c r="H577" i="15"/>
  <c r="H578" i="15"/>
  <c r="H579" i="15"/>
  <c r="H580" i="15"/>
  <c r="H581" i="15"/>
  <c r="H582" i="15"/>
  <c r="H583" i="15"/>
  <c r="H584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34" i="15"/>
  <c r="H635" i="15"/>
  <c r="H636" i="15"/>
  <c r="H637" i="15"/>
  <c r="H638" i="15"/>
  <c r="H639" i="15"/>
  <c r="H640" i="15"/>
  <c r="H641" i="15"/>
  <c r="H642" i="15"/>
  <c r="H643" i="15"/>
  <c r="H644" i="15"/>
  <c r="H645" i="15"/>
  <c r="H646" i="15"/>
  <c r="H647" i="15"/>
  <c r="H648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H700" i="15"/>
  <c r="H701" i="15"/>
  <c r="H702" i="15"/>
  <c r="H703" i="15"/>
  <c r="H704" i="15"/>
  <c r="H705" i="15"/>
  <c r="H706" i="15"/>
  <c r="H707" i="15"/>
  <c r="H708" i="15"/>
  <c r="H709" i="15"/>
  <c r="H710" i="15"/>
  <c r="H711" i="15"/>
  <c r="H712" i="15"/>
  <c r="H713" i="15"/>
  <c r="H714" i="15"/>
  <c r="H715" i="15"/>
  <c r="H716" i="15"/>
  <c r="H717" i="15"/>
  <c r="H718" i="15"/>
  <c r="H719" i="15"/>
  <c r="H720" i="15"/>
  <c r="H721" i="15"/>
  <c r="H722" i="15"/>
  <c r="H723" i="15"/>
  <c r="H724" i="15"/>
  <c r="H725" i="15"/>
  <c r="H726" i="15"/>
  <c r="H727" i="15"/>
  <c r="H728" i="15"/>
  <c r="H729" i="15"/>
  <c r="H730" i="15"/>
  <c r="H731" i="15"/>
  <c r="H732" i="15"/>
  <c r="H733" i="15"/>
  <c r="H734" i="15"/>
  <c r="H735" i="15"/>
  <c r="H736" i="15"/>
  <c r="H737" i="15"/>
  <c r="H738" i="15"/>
  <c r="H739" i="15"/>
  <c r="H740" i="15"/>
  <c r="H741" i="15"/>
  <c r="H742" i="15"/>
  <c r="H743" i="15"/>
  <c r="H744" i="15"/>
  <c r="H745" i="15"/>
  <c r="H746" i="15"/>
  <c r="H747" i="15"/>
  <c r="H748" i="15"/>
  <c r="H749" i="15"/>
  <c r="H750" i="15"/>
  <c r="H751" i="15"/>
  <c r="H752" i="15"/>
  <c r="H753" i="15"/>
  <c r="H754" i="15"/>
  <c r="H755" i="15"/>
  <c r="H756" i="15"/>
  <c r="H757" i="15"/>
  <c r="H758" i="15"/>
  <c r="H759" i="15"/>
  <c r="H760" i="15"/>
  <c r="H761" i="15"/>
  <c r="H762" i="15"/>
  <c r="H763" i="15"/>
  <c r="H764" i="15"/>
  <c r="H765" i="15"/>
  <c r="H766" i="15"/>
  <c r="H767" i="15"/>
  <c r="H768" i="15"/>
  <c r="H769" i="15"/>
  <c r="H770" i="15"/>
  <c r="H771" i="15"/>
  <c r="H772" i="15"/>
  <c r="H773" i="15"/>
  <c r="H774" i="15"/>
  <c r="H775" i="15"/>
  <c r="H776" i="15"/>
  <c r="H777" i="15"/>
  <c r="H778" i="15"/>
  <c r="H779" i="15"/>
  <c r="H780" i="15"/>
  <c r="H781" i="15"/>
  <c r="H782" i="15"/>
  <c r="H783" i="15"/>
  <c r="H784" i="15"/>
  <c r="H785" i="15"/>
  <c r="H786" i="15"/>
  <c r="H787" i="15"/>
  <c r="H788" i="15"/>
  <c r="H789" i="15"/>
  <c r="H790" i="15"/>
  <c r="H791" i="15"/>
  <c r="H792" i="15"/>
  <c r="H793" i="15"/>
  <c r="H794" i="15"/>
  <c r="H795" i="15"/>
  <c r="H796" i="15"/>
  <c r="H797" i="15"/>
  <c r="H798" i="15"/>
  <c r="H799" i="15"/>
  <c r="H800" i="15"/>
  <c r="H801" i="15"/>
  <c r="H802" i="15"/>
  <c r="H803" i="15"/>
  <c r="H804" i="15"/>
  <c r="H806" i="15"/>
  <c r="H807" i="15"/>
  <c r="H808" i="15"/>
  <c r="H809" i="15"/>
  <c r="H810" i="15"/>
  <c r="H811" i="15"/>
  <c r="H812" i="15"/>
  <c r="H813" i="15"/>
  <c r="H814" i="15"/>
  <c r="H815" i="15"/>
  <c r="H816" i="15"/>
  <c r="H817" i="15"/>
  <c r="H818" i="15"/>
  <c r="H819" i="15"/>
  <c r="H820" i="15"/>
  <c r="H821" i="15"/>
  <c r="H822" i="15"/>
  <c r="H823" i="15"/>
  <c r="H824" i="15"/>
  <c r="H825" i="15"/>
  <c r="H826" i="15"/>
  <c r="H827" i="15"/>
  <c r="H828" i="15"/>
  <c r="H829" i="15"/>
  <c r="H830" i="15"/>
  <c r="H831" i="15"/>
  <c r="H832" i="15"/>
  <c r="H833" i="15"/>
  <c r="H834" i="15"/>
  <c r="H835" i="15"/>
  <c r="H836" i="15"/>
  <c r="H837" i="15"/>
  <c r="H838" i="15"/>
  <c r="H839" i="15"/>
  <c r="H840" i="15"/>
  <c r="H841" i="15"/>
  <c r="H842" i="15"/>
  <c r="H843" i="15"/>
  <c r="H844" i="15"/>
  <c r="H845" i="15"/>
  <c r="H846" i="15"/>
  <c r="H847" i="15"/>
  <c r="H848" i="15"/>
  <c r="H849" i="15"/>
  <c r="H850" i="15"/>
  <c r="H851" i="15"/>
  <c r="H852" i="15"/>
  <c r="H853" i="15"/>
  <c r="H854" i="15"/>
  <c r="H855" i="15"/>
  <c r="H856" i="15"/>
  <c r="H857" i="15"/>
  <c r="H858" i="15"/>
  <c r="H859" i="15"/>
  <c r="H860" i="15"/>
  <c r="H861" i="15"/>
  <c r="H862" i="15"/>
  <c r="H863" i="15"/>
  <c r="H864" i="15"/>
  <c r="H865" i="15"/>
  <c r="H866" i="15"/>
  <c r="H867" i="15"/>
  <c r="H868" i="15"/>
  <c r="H869" i="15"/>
  <c r="H870" i="15"/>
  <c r="H871" i="15"/>
  <c r="H872" i="15"/>
  <c r="H873" i="15"/>
  <c r="H874" i="15"/>
  <c r="H875" i="15"/>
  <c r="H876" i="15"/>
  <c r="H877" i="15"/>
  <c r="H878" i="15"/>
  <c r="H879" i="15"/>
  <c r="H880" i="15"/>
  <c r="H881" i="15"/>
  <c r="H882" i="15"/>
  <c r="H883" i="15"/>
  <c r="H884" i="15"/>
  <c r="H885" i="15"/>
  <c r="H886" i="15"/>
  <c r="H887" i="15"/>
  <c r="H888" i="15"/>
  <c r="H889" i="15"/>
  <c r="H890" i="15"/>
  <c r="H891" i="15"/>
  <c r="H892" i="15"/>
  <c r="H893" i="15"/>
  <c r="H894" i="15"/>
  <c r="H895" i="15"/>
  <c r="H896" i="15"/>
  <c r="H897" i="15"/>
  <c r="H898" i="15"/>
  <c r="H899" i="15"/>
  <c r="H900" i="15"/>
  <c r="H901" i="15"/>
  <c r="H902" i="15"/>
  <c r="H903" i="15"/>
  <c r="H904" i="15"/>
  <c r="H905" i="15"/>
  <c r="H906" i="15"/>
  <c r="H907" i="15"/>
  <c r="H908" i="15"/>
  <c r="H909" i="15"/>
  <c r="H910" i="15"/>
  <c r="H911" i="15"/>
  <c r="H912" i="15"/>
  <c r="H913" i="15"/>
  <c r="H914" i="15"/>
  <c r="H915" i="15"/>
  <c r="H916" i="15"/>
  <c r="H917" i="15"/>
  <c r="H918" i="15"/>
  <c r="H919" i="15"/>
  <c r="H920" i="15"/>
  <c r="H921" i="15"/>
  <c r="H922" i="15"/>
  <c r="H923" i="15"/>
  <c r="H924" i="15"/>
  <c r="H925" i="15"/>
  <c r="H926" i="15"/>
  <c r="H927" i="15"/>
  <c r="H928" i="15"/>
  <c r="H929" i="15"/>
  <c r="H930" i="15"/>
  <c r="H931" i="15"/>
  <c r="H932" i="15"/>
  <c r="H933" i="15"/>
  <c r="H934" i="15"/>
  <c r="H935" i="15"/>
  <c r="H936" i="15"/>
  <c r="H937" i="15"/>
  <c r="H938" i="15"/>
  <c r="H939" i="15"/>
  <c r="H940" i="15"/>
  <c r="H941" i="15"/>
  <c r="H942" i="15"/>
  <c r="H943" i="15"/>
  <c r="H944" i="15"/>
  <c r="H945" i="15"/>
  <c r="H946" i="15"/>
  <c r="H947" i="15"/>
  <c r="H948" i="15"/>
  <c r="H949" i="15"/>
  <c r="H950" i="15"/>
  <c r="H951" i="15"/>
  <c r="H952" i="15"/>
  <c r="H953" i="15"/>
  <c r="H954" i="15"/>
  <c r="H955" i="15"/>
  <c r="H956" i="15"/>
  <c r="H957" i="15"/>
  <c r="H958" i="15"/>
  <c r="H959" i="15"/>
  <c r="H960" i="15"/>
  <c r="H961" i="15"/>
  <c r="H962" i="15"/>
  <c r="H963" i="15"/>
  <c r="H964" i="15"/>
  <c r="H965" i="15"/>
  <c r="H966" i="15"/>
  <c r="H967" i="15"/>
  <c r="H968" i="15"/>
  <c r="H969" i="15"/>
  <c r="H970" i="15"/>
  <c r="H971" i="15"/>
  <c r="H972" i="15"/>
  <c r="H973" i="15"/>
  <c r="H974" i="15"/>
  <c r="H975" i="15"/>
  <c r="H976" i="15"/>
  <c r="H977" i="15"/>
  <c r="H978" i="15"/>
  <c r="H979" i="15"/>
  <c r="H980" i="15"/>
  <c r="H981" i="15"/>
  <c r="H982" i="15"/>
  <c r="H983" i="15"/>
  <c r="H984" i="15"/>
  <c r="H985" i="15"/>
  <c r="H986" i="15"/>
  <c r="H987" i="15"/>
  <c r="H988" i="15"/>
  <c r="H989" i="15"/>
  <c r="H990" i="15"/>
  <c r="H991" i="15"/>
  <c r="H992" i="15"/>
  <c r="H993" i="15"/>
  <c r="H994" i="15"/>
  <c r="H995" i="15"/>
  <c r="H996" i="15"/>
  <c r="H997" i="15"/>
  <c r="H998" i="15"/>
  <c r="H999" i="15"/>
  <c r="H1000" i="15"/>
  <c r="H1001" i="15"/>
  <c r="H1002" i="15"/>
  <c r="H1003" i="15"/>
  <c r="H1004" i="15"/>
  <c r="H1005" i="15"/>
  <c r="H1006" i="15"/>
  <c r="H1007" i="15"/>
  <c r="H1008" i="15"/>
  <c r="H1009" i="15"/>
  <c r="H1010" i="15"/>
  <c r="H1011" i="15"/>
  <c r="H1012" i="15"/>
  <c r="H1013" i="15"/>
  <c r="H1014" i="15"/>
  <c r="H1015" i="15"/>
  <c r="H1016" i="15"/>
  <c r="H1017" i="15"/>
  <c r="H1018" i="15"/>
  <c r="H1019" i="15"/>
  <c r="H1020" i="15"/>
  <c r="H1021" i="15"/>
  <c r="H1022" i="15"/>
  <c r="H1023" i="15"/>
  <c r="H1024" i="15"/>
  <c r="H1025" i="15"/>
  <c r="H1026" i="15"/>
  <c r="H1027" i="15"/>
  <c r="H1028" i="15"/>
  <c r="H1029" i="15"/>
  <c r="H1030" i="15"/>
  <c r="H1031" i="15"/>
  <c r="H1032" i="15"/>
  <c r="H1033" i="15"/>
  <c r="H1034" i="15"/>
  <c r="H1035" i="15"/>
  <c r="H1036" i="15"/>
  <c r="H1037" i="15"/>
  <c r="H1038" i="15"/>
  <c r="H1039" i="15"/>
  <c r="H1040" i="15"/>
  <c r="H1041" i="15"/>
  <c r="H1042" i="15"/>
  <c r="H1043" i="15"/>
  <c r="H1044" i="15"/>
  <c r="H1045" i="15"/>
  <c r="H1046" i="15"/>
  <c r="H1047" i="15"/>
  <c r="H1048" i="15"/>
  <c r="H1049" i="15"/>
  <c r="H1050" i="15"/>
  <c r="H1051" i="15"/>
  <c r="H1052" i="15"/>
  <c r="H1053" i="15"/>
  <c r="H1054" i="15"/>
  <c r="H1055" i="15"/>
  <c r="H1056" i="15"/>
  <c r="H1057" i="15"/>
  <c r="H1058" i="15"/>
  <c r="H1059" i="15"/>
  <c r="H1060" i="15"/>
  <c r="H1061" i="15"/>
  <c r="H1062" i="15"/>
  <c r="H1063" i="15"/>
  <c r="H1064" i="15"/>
  <c r="H1065" i="15"/>
  <c r="H1066" i="15"/>
  <c r="H1067" i="15"/>
  <c r="H1068" i="15"/>
  <c r="H1069" i="15"/>
  <c r="H1070" i="15"/>
  <c r="H1071" i="15"/>
  <c r="H1072" i="15"/>
  <c r="H1073" i="15"/>
  <c r="H1074" i="15"/>
  <c r="H1075" i="15"/>
  <c r="H1076" i="15"/>
  <c r="H1077" i="15"/>
  <c r="H1078" i="15"/>
  <c r="H1079" i="15"/>
  <c r="H1080" i="15"/>
  <c r="H1081" i="15"/>
  <c r="H1082" i="15"/>
  <c r="H1083" i="15"/>
  <c r="H1084" i="15"/>
  <c r="H1085" i="15"/>
  <c r="H1086" i="15"/>
  <c r="H1087" i="15"/>
  <c r="H1088" i="15"/>
  <c r="H1089" i="15"/>
  <c r="H1090" i="15"/>
  <c r="H1091" i="15"/>
  <c r="H1092" i="15"/>
  <c r="H1093" i="15"/>
  <c r="H1094" i="15"/>
  <c r="H1095" i="15"/>
  <c r="H1096" i="15"/>
  <c r="H1097" i="15"/>
  <c r="H1098" i="15"/>
  <c r="H1099" i="15"/>
  <c r="H1100" i="15"/>
  <c r="H1101" i="15"/>
  <c r="H1102" i="15"/>
  <c r="H1103" i="15"/>
  <c r="H1104" i="15"/>
  <c r="H1105" i="15"/>
  <c r="H1106" i="15"/>
  <c r="H1107" i="15"/>
  <c r="H1108" i="15"/>
  <c r="H1109" i="15"/>
  <c r="H1110" i="15"/>
  <c r="H1111" i="15"/>
  <c r="H1112" i="15"/>
  <c r="H1113" i="15"/>
  <c r="H1114" i="15"/>
  <c r="H1115" i="15"/>
  <c r="H1116" i="15"/>
  <c r="H1117" i="15"/>
  <c r="H1118" i="15"/>
  <c r="H1119" i="15"/>
  <c r="H1120" i="15"/>
  <c r="H1121" i="15"/>
  <c r="H1122" i="15"/>
  <c r="H1123" i="15"/>
  <c r="H1124" i="15"/>
  <c r="H1125" i="15"/>
  <c r="H1126" i="15"/>
  <c r="H1127" i="15"/>
  <c r="H1128" i="15"/>
  <c r="H1129" i="15"/>
  <c r="H1130" i="15"/>
  <c r="H1131" i="15"/>
  <c r="H1132" i="15"/>
  <c r="H1133" i="15"/>
  <c r="H1134" i="15"/>
  <c r="H1135" i="15"/>
  <c r="H1136" i="15"/>
  <c r="H1137" i="15"/>
  <c r="H1138" i="15"/>
  <c r="H1139" i="15"/>
  <c r="H1140" i="15"/>
  <c r="H1141" i="15"/>
  <c r="H1142" i="15"/>
  <c r="H1143" i="15"/>
  <c r="H1144" i="15"/>
  <c r="H1145" i="15"/>
  <c r="H1146" i="15"/>
  <c r="H1147" i="15"/>
  <c r="H1148" i="15"/>
  <c r="H1149" i="15"/>
  <c r="H1150" i="15"/>
  <c r="H1151" i="15"/>
  <c r="H1152" i="15"/>
  <c r="H1153" i="15"/>
  <c r="H1154" i="15"/>
  <c r="H1155" i="15"/>
  <c r="H1156" i="15"/>
  <c r="H1157" i="15"/>
  <c r="H1158" i="15"/>
  <c r="H1159" i="15"/>
  <c r="H1160" i="15"/>
  <c r="H1161" i="15"/>
  <c r="H1162" i="15"/>
  <c r="H1163" i="15"/>
  <c r="H1164" i="15"/>
  <c r="H1165" i="15"/>
  <c r="H1166" i="15"/>
  <c r="H1167" i="15"/>
  <c r="H1168" i="15"/>
  <c r="H1169" i="15"/>
  <c r="H1170" i="15"/>
  <c r="H1171" i="15"/>
  <c r="H1172" i="15"/>
  <c r="H1173" i="15"/>
  <c r="H1174" i="15"/>
  <c r="H1175" i="15"/>
  <c r="H1176" i="15"/>
  <c r="H1177" i="15"/>
  <c r="H1178" i="15"/>
  <c r="H1179" i="15"/>
  <c r="H1180" i="15"/>
  <c r="H1181" i="15"/>
  <c r="H1182" i="15"/>
  <c r="H1183" i="15"/>
  <c r="H1184" i="15"/>
  <c r="H1185" i="15"/>
  <c r="H1186" i="15"/>
  <c r="H1187" i="15"/>
  <c r="H1188" i="15"/>
  <c r="H1189" i="15"/>
  <c r="H1190" i="15"/>
  <c r="H1191" i="15"/>
  <c r="H1192" i="15"/>
  <c r="H1193" i="15"/>
  <c r="H1194" i="15"/>
  <c r="H1195" i="15"/>
  <c r="H1196" i="15"/>
  <c r="H1197" i="15"/>
  <c r="H1198" i="15"/>
  <c r="H1199" i="15"/>
  <c r="H1200" i="15"/>
  <c r="H1201" i="15"/>
  <c r="H1202" i="15"/>
  <c r="H1203" i="15"/>
  <c r="H1204" i="15"/>
  <c r="H1205" i="15"/>
  <c r="H1206" i="15"/>
  <c r="H1207" i="15"/>
  <c r="H1208" i="15"/>
  <c r="H1209" i="15"/>
  <c r="H1210" i="15"/>
  <c r="H1211" i="15"/>
  <c r="H1212" i="15"/>
  <c r="H1213" i="15"/>
  <c r="H1214" i="15"/>
  <c r="H1215" i="15"/>
  <c r="H1216" i="15"/>
  <c r="H1217" i="15"/>
  <c r="H1218" i="15"/>
  <c r="H1219" i="15"/>
  <c r="H1220" i="15"/>
  <c r="H1221" i="15"/>
  <c r="H1222" i="15"/>
  <c r="H1223" i="15"/>
  <c r="H1224" i="15"/>
  <c r="H1225" i="15"/>
  <c r="H1226" i="15"/>
  <c r="H1227" i="15"/>
  <c r="H1228" i="15"/>
  <c r="H1229" i="15"/>
  <c r="H1230" i="15"/>
  <c r="H1231" i="15"/>
  <c r="H1232" i="15"/>
  <c r="H1233" i="15"/>
  <c r="H1234" i="15"/>
  <c r="H1235" i="15"/>
  <c r="H1236" i="15"/>
  <c r="H1237" i="15"/>
  <c r="H1238" i="15"/>
  <c r="H1239" i="15"/>
  <c r="H1240" i="15"/>
  <c r="H1241" i="15"/>
  <c r="H1242" i="15"/>
  <c r="H1243" i="15"/>
  <c r="H1244" i="15"/>
  <c r="H1245" i="15"/>
  <c r="H1246" i="15"/>
  <c r="H1247" i="15"/>
  <c r="H1248" i="15"/>
  <c r="H1249" i="15"/>
  <c r="H1250" i="15"/>
  <c r="H1251" i="15"/>
  <c r="H1252" i="15"/>
  <c r="H1253" i="15"/>
  <c r="H1254" i="15"/>
  <c r="H1255" i="15"/>
  <c r="H1256" i="15"/>
  <c r="H1257" i="15"/>
  <c r="H1258" i="15"/>
  <c r="H1259" i="15"/>
  <c r="H1260" i="15"/>
  <c r="H1261" i="15"/>
  <c r="H1262" i="15"/>
  <c r="H1263" i="15"/>
  <c r="H1264" i="15"/>
  <c r="H1265" i="15"/>
  <c r="H1266" i="15"/>
  <c r="H1267" i="15"/>
  <c r="H1268" i="15"/>
  <c r="H1269" i="15"/>
  <c r="H1270" i="15"/>
  <c r="H1271" i="15"/>
  <c r="H1272" i="15"/>
  <c r="H1273" i="15"/>
  <c r="H1274" i="15"/>
  <c r="H1275" i="15"/>
  <c r="H1276" i="15"/>
  <c r="H1277" i="15"/>
  <c r="H1278" i="15"/>
  <c r="H1279" i="15"/>
  <c r="H1280" i="15"/>
  <c r="H1281" i="15"/>
  <c r="H1282" i="15"/>
  <c r="H1283" i="15"/>
  <c r="H1284" i="15"/>
  <c r="H1285" i="15"/>
  <c r="H1286" i="15"/>
  <c r="H1287" i="15"/>
  <c r="H1288" i="15"/>
  <c r="H1289" i="15"/>
  <c r="H1290" i="15"/>
  <c r="H1291" i="15"/>
  <c r="H1292" i="15"/>
  <c r="H1293" i="15"/>
  <c r="H1294" i="15"/>
  <c r="H1295" i="15"/>
  <c r="H1296" i="15"/>
  <c r="H1297" i="15"/>
  <c r="H1298" i="15"/>
  <c r="H1299" i="15"/>
  <c r="H1300" i="15"/>
  <c r="H1301" i="15"/>
  <c r="H1302" i="15"/>
  <c r="H1303" i="15"/>
  <c r="H1304" i="15"/>
  <c r="H1305" i="15"/>
  <c r="H1306" i="15"/>
  <c r="H1307" i="15"/>
  <c r="H1308" i="15"/>
  <c r="H1309" i="15"/>
  <c r="H1310" i="15"/>
  <c r="H1311" i="15"/>
  <c r="H1312" i="15"/>
  <c r="H1313" i="15"/>
  <c r="H1314" i="15"/>
  <c r="H1315" i="15"/>
  <c r="H1316" i="15"/>
  <c r="H1317" i="15"/>
  <c r="H2" i="15"/>
  <c r="A1317" i="18"/>
  <c r="A1316" i="18"/>
  <c r="A1315" i="18"/>
  <c r="A1314" i="18"/>
  <c r="A1313" i="18"/>
  <c r="A1312" i="18"/>
  <c r="A1311" i="18"/>
  <c r="A1310" i="18"/>
  <c r="A1309" i="18"/>
  <c r="A1308" i="18"/>
  <c r="A1307" i="18"/>
  <c r="A1306" i="18"/>
  <c r="A1305" i="18"/>
  <c r="A1304" i="18"/>
  <c r="A1303" i="18"/>
  <c r="A1302" i="18"/>
  <c r="A1301" i="18"/>
  <c r="A1300" i="18"/>
  <c r="A1299" i="18"/>
  <c r="A1298" i="18"/>
  <c r="A1297" i="18"/>
  <c r="A1296" i="18"/>
  <c r="A1295" i="18"/>
  <c r="A1294" i="18"/>
  <c r="A1293" i="18"/>
  <c r="A1292" i="18"/>
  <c r="A1291" i="18"/>
  <c r="A1290" i="18"/>
  <c r="A1289" i="18"/>
  <c r="A1288" i="18"/>
  <c r="A1287" i="18"/>
  <c r="A1286" i="18"/>
  <c r="A1285" i="18"/>
  <c r="A1284" i="18"/>
  <c r="A1283" i="18"/>
  <c r="A1282" i="18"/>
  <c r="A1281" i="18"/>
  <c r="A1280" i="18"/>
  <c r="A1279" i="18"/>
  <c r="A1278" i="18"/>
  <c r="A1277" i="18"/>
  <c r="A1276" i="18"/>
  <c r="A1275" i="18"/>
  <c r="A1274" i="18"/>
  <c r="A1273" i="18"/>
  <c r="A1272" i="18"/>
  <c r="A1271" i="18"/>
  <c r="A1270" i="18"/>
  <c r="A1269" i="18"/>
  <c r="A1268" i="18"/>
  <c r="A1267" i="18"/>
  <c r="A1266" i="18"/>
  <c r="A1265" i="18"/>
  <c r="A1264" i="18"/>
  <c r="A1263" i="18"/>
  <c r="A1262" i="18"/>
  <c r="A1261" i="18"/>
  <c r="A1260" i="18"/>
  <c r="A1259" i="18"/>
  <c r="A1258" i="18"/>
  <c r="A1257" i="18"/>
  <c r="A1256" i="18"/>
  <c r="A1255" i="18"/>
  <c r="A1254" i="18"/>
  <c r="A1253" i="18"/>
  <c r="A1252" i="18"/>
  <c r="A1251" i="18"/>
  <c r="A1250" i="18"/>
  <c r="A1249" i="18"/>
  <c r="A1248" i="18"/>
  <c r="A1247" i="18"/>
  <c r="A1246" i="18"/>
  <c r="A1245" i="18"/>
  <c r="A1244" i="18"/>
  <c r="A1243" i="18"/>
  <c r="A1242" i="18"/>
  <c r="A1241" i="18"/>
  <c r="A1240" i="18"/>
  <c r="A1239" i="18"/>
  <c r="A1238" i="18"/>
  <c r="A1237" i="18"/>
  <c r="A1236" i="18"/>
  <c r="A1235" i="18"/>
  <c r="A1234" i="18"/>
  <c r="A1233" i="18"/>
  <c r="A1232" i="18"/>
  <c r="A1231" i="18"/>
  <c r="A1230" i="18"/>
  <c r="A1229" i="18"/>
  <c r="A1228" i="18"/>
  <c r="A1227" i="18"/>
  <c r="A1226" i="18"/>
  <c r="A1225" i="18"/>
  <c r="A1224" i="18"/>
  <c r="A1223" i="18"/>
  <c r="A1222" i="18"/>
  <c r="A1221" i="18"/>
  <c r="A1220" i="18"/>
  <c r="A1219" i="18"/>
  <c r="A1218" i="18"/>
  <c r="A1217" i="18"/>
  <c r="A1216" i="18"/>
  <c r="A1215" i="18"/>
  <c r="A1214" i="18"/>
  <c r="A1213" i="18"/>
  <c r="A1212" i="18"/>
  <c r="A1211" i="18"/>
  <c r="A1210" i="18"/>
  <c r="A1209" i="18"/>
  <c r="A1208" i="18"/>
  <c r="A1207" i="18"/>
  <c r="A1206" i="18"/>
  <c r="A1205" i="18"/>
  <c r="A1204" i="18"/>
  <c r="A1203" i="18"/>
  <c r="A1202" i="18"/>
  <c r="A1201" i="18"/>
  <c r="A1200" i="18"/>
  <c r="A1199" i="18"/>
  <c r="A1198" i="18"/>
  <c r="A1197" i="18"/>
  <c r="A1196" i="18"/>
  <c r="A1195" i="18"/>
  <c r="A1194" i="18"/>
  <c r="A1193" i="18"/>
  <c r="A1192" i="18"/>
  <c r="A1191" i="18"/>
  <c r="A1190" i="18"/>
  <c r="A1189" i="18"/>
  <c r="A1188" i="18"/>
  <c r="A1187" i="18"/>
  <c r="A1186" i="18"/>
  <c r="A1185" i="18"/>
  <c r="A1184" i="18"/>
  <c r="A1183" i="18"/>
  <c r="A1182" i="18"/>
  <c r="A1181" i="18"/>
  <c r="A1180" i="18"/>
  <c r="A1179" i="18"/>
  <c r="A1178" i="18"/>
  <c r="A1177" i="18"/>
  <c r="A1176" i="18"/>
  <c r="A1175" i="18"/>
  <c r="A1174" i="18"/>
  <c r="A1173" i="18"/>
  <c r="A1172" i="18"/>
  <c r="A1171" i="18"/>
  <c r="A1170" i="18"/>
  <c r="A1169" i="18"/>
  <c r="A1168" i="18"/>
  <c r="A1167" i="18"/>
  <c r="A1166" i="18"/>
  <c r="A1165" i="18"/>
  <c r="A1164" i="18"/>
  <c r="A1163" i="18"/>
  <c r="A1162" i="18"/>
  <c r="A1161" i="18"/>
  <c r="A1160" i="18"/>
  <c r="A1159" i="18"/>
  <c r="A1158" i="18"/>
  <c r="A1157" i="18"/>
  <c r="A1156" i="18"/>
  <c r="A1155" i="18"/>
  <c r="A1154" i="18"/>
  <c r="A1153" i="18"/>
  <c r="A1152" i="18"/>
  <c r="A1151" i="18"/>
  <c r="A1150" i="18"/>
  <c r="A1149" i="18"/>
  <c r="A1148" i="18"/>
  <c r="A1147" i="18"/>
  <c r="A1146" i="18"/>
  <c r="A1145" i="18"/>
  <c r="A1144" i="18"/>
  <c r="A1143" i="18"/>
  <c r="A1142" i="18"/>
  <c r="A1141" i="18"/>
  <c r="A1140" i="18"/>
  <c r="A1139" i="18"/>
  <c r="A1138" i="18"/>
  <c r="A1137" i="18"/>
  <c r="A1136" i="18"/>
  <c r="A1135" i="18"/>
  <c r="A1134" i="18"/>
  <c r="A1133" i="18"/>
  <c r="A1132" i="18"/>
  <c r="A1131" i="18"/>
  <c r="A1130" i="18"/>
  <c r="A1129" i="18"/>
  <c r="A1128" i="18"/>
  <c r="A1127" i="18"/>
  <c r="A1126" i="18"/>
  <c r="A1125" i="18"/>
  <c r="A1124" i="18"/>
  <c r="A1123" i="18"/>
  <c r="A1122" i="18"/>
  <c r="A1121" i="18"/>
  <c r="A1120" i="18"/>
  <c r="A1119" i="18"/>
  <c r="A1118" i="18"/>
  <c r="A1117" i="18"/>
  <c r="A1116" i="18"/>
  <c r="A1115" i="18"/>
  <c r="A1114" i="18"/>
  <c r="A1113" i="18"/>
  <c r="A1112" i="18"/>
  <c r="A1111" i="18"/>
  <c r="A1110" i="18"/>
  <c r="A1109" i="18"/>
  <c r="A1108" i="18"/>
  <c r="A1107" i="18"/>
  <c r="A1106" i="18"/>
  <c r="A1105" i="18"/>
  <c r="A1104" i="18"/>
  <c r="A1103" i="18"/>
  <c r="A1102" i="18"/>
  <c r="A1101" i="18"/>
  <c r="A1100" i="18"/>
  <c r="A1099" i="18"/>
  <c r="A1098" i="18"/>
  <c r="A1097" i="18"/>
  <c r="A1096" i="18"/>
  <c r="A1095" i="18"/>
  <c r="A1094" i="18"/>
  <c r="A1093" i="18"/>
  <c r="A1092" i="18"/>
  <c r="A1091" i="18"/>
  <c r="A1090" i="18"/>
  <c r="A1089" i="18"/>
  <c r="A1088" i="18"/>
  <c r="A1087" i="18"/>
  <c r="A1086" i="18"/>
  <c r="A1085" i="18"/>
  <c r="A1084" i="18"/>
  <c r="A1083" i="18"/>
  <c r="A1082" i="18"/>
  <c r="A1081" i="18"/>
  <c r="A1080" i="18"/>
  <c r="A1079" i="18"/>
  <c r="A1078" i="18"/>
  <c r="A1077" i="18"/>
  <c r="A1076" i="18"/>
  <c r="A1075" i="18"/>
  <c r="A1074" i="18"/>
  <c r="A1073" i="18"/>
  <c r="A1072" i="18"/>
  <c r="A1071" i="18"/>
  <c r="A1070" i="18"/>
  <c r="A1069" i="18"/>
  <c r="A1068" i="18"/>
  <c r="A1067" i="18"/>
  <c r="A1066" i="18"/>
  <c r="A1065" i="18"/>
  <c r="A1064" i="18"/>
  <c r="A1063" i="18"/>
  <c r="A1062" i="18"/>
  <c r="A1061" i="18"/>
  <c r="A1060" i="18"/>
  <c r="A1059" i="18"/>
  <c r="A1058" i="18"/>
  <c r="A1057" i="18"/>
  <c r="A1056" i="18"/>
  <c r="A1055" i="18"/>
  <c r="A1054" i="18"/>
  <c r="A1053" i="18"/>
  <c r="A1052" i="18"/>
  <c r="A1051" i="18"/>
  <c r="A1050" i="18"/>
  <c r="A1049" i="18"/>
  <c r="A1048" i="18"/>
  <c r="A1047" i="18"/>
  <c r="A1046" i="18"/>
  <c r="A1045" i="18"/>
  <c r="A1044" i="18"/>
  <c r="A1043" i="18"/>
  <c r="A1042" i="18"/>
  <c r="A1041" i="18"/>
  <c r="A1040" i="18"/>
  <c r="A1039" i="18"/>
  <c r="A1038" i="18"/>
  <c r="A1037" i="18"/>
  <c r="A1036" i="18"/>
  <c r="A1035" i="18"/>
  <c r="A1034" i="18"/>
  <c r="A1033" i="18"/>
  <c r="A1032" i="18"/>
  <c r="A1031" i="18"/>
  <c r="A1030" i="18"/>
  <c r="A1029" i="18"/>
  <c r="A1028" i="18"/>
  <c r="A1027" i="18"/>
  <c r="A1026" i="18"/>
  <c r="A1025" i="18"/>
  <c r="A1024" i="18"/>
  <c r="A1023" i="18"/>
  <c r="A1022" i="18"/>
  <c r="A1021" i="18"/>
  <c r="A1020" i="18"/>
  <c r="A1019" i="18"/>
  <c r="A1018" i="18"/>
  <c r="A1017" i="18"/>
  <c r="A1016" i="18"/>
  <c r="A1015" i="18"/>
  <c r="A1014" i="18"/>
  <c r="A1013" i="18"/>
  <c r="A1012" i="18"/>
  <c r="A1011" i="18"/>
  <c r="A1010" i="18"/>
  <c r="A1009" i="18"/>
  <c r="A1008" i="18"/>
  <c r="A1007" i="18"/>
  <c r="A1006" i="18"/>
  <c r="A1005" i="18"/>
  <c r="A1004" i="18"/>
  <c r="A1003" i="18"/>
  <c r="A1002" i="18"/>
  <c r="A1001" i="18"/>
  <c r="A1000" i="18"/>
  <c r="A999" i="18"/>
  <c r="A998" i="18"/>
  <c r="A997" i="18"/>
  <c r="A996" i="18"/>
  <c r="A995" i="18"/>
  <c r="A994" i="18"/>
  <c r="A993" i="18"/>
  <c r="A992" i="18"/>
  <c r="A991" i="18"/>
  <c r="A990" i="18"/>
  <c r="A989" i="18"/>
  <c r="A988" i="18"/>
  <c r="A987" i="18"/>
  <c r="A986" i="18"/>
  <c r="A985" i="18"/>
  <c r="A984" i="18"/>
  <c r="A983" i="18"/>
  <c r="A982" i="18"/>
  <c r="A981" i="18"/>
  <c r="A980" i="18"/>
  <c r="A979" i="18"/>
  <c r="A978" i="18"/>
  <c r="A977" i="18"/>
  <c r="A976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98" i="18"/>
  <c r="A897" i="18"/>
  <c r="A896" i="18"/>
  <c r="A895" i="18"/>
  <c r="A894" i="18"/>
  <c r="A893" i="18"/>
  <c r="A892" i="18"/>
  <c r="A891" i="18"/>
  <c r="A890" i="18"/>
  <c r="A889" i="18"/>
  <c r="A888" i="18"/>
  <c r="A887" i="18"/>
  <c r="A886" i="18"/>
  <c r="A885" i="18"/>
  <c r="A884" i="18"/>
  <c r="A883" i="18"/>
  <c r="A882" i="18"/>
  <c r="A881" i="18"/>
  <c r="A880" i="18"/>
  <c r="A879" i="18"/>
  <c r="A878" i="18"/>
  <c r="A877" i="18"/>
  <c r="A876" i="18"/>
  <c r="A875" i="18"/>
  <c r="A874" i="18"/>
  <c r="A873" i="18"/>
  <c r="A872" i="18"/>
  <c r="A871" i="18"/>
  <c r="A870" i="18"/>
  <c r="A869" i="18"/>
  <c r="A868" i="18"/>
  <c r="A867" i="18"/>
  <c r="A866" i="18"/>
  <c r="A865" i="18"/>
  <c r="A864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786" i="18"/>
  <c r="A785" i="18"/>
  <c r="A784" i="18"/>
  <c r="A783" i="18"/>
  <c r="A782" i="18"/>
  <c r="A781" i="18"/>
  <c r="A780" i="18"/>
  <c r="A779" i="18"/>
  <c r="A778" i="18"/>
  <c r="A777" i="18"/>
  <c r="A776" i="18"/>
  <c r="A775" i="18"/>
  <c r="A774" i="18"/>
  <c r="A773" i="18"/>
  <c r="A772" i="18"/>
  <c r="A771" i="18"/>
  <c r="A770" i="18"/>
  <c r="A769" i="18"/>
  <c r="A768" i="18"/>
  <c r="A767" i="18"/>
  <c r="A766" i="18"/>
  <c r="A765" i="18"/>
  <c r="A764" i="18"/>
  <c r="A763" i="18"/>
  <c r="A762" i="18"/>
  <c r="A761" i="18"/>
  <c r="A760" i="18"/>
  <c r="A759" i="18"/>
  <c r="A758" i="18"/>
  <c r="A757" i="18"/>
  <c r="A756" i="18"/>
  <c r="A755" i="18"/>
  <c r="A754" i="18"/>
  <c r="A753" i="18"/>
  <c r="A752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674" i="18"/>
  <c r="A673" i="18"/>
  <c r="A672" i="18"/>
  <c r="A671" i="18"/>
  <c r="A670" i="18"/>
  <c r="A669" i="18"/>
  <c r="A668" i="18"/>
  <c r="A667" i="18"/>
  <c r="A666" i="18"/>
  <c r="A665" i="18"/>
  <c r="A664" i="18"/>
  <c r="A663" i="18"/>
  <c r="A662" i="18"/>
  <c r="A661" i="18"/>
  <c r="A660" i="18"/>
  <c r="A659" i="18"/>
  <c r="A658" i="18"/>
  <c r="A657" i="18"/>
  <c r="A656" i="18"/>
  <c r="A655" i="18"/>
  <c r="A654" i="18"/>
  <c r="A653" i="18"/>
  <c r="A652" i="18"/>
  <c r="A651" i="18"/>
  <c r="A650" i="18"/>
  <c r="A649" i="18"/>
  <c r="A648" i="18"/>
  <c r="A647" i="18"/>
  <c r="A646" i="18"/>
  <c r="A645" i="18"/>
  <c r="A644" i="18"/>
  <c r="A643" i="18"/>
  <c r="A642" i="18"/>
  <c r="A641" i="18"/>
  <c r="A640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F1317" i="15"/>
  <c r="G1317" i="15" s="1"/>
  <c r="E1317" i="15"/>
  <c r="D1317" i="15"/>
  <c r="F1316" i="15"/>
  <c r="G1316" i="15" s="1"/>
  <c r="E1316" i="15"/>
  <c r="D1316" i="15"/>
  <c r="F1315" i="15"/>
  <c r="G1315" i="15" s="1"/>
  <c r="E1315" i="15"/>
  <c r="D1315" i="15"/>
  <c r="F1314" i="15"/>
  <c r="G1314" i="15" s="1"/>
  <c r="E1314" i="15"/>
  <c r="D1314" i="15"/>
  <c r="F1313" i="15"/>
  <c r="G1313" i="15" s="1"/>
  <c r="E1313" i="15"/>
  <c r="D1313" i="15"/>
  <c r="F1312" i="15"/>
  <c r="G1312" i="15" s="1"/>
  <c r="E1312" i="15"/>
  <c r="D1312" i="15"/>
  <c r="F1311" i="15"/>
  <c r="G1311" i="15" s="1"/>
  <c r="E1311" i="15"/>
  <c r="D1311" i="15"/>
  <c r="F1310" i="15"/>
  <c r="G1310" i="15" s="1"/>
  <c r="E1310" i="15"/>
  <c r="D1310" i="15"/>
  <c r="F1309" i="15"/>
  <c r="G1309" i="15" s="1"/>
  <c r="E1309" i="15"/>
  <c r="D1309" i="15"/>
  <c r="F1308" i="15"/>
  <c r="G1308" i="15" s="1"/>
  <c r="E1308" i="15"/>
  <c r="D1308" i="15"/>
  <c r="F1307" i="15"/>
  <c r="G1307" i="15" s="1"/>
  <c r="E1307" i="15"/>
  <c r="D1307" i="15"/>
  <c r="F1306" i="15"/>
  <c r="G1306" i="15" s="1"/>
  <c r="E1306" i="15"/>
  <c r="D1306" i="15"/>
  <c r="F1305" i="15"/>
  <c r="G1305" i="15" s="1"/>
  <c r="E1305" i="15"/>
  <c r="D1305" i="15"/>
  <c r="F1304" i="15"/>
  <c r="G1304" i="15" s="1"/>
  <c r="E1304" i="15"/>
  <c r="D1304" i="15"/>
  <c r="F1303" i="15"/>
  <c r="G1303" i="15" s="1"/>
  <c r="E1303" i="15"/>
  <c r="D1303" i="15"/>
  <c r="F1302" i="15"/>
  <c r="G1302" i="15" s="1"/>
  <c r="E1302" i="15"/>
  <c r="D1302" i="15"/>
  <c r="F1301" i="15"/>
  <c r="G1301" i="15" s="1"/>
  <c r="E1301" i="15"/>
  <c r="D1301" i="15"/>
  <c r="F1300" i="15"/>
  <c r="G1300" i="15" s="1"/>
  <c r="E1300" i="15"/>
  <c r="D1300" i="15"/>
  <c r="F1299" i="15"/>
  <c r="G1299" i="15" s="1"/>
  <c r="E1299" i="15"/>
  <c r="D1299" i="15"/>
  <c r="F1298" i="15"/>
  <c r="G1298" i="15" s="1"/>
  <c r="E1298" i="15"/>
  <c r="D1298" i="15"/>
  <c r="F1297" i="15"/>
  <c r="G1297" i="15" s="1"/>
  <c r="E1297" i="15"/>
  <c r="D1297" i="15"/>
  <c r="F1296" i="15"/>
  <c r="G1296" i="15" s="1"/>
  <c r="E1296" i="15"/>
  <c r="D1296" i="15"/>
  <c r="F1295" i="15"/>
  <c r="G1295" i="15" s="1"/>
  <c r="E1295" i="15"/>
  <c r="D1295" i="15"/>
  <c r="F1294" i="15"/>
  <c r="G1294" i="15" s="1"/>
  <c r="E1294" i="15"/>
  <c r="D1294" i="15"/>
  <c r="F1293" i="15"/>
  <c r="G1293" i="15" s="1"/>
  <c r="E1293" i="15"/>
  <c r="D1293" i="15"/>
  <c r="F1292" i="15"/>
  <c r="G1292" i="15" s="1"/>
  <c r="E1292" i="15"/>
  <c r="D1292" i="15"/>
  <c r="F1291" i="15"/>
  <c r="G1291" i="15" s="1"/>
  <c r="E1291" i="15"/>
  <c r="D1291" i="15"/>
  <c r="F1290" i="15"/>
  <c r="G1290" i="15" s="1"/>
  <c r="E1290" i="15"/>
  <c r="D1290" i="15"/>
  <c r="F1289" i="15"/>
  <c r="G1289" i="15" s="1"/>
  <c r="E1289" i="15"/>
  <c r="D1289" i="15"/>
  <c r="F1288" i="15"/>
  <c r="G1288" i="15" s="1"/>
  <c r="E1288" i="15"/>
  <c r="D1288" i="15"/>
  <c r="F1287" i="15"/>
  <c r="G1287" i="15" s="1"/>
  <c r="E1287" i="15"/>
  <c r="D1287" i="15"/>
  <c r="F1286" i="15"/>
  <c r="G1286" i="15" s="1"/>
  <c r="E1286" i="15"/>
  <c r="D1286" i="15"/>
  <c r="F1285" i="15"/>
  <c r="G1285" i="15" s="1"/>
  <c r="E1285" i="15"/>
  <c r="D1285" i="15"/>
  <c r="F1284" i="15"/>
  <c r="G1284" i="15" s="1"/>
  <c r="E1284" i="15"/>
  <c r="D1284" i="15"/>
  <c r="F1283" i="15"/>
  <c r="G1283" i="15" s="1"/>
  <c r="E1283" i="15"/>
  <c r="D1283" i="15"/>
  <c r="F1282" i="15"/>
  <c r="G1282" i="15" s="1"/>
  <c r="E1282" i="15"/>
  <c r="D1282" i="15"/>
  <c r="F1281" i="15"/>
  <c r="G1281" i="15" s="1"/>
  <c r="E1281" i="15"/>
  <c r="D1281" i="15"/>
  <c r="F1280" i="15"/>
  <c r="G1280" i="15" s="1"/>
  <c r="E1280" i="15"/>
  <c r="D1280" i="15"/>
  <c r="F1279" i="15"/>
  <c r="G1279" i="15" s="1"/>
  <c r="E1279" i="15"/>
  <c r="D1279" i="15"/>
  <c r="F1278" i="15"/>
  <c r="G1278" i="15" s="1"/>
  <c r="E1278" i="15"/>
  <c r="D1278" i="15"/>
  <c r="F1277" i="15"/>
  <c r="G1277" i="15" s="1"/>
  <c r="E1277" i="15"/>
  <c r="D1277" i="15"/>
  <c r="F1276" i="15"/>
  <c r="G1276" i="15" s="1"/>
  <c r="E1276" i="15"/>
  <c r="D1276" i="15"/>
  <c r="F1275" i="15"/>
  <c r="G1275" i="15" s="1"/>
  <c r="E1275" i="15"/>
  <c r="D1275" i="15"/>
  <c r="F1274" i="15"/>
  <c r="G1274" i="15" s="1"/>
  <c r="E1274" i="15"/>
  <c r="D1274" i="15"/>
  <c r="F1273" i="15"/>
  <c r="G1273" i="15" s="1"/>
  <c r="E1273" i="15"/>
  <c r="D1273" i="15"/>
  <c r="F1272" i="15"/>
  <c r="G1272" i="15" s="1"/>
  <c r="E1272" i="15"/>
  <c r="D1272" i="15"/>
  <c r="F1271" i="15"/>
  <c r="G1271" i="15" s="1"/>
  <c r="E1271" i="15"/>
  <c r="D1271" i="15"/>
  <c r="F1270" i="15"/>
  <c r="G1270" i="15" s="1"/>
  <c r="E1270" i="15"/>
  <c r="D1270" i="15"/>
  <c r="F1269" i="15"/>
  <c r="G1269" i="15" s="1"/>
  <c r="E1269" i="15"/>
  <c r="D1269" i="15"/>
  <c r="F1268" i="15"/>
  <c r="G1268" i="15" s="1"/>
  <c r="E1268" i="15"/>
  <c r="D1268" i="15"/>
  <c r="F1267" i="15"/>
  <c r="G1267" i="15" s="1"/>
  <c r="E1267" i="15"/>
  <c r="D1267" i="15"/>
  <c r="F1266" i="15"/>
  <c r="G1266" i="15" s="1"/>
  <c r="E1266" i="15"/>
  <c r="D1266" i="15"/>
  <c r="F1265" i="15"/>
  <c r="G1265" i="15" s="1"/>
  <c r="E1265" i="15"/>
  <c r="D1265" i="15"/>
  <c r="F1264" i="15"/>
  <c r="G1264" i="15" s="1"/>
  <c r="E1264" i="15"/>
  <c r="D1264" i="15"/>
  <c r="F1263" i="15"/>
  <c r="G1263" i="15" s="1"/>
  <c r="E1263" i="15"/>
  <c r="D1263" i="15"/>
  <c r="F1262" i="15"/>
  <c r="G1262" i="15" s="1"/>
  <c r="E1262" i="15"/>
  <c r="D1262" i="15"/>
  <c r="F1261" i="15"/>
  <c r="G1261" i="15" s="1"/>
  <c r="E1261" i="15"/>
  <c r="D1261" i="15"/>
  <c r="F1260" i="15"/>
  <c r="G1260" i="15" s="1"/>
  <c r="E1260" i="15"/>
  <c r="D1260" i="15"/>
  <c r="F1259" i="15"/>
  <c r="G1259" i="15" s="1"/>
  <c r="E1259" i="15"/>
  <c r="D1259" i="15"/>
  <c r="F1258" i="15"/>
  <c r="G1258" i="15" s="1"/>
  <c r="E1258" i="15"/>
  <c r="D1258" i="15"/>
  <c r="F1257" i="15"/>
  <c r="G1257" i="15" s="1"/>
  <c r="E1257" i="15"/>
  <c r="D1257" i="15"/>
  <c r="F1256" i="15"/>
  <c r="G1256" i="15" s="1"/>
  <c r="E1256" i="15"/>
  <c r="D1256" i="15"/>
  <c r="F1255" i="15"/>
  <c r="G1255" i="15" s="1"/>
  <c r="E1255" i="15"/>
  <c r="D1255" i="15"/>
  <c r="F1254" i="15"/>
  <c r="G1254" i="15" s="1"/>
  <c r="E1254" i="15"/>
  <c r="D1254" i="15"/>
  <c r="F1253" i="15"/>
  <c r="G1253" i="15" s="1"/>
  <c r="E1253" i="15"/>
  <c r="D1253" i="15"/>
  <c r="F1252" i="15"/>
  <c r="G1252" i="15" s="1"/>
  <c r="E1252" i="15"/>
  <c r="D1252" i="15"/>
  <c r="F1251" i="15"/>
  <c r="G1251" i="15" s="1"/>
  <c r="E1251" i="15"/>
  <c r="D1251" i="15"/>
  <c r="F1250" i="15"/>
  <c r="G1250" i="15" s="1"/>
  <c r="E1250" i="15"/>
  <c r="D1250" i="15"/>
  <c r="F1249" i="15"/>
  <c r="G1249" i="15" s="1"/>
  <c r="E1249" i="15"/>
  <c r="D1249" i="15"/>
  <c r="F1248" i="15"/>
  <c r="G1248" i="15" s="1"/>
  <c r="E1248" i="15"/>
  <c r="D1248" i="15"/>
  <c r="F1247" i="15"/>
  <c r="G1247" i="15" s="1"/>
  <c r="E1247" i="15"/>
  <c r="D1247" i="15"/>
  <c r="F1246" i="15"/>
  <c r="G1246" i="15" s="1"/>
  <c r="E1246" i="15"/>
  <c r="D1246" i="15"/>
  <c r="F1245" i="15"/>
  <c r="G1245" i="15" s="1"/>
  <c r="E1245" i="15"/>
  <c r="D1245" i="15"/>
  <c r="F1244" i="15"/>
  <c r="G1244" i="15" s="1"/>
  <c r="E1244" i="15"/>
  <c r="D1244" i="15"/>
  <c r="F1243" i="15"/>
  <c r="G1243" i="15" s="1"/>
  <c r="E1243" i="15"/>
  <c r="D1243" i="15"/>
  <c r="F1242" i="15"/>
  <c r="G1242" i="15" s="1"/>
  <c r="E1242" i="15"/>
  <c r="D1242" i="15"/>
  <c r="F1241" i="15"/>
  <c r="G1241" i="15" s="1"/>
  <c r="E1241" i="15"/>
  <c r="D1241" i="15"/>
  <c r="F1240" i="15"/>
  <c r="G1240" i="15" s="1"/>
  <c r="E1240" i="15"/>
  <c r="D1240" i="15"/>
  <c r="F1239" i="15"/>
  <c r="G1239" i="15" s="1"/>
  <c r="E1239" i="15"/>
  <c r="D1239" i="15"/>
  <c r="F1238" i="15"/>
  <c r="G1238" i="15" s="1"/>
  <c r="E1238" i="15"/>
  <c r="D1238" i="15"/>
  <c r="F1237" i="15"/>
  <c r="G1237" i="15" s="1"/>
  <c r="E1237" i="15"/>
  <c r="D1237" i="15"/>
  <c r="F1236" i="15"/>
  <c r="G1236" i="15" s="1"/>
  <c r="E1236" i="15"/>
  <c r="D1236" i="15"/>
  <c r="F1235" i="15"/>
  <c r="G1235" i="15" s="1"/>
  <c r="E1235" i="15"/>
  <c r="D1235" i="15"/>
  <c r="F1234" i="15"/>
  <c r="G1234" i="15" s="1"/>
  <c r="E1234" i="15"/>
  <c r="D1234" i="15"/>
  <c r="F1233" i="15"/>
  <c r="G1233" i="15" s="1"/>
  <c r="E1233" i="15"/>
  <c r="D1233" i="15"/>
  <c r="F1232" i="15"/>
  <c r="G1232" i="15" s="1"/>
  <c r="E1232" i="15"/>
  <c r="D1232" i="15"/>
  <c r="F1231" i="15"/>
  <c r="G1231" i="15" s="1"/>
  <c r="E1231" i="15"/>
  <c r="D1231" i="15"/>
  <c r="F1230" i="15"/>
  <c r="G1230" i="15" s="1"/>
  <c r="E1230" i="15"/>
  <c r="D1230" i="15"/>
  <c r="F1229" i="15"/>
  <c r="G1229" i="15" s="1"/>
  <c r="E1229" i="15"/>
  <c r="D1229" i="15"/>
  <c r="F1228" i="15"/>
  <c r="G1228" i="15" s="1"/>
  <c r="E1228" i="15"/>
  <c r="D1228" i="15"/>
  <c r="F1227" i="15"/>
  <c r="G1227" i="15" s="1"/>
  <c r="E1227" i="15"/>
  <c r="D1227" i="15"/>
  <c r="F1226" i="15"/>
  <c r="G1226" i="15" s="1"/>
  <c r="E1226" i="15"/>
  <c r="D1226" i="15"/>
  <c r="F1225" i="15"/>
  <c r="G1225" i="15" s="1"/>
  <c r="E1225" i="15"/>
  <c r="D1225" i="15"/>
  <c r="F1224" i="15"/>
  <c r="G1224" i="15" s="1"/>
  <c r="E1224" i="15"/>
  <c r="D1224" i="15"/>
  <c r="F1223" i="15"/>
  <c r="G1223" i="15" s="1"/>
  <c r="E1223" i="15"/>
  <c r="D1223" i="15"/>
  <c r="F1222" i="15"/>
  <c r="G1222" i="15" s="1"/>
  <c r="E1222" i="15"/>
  <c r="D1222" i="15"/>
  <c r="F1221" i="15"/>
  <c r="G1221" i="15" s="1"/>
  <c r="E1221" i="15"/>
  <c r="D1221" i="15"/>
  <c r="F1220" i="15"/>
  <c r="G1220" i="15" s="1"/>
  <c r="E1220" i="15"/>
  <c r="D1220" i="15"/>
  <c r="F1219" i="15"/>
  <c r="G1219" i="15" s="1"/>
  <c r="E1219" i="15"/>
  <c r="D1219" i="15"/>
  <c r="F1218" i="15"/>
  <c r="G1218" i="15" s="1"/>
  <c r="E1218" i="15"/>
  <c r="D1218" i="15"/>
  <c r="F1217" i="15"/>
  <c r="G1217" i="15" s="1"/>
  <c r="E1217" i="15"/>
  <c r="D1217" i="15"/>
  <c r="F1216" i="15"/>
  <c r="G1216" i="15" s="1"/>
  <c r="E1216" i="15"/>
  <c r="D1216" i="15"/>
  <c r="F1215" i="15"/>
  <c r="G1215" i="15" s="1"/>
  <c r="E1215" i="15"/>
  <c r="D1215" i="15"/>
  <c r="F1214" i="15"/>
  <c r="G1214" i="15" s="1"/>
  <c r="E1214" i="15"/>
  <c r="D1214" i="15"/>
  <c r="F1213" i="15"/>
  <c r="G1213" i="15" s="1"/>
  <c r="E1213" i="15"/>
  <c r="D1213" i="15"/>
  <c r="F1212" i="15"/>
  <c r="G1212" i="15" s="1"/>
  <c r="E1212" i="15"/>
  <c r="D1212" i="15"/>
  <c r="F1211" i="15"/>
  <c r="G1211" i="15" s="1"/>
  <c r="E1211" i="15"/>
  <c r="D1211" i="15"/>
  <c r="F1210" i="15"/>
  <c r="G1210" i="15" s="1"/>
  <c r="E1210" i="15"/>
  <c r="D1210" i="15"/>
  <c r="F1209" i="15"/>
  <c r="G1209" i="15" s="1"/>
  <c r="E1209" i="15"/>
  <c r="D1209" i="15"/>
  <c r="F1208" i="15"/>
  <c r="G1208" i="15" s="1"/>
  <c r="E1208" i="15"/>
  <c r="D1208" i="15"/>
  <c r="F1207" i="15"/>
  <c r="G1207" i="15" s="1"/>
  <c r="E1207" i="15"/>
  <c r="D1207" i="15"/>
  <c r="F1206" i="15"/>
  <c r="G1206" i="15" s="1"/>
  <c r="E1206" i="15"/>
  <c r="D1206" i="15"/>
  <c r="F1205" i="15"/>
  <c r="G1205" i="15" s="1"/>
  <c r="E1205" i="15"/>
  <c r="D1205" i="15"/>
  <c r="F1204" i="15"/>
  <c r="G1204" i="15" s="1"/>
  <c r="E1204" i="15"/>
  <c r="D1204" i="15"/>
  <c r="F1203" i="15"/>
  <c r="G1203" i="15" s="1"/>
  <c r="E1203" i="15"/>
  <c r="D1203" i="15"/>
  <c r="F1202" i="15"/>
  <c r="G1202" i="15" s="1"/>
  <c r="E1202" i="15"/>
  <c r="D1202" i="15"/>
  <c r="F1201" i="15"/>
  <c r="G1201" i="15" s="1"/>
  <c r="E1201" i="15"/>
  <c r="D1201" i="15"/>
  <c r="F1200" i="15"/>
  <c r="G1200" i="15" s="1"/>
  <c r="E1200" i="15"/>
  <c r="D1200" i="15"/>
  <c r="F1199" i="15"/>
  <c r="G1199" i="15" s="1"/>
  <c r="E1199" i="15"/>
  <c r="D1199" i="15"/>
  <c r="F1198" i="15"/>
  <c r="G1198" i="15" s="1"/>
  <c r="E1198" i="15"/>
  <c r="D1198" i="15"/>
  <c r="F1197" i="15"/>
  <c r="G1197" i="15" s="1"/>
  <c r="E1197" i="15"/>
  <c r="D1197" i="15"/>
  <c r="F1196" i="15"/>
  <c r="G1196" i="15" s="1"/>
  <c r="E1196" i="15"/>
  <c r="D1196" i="15"/>
  <c r="F1195" i="15"/>
  <c r="G1195" i="15" s="1"/>
  <c r="E1195" i="15"/>
  <c r="D1195" i="15"/>
  <c r="F1194" i="15"/>
  <c r="G1194" i="15" s="1"/>
  <c r="E1194" i="15"/>
  <c r="D1194" i="15"/>
  <c r="F1193" i="15"/>
  <c r="G1193" i="15" s="1"/>
  <c r="E1193" i="15"/>
  <c r="D1193" i="15"/>
  <c r="F1192" i="15"/>
  <c r="G1192" i="15" s="1"/>
  <c r="E1192" i="15"/>
  <c r="D1192" i="15"/>
  <c r="F1191" i="15"/>
  <c r="G1191" i="15" s="1"/>
  <c r="E1191" i="15"/>
  <c r="D1191" i="15"/>
  <c r="F1190" i="15"/>
  <c r="G1190" i="15" s="1"/>
  <c r="E1190" i="15"/>
  <c r="D1190" i="15"/>
  <c r="F1189" i="15"/>
  <c r="G1189" i="15" s="1"/>
  <c r="E1189" i="15"/>
  <c r="D1189" i="15"/>
  <c r="F1188" i="15"/>
  <c r="G1188" i="15" s="1"/>
  <c r="E1188" i="15"/>
  <c r="D1188" i="15"/>
  <c r="F1187" i="15"/>
  <c r="G1187" i="15" s="1"/>
  <c r="E1187" i="15"/>
  <c r="D1187" i="15"/>
  <c r="F1186" i="15"/>
  <c r="G1186" i="15" s="1"/>
  <c r="E1186" i="15"/>
  <c r="D1186" i="15"/>
  <c r="F1185" i="15"/>
  <c r="G1185" i="15" s="1"/>
  <c r="E1185" i="15"/>
  <c r="D1185" i="15"/>
  <c r="F1184" i="15"/>
  <c r="G1184" i="15" s="1"/>
  <c r="E1184" i="15"/>
  <c r="D1184" i="15"/>
  <c r="F1183" i="15"/>
  <c r="G1183" i="15" s="1"/>
  <c r="E1183" i="15"/>
  <c r="D1183" i="15"/>
  <c r="F1182" i="15"/>
  <c r="G1182" i="15" s="1"/>
  <c r="E1182" i="15"/>
  <c r="D1182" i="15"/>
  <c r="F1181" i="15"/>
  <c r="G1181" i="15" s="1"/>
  <c r="E1181" i="15"/>
  <c r="D1181" i="15"/>
  <c r="F1180" i="15"/>
  <c r="G1180" i="15" s="1"/>
  <c r="E1180" i="15"/>
  <c r="D1180" i="15"/>
  <c r="F1179" i="15"/>
  <c r="G1179" i="15" s="1"/>
  <c r="E1179" i="15"/>
  <c r="D1179" i="15"/>
  <c r="F1178" i="15"/>
  <c r="G1178" i="15" s="1"/>
  <c r="E1178" i="15"/>
  <c r="D1178" i="15"/>
  <c r="F1177" i="15"/>
  <c r="G1177" i="15" s="1"/>
  <c r="E1177" i="15"/>
  <c r="D1177" i="15"/>
  <c r="F1176" i="15"/>
  <c r="G1176" i="15" s="1"/>
  <c r="E1176" i="15"/>
  <c r="D1176" i="15"/>
  <c r="F1175" i="15"/>
  <c r="G1175" i="15" s="1"/>
  <c r="E1175" i="15"/>
  <c r="D1175" i="15"/>
  <c r="F1174" i="15"/>
  <c r="G1174" i="15" s="1"/>
  <c r="E1174" i="15"/>
  <c r="D1174" i="15"/>
  <c r="F1173" i="15"/>
  <c r="G1173" i="15" s="1"/>
  <c r="E1173" i="15"/>
  <c r="D1173" i="15"/>
  <c r="F1172" i="15"/>
  <c r="G1172" i="15" s="1"/>
  <c r="E1172" i="15"/>
  <c r="D1172" i="15"/>
  <c r="F1171" i="15"/>
  <c r="G1171" i="15" s="1"/>
  <c r="E1171" i="15"/>
  <c r="D1171" i="15"/>
  <c r="F1170" i="15"/>
  <c r="G1170" i="15" s="1"/>
  <c r="E1170" i="15"/>
  <c r="D1170" i="15"/>
  <c r="F1169" i="15"/>
  <c r="G1169" i="15" s="1"/>
  <c r="E1169" i="15"/>
  <c r="D1169" i="15"/>
  <c r="F1168" i="15"/>
  <c r="G1168" i="15" s="1"/>
  <c r="E1168" i="15"/>
  <c r="D1168" i="15"/>
  <c r="F1167" i="15"/>
  <c r="G1167" i="15" s="1"/>
  <c r="E1167" i="15"/>
  <c r="D1167" i="15"/>
  <c r="F1166" i="15"/>
  <c r="G1166" i="15" s="1"/>
  <c r="E1166" i="15"/>
  <c r="D1166" i="15"/>
  <c r="F1165" i="15"/>
  <c r="G1165" i="15" s="1"/>
  <c r="E1165" i="15"/>
  <c r="D1165" i="15"/>
  <c r="F1164" i="15"/>
  <c r="G1164" i="15" s="1"/>
  <c r="E1164" i="15"/>
  <c r="D1164" i="15"/>
  <c r="F1163" i="15"/>
  <c r="G1163" i="15" s="1"/>
  <c r="E1163" i="15"/>
  <c r="D1163" i="15"/>
  <c r="F1162" i="15"/>
  <c r="G1162" i="15" s="1"/>
  <c r="E1162" i="15"/>
  <c r="D1162" i="15"/>
  <c r="F1161" i="15"/>
  <c r="G1161" i="15" s="1"/>
  <c r="E1161" i="15"/>
  <c r="D1161" i="15"/>
  <c r="F1160" i="15"/>
  <c r="G1160" i="15" s="1"/>
  <c r="E1160" i="15"/>
  <c r="D1160" i="15"/>
  <c r="F1159" i="15"/>
  <c r="G1159" i="15" s="1"/>
  <c r="E1159" i="15"/>
  <c r="D1159" i="15"/>
  <c r="F1158" i="15"/>
  <c r="G1158" i="15" s="1"/>
  <c r="E1158" i="15"/>
  <c r="D1158" i="15"/>
  <c r="F1157" i="15"/>
  <c r="G1157" i="15" s="1"/>
  <c r="E1157" i="15"/>
  <c r="D1157" i="15"/>
  <c r="F1156" i="15"/>
  <c r="G1156" i="15" s="1"/>
  <c r="E1156" i="15"/>
  <c r="D1156" i="15"/>
  <c r="F1155" i="15"/>
  <c r="G1155" i="15" s="1"/>
  <c r="E1155" i="15"/>
  <c r="D1155" i="15"/>
  <c r="F1154" i="15"/>
  <c r="G1154" i="15" s="1"/>
  <c r="E1154" i="15"/>
  <c r="D1154" i="15"/>
  <c r="F1153" i="15"/>
  <c r="G1153" i="15" s="1"/>
  <c r="E1153" i="15"/>
  <c r="D1153" i="15"/>
  <c r="F1152" i="15"/>
  <c r="G1152" i="15" s="1"/>
  <c r="E1152" i="15"/>
  <c r="D1152" i="15"/>
  <c r="F1151" i="15"/>
  <c r="G1151" i="15" s="1"/>
  <c r="E1151" i="15"/>
  <c r="D1151" i="15"/>
  <c r="F1150" i="15"/>
  <c r="G1150" i="15" s="1"/>
  <c r="E1150" i="15"/>
  <c r="D1150" i="15"/>
  <c r="F1149" i="15"/>
  <c r="G1149" i="15" s="1"/>
  <c r="E1149" i="15"/>
  <c r="D1149" i="15"/>
  <c r="F1148" i="15"/>
  <c r="G1148" i="15" s="1"/>
  <c r="E1148" i="15"/>
  <c r="D1148" i="15"/>
  <c r="F1147" i="15"/>
  <c r="G1147" i="15" s="1"/>
  <c r="E1147" i="15"/>
  <c r="D1147" i="15"/>
  <c r="F1146" i="15"/>
  <c r="G1146" i="15" s="1"/>
  <c r="E1146" i="15"/>
  <c r="D1146" i="15"/>
  <c r="F1145" i="15"/>
  <c r="G1145" i="15" s="1"/>
  <c r="E1145" i="15"/>
  <c r="D1145" i="15"/>
  <c r="F1144" i="15"/>
  <c r="G1144" i="15" s="1"/>
  <c r="E1144" i="15"/>
  <c r="D1144" i="15"/>
  <c r="F1143" i="15"/>
  <c r="G1143" i="15" s="1"/>
  <c r="E1143" i="15"/>
  <c r="D1143" i="15"/>
  <c r="F1142" i="15"/>
  <c r="G1142" i="15" s="1"/>
  <c r="E1142" i="15"/>
  <c r="D1142" i="15"/>
  <c r="F1141" i="15"/>
  <c r="G1141" i="15" s="1"/>
  <c r="E1141" i="15"/>
  <c r="D1141" i="15"/>
  <c r="F1140" i="15"/>
  <c r="G1140" i="15" s="1"/>
  <c r="E1140" i="15"/>
  <c r="D1140" i="15"/>
  <c r="F1139" i="15"/>
  <c r="G1139" i="15" s="1"/>
  <c r="E1139" i="15"/>
  <c r="D1139" i="15"/>
  <c r="F1138" i="15"/>
  <c r="G1138" i="15" s="1"/>
  <c r="E1138" i="15"/>
  <c r="D1138" i="15"/>
  <c r="F1137" i="15"/>
  <c r="G1137" i="15" s="1"/>
  <c r="E1137" i="15"/>
  <c r="D1137" i="15"/>
  <c r="F1136" i="15"/>
  <c r="G1136" i="15" s="1"/>
  <c r="E1136" i="15"/>
  <c r="D1136" i="15"/>
  <c r="F1135" i="15"/>
  <c r="G1135" i="15" s="1"/>
  <c r="E1135" i="15"/>
  <c r="D1135" i="15"/>
  <c r="F1134" i="15"/>
  <c r="G1134" i="15" s="1"/>
  <c r="E1134" i="15"/>
  <c r="D1134" i="15"/>
  <c r="F1133" i="15"/>
  <c r="G1133" i="15" s="1"/>
  <c r="E1133" i="15"/>
  <c r="D1133" i="15"/>
  <c r="F1132" i="15"/>
  <c r="G1132" i="15" s="1"/>
  <c r="E1132" i="15"/>
  <c r="D1132" i="15"/>
  <c r="F1131" i="15"/>
  <c r="G1131" i="15" s="1"/>
  <c r="E1131" i="15"/>
  <c r="D1131" i="15"/>
  <c r="F1130" i="15"/>
  <c r="G1130" i="15" s="1"/>
  <c r="E1130" i="15"/>
  <c r="D1130" i="15"/>
  <c r="F1129" i="15"/>
  <c r="G1129" i="15" s="1"/>
  <c r="E1129" i="15"/>
  <c r="D1129" i="15"/>
  <c r="F1128" i="15"/>
  <c r="G1128" i="15" s="1"/>
  <c r="E1128" i="15"/>
  <c r="D1128" i="15"/>
  <c r="F1127" i="15"/>
  <c r="G1127" i="15" s="1"/>
  <c r="E1127" i="15"/>
  <c r="D1127" i="15"/>
  <c r="F1126" i="15"/>
  <c r="G1126" i="15" s="1"/>
  <c r="E1126" i="15"/>
  <c r="D1126" i="15"/>
  <c r="F1125" i="15"/>
  <c r="G1125" i="15" s="1"/>
  <c r="E1125" i="15"/>
  <c r="D1125" i="15"/>
  <c r="F1124" i="15"/>
  <c r="G1124" i="15" s="1"/>
  <c r="E1124" i="15"/>
  <c r="D1124" i="15"/>
  <c r="F1123" i="15"/>
  <c r="G1123" i="15" s="1"/>
  <c r="E1123" i="15"/>
  <c r="D1123" i="15"/>
  <c r="F1122" i="15"/>
  <c r="G1122" i="15" s="1"/>
  <c r="E1122" i="15"/>
  <c r="D1122" i="15"/>
  <c r="F1121" i="15"/>
  <c r="G1121" i="15" s="1"/>
  <c r="E1121" i="15"/>
  <c r="D1121" i="15"/>
  <c r="F1120" i="15"/>
  <c r="G1120" i="15" s="1"/>
  <c r="E1120" i="15"/>
  <c r="D1120" i="15"/>
  <c r="F1119" i="15"/>
  <c r="G1119" i="15" s="1"/>
  <c r="E1119" i="15"/>
  <c r="D1119" i="15"/>
  <c r="F1118" i="15"/>
  <c r="G1118" i="15" s="1"/>
  <c r="E1118" i="15"/>
  <c r="D1118" i="15"/>
  <c r="F1117" i="15"/>
  <c r="G1117" i="15" s="1"/>
  <c r="E1117" i="15"/>
  <c r="D1117" i="15"/>
  <c r="F1116" i="15"/>
  <c r="G1116" i="15" s="1"/>
  <c r="E1116" i="15"/>
  <c r="D1116" i="15"/>
  <c r="F1115" i="15"/>
  <c r="G1115" i="15" s="1"/>
  <c r="E1115" i="15"/>
  <c r="D1115" i="15"/>
  <c r="F1114" i="15"/>
  <c r="G1114" i="15" s="1"/>
  <c r="E1114" i="15"/>
  <c r="D1114" i="15"/>
  <c r="F1113" i="15"/>
  <c r="G1113" i="15" s="1"/>
  <c r="E1113" i="15"/>
  <c r="D1113" i="15"/>
  <c r="F1112" i="15"/>
  <c r="G1112" i="15" s="1"/>
  <c r="E1112" i="15"/>
  <c r="D1112" i="15"/>
  <c r="F1111" i="15"/>
  <c r="G1111" i="15" s="1"/>
  <c r="E1111" i="15"/>
  <c r="D1111" i="15"/>
  <c r="F1110" i="15"/>
  <c r="G1110" i="15" s="1"/>
  <c r="E1110" i="15"/>
  <c r="D1110" i="15"/>
  <c r="F1109" i="15"/>
  <c r="G1109" i="15" s="1"/>
  <c r="E1109" i="15"/>
  <c r="D1109" i="15"/>
  <c r="F1108" i="15"/>
  <c r="G1108" i="15" s="1"/>
  <c r="E1108" i="15"/>
  <c r="D1108" i="15"/>
  <c r="F1107" i="15"/>
  <c r="G1107" i="15" s="1"/>
  <c r="E1107" i="15"/>
  <c r="D1107" i="15"/>
  <c r="F1106" i="15"/>
  <c r="G1106" i="15" s="1"/>
  <c r="E1106" i="15"/>
  <c r="D1106" i="15"/>
  <c r="F1105" i="15"/>
  <c r="G1105" i="15" s="1"/>
  <c r="E1105" i="15"/>
  <c r="D1105" i="15"/>
  <c r="F1104" i="15"/>
  <c r="G1104" i="15" s="1"/>
  <c r="E1104" i="15"/>
  <c r="D1104" i="15"/>
  <c r="F1103" i="15"/>
  <c r="G1103" i="15" s="1"/>
  <c r="E1103" i="15"/>
  <c r="D1103" i="15"/>
  <c r="F1102" i="15"/>
  <c r="G1102" i="15" s="1"/>
  <c r="E1102" i="15"/>
  <c r="D1102" i="15"/>
  <c r="F1101" i="15"/>
  <c r="G1101" i="15" s="1"/>
  <c r="E1101" i="15"/>
  <c r="D1101" i="15"/>
  <c r="F1100" i="15"/>
  <c r="G1100" i="15" s="1"/>
  <c r="E1100" i="15"/>
  <c r="D1100" i="15"/>
  <c r="F1099" i="15"/>
  <c r="G1099" i="15" s="1"/>
  <c r="E1099" i="15"/>
  <c r="D1099" i="15"/>
  <c r="F1098" i="15"/>
  <c r="G1098" i="15" s="1"/>
  <c r="E1098" i="15"/>
  <c r="D1098" i="15"/>
  <c r="F1097" i="15"/>
  <c r="G1097" i="15" s="1"/>
  <c r="E1097" i="15"/>
  <c r="D1097" i="15"/>
  <c r="F1096" i="15"/>
  <c r="G1096" i="15" s="1"/>
  <c r="E1096" i="15"/>
  <c r="D1096" i="15"/>
  <c r="F1095" i="15"/>
  <c r="G1095" i="15" s="1"/>
  <c r="E1095" i="15"/>
  <c r="D1095" i="15"/>
  <c r="F1094" i="15"/>
  <c r="G1094" i="15" s="1"/>
  <c r="E1094" i="15"/>
  <c r="D1094" i="15"/>
  <c r="F1093" i="15"/>
  <c r="G1093" i="15" s="1"/>
  <c r="E1093" i="15"/>
  <c r="D1093" i="15"/>
  <c r="F1092" i="15"/>
  <c r="G1092" i="15" s="1"/>
  <c r="E1092" i="15"/>
  <c r="D1092" i="15"/>
  <c r="F1091" i="15"/>
  <c r="G1091" i="15" s="1"/>
  <c r="E1091" i="15"/>
  <c r="D1091" i="15"/>
  <c r="F1090" i="15"/>
  <c r="G1090" i="15" s="1"/>
  <c r="E1090" i="15"/>
  <c r="D1090" i="15"/>
  <c r="F1089" i="15"/>
  <c r="G1089" i="15" s="1"/>
  <c r="E1089" i="15"/>
  <c r="D1089" i="15"/>
  <c r="F1088" i="15"/>
  <c r="G1088" i="15" s="1"/>
  <c r="E1088" i="15"/>
  <c r="D1088" i="15"/>
  <c r="F1087" i="15"/>
  <c r="G1087" i="15" s="1"/>
  <c r="E1087" i="15"/>
  <c r="D1087" i="15"/>
  <c r="F1086" i="15"/>
  <c r="G1086" i="15" s="1"/>
  <c r="E1086" i="15"/>
  <c r="D1086" i="15"/>
  <c r="F1085" i="15"/>
  <c r="G1085" i="15" s="1"/>
  <c r="E1085" i="15"/>
  <c r="D1085" i="15"/>
  <c r="F1084" i="15"/>
  <c r="G1084" i="15" s="1"/>
  <c r="E1084" i="15"/>
  <c r="D1084" i="15"/>
  <c r="F1083" i="15"/>
  <c r="G1083" i="15" s="1"/>
  <c r="E1083" i="15"/>
  <c r="D1083" i="15"/>
  <c r="F1082" i="15"/>
  <c r="G1082" i="15" s="1"/>
  <c r="E1082" i="15"/>
  <c r="D1082" i="15"/>
  <c r="F1081" i="15"/>
  <c r="G1081" i="15" s="1"/>
  <c r="E1081" i="15"/>
  <c r="D1081" i="15"/>
  <c r="F1080" i="15"/>
  <c r="G1080" i="15" s="1"/>
  <c r="E1080" i="15"/>
  <c r="D1080" i="15"/>
  <c r="F1079" i="15"/>
  <c r="G1079" i="15" s="1"/>
  <c r="E1079" i="15"/>
  <c r="D1079" i="15"/>
  <c r="F1078" i="15"/>
  <c r="G1078" i="15" s="1"/>
  <c r="E1078" i="15"/>
  <c r="D1078" i="15"/>
  <c r="F1077" i="15"/>
  <c r="G1077" i="15" s="1"/>
  <c r="E1077" i="15"/>
  <c r="D1077" i="15"/>
  <c r="F1076" i="15"/>
  <c r="G1076" i="15" s="1"/>
  <c r="E1076" i="15"/>
  <c r="D1076" i="15"/>
  <c r="F1075" i="15"/>
  <c r="G1075" i="15" s="1"/>
  <c r="E1075" i="15"/>
  <c r="D1075" i="15"/>
  <c r="F1074" i="15"/>
  <c r="G1074" i="15" s="1"/>
  <c r="E1074" i="15"/>
  <c r="D1074" i="15"/>
  <c r="F1073" i="15"/>
  <c r="G1073" i="15" s="1"/>
  <c r="E1073" i="15"/>
  <c r="D1073" i="15"/>
  <c r="F1072" i="15"/>
  <c r="G1072" i="15" s="1"/>
  <c r="E1072" i="15"/>
  <c r="D1072" i="15"/>
  <c r="F1071" i="15"/>
  <c r="G1071" i="15" s="1"/>
  <c r="E1071" i="15"/>
  <c r="D1071" i="15"/>
  <c r="F1070" i="15"/>
  <c r="G1070" i="15" s="1"/>
  <c r="E1070" i="15"/>
  <c r="D1070" i="15"/>
  <c r="F1069" i="15"/>
  <c r="G1069" i="15" s="1"/>
  <c r="E1069" i="15"/>
  <c r="D1069" i="15"/>
  <c r="F1068" i="15"/>
  <c r="G1068" i="15" s="1"/>
  <c r="E1068" i="15"/>
  <c r="D1068" i="15"/>
  <c r="F1067" i="15"/>
  <c r="G1067" i="15" s="1"/>
  <c r="E1067" i="15"/>
  <c r="D1067" i="15"/>
  <c r="F1066" i="15"/>
  <c r="G1066" i="15" s="1"/>
  <c r="E1066" i="15"/>
  <c r="D1066" i="15"/>
  <c r="F1065" i="15"/>
  <c r="G1065" i="15" s="1"/>
  <c r="E1065" i="15"/>
  <c r="D1065" i="15"/>
  <c r="F1064" i="15"/>
  <c r="G1064" i="15" s="1"/>
  <c r="E1064" i="15"/>
  <c r="D1064" i="15"/>
  <c r="F1063" i="15"/>
  <c r="G1063" i="15" s="1"/>
  <c r="E1063" i="15"/>
  <c r="D1063" i="15"/>
  <c r="F1062" i="15"/>
  <c r="G1062" i="15" s="1"/>
  <c r="E1062" i="15"/>
  <c r="D1062" i="15"/>
  <c r="F1061" i="15"/>
  <c r="G1061" i="15" s="1"/>
  <c r="E1061" i="15"/>
  <c r="D1061" i="15"/>
  <c r="F1060" i="15"/>
  <c r="G1060" i="15" s="1"/>
  <c r="E1060" i="15"/>
  <c r="D1060" i="15"/>
  <c r="F1059" i="15"/>
  <c r="G1059" i="15" s="1"/>
  <c r="E1059" i="15"/>
  <c r="D1059" i="15"/>
  <c r="F1058" i="15"/>
  <c r="G1058" i="15" s="1"/>
  <c r="E1058" i="15"/>
  <c r="D1058" i="15"/>
  <c r="F1057" i="15"/>
  <c r="G1057" i="15" s="1"/>
  <c r="E1057" i="15"/>
  <c r="D1057" i="15"/>
  <c r="F1056" i="15"/>
  <c r="G1056" i="15" s="1"/>
  <c r="E1056" i="15"/>
  <c r="D1056" i="15"/>
  <c r="F1055" i="15"/>
  <c r="G1055" i="15" s="1"/>
  <c r="E1055" i="15"/>
  <c r="D1055" i="15"/>
  <c r="F1054" i="15"/>
  <c r="G1054" i="15" s="1"/>
  <c r="E1054" i="15"/>
  <c r="D1054" i="15"/>
  <c r="F1053" i="15"/>
  <c r="G1053" i="15" s="1"/>
  <c r="E1053" i="15"/>
  <c r="D1053" i="15"/>
  <c r="F1052" i="15"/>
  <c r="G1052" i="15" s="1"/>
  <c r="E1052" i="15"/>
  <c r="D1052" i="15"/>
  <c r="F1051" i="15"/>
  <c r="G1051" i="15" s="1"/>
  <c r="E1051" i="15"/>
  <c r="D1051" i="15"/>
  <c r="F1050" i="15"/>
  <c r="G1050" i="15" s="1"/>
  <c r="E1050" i="15"/>
  <c r="D1050" i="15"/>
  <c r="F1049" i="15"/>
  <c r="G1049" i="15" s="1"/>
  <c r="E1049" i="15"/>
  <c r="D1049" i="15"/>
  <c r="F1048" i="15"/>
  <c r="G1048" i="15" s="1"/>
  <c r="E1048" i="15"/>
  <c r="D1048" i="15"/>
  <c r="F1047" i="15"/>
  <c r="G1047" i="15" s="1"/>
  <c r="E1047" i="15"/>
  <c r="D1047" i="15"/>
  <c r="F1046" i="15"/>
  <c r="G1046" i="15" s="1"/>
  <c r="E1046" i="15"/>
  <c r="D1046" i="15"/>
  <c r="F1045" i="15"/>
  <c r="G1045" i="15" s="1"/>
  <c r="E1045" i="15"/>
  <c r="D1045" i="15"/>
  <c r="F1044" i="15"/>
  <c r="G1044" i="15" s="1"/>
  <c r="E1044" i="15"/>
  <c r="D1044" i="15"/>
  <c r="F1043" i="15"/>
  <c r="G1043" i="15" s="1"/>
  <c r="E1043" i="15"/>
  <c r="D1043" i="15"/>
  <c r="F1042" i="15"/>
  <c r="G1042" i="15" s="1"/>
  <c r="E1042" i="15"/>
  <c r="D1042" i="15"/>
  <c r="F1041" i="15"/>
  <c r="G1041" i="15" s="1"/>
  <c r="E1041" i="15"/>
  <c r="D1041" i="15"/>
  <c r="F1040" i="15"/>
  <c r="G1040" i="15" s="1"/>
  <c r="E1040" i="15"/>
  <c r="D1040" i="15"/>
  <c r="F1039" i="15"/>
  <c r="G1039" i="15" s="1"/>
  <c r="E1039" i="15"/>
  <c r="D1039" i="15"/>
  <c r="F1038" i="15"/>
  <c r="G1038" i="15" s="1"/>
  <c r="E1038" i="15"/>
  <c r="D1038" i="15"/>
  <c r="F1037" i="15"/>
  <c r="G1037" i="15" s="1"/>
  <c r="E1037" i="15"/>
  <c r="D1037" i="15"/>
  <c r="F1036" i="15"/>
  <c r="G1036" i="15" s="1"/>
  <c r="E1036" i="15"/>
  <c r="D1036" i="15"/>
  <c r="F1035" i="15"/>
  <c r="G1035" i="15" s="1"/>
  <c r="E1035" i="15"/>
  <c r="D1035" i="15"/>
  <c r="F1034" i="15"/>
  <c r="G1034" i="15" s="1"/>
  <c r="E1034" i="15"/>
  <c r="D1034" i="15"/>
  <c r="F1033" i="15"/>
  <c r="G1033" i="15" s="1"/>
  <c r="E1033" i="15"/>
  <c r="D1033" i="15"/>
  <c r="F1032" i="15"/>
  <c r="G1032" i="15" s="1"/>
  <c r="E1032" i="15"/>
  <c r="D1032" i="15"/>
  <c r="F1031" i="15"/>
  <c r="G1031" i="15" s="1"/>
  <c r="E1031" i="15"/>
  <c r="D1031" i="15"/>
  <c r="F1030" i="15"/>
  <c r="G1030" i="15" s="1"/>
  <c r="E1030" i="15"/>
  <c r="D1030" i="15"/>
  <c r="F1029" i="15"/>
  <c r="G1029" i="15" s="1"/>
  <c r="E1029" i="15"/>
  <c r="D1029" i="15"/>
  <c r="F1028" i="15"/>
  <c r="G1028" i="15" s="1"/>
  <c r="E1028" i="15"/>
  <c r="D1028" i="15"/>
  <c r="F1027" i="15"/>
  <c r="G1027" i="15" s="1"/>
  <c r="E1027" i="15"/>
  <c r="D1027" i="15"/>
  <c r="F1026" i="15"/>
  <c r="G1026" i="15" s="1"/>
  <c r="E1026" i="15"/>
  <c r="D1026" i="15"/>
  <c r="F1025" i="15"/>
  <c r="G1025" i="15" s="1"/>
  <c r="E1025" i="15"/>
  <c r="D1025" i="15"/>
  <c r="F1024" i="15"/>
  <c r="G1024" i="15" s="1"/>
  <c r="E1024" i="15"/>
  <c r="D1024" i="15"/>
  <c r="F1023" i="15"/>
  <c r="G1023" i="15" s="1"/>
  <c r="E1023" i="15"/>
  <c r="D1023" i="15"/>
  <c r="F1022" i="15"/>
  <c r="G1022" i="15" s="1"/>
  <c r="E1022" i="15"/>
  <c r="D1022" i="15"/>
  <c r="F1021" i="15"/>
  <c r="G1021" i="15" s="1"/>
  <c r="E1021" i="15"/>
  <c r="D1021" i="15"/>
  <c r="F1020" i="15"/>
  <c r="G1020" i="15" s="1"/>
  <c r="E1020" i="15"/>
  <c r="D1020" i="15"/>
  <c r="F1019" i="15"/>
  <c r="G1019" i="15" s="1"/>
  <c r="E1019" i="15"/>
  <c r="D1019" i="15"/>
  <c r="F1018" i="15"/>
  <c r="G1018" i="15" s="1"/>
  <c r="E1018" i="15"/>
  <c r="D1018" i="15"/>
  <c r="F1017" i="15"/>
  <c r="G1017" i="15" s="1"/>
  <c r="E1017" i="15"/>
  <c r="D1017" i="15"/>
  <c r="F1016" i="15"/>
  <c r="G1016" i="15" s="1"/>
  <c r="E1016" i="15"/>
  <c r="D1016" i="15"/>
  <c r="F1015" i="15"/>
  <c r="G1015" i="15" s="1"/>
  <c r="E1015" i="15"/>
  <c r="D1015" i="15"/>
  <c r="F1014" i="15"/>
  <c r="G1014" i="15" s="1"/>
  <c r="E1014" i="15"/>
  <c r="D1014" i="15"/>
  <c r="F1013" i="15"/>
  <c r="G1013" i="15" s="1"/>
  <c r="E1013" i="15"/>
  <c r="D1013" i="15"/>
  <c r="F1012" i="15"/>
  <c r="G1012" i="15" s="1"/>
  <c r="E1012" i="15"/>
  <c r="D1012" i="15"/>
  <c r="F1011" i="15"/>
  <c r="G1011" i="15" s="1"/>
  <c r="E1011" i="15"/>
  <c r="D1011" i="15"/>
  <c r="F1010" i="15"/>
  <c r="G1010" i="15" s="1"/>
  <c r="E1010" i="15"/>
  <c r="D1010" i="15"/>
  <c r="F1009" i="15"/>
  <c r="G1009" i="15" s="1"/>
  <c r="E1009" i="15"/>
  <c r="D1009" i="15"/>
  <c r="F1008" i="15"/>
  <c r="G1008" i="15" s="1"/>
  <c r="E1008" i="15"/>
  <c r="D1008" i="15"/>
  <c r="F1007" i="15"/>
  <c r="G1007" i="15" s="1"/>
  <c r="E1007" i="15"/>
  <c r="D1007" i="15"/>
  <c r="F1006" i="15"/>
  <c r="G1006" i="15" s="1"/>
  <c r="E1006" i="15"/>
  <c r="D1006" i="15"/>
  <c r="F1005" i="15"/>
  <c r="G1005" i="15" s="1"/>
  <c r="E1005" i="15"/>
  <c r="D1005" i="15"/>
  <c r="F1004" i="15"/>
  <c r="G1004" i="15" s="1"/>
  <c r="E1004" i="15"/>
  <c r="D1004" i="15"/>
  <c r="F1003" i="15"/>
  <c r="G1003" i="15" s="1"/>
  <c r="E1003" i="15"/>
  <c r="D1003" i="15"/>
  <c r="F1002" i="15"/>
  <c r="G1002" i="15" s="1"/>
  <c r="E1002" i="15"/>
  <c r="D1002" i="15"/>
  <c r="F1001" i="15"/>
  <c r="G1001" i="15" s="1"/>
  <c r="E1001" i="15"/>
  <c r="D1001" i="15"/>
  <c r="F1000" i="15"/>
  <c r="G1000" i="15" s="1"/>
  <c r="E1000" i="15"/>
  <c r="D1000" i="15"/>
  <c r="F999" i="15"/>
  <c r="G999" i="15" s="1"/>
  <c r="E999" i="15"/>
  <c r="D999" i="15"/>
  <c r="F998" i="15"/>
  <c r="G998" i="15" s="1"/>
  <c r="E998" i="15"/>
  <c r="D998" i="15"/>
  <c r="F997" i="15"/>
  <c r="G997" i="15" s="1"/>
  <c r="E997" i="15"/>
  <c r="D997" i="15"/>
  <c r="F996" i="15"/>
  <c r="G996" i="15" s="1"/>
  <c r="E996" i="15"/>
  <c r="D996" i="15"/>
  <c r="F995" i="15"/>
  <c r="G995" i="15" s="1"/>
  <c r="E995" i="15"/>
  <c r="D995" i="15"/>
  <c r="F994" i="15"/>
  <c r="G994" i="15" s="1"/>
  <c r="E994" i="15"/>
  <c r="D994" i="15"/>
  <c r="F993" i="15"/>
  <c r="G993" i="15" s="1"/>
  <c r="E993" i="15"/>
  <c r="D993" i="15"/>
  <c r="F992" i="15"/>
  <c r="G992" i="15" s="1"/>
  <c r="E992" i="15"/>
  <c r="D992" i="15"/>
  <c r="F991" i="15"/>
  <c r="G991" i="15" s="1"/>
  <c r="E991" i="15"/>
  <c r="D991" i="15"/>
  <c r="F990" i="15"/>
  <c r="G990" i="15" s="1"/>
  <c r="E990" i="15"/>
  <c r="D990" i="15"/>
  <c r="F989" i="15"/>
  <c r="G989" i="15" s="1"/>
  <c r="E989" i="15"/>
  <c r="D989" i="15"/>
  <c r="F988" i="15"/>
  <c r="G988" i="15" s="1"/>
  <c r="E988" i="15"/>
  <c r="D988" i="15"/>
  <c r="F987" i="15"/>
  <c r="G987" i="15" s="1"/>
  <c r="E987" i="15"/>
  <c r="D987" i="15"/>
  <c r="F986" i="15"/>
  <c r="G986" i="15" s="1"/>
  <c r="E986" i="15"/>
  <c r="D986" i="15"/>
  <c r="F985" i="15"/>
  <c r="G985" i="15" s="1"/>
  <c r="E985" i="15"/>
  <c r="D985" i="15"/>
  <c r="F984" i="15"/>
  <c r="G984" i="15" s="1"/>
  <c r="E984" i="15"/>
  <c r="D984" i="15"/>
  <c r="F983" i="15"/>
  <c r="G983" i="15" s="1"/>
  <c r="E983" i="15"/>
  <c r="D983" i="15"/>
  <c r="F982" i="15"/>
  <c r="G982" i="15" s="1"/>
  <c r="E982" i="15"/>
  <c r="D982" i="15"/>
  <c r="F981" i="15"/>
  <c r="G981" i="15" s="1"/>
  <c r="E981" i="15"/>
  <c r="D981" i="15"/>
  <c r="F980" i="15"/>
  <c r="G980" i="15" s="1"/>
  <c r="E980" i="15"/>
  <c r="D980" i="15"/>
  <c r="F979" i="15"/>
  <c r="G979" i="15" s="1"/>
  <c r="E979" i="15"/>
  <c r="D979" i="15"/>
  <c r="F978" i="15"/>
  <c r="G978" i="15" s="1"/>
  <c r="E978" i="15"/>
  <c r="D978" i="15"/>
  <c r="F977" i="15"/>
  <c r="G977" i="15" s="1"/>
  <c r="E977" i="15"/>
  <c r="D977" i="15"/>
  <c r="F976" i="15"/>
  <c r="G976" i="15" s="1"/>
  <c r="E976" i="15"/>
  <c r="D976" i="15"/>
  <c r="F975" i="15"/>
  <c r="G975" i="15" s="1"/>
  <c r="E975" i="15"/>
  <c r="D975" i="15"/>
  <c r="F974" i="15"/>
  <c r="G974" i="15" s="1"/>
  <c r="E974" i="15"/>
  <c r="D974" i="15"/>
  <c r="F973" i="15"/>
  <c r="G973" i="15" s="1"/>
  <c r="E973" i="15"/>
  <c r="D973" i="15"/>
  <c r="F972" i="15"/>
  <c r="G972" i="15" s="1"/>
  <c r="E972" i="15"/>
  <c r="D972" i="15"/>
  <c r="F971" i="15"/>
  <c r="G971" i="15" s="1"/>
  <c r="E971" i="15"/>
  <c r="D971" i="15"/>
  <c r="F970" i="15"/>
  <c r="G970" i="15" s="1"/>
  <c r="E970" i="15"/>
  <c r="D970" i="15"/>
  <c r="F969" i="15"/>
  <c r="G969" i="15" s="1"/>
  <c r="E969" i="15"/>
  <c r="D969" i="15"/>
  <c r="F968" i="15"/>
  <c r="G968" i="15" s="1"/>
  <c r="E968" i="15"/>
  <c r="D968" i="15"/>
  <c r="F967" i="15"/>
  <c r="G967" i="15" s="1"/>
  <c r="E967" i="15"/>
  <c r="D967" i="15"/>
  <c r="F966" i="15"/>
  <c r="G966" i="15" s="1"/>
  <c r="E966" i="15"/>
  <c r="D966" i="15"/>
  <c r="F965" i="15"/>
  <c r="G965" i="15" s="1"/>
  <c r="E965" i="15"/>
  <c r="D965" i="15"/>
  <c r="F964" i="15"/>
  <c r="G964" i="15" s="1"/>
  <c r="E964" i="15"/>
  <c r="D964" i="15"/>
  <c r="F963" i="15"/>
  <c r="G963" i="15" s="1"/>
  <c r="E963" i="15"/>
  <c r="D963" i="15"/>
  <c r="F962" i="15"/>
  <c r="G962" i="15" s="1"/>
  <c r="E962" i="15"/>
  <c r="D962" i="15"/>
  <c r="F961" i="15"/>
  <c r="G961" i="15" s="1"/>
  <c r="E961" i="15"/>
  <c r="D961" i="15"/>
  <c r="F960" i="15"/>
  <c r="G960" i="15" s="1"/>
  <c r="E960" i="15"/>
  <c r="D960" i="15"/>
  <c r="F959" i="15"/>
  <c r="G959" i="15" s="1"/>
  <c r="E959" i="15"/>
  <c r="D959" i="15"/>
  <c r="F958" i="15"/>
  <c r="G958" i="15" s="1"/>
  <c r="E958" i="15"/>
  <c r="D958" i="15"/>
  <c r="F957" i="15"/>
  <c r="G957" i="15" s="1"/>
  <c r="E957" i="15"/>
  <c r="D957" i="15"/>
  <c r="F956" i="15"/>
  <c r="G956" i="15" s="1"/>
  <c r="E956" i="15"/>
  <c r="D956" i="15"/>
  <c r="F955" i="15"/>
  <c r="G955" i="15" s="1"/>
  <c r="E955" i="15"/>
  <c r="D955" i="15"/>
  <c r="F954" i="15"/>
  <c r="G954" i="15" s="1"/>
  <c r="E954" i="15"/>
  <c r="D954" i="15"/>
  <c r="F953" i="15"/>
  <c r="G953" i="15" s="1"/>
  <c r="E953" i="15"/>
  <c r="D953" i="15"/>
  <c r="F952" i="15"/>
  <c r="G952" i="15" s="1"/>
  <c r="E952" i="15"/>
  <c r="D952" i="15"/>
  <c r="F951" i="15"/>
  <c r="G951" i="15" s="1"/>
  <c r="E951" i="15"/>
  <c r="D951" i="15"/>
  <c r="F950" i="15"/>
  <c r="G950" i="15" s="1"/>
  <c r="E950" i="15"/>
  <c r="D950" i="15"/>
  <c r="F949" i="15"/>
  <c r="G949" i="15" s="1"/>
  <c r="E949" i="15"/>
  <c r="D949" i="15"/>
  <c r="F948" i="15"/>
  <c r="G948" i="15" s="1"/>
  <c r="E948" i="15"/>
  <c r="D948" i="15"/>
  <c r="F947" i="15"/>
  <c r="G947" i="15" s="1"/>
  <c r="E947" i="15"/>
  <c r="D947" i="15"/>
  <c r="F946" i="15"/>
  <c r="G946" i="15" s="1"/>
  <c r="E946" i="15"/>
  <c r="D946" i="15"/>
  <c r="F945" i="15"/>
  <c r="G945" i="15" s="1"/>
  <c r="E945" i="15"/>
  <c r="D945" i="15"/>
  <c r="F944" i="15"/>
  <c r="G944" i="15" s="1"/>
  <c r="E944" i="15"/>
  <c r="D944" i="15"/>
  <c r="F943" i="15"/>
  <c r="G943" i="15" s="1"/>
  <c r="E943" i="15"/>
  <c r="D943" i="15"/>
  <c r="F942" i="15"/>
  <c r="G942" i="15" s="1"/>
  <c r="E942" i="15"/>
  <c r="D942" i="15"/>
  <c r="F941" i="15"/>
  <c r="G941" i="15" s="1"/>
  <c r="E941" i="15"/>
  <c r="D941" i="15"/>
  <c r="F940" i="15"/>
  <c r="G940" i="15" s="1"/>
  <c r="E940" i="15"/>
  <c r="D940" i="15"/>
  <c r="F939" i="15"/>
  <c r="G939" i="15" s="1"/>
  <c r="E939" i="15"/>
  <c r="D939" i="15"/>
  <c r="F938" i="15"/>
  <c r="G938" i="15" s="1"/>
  <c r="E938" i="15"/>
  <c r="D938" i="15"/>
  <c r="F937" i="15"/>
  <c r="G937" i="15" s="1"/>
  <c r="E937" i="15"/>
  <c r="D937" i="15"/>
  <c r="F936" i="15"/>
  <c r="G936" i="15" s="1"/>
  <c r="E936" i="15"/>
  <c r="D936" i="15"/>
  <c r="F935" i="15"/>
  <c r="G935" i="15" s="1"/>
  <c r="E935" i="15"/>
  <c r="D935" i="15"/>
  <c r="F934" i="15"/>
  <c r="G934" i="15" s="1"/>
  <c r="E934" i="15"/>
  <c r="D934" i="15"/>
  <c r="F933" i="15"/>
  <c r="G933" i="15" s="1"/>
  <c r="E933" i="15"/>
  <c r="D933" i="15"/>
  <c r="F932" i="15"/>
  <c r="G932" i="15" s="1"/>
  <c r="E932" i="15"/>
  <c r="D932" i="15"/>
  <c r="F931" i="15"/>
  <c r="G931" i="15" s="1"/>
  <c r="E931" i="15"/>
  <c r="D931" i="15"/>
  <c r="F930" i="15"/>
  <c r="G930" i="15" s="1"/>
  <c r="E930" i="15"/>
  <c r="D930" i="15"/>
  <c r="F929" i="15"/>
  <c r="G929" i="15" s="1"/>
  <c r="E929" i="15"/>
  <c r="D929" i="15"/>
  <c r="F928" i="15"/>
  <c r="G928" i="15" s="1"/>
  <c r="E928" i="15"/>
  <c r="D928" i="15"/>
  <c r="F927" i="15"/>
  <c r="G927" i="15" s="1"/>
  <c r="E927" i="15"/>
  <c r="D927" i="15"/>
  <c r="F926" i="15"/>
  <c r="G926" i="15" s="1"/>
  <c r="E926" i="15"/>
  <c r="D926" i="15"/>
  <c r="F925" i="15"/>
  <c r="G925" i="15" s="1"/>
  <c r="E925" i="15"/>
  <c r="D925" i="15"/>
  <c r="F924" i="15"/>
  <c r="G924" i="15" s="1"/>
  <c r="E924" i="15"/>
  <c r="D924" i="15"/>
  <c r="F923" i="15"/>
  <c r="G923" i="15" s="1"/>
  <c r="E923" i="15"/>
  <c r="D923" i="15"/>
  <c r="F922" i="15"/>
  <c r="G922" i="15" s="1"/>
  <c r="E922" i="15"/>
  <c r="D922" i="15"/>
  <c r="F921" i="15"/>
  <c r="G921" i="15" s="1"/>
  <c r="E921" i="15"/>
  <c r="D921" i="15"/>
  <c r="F920" i="15"/>
  <c r="G920" i="15" s="1"/>
  <c r="E920" i="15"/>
  <c r="D920" i="15"/>
  <c r="F919" i="15"/>
  <c r="G919" i="15" s="1"/>
  <c r="E919" i="15"/>
  <c r="D919" i="15"/>
  <c r="F918" i="15"/>
  <c r="G918" i="15" s="1"/>
  <c r="E918" i="15"/>
  <c r="D918" i="15"/>
  <c r="F917" i="15"/>
  <c r="G917" i="15" s="1"/>
  <c r="E917" i="15"/>
  <c r="D917" i="15"/>
  <c r="F916" i="15"/>
  <c r="G916" i="15" s="1"/>
  <c r="E916" i="15"/>
  <c r="D916" i="15"/>
  <c r="F915" i="15"/>
  <c r="G915" i="15" s="1"/>
  <c r="E915" i="15"/>
  <c r="D915" i="15"/>
  <c r="F914" i="15"/>
  <c r="G914" i="15" s="1"/>
  <c r="E914" i="15"/>
  <c r="D914" i="15"/>
  <c r="F913" i="15"/>
  <c r="G913" i="15" s="1"/>
  <c r="E913" i="15"/>
  <c r="D913" i="15"/>
  <c r="F912" i="15"/>
  <c r="G912" i="15" s="1"/>
  <c r="E912" i="15"/>
  <c r="D912" i="15"/>
  <c r="F911" i="15"/>
  <c r="G911" i="15" s="1"/>
  <c r="E911" i="15"/>
  <c r="D911" i="15"/>
  <c r="F910" i="15"/>
  <c r="G910" i="15" s="1"/>
  <c r="E910" i="15"/>
  <c r="D910" i="15"/>
  <c r="F909" i="15"/>
  <c r="G909" i="15" s="1"/>
  <c r="E909" i="15"/>
  <c r="D909" i="15"/>
  <c r="F908" i="15"/>
  <c r="G908" i="15" s="1"/>
  <c r="E908" i="15"/>
  <c r="D908" i="15"/>
  <c r="F907" i="15"/>
  <c r="G907" i="15" s="1"/>
  <c r="E907" i="15"/>
  <c r="D907" i="15"/>
  <c r="F906" i="15"/>
  <c r="G906" i="15" s="1"/>
  <c r="E906" i="15"/>
  <c r="D906" i="15"/>
  <c r="F905" i="15"/>
  <c r="G905" i="15" s="1"/>
  <c r="E905" i="15"/>
  <c r="D905" i="15"/>
  <c r="F904" i="15"/>
  <c r="G904" i="15" s="1"/>
  <c r="E904" i="15"/>
  <c r="D904" i="15"/>
  <c r="F903" i="15"/>
  <c r="G903" i="15" s="1"/>
  <c r="E903" i="15"/>
  <c r="D903" i="15"/>
  <c r="F902" i="15"/>
  <c r="G902" i="15" s="1"/>
  <c r="E902" i="15"/>
  <c r="D902" i="15"/>
  <c r="F901" i="15"/>
  <c r="G901" i="15" s="1"/>
  <c r="E901" i="15"/>
  <c r="D901" i="15"/>
  <c r="F900" i="15"/>
  <c r="G900" i="15" s="1"/>
  <c r="E900" i="15"/>
  <c r="D900" i="15"/>
  <c r="F899" i="15"/>
  <c r="G899" i="15" s="1"/>
  <c r="E899" i="15"/>
  <c r="D899" i="15"/>
  <c r="F898" i="15"/>
  <c r="G898" i="15" s="1"/>
  <c r="E898" i="15"/>
  <c r="D898" i="15"/>
  <c r="F897" i="15"/>
  <c r="G897" i="15" s="1"/>
  <c r="E897" i="15"/>
  <c r="D897" i="15"/>
  <c r="F896" i="15"/>
  <c r="G896" i="15" s="1"/>
  <c r="E896" i="15"/>
  <c r="D896" i="15"/>
  <c r="F895" i="15"/>
  <c r="G895" i="15" s="1"/>
  <c r="E895" i="15"/>
  <c r="D895" i="15"/>
  <c r="F894" i="15"/>
  <c r="G894" i="15" s="1"/>
  <c r="E894" i="15"/>
  <c r="D894" i="15"/>
  <c r="F893" i="15"/>
  <c r="G893" i="15" s="1"/>
  <c r="E893" i="15"/>
  <c r="D893" i="15"/>
  <c r="F892" i="15"/>
  <c r="G892" i="15" s="1"/>
  <c r="E892" i="15"/>
  <c r="D892" i="15"/>
  <c r="F891" i="15"/>
  <c r="G891" i="15" s="1"/>
  <c r="E891" i="15"/>
  <c r="D891" i="15"/>
  <c r="F890" i="15"/>
  <c r="G890" i="15" s="1"/>
  <c r="E890" i="15"/>
  <c r="D890" i="15"/>
  <c r="F889" i="15"/>
  <c r="G889" i="15" s="1"/>
  <c r="E889" i="15"/>
  <c r="D889" i="15"/>
  <c r="F888" i="15"/>
  <c r="G888" i="15" s="1"/>
  <c r="E888" i="15"/>
  <c r="D888" i="15"/>
  <c r="F887" i="15"/>
  <c r="G887" i="15" s="1"/>
  <c r="E887" i="15"/>
  <c r="D887" i="15"/>
  <c r="F886" i="15"/>
  <c r="G886" i="15" s="1"/>
  <c r="E886" i="15"/>
  <c r="D886" i="15"/>
  <c r="F885" i="15"/>
  <c r="G885" i="15" s="1"/>
  <c r="E885" i="15"/>
  <c r="D885" i="15"/>
  <c r="F884" i="15"/>
  <c r="G884" i="15" s="1"/>
  <c r="E884" i="15"/>
  <c r="D884" i="15"/>
  <c r="F883" i="15"/>
  <c r="G883" i="15" s="1"/>
  <c r="E883" i="15"/>
  <c r="D883" i="15"/>
  <c r="F882" i="15"/>
  <c r="G882" i="15" s="1"/>
  <c r="E882" i="15"/>
  <c r="D882" i="15"/>
  <c r="F881" i="15"/>
  <c r="G881" i="15" s="1"/>
  <c r="E881" i="15"/>
  <c r="D881" i="15"/>
  <c r="F880" i="15"/>
  <c r="G880" i="15" s="1"/>
  <c r="E880" i="15"/>
  <c r="D880" i="15"/>
  <c r="F879" i="15"/>
  <c r="G879" i="15" s="1"/>
  <c r="E879" i="15"/>
  <c r="D879" i="15"/>
  <c r="F878" i="15"/>
  <c r="G878" i="15" s="1"/>
  <c r="E878" i="15"/>
  <c r="D878" i="15"/>
  <c r="F877" i="15"/>
  <c r="G877" i="15" s="1"/>
  <c r="E877" i="15"/>
  <c r="D877" i="15"/>
  <c r="F876" i="15"/>
  <c r="G876" i="15" s="1"/>
  <c r="E876" i="15"/>
  <c r="D876" i="15"/>
  <c r="F875" i="15"/>
  <c r="G875" i="15" s="1"/>
  <c r="E875" i="15"/>
  <c r="D875" i="15"/>
  <c r="F874" i="15"/>
  <c r="G874" i="15" s="1"/>
  <c r="E874" i="15"/>
  <c r="D874" i="15"/>
  <c r="F873" i="15"/>
  <c r="G873" i="15" s="1"/>
  <c r="E873" i="15"/>
  <c r="D873" i="15"/>
  <c r="F872" i="15"/>
  <c r="G872" i="15" s="1"/>
  <c r="E872" i="15"/>
  <c r="D872" i="15"/>
  <c r="F871" i="15"/>
  <c r="G871" i="15" s="1"/>
  <c r="E871" i="15"/>
  <c r="D871" i="15"/>
  <c r="F870" i="15"/>
  <c r="G870" i="15" s="1"/>
  <c r="E870" i="15"/>
  <c r="D870" i="15"/>
  <c r="F869" i="15"/>
  <c r="G869" i="15" s="1"/>
  <c r="E869" i="15"/>
  <c r="D869" i="15"/>
  <c r="F868" i="15"/>
  <c r="G868" i="15" s="1"/>
  <c r="E868" i="15"/>
  <c r="D868" i="15"/>
  <c r="F867" i="15"/>
  <c r="G867" i="15" s="1"/>
  <c r="E867" i="15"/>
  <c r="D867" i="15"/>
  <c r="F866" i="15"/>
  <c r="G866" i="15" s="1"/>
  <c r="E866" i="15"/>
  <c r="D866" i="15"/>
  <c r="F865" i="15"/>
  <c r="G865" i="15" s="1"/>
  <c r="E865" i="15"/>
  <c r="D865" i="15"/>
  <c r="F864" i="15"/>
  <c r="G864" i="15" s="1"/>
  <c r="E864" i="15"/>
  <c r="D864" i="15"/>
  <c r="F863" i="15"/>
  <c r="G863" i="15" s="1"/>
  <c r="E863" i="15"/>
  <c r="D863" i="15"/>
  <c r="F862" i="15"/>
  <c r="G862" i="15" s="1"/>
  <c r="E862" i="15"/>
  <c r="D862" i="15"/>
  <c r="F861" i="15"/>
  <c r="G861" i="15" s="1"/>
  <c r="E861" i="15"/>
  <c r="D861" i="15"/>
  <c r="F860" i="15"/>
  <c r="G860" i="15" s="1"/>
  <c r="E860" i="15"/>
  <c r="D860" i="15"/>
  <c r="F859" i="15"/>
  <c r="G859" i="15" s="1"/>
  <c r="E859" i="15"/>
  <c r="D859" i="15"/>
  <c r="F858" i="15"/>
  <c r="G858" i="15" s="1"/>
  <c r="E858" i="15"/>
  <c r="D858" i="15"/>
  <c r="F857" i="15"/>
  <c r="G857" i="15" s="1"/>
  <c r="E857" i="15"/>
  <c r="D857" i="15"/>
  <c r="F856" i="15"/>
  <c r="G856" i="15" s="1"/>
  <c r="E856" i="15"/>
  <c r="D856" i="15"/>
  <c r="F855" i="15"/>
  <c r="G855" i="15" s="1"/>
  <c r="E855" i="15"/>
  <c r="D855" i="15"/>
  <c r="F854" i="15"/>
  <c r="G854" i="15" s="1"/>
  <c r="E854" i="15"/>
  <c r="D854" i="15"/>
  <c r="F853" i="15"/>
  <c r="G853" i="15" s="1"/>
  <c r="E853" i="15"/>
  <c r="D853" i="15"/>
  <c r="F852" i="15"/>
  <c r="G852" i="15" s="1"/>
  <c r="E852" i="15"/>
  <c r="D852" i="15"/>
  <c r="F851" i="15"/>
  <c r="G851" i="15" s="1"/>
  <c r="E851" i="15"/>
  <c r="D851" i="15"/>
  <c r="F850" i="15"/>
  <c r="G850" i="15" s="1"/>
  <c r="E850" i="15"/>
  <c r="D850" i="15"/>
  <c r="F849" i="15"/>
  <c r="G849" i="15" s="1"/>
  <c r="E849" i="15"/>
  <c r="D849" i="15"/>
  <c r="F848" i="15"/>
  <c r="G848" i="15" s="1"/>
  <c r="E848" i="15"/>
  <c r="D848" i="15"/>
  <c r="F847" i="15"/>
  <c r="G847" i="15" s="1"/>
  <c r="E847" i="15"/>
  <c r="D847" i="15"/>
  <c r="F846" i="15"/>
  <c r="G846" i="15" s="1"/>
  <c r="E846" i="15"/>
  <c r="D846" i="15"/>
  <c r="F845" i="15"/>
  <c r="G845" i="15" s="1"/>
  <c r="E845" i="15"/>
  <c r="D845" i="15"/>
  <c r="F844" i="15"/>
  <c r="G844" i="15" s="1"/>
  <c r="E844" i="15"/>
  <c r="D844" i="15"/>
  <c r="F843" i="15"/>
  <c r="G843" i="15" s="1"/>
  <c r="E843" i="15"/>
  <c r="D843" i="15"/>
  <c r="F842" i="15"/>
  <c r="G842" i="15" s="1"/>
  <c r="E842" i="15"/>
  <c r="D842" i="15"/>
  <c r="F841" i="15"/>
  <c r="G841" i="15" s="1"/>
  <c r="E841" i="15"/>
  <c r="D841" i="15"/>
  <c r="F840" i="15"/>
  <c r="G840" i="15" s="1"/>
  <c r="E840" i="15"/>
  <c r="D840" i="15"/>
  <c r="F839" i="15"/>
  <c r="G839" i="15" s="1"/>
  <c r="E839" i="15"/>
  <c r="D839" i="15"/>
  <c r="F838" i="15"/>
  <c r="G838" i="15" s="1"/>
  <c r="E838" i="15"/>
  <c r="D838" i="15"/>
  <c r="F837" i="15"/>
  <c r="G837" i="15" s="1"/>
  <c r="E837" i="15"/>
  <c r="D837" i="15"/>
  <c r="F836" i="15"/>
  <c r="G836" i="15" s="1"/>
  <c r="E836" i="15"/>
  <c r="D836" i="15"/>
  <c r="F835" i="15"/>
  <c r="G835" i="15" s="1"/>
  <c r="E835" i="15"/>
  <c r="D835" i="15"/>
  <c r="F834" i="15"/>
  <c r="G834" i="15" s="1"/>
  <c r="E834" i="15"/>
  <c r="D834" i="15"/>
  <c r="F833" i="15"/>
  <c r="G833" i="15" s="1"/>
  <c r="E833" i="15"/>
  <c r="D833" i="15"/>
  <c r="F832" i="15"/>
  <c r="G832" i="15" s="1"/>
  <c r="E832" i="15"/>
  <c r="D832" i="15"/>
  <c r="F831" i="15"/>
  <c r="G831" i="15" s="1"/>
  <c r="E831" i="15"/>
  <c r="D831" i="15"/>
  <c r="F830" i="15"/>
  <c r="G830" i="15" s="1"/>
  <c r="E830" i="15"/>
  <c r="D830" i="15"/>
  <c r="F829" i="15"/>
  <c r="G829" i="15" s="1"/>
  <c r="E829" i="15"/>
  <c r="D829" i="15"/>
  <c r="F828" i="15"/>
  <c r="G828" i="15" s="1"/>
  <c r="E828" i="15"/>
  <c r="D828" i="15"/>
  <c r="F827" i="15"/>
  <c r="G827" i="15" s="1"/>
  <c r="E827" i="15"/>
  <c r="D827" i="15"/>
  <c r="F826" i="15"/>
  <c r="G826" i="15" s="1"/>
  <c r="E826" i="15"/>
  <c r="D826" i="15"/>
  <c r="F825" i="15"/>
  <c r="G825" i="15" s="1"/>
  <c r="E825" i="15"/>
  <c r="D825" i="15"/>
  <c r="F824" i="15"/>
  <c r="G824" i="15" s="1"/>
  <c r="E824" i="15"/>
  <c r="D824" i="15"/>
  <c r="F823" i="15"/>
  <c r="G823" i="15" s="1"/>
  <c r="E823" i="15"/>
  <c r="D823" i="15"/>
  <c r="F822" i="15"/>
  <c r="G822" i="15" s="1"/>
  <c r="E822" i="15"/>
  <c r="D822" i="15"/>
  <c r="F821" i="15"/>
  <c r="G821" i="15" s="1"/>
  <c r="E821" i="15"/>
  <c r="D821" i="15"/>
  <c r="F820" i="15"/>
  <c r="G820" i="15" s="1"/>
  <c r="E820" i="15"/>
  <c r="D820" i="15"/>
  <c r="F819" i="15"/>
  <c r="G819" i="15" s="1"/>
  <c r="E819" i="15"/>
  <c r="D819" i="15"/>
  <c r="F818" i="15"/>
  <c r="G818" i="15" s="1"/>
  <c r="E818" i="15"/>
  <c r="D818" i="15"/>
  <c r="F817" i="15"/>
  <c r="G817" i="15" s="1"/>
  <c r="E817" i="15"/>
  <c r="D817" i="15"/>
  <c r="F816" i="15"/>
  <c r="G816" i="15" s="1"/>
  <c r="E816" i="15"/>
  <c r="D816" i="15"/>
  <c r="F815" i="15"/>
  <c r="G815" i="15" s="1"/>
  <c r="E815" i="15"/>
  <c r="D815" i="15"/>
  <c r="F814" i="15"/>
  <c r="G814" i="15" s="1"/>
  <c r="E814" i="15"/>
  <c r="D814" i="15"/>
  <c r="F813" i="15"/>
  <c r="G813" i="15" s="1"/>
  <c r="E813" i="15"/>
  <c r="D813" i="15"/>
  <c r="F812" i="15"/>
  <c r="G812" i="15" s="1"/>
  <c r="E812" i="15"/>
  <c r="D812" i="15"/>
  <c r="F811" i="15"/>
  <c r="G811" i="15" s="1"/>
  <c r="E811" i="15"/>
  <c r="D811" i="15"/>
  <c r="F810" i="15"/>
  <c r="G810" i="15" s="1"/>
  <c r="E810" i="15"/>
  <c r="D810" i="15"/>
  <c r="F809" i="15"/>
  <c r="G809" i="15" s="1"/>
  <c r="E809" i="15"/>
  <c r="D809" i="15"/>
  <c r="F808" i="15"/>
  <c r="G808" i="15" s="1"/>
  <c r="E808" i="15"/>
  <c r="D808" i="15"/>
  <c r="F807" i="15"/>
  <c r="G807" i="15" s="1"/>
  <c r="E807" i="15"/>
  <c r="D807" i="15"/>
  <c r="F806" i="15"/>
  <c r="G806" i="15" s="1"/>
  <c r="E806" i="15"/>
  <c r="D806" i="15"/>
  <c r="F805" i="15"/>
  <c r="G805" i="15" s="1"/>
  <c r="E805" i="15"/>
  <c r="D805" i="15"/>
  <c r="F804" i="15"/>
  <c r="G804" i="15" s="1"/>
  <c r="E804" i="15"/>
  <c r="D804" i="15"/>
  <c r="F803" i="15"/>
  <c r="G803" i="15" s="1"/>
  <c r="E803" i="15"/>
  <c r="D803" i="15"/>
  <c r="F802" i="15"/>
  <c r="G802" i="15" s="1"/>
  <c r="E802" i="15"/>
  <c r="D802" i="15"/>
  <c r="F801" i="15"/>
  <c r="G801" i="15" s="1"/>
  <c r="E801" i="15"/>
  <c r="D801" i="15"/>
  <c r="F800" i="15"/>
  <c r="G800" i="15" s="1"/>
  <c r="E800" i="15"/>
  <c r="D800" i="15"/>
  <c r="F799" i="15"/>
  <c r="G799" i="15" s="1"/>
  <c r="E799" i="15"/>
  <c r="D799" i="15"/>
  <c r="F798" i="15"/>
  <c r="G798" i="15" s="1"/>
  <c r="E798" i="15"/>
  <c r="D798" i="15"/>
  <c r="F797" i="15"/>
  <c r="G797" i="15" s="1"/>
  <c r="E797" i="15"/>
  <c r="D797" i="15"/>
  <c r="F796" i="15"/>
  <c r="G796" i="15" s="1"/>
  <c r="E796" i="15"/>
  <c r="D796" i="15"/>
  <c r="F795" i="15"/>
  <c r="G795" i="15" s="1"/>
  <c r="E795" i="15"/>
  <c r="D795" i="15"/>
  <c r="F794" i="15"/>
  <c r="G794" i="15" s="1"/>
  <c r="E794" i="15"/>
  <c r="D794" i="15"/>
  <c r="F793" i="15"/>
  <c r="G793" i="15" s="1"/>
  <c r="E793" i="15"/>
  <c r="D793" i="15"/>
  <c r="F792" i="15"/>
  <c r="G792" i="15" s="1"/>
  <c r="E792" i="15"/>
  <c r="D792" i="15"/>
  <c r="F791" i="15"/>
  <c r="G791" i="15" s="1"/>
  <c r="E791" i="15"/>
  <c r="D791" i="15"/>
  <c r="F790" i="15"/>
  <c r="G790" i="15" s="1"/>
  <c r="E790" i="15"/>
  <c r="D790" i="15"/>
  <c r="F789" i="15"/>
  <c r="G789" i="15" s="1"/>
  <c r="E789" i="15"/>
  <c r="D789" i="15"/>
  <c r="F788" i="15"/>
  <c r="G788" i="15" s="1"/>
  <c r="E788" i="15"/>
  <c r="D788" i="15"/>
  <c r="F787" i="15"/>
  <c r="G787" i="15" s="1"/>
  <c r="E787" i="15"/>
  <c r="D787" i="15"/>
  <c r="F786" i="15"/>
  <c r="G786" i="15" s="1"/>
  <c r="E786" i="15"/>
  <c r="D786" i="15"/>
  <c r="F785" i="15"/>
  <c r="G785" i="15" s="1"/>
  <c r="E785" i="15"/>
  <c r="D785" i="15"/>
  <c r="F784" i="15"/>
  <c r="G784" i="15" s="1"/>
  <c r="E784" i="15"/>
  <c r="D784" i="15"/>
  <c r="F783" i="15"/>
  <c r="G783" i="15" s="1"/>
  <c r="E783" i="15"/>
  <c r="D783" i="15"/>
  <c r="F782" i="15"/>
  <c r="G782" i="15" s="1"/>
  <c r="E782" i="15"/>
  <c r="D782" i="15"/>
  <c r="F781" i="15"/>
  <c r="G781" i="15" s="1"/>
  <c r="E781" i="15"/>
  <c r="D781" i="15"/>
  <c r="F780" i="15"/>
  <c r="G780" i="15" s="1"/>
  <c r="E780" i="15"/>
  <c r="D780" i="15"/>
  <c r="F779" i="15"/>
  <c r="G779" i="15" s="1"/>
  <c r="E779" i="15"/>
  <c r="D779" i="15"/>
  <c r="F778" i="15"/>
  <c r="G778" i="15" s="1"/>
  <c r="E778" i="15"/>
  <c r="D778" i="15"/>
  <c r="F777" i="15"/>
  <c r="G777" i="15" s="1"/>
  <c r="E777" i="15"/>
  <c r="D777" i="15"/>
  <c r="F776" i="15"/>
  <c r="G776" i="15" s="1"/>
  <c r="E776" i="15"/>
  <c r="D776" i="15"/>
  <c r="F775" i="15"/>
  <c r="G775" i="15" s="1"/>
  <c r="E775" i="15"/>
  <c r="D775" i="15"/>
  <c r="F774" i="15"/>
  <c r="G774" i="15" s="1"/>
  <c r="E774" i="15"/>
  <c r="D774" i="15"/>
  <c r="F773" i="15"/>
  <c r="G773" i="15" s="1"/>
  <c r="E773" i="15"/>
  <c r="D773" i="15"/>
  <c r="F772" i="15"/>
  <c r="G772" i="15" s="1"/>
  <c r="E772" i="15"/>
  <c r="D772" i="15"/>
  <c r="F771" i="15"/>
  <c r="G771" i="15" s="1"/>
  <c r="E771" i="15"/>
  <c r="D771" i="15"/>
  <c r="F770" i="15"/>
  <c r="G770" i="15" s="1"/>
  <c r="E770" i="15"/>
  <c r="D770" i="15"/>
  <c r="F769" i="15"/>
  <c r="G769" i="15" s="1"/>
  <c r="E769" i="15"/>
  <c r="D769" i="15"/>
  <c r="F768" i="15"/>
  <c r="G768" i="15" s="1"/>
  <c r="E768" i="15"/>
  <c r="D768" i="15"/>
  <c r="F767" i="15"/>
  <c r="G767" i="15" s="1"/>
  <c r="E767" i="15"/>
  <c r="D767" i="15"/>
  <c r="F766" i="15"/>
  <c r="G766" i="15" s="1"/>
  <c r="E766" i="15"/>
  <c r="D766" i="15"/>
  <c r="F765" i="15"/>
  <c r="G765" i="15" s="1"/>
  <c r="E765" i="15"/>
  <c r="D765" i="15"/>
  <c r="F764" i="15"/>
  <c r="G764" i="15" s="1"/>
  <c r="E764" i="15"/>
  <c r="D764" i="15"/>
  <c r="F763" i="15"/>
  <c r="G763" i="15" s="1"/>
  <c r="E763" i="15"/>
  <c r="D763" i="15"/>
  <c r="F762" i="15"/>
  <c r="G762" i="15" s="1"/>
  <c r="E762" i="15"/>
  <c r="D762" i="15"/>
  <c r="F761" i="15"/>
  <c r="G761" i="15" s="1"/>
  <c r="E761" i="15"/>
  <c r="D761" i="15"/>
  <c r="F760" i="15"/>
  <c r="G760" i="15" s="1"/>
  <c r="E760" i="15"/>
  <c r="D760" i="15"/>
  <c r="F759" i="15"/>
  <c r="G759" i="15" s="1"/>
  <c r="E759" i="15"/>
  <c r="D759" i="15"/>
  <c r="F758" i="15"/>
  <c r="G758" i="15" s="1"/>
  <c r="E758" i="15"/>
  <c r="D758" i="15"/>
  <c r="F757" i="15"/>
  <c r="G757" i="15" s="1"/>
  <c r="E757" i="15"/>
  <c r="D757" i="15"/>
  <c r="F756" i="15"/>
  <c r="G756" i="15" s="1"/>
  <c r="E756" i="15"/>
  <c r="D756" i="15"/>
  <c r="F755" i="15"/>
  <c r="G755" i="15" s="1"/>
  <c r="E755" i="15"/>
  <c r="D755" i="15"/>
  <c r="F754" i="15"/>
  <c r="G754" i="15" s="1"/>
  <c r="E754" i="15"/>
  <c r="D754" i="15"/>
  <c r="F753" i="15"/>
  <c r="G753" i="15" s="1"/>
  <c r="E753" i="15"/>
  <c r="D753" i="15"/>
  <c r="F752" i="15"/>
  <c r="G752" i="15" s="1"/>
  <c r="E752" i="15"/>
  <c r="D752" i="15"/>
  <c r="F751" i="15"/>
  <c r="G751" i="15" s="1"/>
  <c r="E751" i="15"/>
  <c r="D751" i="15"/>
  <c r="F750" i="15"/>
  <c r="G750" i="15" s="1"/>
  <c r="E750" i="15"/>
  <c r="D750" i="15"/>
  <c r="F749" i="15"/>
  <c r="G749" i="15" s="1"/>
  <c r="E749" i="15"/>
  <c r="D749" i="15"/>
  <c r="F748" i="15"/>
  <c r="G748" i="15" s="1"/>
  <c r="E748" i="15"/>
  <c r="D748" i="15"/>
  <c r="F747" i="15"/>
  <c r="G747" i="15" s="1"/>
  <c r="E747" i="15"/>
  <c r="D747" i="15"/>
  <c r="F746" i="15"/>
  <c r="G746" i="15" s="1"/>
  <c r="E746" i="15"/>
  <c r="D746" i="15"/>
  <c r="F745" i="15"/>
  <c r="G745" i="15" s="1"/>
  <c r="E745" i="15"/>
  <c r="D745" i="15"/>
  <c r="F744" i="15"/>
  <c r="G744" i="15" s="1"/>
  <c r="E744" i="15"/>
  <c r="D744" i="15"/>
  <c r="F743" i="15"/>
  <c r="G743" i="15" s="1"/>
  <c r="E743" i="15"/>
  <c r="D743" i="15"/>
  <c r="F742" i="15"/>
  <c r="G742" i="15" s="1"/>
  <c r="E742" i="15"/>
  <c r="D742" i="15"/>
  <c r="F741" i="15"/>
  <c r="G741" i="15" s="1"/>
  <c r="E741" i="15"/>
  <c r="D741" i="15"/>
  <c r="F740" i="15"/>
  <c r="G740" i="15" s="1"/>
  <c r="E740" i="15"/>
  <c r="D740" i="15"/>
  <c r="F739" i="15"/>
  <c r="G739" i="15" s="1"/>
  <c r="E739" i="15"/>
  <c r="D739" i="15"/>
  <c r="F738" i="15"/>
  <c r="G738" i="15" s="1"/>
  <c r="E738" i="15"/>
  <c r="D738" i="15"/>
  <c r="F737" i="15"/>
  <c r="G737" i="15" s="1"/>
  <c r="E737" i="15"/>
  <c r="D737" i="15"/>
  <c r="F736" i="15"/>
  <c r="G736" i="15" s="1"/>
  <c r="E736" i="15"/>
  <c r="D736" i="15"/>
  <c r="F735" i="15"/>
  <c r="G735" i="15" s="1"/>
  <c r="E735" i="15"/>
  <c r="D735" i="15"/>
  <c r="F734" i="15"/>
  <c r="G734" i="15" s="1"/>
  <c r="E734" i="15"/>
  <c r="D734" i="15"/>
  <c r="F733" i="15"/>
  <c r="G733" i="15" s="1"/>
  <c r="E733" i="15"/>
  <c r="D733" i="15"/>
  <c r="F732" i="15"/>
  <c r="G732" i="15" s="1"/>
  <c r="E732" i="15"/>
  <c r="D732" i="15"/>
  <c r="F731" i="15"/>
  <c r="G731" i="15" s="1"/>
  <c r="E731" i="15"/>
  <c r="D731" i="15"/>
  <c r="F730" i="15"/>
  <c r="G730" i="15" s="1"/>
  <c r="E730" i="15"/>
  <c r="D730" i="15"/>
  <c r="F729" i="15"/>
  <c r="G729" i="15" s="1"/>
  <c r="E729" i="15"/>
  <c r="D729" i="15"/>
  <c r="F728" i="15"/>
  <c r="G728" i="15" s="1"/>
  <c r="E728" i="15"/>
  <c r="D728" i="15"/>
  <c r="F727" i="15"/>
  <c r="G727" i="15" s="1"/>
  <c r="E727" i="15"/>
  <c r="D727" i="15"/>
  <c r="F726" i="15"/>
  <c r="G726" i="15" s="1"/>
  <c r="E726" i="15"/>
  <c r="D726" i="15"/>
  <c r="F725" i="15"/>
  <c r="G725" i="15" s="1"/>
  <c r="E725" i="15"/>
  <c r="D725" i="15"/>
  <c r="F724" i="15"/>
  <c r="G724" i="15" s="1"/>
  <c r="E724" i="15"/>
  <c r="D724" i="15"/>
  <c r="F723" i="15"/>
  <c r="G723" i="15" s="1"/>
  <c r="E723" i="15"/>
  <c r="D723" i="15"/>
  <c r="F722" i="15"/>
  <c r="G722" i="15" s="1"/>
  <c r="E722" i="15"/>
  <c r="D722" i="15"/>
  <c r="F721" i="15"/>
  <c r="G721" i="15" s="1"/>
  <c r="E721" i="15"/>
  <c r="D721" i="15"/>
  <c r="F720" i="15"/>
  <c r="G720" i="15" s="1"/>
  <c r="E720" i="15"/>
  <c r="D720" i="15"/>
  <c r="F719" i="15"/>
  <c r="G719" i="15" s="1"/>
  <c r="E719" i="15"/>
  <c r="D719" i="15"/>
  <c r="F718" i="15"/>
  <c r="G718" i="15" s="1"/>
  <c r="E718" i="15"/>
  <c r="D718" i="15"/>
  <c r="F717" i="15"/>
  <c r="G717" i="15" s="1"/>
  <c r="E717" i="15"/>
  <c r="D717" i="15"/>
  <c r="F716" i="15"/>
  <c r="G716" i="15" s="1"/>
  <c r="E716" i="15"/>
  <c r="D716" i="15"/>
  <c r="F715" i="15"/>
  <c r="G715" i="15" s="1"/>
  <c r="E715" i="15"/>
  <c r="D715" i="15"/>
  <c r="F714" i="15"/>
  <c r="G714" i="15" s="1"/>
  <c r="E714" i="15"/>
  <c r="D714" i="15"/>
  <c r="F713" i="15"/>
  <c r="G713" i="15" s="1"/>
  <c r="E713" i="15"/>
  <c r="D713" i="15"/>
  <c r="F712" i="15"/>
  <c r="G712" i="15" s="1"/>
  <c r="E712" i="15"/>
  <c r="D712" i="15"/>
  <c r="F711" i="15"/>
  <c r="G711" i="15" s="1"/>
  <c r="E711" i="15"/>
  <c r="D711" i="15"/>
  <c r="F710" i="15"/>
  <c r="G710" i="15" s="1"/>
  <c r="E710" i="15"/>
  <c r="D710" i="15"/>
  <c r="F709" i="15"/>
  <c r="G709" i="15" s="1"/>
  <c r="E709" i="15"/>
  <c r="D709" i="15"/>
  <c r="F708" i="15"/>
  <c r="G708" i="15" s="1"/>
  <c r="E708" i="15"/>
  <c r="D708" i="15"/>
  <c r="F707" i="15"/>
  <c r="G707" i="15" s="1"/>
  <c r="E707" i="15"/>
  <c r="D707" i="15"/>
  <c r="F706" i="15"/>
  <c r="G706" i="15" s="1"/>
  <c r="E706" i="15"/>
  <c r="D706" i="15"/>
  <c r="F705" i="15"/>
  <c r="G705" i="15" s="1"/>
  <c r="E705" i="15"/>
  <c r="D705" i="15"/>
  <c r="F704" i="15"/>
  <c r="G704" i="15" s="1"/>
  <c r="E704" i="15"/>
  <c r="D704" i="15"/>
  <c r="F703" i="15"/>
  <c r="G703" i="15" s="1"/>
  <c r="E703" i="15"/>
  <c r="D703" i="15"/>
  <c r="F702" i="15"/>
  <c r="G702" i="15" s="1"/>
  <c r="E702" i="15"/>
  <c r="D702" i="15"/>
  <c r="F701" i="15"/>
  <c r="G701" i="15" s="1"/>
  <c r="E701" i="15"/>
  <c r="D701" i="15"/>
  <c r="F700" i="15"/>
  <c r="G700" i="15" s="1"/>
  <c r="E700" i="15"/>
  <c r="D700" i="15"/>
  <c r="F699" i="15"/>
  <c r="G699" i="15" s="1"/>
  <c r="E699" i="15"/>
  <c r="D699" i="15"/>
  <c r="F698" i="15"/>
  <c r="G698" i="15" s="1"/>
  <c r="E698" i="15"/>
  <c r="D698" i="15"/>
  <c r="F697" i="15"/>
  <c r="G697" i="15" s="1"/>
  <c r="E697" i="15"/>
  <c r="D697" i="15"/>
  <c r="F696" i="15"/>
  <c r="G696" i="15" s="1"/>
  <c r="E696" i="15"/>
  <c r="D696" i="15"/>
  <c r="F695" i="15"/>
  <c r="G695" i="15" s="1"/>
  <c r="E695" i="15"/>
  <c r="D695" i="15"/>
  <c r="F694" i="15"/>
  <c r="G694" i="15" s="1"/>
  <c r="E694" i="15"/>
  <c r="D694" i="15"/>
  <c r="F693" i="15"/>
  <c r="G693" i="15" s="1"/>
  <c r="E693" i="15"/>
  <c r="D693" i="15"/>
  <c r="F692" i="15"/>
  <c r="G692" i="15" s="1"/>
  <c r="E692" i="15"/>
  <c r="D692" i="15"/>
  <c r="F691" i="15"/>
  <c r="G691" i="15" s="1"/>
  <c r="E691" i="15"/>
  <c r="D691" i="15"/>
  <c r="F690" i="15"/>
  <c r="G690" i="15" s="1"/>
  <c r="E690" i="15"/>
  <c r="D690" i="15"/>
  <c r="F689" i="15"/>
  <c r="G689" i="15" s="1"/>
  <c r="E689" i="15"/>
  <c r="D689" i="15"/>
  <c r="F688" i="15"/>
  <c r="G688" i="15" s="1"/>
  <c r="E688" i="15"/>
  <c r="D688" i="15"/>
  <c r="F687" i="15"/>
  <c r="G687" i="15" s="1"/>
  <c r="E687" i="15"/>
  <c r="D687" i="15"/>
  <c r="F686" i="15"/>
  <c r="G686" i="15" s="1"/>
  <c r="E686" i="15"/>
  <c r="D686" i="15"/>
  <c r="F685" i="15"/>
  <c r="G685" i="15" s="1"/>
  <c r="E685" i="15"/>
  <c r="D685" i="15"/>
  <c r="F684" i="15"/>
  <c r="G684" i="15" s="1"/>
  <c r="E684" i="15"/>
  <c r="D684" i="15"/>
  <c r="F683" i="15"/>
  <c r="G683" i="15" s="1"/>
  <c r="E683" i="15"/>
  <c r="D683" i="15"/>
  <c r="F682" i="15"/>
  <c r="G682" i="15" s="1"/>
  <c r="E682" i="15"/>
  <c r="D682" i="15"/>
  <c r="F681" i="15"/>
  <c r="G681" i="15" s="1"/>
  <c r="E681" i="15"/>
  <c r="D681" i="15"/>
  <c r="F680" i="15"/>
  <c r="G680" i="15" s="1"/>
  <c r="E680" i="15"/>
  <c r="D680" i="15"/>
  <c r="F679" i="15"/>
  <c r="G679" i="15" s="1"/>
  <c r="E679" i="15"/>
  <c r="D679" i="15"/>
  <c r="F678" i="15"/>
  <c r="G678" i="15" s="1"/>
  <c r="E678" i="15"/>
  <c r="D678" i="15"/>
  <c r="F677" i="15"/>
  <c r="G677" i="15" s="1"/>
  <c r="E677" i="15"/>
  <c r="D677" i="15"/>
  <c r="F676" i="15"/>
  <c r="G676" i="15" s="1"/>
  <c r="E676" i="15"/>
  <c r="D676" i="15"/>
  <c r="F675" i="15"/>
  <c r="G675" i="15" s="1"/>
  <c r="E675" i="15"/>
  <c r="D675" i="15"/>
  <c r="F674" i="15"/>
  <c r="G674" i="15" s="1"/>
  <c r="E674" i="15"/>
  <c r="D674" i="15"/>
  <c r="F673" i="15"/>
  <c r="G673" i="15" s="1"/>
  <c r="E673" i="15"/>
  <c r="D673" i="15"/>
  <c r="F672" i="15"/>
  <c r="G672" i="15" s="1"/>
  <c r="E672" i="15"/>
  <c r="D672" i="15"/>
  <c r="F671" i="15"/>
  <c r="G671" i="15" s="1"/>
  <c r="E671" i="15"/>
  <c r="D671" i="15"/>
  <c r="F670" i="15"/>
  <c r="G670" i="15" s="1"/>
  <c r="E670" i="15"/>
  <c r="D670" i="15"/>
  <c r="F669" i="15"/>
  <c r="G669" i="15" s="1"/>
  <c r="E669" i="15"/>
  <c r="D669" i="15"/>
  <c r="F668" i="15"/>
  <c r="G668" i="15" s="1"/>
  <c r="E668" i="15"/>
  <c r="D668" i="15"/>
  <c r="F667" i="15"/>
  <c r="G667" i="15" s="1"/>
  <c r="E667" i="15"/>
  <c r="D667" i="15"/>
  <c r="F666" i="15"/>
  <c r="G666" i="15" s="1"/>
  <c r="E666" i="15"/>
  <c r="D666" i="15"/>
  <c r="F665" i="15"/>
  <c r="G665" i="15" s="1"/>
  <c r="E665" i="15"/>
  <c r="D665" i="15"/>
  <c r="F664" i="15"/>
  <c r="G664" i="15" s="1"/>
  <c r="E664" i="15"/>
  <c r="D664" i="15"/>
  <c r="F663" i="15"/>
  <c r="G663" i="15" s="1"/>
  <c r="E663" i="15"/>
  <c r="D663" i="15"/>
  <c r="F662" i="15"/>
  <c r="G662" i="15" s="1"/>
  <c r="E662" i="15"/>
  <c r="D662" i="15"/>
  <c r="F661" i="15"/>
  <c r="G661" i="15" s="1"/>
  <c r="E661" i="15"/>
  <c r="D661" i="15"/>
  <c r="F660" i="15"/>
  <c r="G660" i="15" s="1"/>
  <c r="E660" i="15"/>
  <c r="D660" i="15"/>
  <c r="F659" i="15"/>
  <c r="G659" i="15" s="1"/>
  <c r="E659" i="15"/>
  <c r="D659" i="15"/>
  <c r="F658" i="15"/>
  <c r="G658" i="15" s="1"/>
  <c r="E658" i="15"/>
  <c r="D658" i="15"/>
  <c r="F657" i="15"/>
  <c r="G657" i="15" s="1"/>
  <c r="E657" i="15"/>
  <c r="D657" i="15"/>
  <c r="F656" i="15"/>
  <c r="G656" i="15" s="1"/>
  <c r="E656" i="15"/>
  <c r="D656" i="15"/>
  <c r="F655" i="15"/>
  <c r="G655" i="15" s="1"/>
  <c r="E655" i="15"/>
  <c r="D655" i="15"/>
  <c r="F654" i="15"/>
  <c r="G654" i="15" s="1"/>
  <c r="E654" i="15"/>
  <c r="D654" i="15"/>
  <c r="F653" i="15"/>
  <c r="G653" i="15" s="1"/>
  <c r="E653" i="15"/>
  <c r="D653" i="15"/>
  <c r="F652" i="15"/>
  <c r="G652" i="15" s="1"/>
  <c r="E652" i="15"/>
  <c r="D652" i="15"/>
  <c r="F651" i="15"/>
  <c r="G651" i="15" s="1"/>
  <c r="E651" i="15"/>
  <c r="D651" i="15"/>
  <c r="F650" i="15"/>
  <c r="G650" i="15" s="1"/>
  <c r="E650" i="15"/>
  <c r="D650" i="15"/>
  <c r="F649" i="15"/>
  <c r="G649" i="15" s="1"/>
  <c r="E649" i="15"/>
  <c r="D649" i="15"/>
  <c r="F648" i="15"/>
  <c r="G648" i="15" s="1"/>
  <c r="E648" i="15"/>
  <c r="D648" i="15"/>
  <c r="F647" i="15"/>
  <c r="G647" i="15" s="1"/>
  <c r="E647" i="15"/>
  <c r="D647" i="15"/>
  <c r="F646" i="15"/>
  <c r="G646" i="15" s="1"/>
  <c r="E646" i="15"/>
  <c r="D646" i="15"/>
  <c r="F645" i="15"/>
  <c r="G645" i="15" s="1"/>
  <c r="E645" i="15"/>
  <c r="D645" i="15"/>
  <c r="F644" i="15"/>
  <c r="G644" i="15" s="1"/>
  <c r="E644" i="15"/>
  <c r="D644" i="15"/>
  <c r="F643" i="15"/>
  <c r="G643" i="15" s="1"/>
  <c r="E643" i="15"/>
  <c r="D643" i="15"/>
  <c r="F642" i="15"/>
  <c r="G642" i="15" s="1"/>
  <c r="E642" i="15"/>
  <c r="D642" i="15"/>
  <c r="F641" i="15"/>
  <c r="G641" i="15" s="1"/>
  <c r="E641" i="15"/>
  <c r="D641" i="15"/>
  <c r="F640" i="15"/>
  <c r="G640" i="15" s="1"/>
  <c r="E640" i="15"/>
  <c r="D640" i="15"/>
  <c r="F639" i="15"/>
  <c r="G639" i="15" s="1"/>
  <c r="E639" i="15"/>
  <c r="D639" i="15"/>
  <c r="F638" i="15"/>
  <c r="G638" i="15" s="1"/>
  <c r="E638" i="15"/>
  <c r="D638" i="15"/>
  <c r="F637" i="15"/>
  <c r="G637" i="15" s="1"/>
  <c r="E637" i="15"/>
  <c r="D637" i="15"/>
  <c r="F636" i="15"/>
  <c r="G636" i="15" s="1"/>
  <c r="E636" i="15"/>
  <c r="D636" i="15"/>
  <c r="F635" i="15"/>
  <c r="G635" i="15" s="1"/>
  <c r="E635" i="15"/>
  <c r="D635" i="15"/>
  <c r="F634" i="15"/>
  <c r="G634" i="15" s="1"/>
  <c r="E634" i="15"/>
  <c r="D634" i="15"/>
  <c r="F633" i="15"/>
  <c r="G633" i="15" s="1"/>
  <c r="E633" i="15"/>
  <c r="D633" i="15"/>
  <c r="F632" i="15"/>
  <c r="G632" i="15" s="1"/>
  <c r="E632" i="15"/>
  <c r="D632" i="15"/>
  <c r="F631" i="15"/>
  <c r="G631" i="15" s="1"/>
  <c r="E631" i="15"/>
  <c r="D631" i="15"/>
  <c r="F630" i="15"/>
  <c r="G630" i="15" s="1"/>
  <c r="E630" i="15"/>
  <c r="D630" i="15"/>
  <c r="F629" i="15"/>
  <c r="G629" i="15" s="1"/>
  <c r="E629" i="15"/>
  <c r="D629" i="15"/>
  <c r="F628" i="15"/>
  <c r="G628" i="15" s="1"/>
  <c r="E628" i="15"/>
  <c r="D628" i="15"/>
  <c r="F627" i="15"/>
  <c r="G627" i="15" s="1"/>
  <c r="E627" i="15"/>
  <c r="D627" i="15"/>
  <c r="F626" i="15"/>
  <c r="G626" i="15" s="1"/>
  <c r="E626" i="15"/>
  <c r="D626" i="15"/>
  <c r="F625" i="15"/>
  <c r="G625" i="15" s="1"/>
  <c r="E625" i="15"/>
  <c r="D625" i="15"/>
  <c r="F624" i="15"/>
  <c r="G624" i="15" s="1"/>
  <c r="E624" i="15"/>
  <c r="D624" i="15"/>
  <c r="F623" i="15"/>
  <c r="G623" i="15" s="1"/>
  <c r="E623" i="15"/>
  <c r="D623" i="15"/>
  <c r="F622" i="15"/>
  <c r="G622" i="15" s="1"/>
  <c r="E622" i="15"/>
  <c r="D622" i="15"/>
  <c r="F621" i="15"/>
  <c r="G621" i="15" s="1"/>
  <c r="E621" i="15"/>
  <c r="D621" i="15"/>
  <c r="F620" i="15"/>
  <c r="G620" i="15" s="1"/>
  <c r="E620" i="15"/>
  <c r="D620" i="15"/>
  <c r="F619" i="15"/>
  <c r="G619" i="15" s="1"/>
  <c r="E619" i="15"/>
  <c r="D619" i="15"/>
  <c r="F618" i="15"/>
  <c r="G618" i="15" s="1"/>
  <c r="E618" i="15"/>
  <c r="D618" i="15"/>
  <c r="F617" i="15"/>
  <c r="G617" i="15" s="1"/>
  <c r="E617" i="15"/>
  <c r="D617" i="15"/>
  <c r="F616" i="15"/>
  <c r="G616" i="15" s="1"/>
  <c r="E616" i="15"/>
  <c r="D616" i="15"/>
  <c r="F615" i="15"/>
  <c r="G615" i="15" s="1"/>
  <c r="E615" i="15"/>
  <c r="D615" i="15"/>
  <c r="F614" i="15"/>
  <c r="G614" i="15" s="1"/>
  <c r="E614" i="15"/>
  <c r="D614" i="15"/>
  <c r="F613" i="15"/>
  <c r="G613" i="15" s="1"/>
  <c r="E613" i="15"/>
  <c r="D613" i="15"/>
  <c r="F612" i="15"/>
  <c r="G612" i="15" s="1"/>
  <c r="E612" i="15"/>
  <c r="D612" i="15"/>
  <c r="F611" i="15"/>
  <c r="G611" i="15" s="1"/>
  <c r="E611" i="15"/>
  <c r="D611" i="15"/>
  <c r="F610" i="15"/>
  <c r="G610" i="15" s="1"/>
  <c r="E610" i="15"/>
  <c r="D610" i="15"/>
  <c r="F609" i="15"/>
  <c r="G609" i="15" s="1"/>
  <c r="E609" i="15"/>
  <c r="D609" i="15"/>
  <c r="F608" i="15"/>
  <c r="G608" i="15" s="1"/>
  <c r="E608" i="15"/>
  <c r="D608" i="15"/>
  <c r="F607" i="15"/>
  <c r="G607" i="15" s="1"/>
  <c r="E607" i="15"/>
  <c r="D607" i="15"/>
  <c r="F606" i="15"/>
  <c r="G606" i="15" s="1"/>
  <c r="E606" i="15"/>
  <c r="D606" i="15"/>
  <c r="F605" i="15"/>
  <c r="G605" i="15" s="1"/>
  <c r="E605" i="15"/>
  <c r="D605" i="15"/>
  <c r="F604" i="15"/>
  <c r="G604" i="15" s="1"/>
  <c r="E604" i="15"/>
  <c r="D604" i="15"/>
  <c r="F603" i="15"/>
  <c r="G603" i="15" s="1"/>
  <c r="E603" i="15"/>
  <c r="D603" i="15"/>
  <c r="F602" i="15"/>
  <c r="G602" i="15" s="1"/>
  <c r="E602" i="15"/>
  <c r="D602" i="15"/>
  <c r="F601" i="15"/>
  <c r="G601" i="15" s="1"/>
  <c r="E601" i="15"/>
  <c r="D601" i="15"/>
  <c r="F600" i="15"/>
  <c r="G600" i="15" s="1"/>
  <c r="E600" i="15"/>
  <c r="D600" i="15"/>
  <c r="F599" i="15"/>
  <c r="G599" i="15" s="1"/>
  <c r="E599" i="15"/>
  <c r="D599" i="15"/>
  <c r="F598" i="15"/>
  <c r="G598" i="15" s="1"/>
  <c r="E598" i="15"/>
  <c r="D598" i="15"/>
  <c r="F597" i="15"/>
  <c r="G597" i="15" s="1"/>
  <c r="E597" i="15"/>
  <c r="D597" i="15"/>
  <c r="F596" i="15"/>
  <c r="G596" i="15" s="1"/>
  <c r="E596" i="15"/>
  <c r="D596" i="15"/>
  <c r="F595" i="15"/>
  <c r="G595" i="15" s="1"/>
  <c r="E595" i="15"/>
  <c r="D595" i="15"/>
  <c r="F594" i="15"/>
  <c r="G594" i="15" s="1"/>
  <c r="E594" i="15"/>
  <c r="D594" i="15"/>
  <c r="F593" i="15"/>
  <c r="G593" i="15" s="1"/>
  <c r="E593" i="15"/>
  <c r="D593" i="15"/>
  <c r="F592" i="15"/>
  <c r="G592" i="15" s="1"/>
  <c r="E592" i="15"/>
  <c r="D592" i="15"/>
  <c r="F591" i="15"/>
  <c r="G591" i="15" s="1"/>
  <c r="E591" i="15"/>
  <c r="D591" i="15"/>
  <c r="F590" i="15"/>
  <c r="G590" i="15" s="1"/>
  <c r="E590" i="15"/>
  <c r="D590" i="15"/>
  <c r="F589" i="15"/>
  <c r="G589" i="15" s="1"/>
  <c r="E589" i="15"/>
  <c r="D589" i="15"/>
  <c r="F588" i="15"/>
  <c r="G588" i="15" s="1"/>
  <c r="E588" i="15"/>
  <c r="D588" i="15"/>
  <c r="F587" i="15"/>
  <c r="G587" i="15" s="1"/>
  <c r="E587" i="15"/>
  <c r="D587" i="15"/>
  <c r="F586" i="15"/>
  <c r="G586" i="15" s="1"/>
  <c r="E586" i="15"/>
  <c r="D586" i="15"/>
  <c r="F585" i="15"/>
  <c r="G585" i="15" s="1"/>
  <c r="E585" i="15"/>
  <c r="D585" i="15"/>
  <c r="F584" i="15"/>
  <c r="G584" i="15" s="1"/>
  <c r="E584" i="15"/>
  <c r="D584" i="15"/>
  <c r="F583" i="15"/>
  <c r="G583" i="15" s="1"/>
  <c r="E583" i="15"/>
  <c r="D583" i="15"/>
  <c r="F582" i="15"/>
  <c r="G582" i="15" s="1"/>
  <c r="E582" i="15"/>
  <c r="D582" i="15"/>
  <c r="F581" i="15"/>
  <c r="G581" i="15" s="1"/>
  <c r="E581" i="15"/>
  <c r="D581" i="15"/>
  <c r="F580" i="15"/>
  <c r="G580" i="15" s="1"/>
  <c r="E580" i="15"/>
  <c r="D580" i="15"/>
  <c r="F579" i="15"/>
  <c r="G579" i="15" s="1"/>
  <c r="E579" i="15"/>
  <c r="D579" i="15"/>
  <c r="F578" i="15"/>
  <c r="G578" i="15" s="1"/>
  <c r="E578" i="15"/>
  <c r="D578" i="15"/>
  <c r="F577" i="15"/>
  <c r="G577" i="15" s="1"/>
  <c r="E577" i="15"/>
  <c r="D577" i="15"/>
  <c r="F576" i="15"/>
  <c r="G576" i="15" s="1"/>
  <c r="E576" i="15"/>
  <c r="D576" i="15"/>
  <c r="F575" i="15"/>
  <c r="G575" i="15" s="1"/>
  <c r="E575" i="15"/>
  <c r="D575" i="15"/>
  <c r="F574" i="15"/>
  <c r="G574" i="15" s="1"/>
  <c r="E574" i="15"/>
  <c r="D574" i="15"/>
  <c r="F573" i="15"/>
  <c r="G573" i="15" s="1"/>
  <c r="E573" i="15"/>
  <c r="D573" i="15"/>
  <c r="F572" i="15"/>
  <c r="G572" i="15" s="1"/>
  <c r="E572" i="15"/>
  <c r="D572" i="15"/>
  <c r="F571" i="15"/>
  <c r="G571" i="15" s="1"/>
  <c r="E571" i="15"/>
  <c r="D571" i="15"/>
  <c r="F570" i="15"/>
  <c r="G570" i="15" s="1"/>
  <c r="E570" i="15"/>
  <c r="D570" i="15"/>
  <c r="F569" i="15"/>
  <c r="G569" i="15" s="1"/>
  <c r="E569" i="15"/>
  <c r="D569" i="15"/>
  <c r="F568" i="15"/>
  <c r="G568" i="15" s="1"/>
  <c r="E568" i="15"/>
  <c r="D568" i="15"/>
  <c r="F567" i="15"/>
  <c r="G567" i="15" s="1"/>
  <c r="E567" i="15"/>
  <c r="D567" i="15"/>
  <c r="F566" i="15"/>
  <c r="G566" i="15" s="1"/>
  <c r="E566" i="15"/>
  <c r="D566" i="15"/>
  <c r="F565" i="15"/>
  <c r="G565" i="15" s="1"/>
  <c r="E565" i="15"/>
  <c r="D565" i="15"/>
  <c r="F564" i="15"/>
  <c r="G564" i="15" s="1"/>
  <c r="E564" i="15"/>
  <c r="D564" i="15"/>
  <c r="F563" i="15"/>
  <c r="G563" i="15" s="1"/>
  <c r="E563" i="15"/>
  <c r="D563" i="15"/>
  <c r="F562" i="15"/>
  <c r="G562" i="15" s="1"/>
  <c r="E562" i="15"/>
  <c r="D562" i="15"/>
  <c r="F561" i="15"/>
  <c r="G561" i="15" s="1"/>
  <c r="E561" i="15"/>
  <c r="D561" i="15"/>
  <c r="F560" i="15"/>
  <c r="G560" i="15" s="1"/>
  <c r="E560" i="15"/>
  <c r="D560" i="15"/>
  <c r="F559" i="15"/>
  <c r="G559" i="15" s="1"/>
  <c r="E559" i="15"/>
  <c r="D559" i="15"/>
  <c r="F558" i="15"/>
  <c r="G558" i="15" s="1"/>
  <c r="E558" i="15"/>
  <c r="D558" i="15"/>
  <c r="F557" i="15"/>
  <c r="G557" i="15" s="1"/>
  <c r="E557" i="15"/>
  <c r="D557" i="15"/>
  <c r="F556" i="15"/>
  <c r="G556" i="15" s="1"/>
  <c r="E556" i="15"/>
  <c r="D556" i="15"/>
  <c r="F555" i="15"/>
  <c r="G555" i="15" s="1"/>
  <c r="E555" i="15"/>
  <c r="D555" i="15"/>
  <c r="F554" i="15"/>
  <c r="G554" i="15" s="1"/>
  <c r="E554" i="15"/>
  <c r="D554" i="15"/>
  <c r="F553" i="15"/>
  <c r="G553" i="15" s="1"/>
  <c r="E553" i="15"/>
  <c r="D553" i="15"/>
  <c r="F552" i="15"/>
  <c r="G552" i="15" s="1"/>
  <c r="E552" i="15"/>
  <c r="D552" i="15"/>
  <c r="F551" i="15"/>
  <c r="G551" i="15" s="1"/>
  <c r="E551" i="15"/>
  <c r="D551" i="15"/>
  <c r="F550" i="15"/>
  <c r="G550" i="15" s="1"/>
  <c r="E550" i="15"/>
  <c r="D550" i="15"/>
  <c r="F549" i="15"/>
  <c r="G549" i="15" s="1"/>
  <c r="E549" i="15"/>
  <c r="D549" i="15"/>
  <c r="F548" i="15"/>
  <c r="G548" i="15" s="1"/>
  <c r="E548" i="15"/>
  <c r="D548" i="15"/>
  <c r="F547" i="15"/>
  <c r="G547" i="15" s="1"/>
  <c r="E547" i="15"/>
  <c r="D547" i="15"/>
  <c r="F546" i="15"/>
  <c r="G546" i="15" s="1"/>
  <c r="E546" i="15"/>
  <c r="D546" i="15"/>
  <c r="F545" i="15"/>
  <c r="G545" i="15" s="1"/>
  <c r="E545" i="15"/>
  <c r="D545" i="15"/>
  <c r="F544" i="15"/>
  <c r="G544" i="15" s="1"/>
  <c r="E544" i="15"/>
  <c r="D544" i="15"/>
  <c r="F543" i="15"/>
  <c r="G543" i="15" s="1"/>
  <c r="E543" i="15"/>
  <c r="D543" i="15"/>
  <c r="F542" i="15"/>
  <c r="G542" i="15" s="1"/>
  <c r="E542" i="15"/>
  <c r="D542" i="15"/>
  <c r="F541" i="15"/>
  <c r="G541" i="15" s="1"/>
  <c r="E541" i="15"/>
  <c r="D541" i="15"/>
  <c r="F540" i="15"/>
  <c r="G540" i="15" s="1"/>
  <c r="E540" i="15"/>
  <c r="D540" i="15"/>
  <c r="F539" i="15"/>
  <c r="G539" i="15" s="1"/>
  <c r="E539" i="15"/>
  <c r="D539" i="15"/>
  <c r="F538" i="15"/>
  <c r="G538" i="15" s="1"/>
  <c r="E538" i="15"/>
  <c r="D538" i="15"/>
  <c r="F537" i="15"/>
  <c r="G537" i="15" s="1"/>
  <c r="E537" i="15"/>
  <c r="D537" i="15"/>
  <c r="F536" i="15"/>
  <c r="G536" i="15" s="1"/>
  <c r="E536" i="15"/>
  <c r="D536" i="15"/>
  <c r="F535" i="15"/>
  <c r="G535" i="15" s="1"/>
  <c r="E535" i="15"/>
  <c r="D535" i="15"/>
  <c r="F534" i="15"/>
  <c r="G534" i="15" s="1"/>
  <c r="E534" i="15"/>
  <c r="D534" i="15"/>
  <c r="F533" i="15"/>
  <c r="G533" i="15" s="1"/>
  <c r="E533" i="15"/>
  <c r="D533" i="15"/>
  <c r="F532" i="15"/>
  <c r="G532" i="15" s="1"/>
  <c r="E532" i="15"/>
  <c r="D532" i="15"/>
  <c r="F531" i="15"/>
  <c r="G531" i="15" s="1"/>
  <c r="E531" i="15"/>
  <c r="D531" i="15"/>
  <c r="F530" i="15"/>
  <c r="G530" i="15" s="1"/>
  <c r="E530" i="15"/>
  <c r="D530" i="15"/>
  <c r="F529" i="15"/>
  <c r="G529" i="15" s="1"/>
  <c r="E529" i="15"/>
  <c r="D529" i="15"/>
  <c r="F528" i="15"/>
  <c r="G528" i="15" s="1"/>
  <c r="E528" i="15"/>
  <c r="D528" i="15"/>
  <c r="F527" i="15"/>
  <c r="G527" i="15" s="1"/>
  <c r="E527" i="15"/>
  <c r="D527" i="15"/>
  <c r="F526" i="15"/>
  <c r="G526" i="15" s="1"/>
  <c r="E526" i="15"/>
  <c r="D526" i="15"/>
  <c r="F525" i="15"/>
  <c r="G525" i="15" s="1"/>
  <c r="E525" i="15"/>
  <c r="D525" i="15"/>
  <c r="F524" i="15"/>
  <c r="G524" i="15" s="1"/>
  <c r="E524" i="15"/>
  <c r="D524" i="15"/>
  <c r="F523" i="15"/>
  <c r="G523" i="15" s="1"/>
  <c r="E523" i="15"/>
  <c r="D523" i="15"/>
  <c r="F522" i="15"/>
  <c r="G522" i="15" s="1"/>
  <c r="E522" i="15"/>
  <c r="D522" i="15"/>
  <c r="F521" i="15"/>
  <c r="G521" i="15" s="1"/>
  <c r="E521" i="15"/>
  <c r="D521" i="15"/>
  <c r="F520" i="15"/>
  <c r="G520" i="15" s="1"/>
  <c r="E520" i="15"/>
  <c r="D520" i="15"/>
  <c r="F519" i="15"/>
  <c r="G519" i="15" s="1"/>
  <c r="E519" i="15"/>
  <c r="D519" i="15"/>
  <c r="F518" i="15"/>
  <c r="G518" i="15" s="1"/>
  <c r="E518" i="15"/>
  <c r="D518" i="15"/>
  <c r="F517" i="15"/>
  <c r="G517" i="15" s="1"/>
  <c r="E517" i="15"/>
  <c r="D517" i="15"/>
  <c r="F516" i="15"/>
  <c r="G516" i="15" s="1"/>
  <c r="E516" i="15"/>
  <c r="D516" i="15"/>
  <c r="F515" i="15"/>
  <c r="G515" i="15" s="1"/>
  <c r="E515" i="15"/>
  <c r="D515" i="15"/>
  <c r="F514" i="15"/>
  <c r="G514" i="15" s="1"/>
  <c r="E514" i="15"/>
  <c r="D514" i="15"/>
  <c r="F513" i="15"/>
  <c r="G513" i="15" s="1"/>
  <c r="E513" i="15"/>
  <c r="D513" i="15"/>
  <c r="F512" i="15"/>
  <c r="G512" i="15" s="1"/>
  <c r="E512" i="15"/>
  <c r="D512" i="15"/>
  <c r="F511" i="15"/>
  <c r="G511" i="15" s="1"/>
  <c r="E511" i="15"/>
  <c r="D511" i="15"/>
  <c r="F510" i="15"/>
  <c r="G510" i="15" s="1"/>
  <c r="E510" i="15"/>
  <c r="D510" i="15"/>
  <c r="F509" i="15"/>
  <c r="G509" i="15" s="1"/>
  <c r="E509" i="15"/>
  <c r="D509" i="15"/>
  <c r="F508" i="15"/>
  <c r="G508" i="15" s="1"/>
  <c r="E508" i="15"/>
  <c r="D508" i="15"/>
  <c r="F507" i="15"/>
  <c r="G507" i="15" s="1"/>
  <c r="E507" i="15"/>
  <c r="D507" i="15"/>
  <c r="F506" i="15"/>
  <c r="G506" i="15" s="1"/>
  <c r="E506" i="15"/>
  <c r="D506" i="15"/>
  <c r="F505" i="15"/>
  <c r="G505" i="15" s="1"/>
  <c r="E505" i="15"/>
  <c r="D505" i="15"/>
  <c r="F504" i="15"/>
  <c r="G504" i="15" s="1"/>
  <c r="E504" i="15"/>
  <c r="D504" i="15"/>
  <c r="F503" i="15"/>
  <c r="G503" i="15" s="1"/>
  <c r="E503" i="15"/>
  <c r="D503" i="15"/>
  <c r="F502" i="15"/>
  <c r="G502" i="15" s="1"/>
  <c r="E502" i="15"/>
  <c r="D502" i="15"/>
  <c r="F501" i="15"/>
  <c r="G501" i="15" s="1"/>
  <c r="E501" i="15"/>
  <c r="D501" i="15"/>
  <c r="F500" i="15"/>
  <c r="G500" i="15" s="1"/>
  <c r="E500" i="15"/>
  <c r="D500" i="15"/>
  <c r="F499" i="15"/>
  <c r="G499" i="15" s="1"/>
  <c r="E499" i="15"/>
  <c r="D499" i="15"/>
  <c r="F498" i="15"/>
  <c r="G498" i="15" s="1"/>
  <c r="E498" i="15"/>
  <c r="D498" i="15"/>
  <c r="F497" i="15"/>
  <c r="G497" i="15" s="1"/>
  <c r="E497" i="15"/>
  <c r="D497" i="15"/>
  <c r="F496" i="15"/>
  <c r="G496" i="15" s="1"/>
  <c r="E496" i="15"/>
  <c r="D496" i="15"/>
  <c r="F495" i="15"/>
  <c r="G495" i="15" s="1"/>
  <c r="E495" i="15"/>
  <c r="D495" i="15"/>
  <c r="F494" i="15"/>
  <c r="G494" i="15" s="1"/>
  <c r="E494" i="15"/>
  <c r="D494" i="15"/>
  <c r="F493" i="15"/>
  <c r="G493" i="15" s="1"/>
  <c r="E493" i="15"/>
  <c r="D493" i="15"/>
  <c r="F492" i="15"/>
  <c r="G492" i="15" s="1"/>
  <c r="E492" i="15"/>
  <c r="D492" i="15"/>
  <c r="F491" i="15"/>
  <c r="G491" i="15" s="1"/>
  <c r="E491" i="15"/>
  <c r="D491" i="15"/>
  <c r="F490" i="15"/>
  <c r="G490" i="15" s="1"/>
  <c r="E490" i="15"/>
  <c r="D490" i="15"/>
  <c r="F489" i="15"/>
  <c r="G489" i="15" s="1"/>
  <c r="E489" i="15"/>
  <c r="D489" i="15"/>
  <c r="F488" i="15"/>
  <c r="G488" i="15" s="1"/>
  <c r="E488" i="15"/>
  <c r="D488" i="15"/>
  <c r="F487" i="15"/>
  <c r="G487" i="15" s="1"/>
  <c r="E487" i="15"/>
  <c r="D487" i="15"/>
  <c r="F486" i="15"/>
  <c r="G486" i="15" s="1"/>
  <c r="E486" i="15"/>
  <c r="D486" i="15"/>
  <c r="F485" i="15"/>
  <c r="G485" i="15" s="1"/>
  <c r="E485" i="15"/>
  <c r="D485" i="15"/>
  <c r="F484" i="15"/>
  <c r="G484" i="15" s="1"/>
  <c r="E484" i="15"/>
  <c r="D484" i="15"/>
  <c r="F483" i="15"/>
  <c r="G483" i="15" s="1"/>
  <c r="E483" i="15"/>
  <c r="D483" i="15"/>
  <c r="F482" i="15"/>
  <c r="G482" i="15" s="1"/>
  <c r="E482" i="15"/>
  <c r="D482" i="15"/>
  <c r="F481" i="15"/>
  <c r="G481" i="15" s="1"/>
  <c r="E481" i="15"/>
  <c r="D481" i="15"/>
  <c r="F480" i="15"/>
  <c r="G480" i="15" s="1"/>
  <c r="E480" i="15"/>
  <c r="D480" i="15"/>
  <c r="F479" i="15"/>
  <c r="G479" i="15" s="1"/>
  <c r="E479" i="15"/>
  <c r="D479" i="15"/>
  <c r="F478" i="15"/>
  <c r="G478" i="15" s="1"/>
  <c r="E478" i="15"/>
  <c r="D478" i="15"/>
  <c r="F477" i="15"/>
  <c r="G477" i="15" s="1"/>
  <c r="E477" i="15"/>
  <c r="D477" i="15"/>
  <c r="F476" i="15"/>
  <c r="G476" i="15" s="1"/>
  <c r="E476" i="15"/>
  <c r="D476" i="15"/>
  <c r="F475" i="15"/>
  <c r="G475" i="15" s="1"/>
  <c r="E475" i="15"/>
  <c r="D475" i="15"/>
  <c r="F474" i="15"/>
  <c r="G474" i="15" s="1"/>
  <c r="E474" i="15"/>
  <c r="D474" i="15"/>
  <c r="F473" i="15"/>
  <c r="G473" i="15" s="1"/>
  <c r="E473" i="15"/>
  <c r="D473" i="15"/>
  <c r="F472" i="15"/>
  <c r="G472" i="15" s="1"/>
  <c r="E472" i="15"/>
  <c r="D472" i="15"/>
  <c r="F471" i="15"/>
  <c r="G471" i="15" s="1"/>
  <c r="E471" i="15"/>
  <c r="D471" i="15"/>
  <c r="F470" i="15"/>
  <c r="G470" i="15" s="1"/>
  <c r="E470" i="15"/>
  <c r="D470" i="15"/>
  <c r="F469" i="15"/>
  <c r="G469" i="15" s="1"/>
  <c r="E469" i="15"/>
  <c r="D469" i="15"/>
  <c r="F468" i="15"/>
  <c r="G468" i="15" s="1"/>
  <c r="E468" i="15"/>
  <c r="D468" i="15"/>
  <c r="F467" i="15"/>
  <c r="G467" i="15" s="1"/>
  <c r="E467" i="15"/>
  <c r="D467" i="15"/>
  <c r="F466" i="15"/>
  <c r="G466" i="15" s="1"/>
  <c r="E466" i="15"/>
  <c r="D466" i="15"/>
  <c r="F465" i="15"/>
  <c r="G465" i="15" s="1"/>
  <c r="E465" i="15"/>
  <c r="D465" i="15"/>
  <c r="F464" i="15"/>
  <c r="G464" i="15" s="1"/>
  <c r="E464" i="15"/>
  <c r="D464" i="15"/>
  <c r="F463" i="15"/>
  <c r="G463" i="15" s="1"/>
  <c r="E463" i="15"/>
  <c r="D463" i="15"/>
  <c r="F462" i="15"/>
  <c r="G462" i="15" s="1"/>
  <c r="E462" i="15"/>
  <c r="D462" i="15"/>
  <c r="F461" i="15"/>
  <c r="G461" i="15" s="1"/>
  <c r="E461" i="15"/>
  <c r="D461" i="15"/>
  <c r="F460" i="15"/>
  <c r="G460" i="15" s="1"/>
  <c r="E460" i="15"/>
  <c r="D460" i="15"/>
  <c r="F459" i="15"/>
  <c r="G459" i="15" s="1"/>
  <c r="E459" i="15"/>
  <c r="D459" i="15"/>
  <c r="F458" i="15"/>
  <c r="G458" i="15" s="1"/>
  <c r="E458" i="15"/>
  <c r="D458" i="15"/>
  <c r="F457" i="15"/>
  <c r="G457" i="15" s="1"/>
  <c r="E457" i="15"/>
  <c r="D457" i="15"/>
  <c r="F456" i="15"/>
  <c r="G456" i="15" s="1"/>
  <c r="E456" i="15"/>
  <c r="D456" i="15"/>
  <c r="F455" i="15"/>
  <c r="G455" i="15" s="1"/>
  <c r="E455" i="15"/>
  <c r="D455" i="15"/>
  <c r="F454" i="15"/>
  <c r="G454" i="15" s="1"/>
  <c r="E454" i="15"/>
  <c r="D454" i="15"/>
  <c r="F453" i="15"/>
  <c r="G453" i="15" s="1"/>
  <c r="E453" i="15"/>
  <c r="D453" i="15"/>
  <c r="F452" i="15"/>
  <c r="G452" i="15" s="1"/>
  <c r="E452" i="15"/>
  <c r="D452" i="15"/>
  <c r="F451" i="15"/>
  <c r="G451" i="15" s="1"/>
  <c r="E451" i="15"/>
  <c r="D451" i="15"/>
  <c r="F450" i="15"/>
  <c r="G450" i="15" s="1"/>
  <c r="E450" i="15"/>
  <c r="D450" i="15"/>
  <c r="F449" i="15"/>
  <c r="G449" i="15" s="1"/>
  <c r="E449" i="15"/>
  <c r="D449" i="15"/>
  <c r="F448" i="15"/>
  <c r="G448" i="15" s="1"/>
  <c r="E448" i="15"/>
  <c r="D448" i="15"/>
  <c r="F447" i="15"/>
  <c r="G447" i="15" s="1"/>
  <c r="E447" i="15"/>
  <c r="D447" i="15"/>
  <c r="F446" i="15"/>
  <c r="G446" i="15" s="1"/>
  <c r="E446" i="15"/>
  <c r="D446" i="15"/>
  <c r="F445" i="15"/>
  <c r="G445" i="15" s="1"/>
  <c r="E445" i="15"/>
  <c r="D445" i="15"/>
  <c r="F444" i="15"/>
  <c r="G444" i="15" s="1"/>
  <c r="E444" i="15"/>
  <c r="D444" i="15"/>
  <c r="F443" i="15"/>
  <c r="G443" i="15" s="1"/>
  <c r="E443" i="15"/>
  <c r="D443" i="15"/>
  <c r="F442" i="15"/>
  <c r="G442" i="15" s="1"/>
  <c r="E442" i="15"/>
  <c r="D442" i="15"/>
  <c r="F441" i="15"/>
  <c r="G441" i="15" s="1"/>
  <c r="E441" i="15"/>
  <c r="D441" i="15"/>
  <c r="F440" i="15"/>
  <c r="G440" i="15" s="1"/>
  <c r="E440" i="15"/>
  <c r="D440" i="15"/>
  <c r="F439" i="15"/>
  <c r="G439" i="15" s="1"/>
  <c r="E439" i="15"/>
  <c r="D439" i="15"/>
  <c r="F438" i="15"/>
  <c r="G438" i="15" s="1"/>
  <c r="E438" i="15"/>
  <c r="D438" i="15"/>
  <c r="F437" i="15"/>
  <c r="G437" i="15" s="1"/>
  <c r="E437" i="15"/>
  <c r="D437" i="15"/>
  <c r="F436" i="15"/>
  <c r="G436" i="15" s="1"/>
  <c r="E436" i="15"/>
  <c r="D436" i="15"/>
  <c r="F435" i="15"/>
  <c r="G435" i="15" s="1"/>
  <c r="E435" i="15"/>
  <c r="D435" i="15"/>
  <c r="F434" i="15"/>
  <c r="G434" i="15" s="1"/>
  <c r="E434" i="15"/>
  <c r="D434" i="15"/>
  <c r="F433" i="15"/>
  <c r="G433" i="15" s="1"/>
  <c r="E433" i="15"/>
  <c r="D433" i="15"/>
  <c r="F432" i="15"/>
  <c r="G432" i="15" s="1"/>
  <c r="E432" i="15"/>
  <c r="D432" i="15"/>
  <c r="F431" i="15"/>
  <c r="G431" i="15" s="1"/>
  <c r="E431" i="15"/>
  <c r="D431" i="15"/>
  <c r="F430" i="15"/>
  <c r="G430" i="15" s="1"/>
  <c r="E430" i="15"/>
  <c r="D430" i="15"/>
  <c r="F429" i="15"/>
  <c r="G429" i="15" s="1"/>
  <c r="E429" i="15"/>
  <c r="D429" i="15"/>
  <c r="F428" i="15"/>
  <c r="G428" i="15" s="1"/>
  <c r="E428" i="15"/>
  <c r="D428" i="15"/>
  <c r="F427" i="15"/>
  <c r="G427" i="15" s="1"/>
  <c r="E427" i="15"/>
  <c r="D427" i="15"/>
  <c r="F426" i="15"/>
  <c r="G426" i="15" s="1"/>
  <c r="E426" i="15"/>
  <c r="D426" i="15"/>
  <c r="F425" i="15"/>
  <c r="G425" i="15" s="1"/>
  <c r="E425" i="15"/>
  <c r="D425" i="15"/>
  <c r="F424" i="15"/>
  <c r="G424" i="15" s="1"/>
  <c r="E424" i="15"/>
  <c r="D424" i="15"/>
  <c r="F423" i="15"/>
  <c r="G423" i="15" s="1"/>
  <c r="E423" i="15"/>
  <c r="D423" i="15"/>
  <c r="F422" i="15"/>
  <c r="G422" i="15" s="1"/>
  <c r="E422" i="15"/>
  <c r="D422" i="15"/>
  <c r="F421" i="15"/>
  <c r="G421" i="15" s="1"/>
  <c r="E421" i="15"/>
  <c r="D421" i="15"/>
  <c r="F420" i="15"/>
  <c r="G420" i="15" s="1"/>
  <c r="E420" i="15"/>
  <c r="D420" i="15"/>
  <c r="F419" i="15"/>
  <c r="G419" i="15" s="1"/>
  <c r="E419" i="15"/>
  <c r="D419" i="15"/>
  <c r="F418" i="15"/>
  <c r="G418" i="15" s="1"/>
  <c r="E418" i="15"/>
  <c r="D418" i="15"/>
  <c r="F417" i="15"/>
  <c r="G417" i="15" s="1"/>
  <c r="E417" i="15"/>
  <c r="D417" i="15"/>
  <c r="F416" i="15"/>
  <c r="G416" i="15" s="1"/>
  <c r="E416" i="15"/>
  <c r="D416" i="15"/>
  <c r="F415" i="15"/>
  <c r="G415" i="15" s="1"/>
  <c r="E415" i="15"/>
  <c r="D415" i="15"/>
  <c r="F414" i="15"/>
  <c r="G414" i="15" s="1"/>
  <c r="E414" i="15"/>
  <c r="D414" i="15"/>
  <c r="F413" i="15"/>
  <c r="G413" i="15" s="1"/>
  <c r="E413" i="15"/>
  <c r="D413" i="15"/>
  <c r="F412" i="15"/>
  <c r="G412" i="15" s="1"/>
  <c r="E412" i="15"/>
  <c r="D412" i="15"/>
  <c r="F411" i="15"/>
  <c r="G411" i="15" s="1"/>
  <c r="E411" i="15"/>
  <c r="D411" i="15"/>
  <c r="F410" i="15"/>
  <c r="G410" i="15" s="1"/>
  <c r="E410" i="15"/>
  <c r="D410" i="15"/>
  <c r="F409" i="15"/>
  <c r="G409" i="15" s="1"/>
  <c r="E409" i="15"/>
  <c r="D409" i="15"/>
  <c r="F408" i="15"/>
  <c r="G408" i="15" s="1"/>
  <c r="E408" i="15"/>
  <c r="D408" i="15"/>
  <c r="F407" i="15"/>
  <c r="G407" i="15" s="1"/>
  <c r="E407" i="15"/>
  <c r="D407" i="15"/>
  <c r="F406" i="15"/>
  <c r="G406" i="15" s="1"/>
  <c r="E406" i="15"/>
  <c r="D406" i="15"/>
  <c r="F405" i="15"/>
  <c r="G405" i="15" s="1"/>
  <c r="E405" i="15"/>
  <c r="D405" i="15"/>
  <c r="F404" i="15"/>
  <c r="G404" i="15" s="1"/>
  <c r="E404" i="15"/>
  <c r="D404" i="15"/>
  <c r="F403" i="15"/>
  <c r="G403" i="15" s="1"/>
  <c r="E403" i="15"/>
  <c r="D403" i="15"/>
  <c r="F402" i="15"/>
  <c r="G402" i="15" s="1"/>
  <c r="E402" i="15"/>
  <c r="D402" i="15"/>
  <c r="F401" i="15"/>
  <c r="G401" i="15" s="1"/>
  <c r="E401" i="15"/>
  <c r="D401" i="15"/>
  <c r="F400" i="15"/>
  <c r="G400" i="15" s="1"/>
  <c r="E400" i="15"/>
  <c r="D400" i="15"/>
  <c r="F399" i="15"/>
  <c r="G399" i="15" s="1"/>
  <c r="E399" i="15"/>
  <c r="D399" i="15"/>
  <c r="F398" i="15"/>
  <c r="G398" i="15" s="1"/>
  <c r="E398" i="15"/>
  <c r="D398" i="15"/>
  <c r="F397" i="15"/>
  <c r="G397" i="15" s="1"/>
  <c r="E397" i="15"/>
  <c r="D397" i="15"/>
  <c r="F396" i="15"/>
  <c r="G396" i="15" s="1"/>
  <c r="E396" i="15"/>
  <c r="D396" i="15"/>
  <c r="F395" i="15"/>
  <c r="G395" i="15" s="1"/>
  <c r="E395" i="15"/>
  <c r="D395" i="15"/>
  <c r="F394" i="15"/>
  <c r="G394" i="15" s="1"/>
  <c r="E394" i="15"/>
  <c r="D394" i="15"/>
  <c r="F393" i="15"/>
  <c r="G393" i="15" s="1"/>
  <c r="E393" i="15"/>
  <c r="D393" i="15"/>
  <c r="F392" i="15"/>
  <c r="G392" i="15" s="1"/>
  <c r="E392" i="15"/>
  <c r="D392" i="15"/>
  <c r="F391" i="15"/>
  <c r="G391" i="15" s="1"/>
  <c r="E391" i="15"/>
  <c r="D391" i="15"/>
  <c r="F390" i="15"/>
  <c r="G390" i="15" s="1"/>
  <c r="E390" i="15"/>
  <c r="D390" i="15"/>
  <c r="F389" i="15"/>
  <c r="G389" i="15" s="1"/>
  <c r="E389" i="15"/>
  <c r="D389" i="15"/>
  <c r="F388" i="15"/>
  <c r="G388" i="15" s="1"/>
  <c r="E388" i="15"/>
  <c r="D388" i="15"/>
  <c r="F387" i="15"/>
  <c r="G387" i="15" s="1"/>
  <c r="E387" i="15"/>
  <c r="D387" i="15"/>
  <c r="F386" i="15"/>
  <c r="G386" i="15" s="1"/>
  <c r="E386" i="15"/>
  <c r="D386" i="15"/>
  <c r="F385" i="15"/>
  <c r="G385" i="15" s="1"/>
  <c r="E385" i="15"/>
  <c r="D385" i="15"/>
  <c r="F384" i="15"/>
  <c r="G384" i="15" s="1"/>
  <c r="E384" i="15"/>
  <c r="D384" i="15"/>
  <c r="F383" i="15"/>
  <c r="G383" i="15" s="1"/>
  <c r="E383" i="15"/>
  <c r="D383" i="15"/>
  <c r="F382" i="15"/>
  <c r="G382" i="15" s="1"/>
  <c r="E382" i="15"/>
  <c r="D382" i="15"/>
  <c r="F381" i="15"/>
  <c r="G381" i="15" s="1"/>
  <c r="E381" i="15"/>
  <c r="D381" i="15"/>
  <c r="F380" i="15"/>
  <c r="G380" i="15" s="1"/>
  <c r="E380" i="15"/>
  <c r="D380" i="15"/>
  <c r="F379" i="15"/>
  <c r="G379" i="15" s="1"/>
  <c r="E379" i="15"/>
  <c r="D379" i="15"/>
  <c r="F378" i="15"/>
  <c r="G378" i="15" s="1"/>
  <c r="E378" i="15"/>
  <c r="D378" i="15"/>
  <c r="F377" i="15"/>
  <c r="G377" i="15" s="1"/>
  <c r="E377" i="15"/>
  <c r="D377" i="15"/>
  <c r="F376" i="15"/>
  <c r="G376" i="15" s="1"/>
  <c r="E376" i="15"/>
  <c r="D376" i="15"/>
  <c r="F375" i="15"/>
  <c r="G375" i="15" s="1"/>
  <c r="E375" i="15"/>
  <c r="D375" i="15"/>
  <c r="F374" i="15"/>
  <c r="G374" i="15" s="1"/>
  <c r="E374" i="15"/>
  <c r="D374" i="15"/>
  <c r="F373" i="15"/>
  <c r="G373" i="15" s="1"/>
  <c r="E373" i="15"/>
  <c r="D373" i="15"/>
  <c r="F372" i="15"/>
  <c r="G372" i="15" s="1"/>
  <c r="E372" i="15"/>
  <c r="D372" i="15"/>
  <c r="F371" i="15"/>
  <c r="G371" i="15" s="1"/>
  <c r="E371" i="15"/>
  <c r="D371" i="15"/>
  <c r="F370" i="15"/>
  <c r="G370" i="15" s="1"/>
  <c r="E370" i="15"/>
  <c r="D370" i="15"/>
  <c r="F369" i="15"/>
  <c r="G369" i="15" s="1"/>
  <c r="E369" i="15"/>
  <c r="D369" i="15"/>
  <c r="F368" i="15"/>
  <c r="G368" i="15" s="1"/>
  <c r="E368" i="15"/>
  <c r="D368" i="15"/>
  <c r="F367" i="15"/>
  <c r="G367" i="15" s="1"/>
  <c r="E367" i="15"/>
  <c r="D367" i="15"/>
  <c r="F366" i="15"/>
  <c r="G366" i="15" s="1"/>
  <c r="E366" i="15"/>
  <c r="D366" i="15"/>
  <c r="F365" i="15"/>
  <c r="G365" i="15" s="1"/>
  <c r="E365" i="15"/>
  <c r="D365" i="15"/>
  <c r="F364" i="15"/>
  <c r="G364" i="15" s="1"/>
  <c r="E364" i="15"/>
  <c r="D364" i="15"/>
  <c r="F363" i="15"/>
  <c r="G363" i="15" s="1"/>
  <c r="E363" i="15"/>
  <c r="D363" i="15"/>
  <c r="F362" i="15"/>
  <c r="G362" i="15" s="1"/>
  <c r="E362" i="15"/>
  <c r="D362" i="15"/>
  <c r="F361" i="15"/>
  <c r="G361" i="15" s="1"/>
  <c r="E361" i="15"/>
  <c r="D361" i="15"/>
  <c r="F360" i="15"/>
  <c r="G360" i="15" s="1"/>
  <c r="E360" i="15"/>
  <c r="D360" i="15"/>
  <c r="F359" i="15"/>
  <c r="G359" i="15" s="1"/>
  <c r="E359" i="15"/>
  <c r="D359" i="15"/>
  <c r="F358" i="15"/>
  <c r="G358" i="15" s="1"/>
  <c r="E358" i="15"/>
  <c r="D358" i="15"/>
  <c r="F357" i="15"/>
  <c r="G357" i="15" s="1"/>
  <c r="E357" i="15"/>
  <c r="D357" i="15"/>
  <c r="F356" i="15"/>
  <c r="G356" i="15" s="1"/>
  <c r="E356" i="15"/>
  <c r="D356" i="15"/>
  <c r="F355" i="15"/>
  <c r="G355" i="15" s="1"/>
  <c r="E355" i="15"/>
  <c r="D355" i="15"/>
  <c r="F354" i="15"/>
  <c r="G354" i="15" s="1"/>
  <c r="E354" i="15"/>
  <c r="D354" i="15"/>
  <c r="F353" i="15"/>
  <c r="G353" i="15" s="1"/>
  <c r="E353" i="15"/>
  <c r="D353" i="15"/>
  <c r="F352" i="15"/>
  <c r="G352" i="15" s="1"/>
  <c r="E352" i="15"/>
  <c r="D352" i="15"/>
  <c r="F351" i="15"/>
  <c r="G351" i="15" s="1"/>
  <c r="E351" i="15"/>
  <c r="D351" i="15"/>
  <c r="F350" i="15"/>
  <c r="G350" i="15" s="1"/>
  <c r="E350" i="15"/>
  <c r="D350" i="15"/>
  <c r="F349" i="15"/>
  <c r="G349" i="15" s="1"/>
  <c r="E349" i="15"/>
  <c r="D349" i="15"/>
  <c r="F348" i="15"/>
  <c r="G348" i="15" s="1"/>
  <c r="E348" i="15"/>
  <c r="D348" i="15"/>
  <c r="F347" i="15"/>
  <c r="G347" i="15" s="1"/>
  <c r="E347" i="15"/>
  <c r="D347" i="15"/>
  <c r="F346" i="15"/>
  <c r="G346" i="15" s="1"/>
  <c r="E346" i="15"/>
  <c r="D346" i="15"/>
  <c r="F345" i="15"/>
  <c r="G345" i="15" s="1"/>
  <c r="E345" i="15"/>
  <c r="D345" i="15"/>
  <c r="F344" i="15"/>
  <c r="G344" i="15" s="1"/>
  <c r="E344" i="15"/>
  <c r="D344" i="15"/>
  <c r="F343" i="15"/>
  <c r="G343" i="15" s="1"/>
  <c r="E343" i="15"/>
  <c r="D343" i="15"/>
  <c r="F342" i="15"/>
  <c r="G342" i="15" s="1"/>
  <c r="E342" i="15"/>
  <c r="D342" i="15"/>
  <c r="F341" i="15"/>
  <c r="G341" i="15" s="1"/>
  <c r="E341" i="15"/>
  <c r="D341" i="15"/>
  <c r="F340" i="15"/>
  <c r="G340" i="15" s="1"/>
  <c r="E340" i="15"/>
  <c r="D340" i="15"/>
  <c r="F339" i="15"/>
  <c r="G339" i="15" s="1"/>
  <c r="E339" i="15"/>
  <c r="D339" i="15"/>
  <c r="F338" i="15"/>
  <c r="G338" i="15" s="1"/>
  <c r="E338" i="15"/>
  <c r="D338" i="15"/>
  <c r="F337" i="15"/>
  <c r="G337" i="15" s="1"/>
  <c r="E337" i="15"/>
  <c r="D337" i="15"/>
  <c r="F336" i="15"/>
  <c r="G336" i="15" s="1"/>
  <c r="E336" i="15"/>
  <c r="D336" i="15"/>
  <c r="F335" i="15"/>
  <c r="G335" i="15" s="1"/>
  <c r="E335" i="15"/>
  <c r="D335" i="15"/>
  <c r="F334" i="15"/>
  <c r="G334" i="15" s="1"/>
  <c r="E334" i="15"/>
  <c r="D334" i="15"/>
  <c r="F333" i="15"/>
  <c r="G333" i="15" s="1"/>
  <c r="E333" i="15"/>
  <c r="D333" i="15"/>
  <c r="F332" i="15"/>
  <c r="G332" i="15" s="1"/>
  <c r="E332" i="15"/>
  <c r="D332" i="15"/>
  <c r="F331" i="15"/>
  <c r="G331" i="15" s="1"/>
  <c r="E331" i="15"/>
  <c r="D331" i="15"/>
  <c r="F330" i="15"/>
  <c r="G330" i="15" s="1"/>
  <c r="E330" i="15"/>
  <c r="D330" i="15"/>
  <c r="F329" i="15"/>
  <c r="G329" i="15" s="1"/>
  <c r="E329" i="15"/>
  <c r="D329" i="15"/>
  <c r="F328" i="15"/>
  <c r="G328" i="15" s="1"/>
  <c r="E328" i="15"/>
  <c r="D328" i="15"/>
  <c r="F327" i="15"/>
  <c r="G327" i="15" s="1"/>
  <c r="E327" i="15"/>
  <c r="D327" i="15"/>
  <c r="F326" i="15"/>
  <c r="G326" i="15" s="1"/>
  <c r="E326" i="15"/>
  <c r="D326" i="15"/>
  <c r="F325" i="15"/>
  <c r="G325" i="15" s="1"/>
  <c r="E325" i="15"/>
  <c r="D325" i="15"/>
  <c r="F324" i="15"/>
  <c r="G324" i="15" s="1"/>
  <c r="E324" i="15"/>
  <c r="D324" i="15"/>
  <c r="F323" i="15"/>
  <c r="G323" i="15" s="1"/>
  <c r="E323" i="15"/>
  <c r="D323" i="15"/>
  <c r="F322" i="15"/>
  <c r="G322" i="15" s="1"/>
  <c r="E322" i="15"/>
  <c r="D322" i="15"/>
  <c r="F321" i="15"/>
  <c r="G321" i="15" s="1"/>
  <c r="E321" i="15"/>
  <c r="D321" i="15"/>
  <c r="F320" i="15"/>
  <c r="G320" i="15" s="1"/>
  <c r="E320" i="15"/>
  <c r="D320" i="15"/>
  <c r="F319" i="15"/>
  <c r="G319" i="15" s="1"/>
  <c r="E319" i="15"/>
  <c r="D319" i="15"/>
  <c r="F318" i="15"/>
  <c r="G318" i="15" s="1"/>
  <c r="E318" i="15"/>
  <c r="D318" i="15"/>
  <c r="F317" i="15"/>
  <c r="G317" i="15" s="1"/>
  <c r="E317" i="15"/>
  <c r="D317" i="15"/>
  <c r="F316" i="15"/>
  <c r="G316" i="15" s="1"/>
  <c r="E316" i="15"/>
  <c r="D316" i="15"/>
  <c r="F315" i="15"/>
  <c r="G315" i="15" s="1"/>
  <c r="E315" i="15"/>
  <c r="D315" i="15"/>
  <c r="F314" i="15"/>
  <c r="G314" i="15" s="1"/>
  <c r="E314" i="15"/>
  <c r="D314" i="15"/>
  <c r="F313" i="15"/>
  <c r="G313" i="15" s="1"/>
  <c r="E313" i="15"/>
  <c r="D313" i="15"/>
  <c r="F312" i="15"/>
  <c r="G312" i="15" s="1"/>
  <c r="E312" i="15"/>
  <c r="D312" i="15"/>
  <c r="F311" i="15"/>
  <c r="G311" i="15" s="1"/>
  <c r="E311" i="15"/>
  <c r="D311" i="15"/>
  <c r="F310" i="15"/>
  <c r="G310" i="15" s="1"/>
  <c r="E310" i="15"/>
  <c r="D310" i="15"/>
  <c r="F309" i="15"/>
  <c r="G309" i="15" s="1"/>
  <c r="E309" i="15"/>
  <c r="D309" i="15"/>
  <c r="F308" i="15"/>
  <c r="G308" i="15" s="1"/>
  <c r="E308" i="15"/>
  <c r="D308" i="15"/>
  <c r="F307" i="15"/>
  <c r="G307" i="15" s="1"/>
  <c r="E307" i="15"/>
  <c r="D307" i="15"/>
  <c r="F306" i="15"/>
  <c r="G306" i="15" s="1"/>
  <c r="E306" i="15"/>
  <c r="D306" i="15"/>
  <c r="F305" i="15"/>
  <c r="G305" i="15" s="1"/>
  <c r="E305" i="15"/>
  <c r="D305" i="15"/>
  <c r="F304" i="15"/>
  <c r="G304" i="15" s="1"/>
  <c r="E304" i="15"/>
  <c r="D304" i="15"/>
  <c r="F303" i="15"/>
  <c r="G303" i="15" s="1"/>
  <c r="E303" i="15"/>
  <c r="D303" i="15"/>
  <c r="F302" i="15"/>
  <c r="G302" i="15" s="1"/>
  <c r="E302" i="15"/>
  <c r="D302" i="15"/>
  <c r="F301" i="15"/>
  <c r="G301" i="15" s="1"/>
  <c r="E301" i="15"/>
  <c r="D301" i="15"/>
  <c r="F300" i="15"/>
  <c r="G300" i="15" s="1"/>
  <c r="E300" i="15"/>
  <c r="D300" i="15"/>
  <c r="F299" i="15"/>
  <c r="G299" i="15" s="1"/>
  <c r="E299" i="15"/>
  <c r="D299" i="15"/>
  <c r="F298" i="15"/>
  <c r="G298" i="15" s="1"/>
  <c r="E298" i="15"/>
  <c r="D298" i="15"/>
  <c r="F297" i="15"/>
  <c r="G297" i="15" s="1"/>
  <c r="E297" i="15"/>
  <c r="D297" i="15"/>
  <c r="F296" i="15"/>
  <c r="G296" i="15" s="1"/>
  <c r="E296" i="15"/>
  <c r="D296" i="15"/>
  <c r="F295" i="15"/>
  <c r="G295" i="15" s="1"/>
  <c r="E295" i="15"/>
  <c r="D295" i="15"/>
  <c r="F294" i="15"/>
  <c r="G294" i="15" s="1"/>
  <c r="E294" i="15"/>
  <c r="D294" i="15"/>
  <c r="F293" i="15"/>
  <c r="G293" i="15" s="1"/>
  <c r="E293" i="15"/>
  <c r="D293" i="15"/>
  <c r="F292" i="15"/>
  <c r="G292" i="15" s="1"/>
  <c r="E292" i="15"/>
  <c r="D292" i="15"/>
  <c r="F291" i="15"/>
  <c r="G291" i="15" s="1"/>
  <c r="E291" i="15"/>
  <c r="D291" i="15"/>
  <c r="F290" i="15"/>
  <c r="G290" i="15" s="1"/>
  <c r="E290" i="15"/>
  <c r="D290" i="15"/>
  <c r="F289" i="15"/>
  <c r="G289" i="15" s="1"/>
  <c r="E289" i="15"/>
  <c r="D289" i="15"/>
  <c r="F288" i="15"/>
  <c r="G288" i="15" s="1"/>
  <c r="E288" i="15"/>
  <c r="D288" i="15"/>
  <c r="F287" i="15"/>
  <c r="G287" i="15" s="1"/>
  <c r="E287" i="15"/>
  <c r="D287" i="15"/>
  <c r="F286" i="15"/>
  <c r="G286" i="15" s="1"/>
  <c r="E286" i="15"/>
  <c r="D286" i="15"/>
  <c r="F285" i="15"/>
  <c r="G285" i="15" s="1"/>
  <c r="E285" i="15"/>
  <c r="D285" i="15"/>
  <c r="F284" i="15"/>
  <c r="G284" i="15" s="1"/>
  <c r="E284" i="15"/>
  <c r="D284" i="15"/>
  <c r="F283" i="15"/>
  <c r="G283" i="15" s="1"/>
  <c r="E283" i="15"/>
  <c r="D283" i="15"/>
  <c r="F282" i="15"/>
  <c r="G282" i="15" s="1"/>
  <c r="E282" i="15"/>
  <c r="D282" i="15"/>
  <c r="F281" i="15"/>
  <c r="G281" i="15" s="1"/>
  <c r="E281" i="15"/>
  <c r="D281" i="15"/>
  <c r="F280" i="15"/>
  <c r="G280" i="15" s="1"/>
  <c r="E280" i="15"/>
  <c r="D280" i="15"/>
  <c r="F279" i="15"/>
  <c r="G279" i="15" s="1"/>
  <c r="E279" i="15"/>
  <c r="D279" i="15"/>
  <c r="F278" i="15"/>
  <c r="G278" i="15" s="1"/>
  <c r="E278" i="15"/>
  <c r="D278" i="15"/>
  <c r="F277" i="15"/>
  <c r="G277" i="15" s="1"/>
  <c r="E277" i="15"/>
  <c r="D277" i="15"/>
  <c r="F276" i="15"/>
  <c r="G276" i="15" s="1"/>
  <c r="E276" i="15"/>
  <c r="D276" i="15"/>
  <c r="F275" i="15"/>
  <c r="G275" i="15" s="1"/>
  <c r="E275" i="15"/>
  <c r="D275" i="15"/>
  <c r="F274" i="15"/>
  <c r="G274" i="15" s="1"/>
  <c r="E274" i="15"/>
  <c r="D274" i="15"/>
  <c r="F273" i="15"/>
  <c r="G273" i="15" s="1"/>
  <c r="E273" i="15"/>
  <c r="D273" i="15"/>
  <c r="F272" i="15"/>
  <c r="G272" i="15" s="1"/>
  <c r="E272" i="15"/>
  <c r="D272" i="15"/>
  <c r="F271" i="15"/>
  <c r="G271" i="15" s="1"/>
  <c r="E271" i="15"/>
  <c r="D271" i="15"/>
  <c r="F270" i="15"/>
  <c r="G270" i="15" s="1"/>
  <c r="E270" i="15"/>
  <c r="D270" i="15"/>
  <c r="F269" i="15"/>
  <c r="G269" i="15" s="1"/>
  <c r="E269" i="15"/>
  <c r="D269" i="15"/>
  <c r="F268" i="15"/>
  <c r="G268" i="15" s="1"/>
  <c r="E268" i="15"/>
  <c r="D268" i="15"/>
  <c r="F267" i="15"/>
  <c r="G267" i="15" s="1"/>
  <c r="E267" i="15"/>
  <c r="D267" i="15"/>
  <c r="F266" i="15"/>
  <c r="G266" i="15" s="1"/>
  <c r="E266" i="15"/>
  <c r="D266" i="15"/>
  <c r="F265" i="15"/>
  <c r="G265" i="15" s="1"/>
  <c r="E265" i="15"/>
  <c r="D265" i="15"/>
  <c r="F264" i="15"/>
  <c r="G264" i="15" s="1"/>
  <c r="E264" i="15"/>
  <c r="D264" i="15"/>
  <c r="F263" i="15"/>
  <c r="G263" i="15" s="1"/>
  <c r="E263" i="15"/>
  <c r="D263" i="15"/>
  <c r="F262" i="15"/>
  <c r="G262" i="15" s="1"/>
  <c r="E262" i="15"/>
  <c r="D262" i="15"/>
  <c r="F261" i="15"/>
  <c r="G261" i="15" s="1"/>
  <c r="E261" i="15"/>
  <c r="D261" i="15"/>
  <c r="F260" i="15"/>
  <c r="G260" i="15" s="1"/>
  <c r="E260" i="15"/>
  <c r="D260" i="15"/>
  <c r="F259" i="15"/>
  <c r="G259" i="15" s="1"/>
  <c r="E259" i="15"/>
  <c r="D259" i="15"/>
  <c r="F258" i="15"/>
  <c r="G258" i="15" s="1"/>
  <c r="E258" i="15"/>
  <c r="D258" i="15"/>
  <c r="F257" i="15"/>
  <c r="G257" i="15" s="1"/>
  <c r="E257" i="15"/>
  <c r="D257" i="15"/>
  <c r="F256" i="15"/>
  <c r="G256" i="15" s="1"/>
  <c r="E256" i="15"/>
  <c r="D256" i="15"/>
  <c r="F255" i="15"/>
  <c r="G255" i="15" s="1"/>
  <c r="E255" i="15"/>
  <c r="D255" i="15"/>
  <c r="F254" i="15"/>
  <c r="G254" i="15" s="1"/>
  <c r="E254" i="15"/>
  <c r="D254" i="15"/>
  <c r="F253" i="15"/>
  <c r="G253" i="15" s="1"/>
  <c r="E253" i="15"/>
  <c r="D253" i="15"/>
  <c r="F252" i="15"/>
  <c r="G252" i="15" s="1"/>
  <c r="E252" i="15"/>
  <c r="D252" i="15"/>
  <c r="F251" i="15"/>
  <c r="G251" i="15" s="1"/>
  <c r="E251" i="15"/>
  <c r="D251" i="15"/>
  <c r="F250" i="15"/>
  <c r="G250" i="15" s="1"/>
  <c r="E250" i="15"/>
  <c r="D250" i="15"/>
  <c r="F249" i="15"/>
  <c r="G249" i="15" s="1"/>
  <c r="E249" i="15"/>
  <c r="D249" i="15"/>
  <c r="F248" i="15"/>
  <c r="G248" i="15" s="1"/>
  <c r="E248" i="15"/>
  <c r="D248" i="15"/>
  <c r="F247" i="15"/>
  <c r="G247" i="15" s="1"/>
  <c r="E247" i="15"/>
  <c r="D247" i="15"/>
  <c r="F246" i="15"/>
  <c r="G246" i="15" s="1"/>
  <c r="E246" i="15"/>
  <c r="D246" i="15"/>
  <c r="F245" i="15"/>
  <c r="G245" i="15" s="1"/>
  <c r="E245" i="15"/>
  <c r="D245" i="15"/>
  <c r="F244" i="15"/>
  <c r="G244" i="15" s="1"/>
  <c r="E244" i="15"/>
  <c r="D244" i="15"/>
  <c r="F243" i="15"/>
  <c r="G243" i="15" s="1"/>
  <c r="E243" i="15"/>
  <c r="D243" i="15"/>
  <c r="F242" i="15"/>
  <c r="G242" i="15" s="1"/>
  <c r="E242" i="15"/>
  <c r="D242" i="15"/>
  <c r="F241" i="15"/>
  <c r="G241" i="15" s="1"/>
  <c r="E241" i="15"/>
  <c r="D241" i="15"/>
  <c r="F240" i="15"/>
  <c r="G240" i="15" s="1"/>
  <c r="E240" i="15"/>
  <c r="D240" i="15"/>
  <c r="F239" i="15"/>
  <c r="G239" i="15" s="1"/>
  <c r="E239" i="15"/>
  <c r="D239" i="15"/>
  <c r="F238" i="15"/>
  <c r="G238" i="15" s="1"/>
  <c r="E238" i="15"/>
  <c r="D238" i="15"/>
  <c r="F237" i="15"/>
  <c r="G237" i="15" s="1"/>
  <c r="E237" i="15"/>
  <c r="D237" i="15"/>
  <c r="F236" i="15"/>
  <c r="G236" i="15" s="1"/>
  <c r="E236" i="15"/>
  <c r="D236" i="15"/>
  <c r="F235" i="15"/>
  <c r="G235" i="15" s="1"/>
  <c r="E235" i="15"/>
  <c r="D235" i="15"/>
  <c r="F234" i="15"/>
  <c r="G234" i="15" s="1"/>
  <c r="E234" i="15"/>
  <c r="D234" i="15"/>
  <c r="F233" i="15"/>
  <c r="G233" i="15" s="1"/>
  <c r="E233" i="15"/>
  <c r="D233" i="15"/>
  <c r="F232" i="15"/>
  <c r="G232" i="15" s="1"/>
  <c r="E232" i="15"/>
  <c r="D232" i="15"/>
  <c r="F231" i="15"/>
  <c r="G231" i="15" s="1"/>
  <c r="E231" i="15"/>
  <c r="D231" i="15"/>
  <c r="F230" i="15"/>
  <c r="G230" i="15" s="1"/>
  <c r="E230" i="15"/>
  <c r="D230" i="15"/>
  <c r="F229" i="15"/>
  <c r="G229" i="15" s="1"/>
  <c r="E229" i="15"/>
  <c r="D229" i="15"/>
  <c r="F228" i="15"/>
  <c r="G228" i="15" s="1"/>
  <c r="E228" i="15"/>
  <c r="D228" i="15"/>
  <c r="F227" i="15"/>
  <c r="G227" i="15" s="1"/>
  <c r="E227" i="15"/>
  <c r="D227" i="15"/>
  <c r="F226" i="15"/>
  <c r="G226" i="15" s="1"/>
  <c r="E226" i="15"/>
  <c r="D226" i="15"/>
  <c r="F225" i="15"/>
  <c r="G225" i="15" s="1"/>
  <c r="E225" i="15"/>
  <c r="D225" i="15"/>
  <c r="F224" i="15"/>
  <c r="G224" i="15" s="1"/>
  <c r="E224" i="15"/>
  <c r="D224" i="15"/>
  <c r="F223" i="15"/>
  <c r="G223" i="15" s="1"/>
  <c r="E223" i="15"/>
  <c r="D223" i="15"/>
  <c r="F222" i="15"/>
  <c r="G222" i="15" s="1"/>
  <c r="E222" i="15"/>
  <c r="D222" i="15"/>
  <c r="F221" i="15"/>
  <c r="G221" i="15" s="1"/>
  <c r="E221" i="15"/>
  <c r="D221" i="15"/>
  <c r="F220" i="15"/>
  <c r="G220" i="15" s="1"/>
  <c r="E220" i="15"/>
  <c r="D220" i="15"/>
  <c r="F219" i="15"/>
  <c r="G219" i="15" s="1"/>
  <c r="E219" i="15"/>
  <c r="D219" i="15"/>
  <c r="F218" i="15"/>
  <c r="G218" i="15" s="1"/>
  <c r="E218" i="15"/>
  <c r="D218" i="15"/>
  <c r="F217" i="15"/>
  <c r="G217" i="15" s="1"/>
  <c r="E217" i="15"/>
  <c r="D217" i="15"/>
  <c r="F216" i="15"/>
  <c r="G216" i="15" s="1"/>
  <c r="E216" i="15"/>
  <c r="D216" i="15"/>
  <c r="F215" i="15"/>
  <c r="G215" i="15" s="1"/>
  <c r="E215" i="15"/>
  <c r="D215" i="15"/>
  <c r="F214" i="15"/>
  <c r="G214" i="15" s="1"/>
  <c r="E214" i="15"/>
  <c r="D214" i="15"/>
  <c r="F213" i="15"/>
  <c r="G213" i="15" s="1"/>
  <c r="E213" i="15"/>
  <c r="D213" i="15"/>
  <c r="F212" i="15"/>
  <c r="G212" i="15" s="1"/>
  <c r="E212" i="15"/>
  <c r="D212" i="15"/>
  <c r="F211" i="15"/>
  <c r="G211" i="15" s="1"/>
  <c r="E211" i="15"/>
  <c r="D211" i="15"/>
  <c r="F210" i="15"/>
  <c r="G210" i="15" s="1"/>
  <c r="E210" i="15"/>
  <c r="D210" i="15"/>
  <c r="F209" i="15"/>
  <c r="G209" i="15" s="1"/>
  <c r="E209" i="15"/>
  <c r="D209" i="15"/>
  <c r="F208" i="15"/>
  <c r="G208" i="15" s="1"/>
  <c r="E208" i="15"/>
  <c r="D208" i="15"/>
  <c r="F207" i="15"/>
  <c r="G207" i="15" s="1"/>
  <c r="E207" i="15"/>
  <c r="D207" i="15"/>
  <c r="F206" i="15"/>
  <c r="G206" i="15" s="1"/>
  <c r="E206" i="15"/>
  <c r="D206" i="15"/>
  <c r="F205" i="15"/>
  <c r="G205" i="15" s="1"/>
  <c r="E205" i="15"/>
  <c r="D205" i="15"/>
  <c r="F204" i="15"/>
  <c r="G204" i="15" s="1"/>
  <c r="E204" i="15"/>
  <c r="D204" i="15"/>
  <c r="F203" i="15"/>
  <c r="G203" i="15" s="1"/>
  <c r="E203" i="15"/>
  <c r="D203" i="15"/>
  <c r="F202" i="15"/>
  <c r="G202" i="15" s="1"/>
  <c r="E202" i="15"/>
  <c r="D202" i="15"/>
  <c r="F201" i="15"/>
  <c r="G201" i="15" s="1"/>
  <c r="E201" i="15"/>
  <c r="D201" i="15"/>
  <c r="F200" i="15"/>
  <c r="G200" i="15" s="1"/>
  <c r="E200" i="15"/>
  <c r="D200" i="15"/>
  <c r="F199" i="15"/>
  <c r="G199" i="15" s="1"/>
  <c r="E199" i="15"/>
  <c r="D199" i="15"/>
  <c r="F198" i="15"/>
  <c r="G198" i="15" s="1"/>
  <c r="E198" i="15"/>
  <c r="D198" i="15"/>
  <c r="F197" i="15"/>
  <c r="G197" i="15" s="1"/>
  <c r="E197" i="15"/>
  <c r="D197" i="15"/>
  <c r="F196" i="15"/>
  <c r="G196" i="15" s="1"/>
  <c r="E196" i="15"/>
  <c r="D196" i="15"/>
  <c r="F195" i="15"/>
  <c r="G195" i="15" s="1"/>
  <c r="E195" i="15"/>
  <c r="D195" i="15"/>
  <c r="F194" i="15"/>
  <c r="G194" i="15" s="1"/>
  <c r="E194" i="15"/>
  <c r="D194" i="15"/>
  <c r="F193" i="15"/>
  <c r="G193" i="15" s="1"/>
  <c r="E193" i="15"/>
  <c r="D193" i="15"/>
  <c r="F192" i="15"/>
  <c r="G192" i="15" s="1"/>
  <c r="E192" i="15"/>
  <c r="D192" i="15"/>
  <c r="F191" i="15"/>
  <c r="G191" i="15" s="1"/>
  <c r="E191" i="15"/>
  <c r="D191" i="15"/>
  <c r="F190" i="15"/>
  <c r="G190" i="15" s="1"/>
  <c r="E190" i="15"/>
  <c r="D190" i="15"/>
  <c r="F189" i="15"/>
  <c r="G189" i="15" s="1"/>
  <c r="E189" i="15"/>
  <c r="D189" i="15"/>
  <c r="F188" i="15"/>
  <c r="G188" i="15" s="1"/>
  <c r="E188" i="15"/>
  <c r="D188" i="15"/>
  <c r="F187" i="15"/>
  <c r="G187" i="15" s="1"/>
  <c r="E187" i="15"/>
  <c r="D187" i="15"/>
  <c r="F186" i="15"/>
  <c r="G186" i="15" s="1"/>
  <c r="E186" i="15"/>
  <c r="D186" i="15"/>
  <c r="F185" i="15"/>
  <c r="G185" i="15" s="1"/>
  <c r="E185" i="15"/>
  <c r="D185" i="15"/>
  <c r="F184" i="15"/>
  <c r="G184" i="15" s="1"/>
  <c r="E184" i="15"/>
  <c r="D184" i="15"/>
  <c r="F183" i="15"/>
  <c r="G183" i="15" s="1"/>
  <c r="E183" i="15"/>
  <c r="D183" i="15"/>
  <c r="F182" i="15"/>
  <c r="G182" i="15" s="1"/>
  <c r="E182" i="15"/>
  <c r="D182" i="15"/>
  <c r="F181" i="15"/>
  <c r="G181" i="15" s="1"/>
  <c r="E181" i="15"/>
  <c r="D181" i="15"/>
  <c r="F180" i="15"/>
  <c r="G180" i="15" s="1"/>
  <c r="E180" i="15"/>
  <c r="D180" i="15"/>
  <c r="F179" i="15"/>
  <c r="G179" i="15" s="1"/>
  <c r="E179" i="15"/>
  <c r="D179" i="15"/>
  <c r="F178" i="15"/>
  <c r="G178" i="15" s="1"/>
  <c r="E178" i="15"/>
  <c r="D178" i="15"/>
  <c r="F177" i="15"/>
  <c r="G177" i="15" s="1"/>
  <c r="E177" i="15"/>
  <c r="D177" i="15"/>
  <c r="F176" i="15"/>
  <c r="G176" i="15" s="1"/>
  <c r="E176" i="15"/>
  <c r="D176" i="15"/>
  <c r="F175" i="15"/>
  <c r="G175" i="15" s="1"/>
  <c r="E175" i="15"/>
  <c r="D175" i="15"/>
  <c r="F174" i="15"/>
  <c r="G174" i="15" s="1"/>
  <c r="E174" i="15"/>
  <c r="D174" i="15"/>
  <c r="F173" i="15"/>
  <c r="G173" i="15" s="1"/>
  <c r="E173" i="15"/>
  <c r="D173" i="15"/>
  <c r="F172" i="15"/>
  <c r="G172" i="15" s="1"/>
  <c r="E172" i="15"/>
  <c r="D172" i="15"/>
  <c r="F171" i="15"/>
  <c r="G171" i="15" s="1"/>
  <c r="E171" i="15"/>
  <c r="D171" i="15"/>
  <c r="F170" i="15"/>
  <c r="G170" i="15" s="1"/>
  <c r="E170" i="15"/>
  <c r="D170" i="15"/>
  <c r="F169" i="15"/>
  <c r="G169" i="15" s="1"/>
  <c r="E169" i="15"/>
  <c r="D169" i="15"/>
  <c r="F168" i="15"/>
  <c r="G168" i="15" s="1"/>
  <c r="E168" i="15"/>
  <c r="D168" i="15"/>
  <c r="F167" i="15"/>
  <c r="G167" i="15" s="1"/>
  <c r="E167" i="15"/>
  <c r="D167" i="15"/>
  <c r="F166" i="15"/>
  <c r="G166" i="15" s="1"/>
  <c r="E166" i="15"/>
  <c r="D166" i="15"/>
  <c r="F165" i="15"/>
  <c r="G165" i="15" s="1"/>
  <c r="E165" i="15"/>
  <c r="D165" i="15"/>
  <c r="F164" i="15"/>
  <c r="G164" i="15" s="1"/>
  <c r="E164" i="15"/>
  <c r="D164" i="15"/>
  <c r="F163" i="15"/>
  <c r="G163" i="15" s="1"/>
  <c r="E163" i="15"/>
  <c r="D163" i="15"/>
  <c r="F162" i="15"/>
  <c r="G162" i="15" s="1"/>
  <c r="E162" i="15"/>
  <c r="D162" i="15"/>
  <c r="F161" i="15"/>
  <c r="G161" i="15" s="1"/>
  <c r="E161" i="15"/>
  <c r="D161" i="15"/>
  <c r="F160" i="15"/>
  <c r="G160" i="15" s="1"/>
  <c r="E160" i="15"/>
  <c r="D160" i="15"/>
  <c r="F159" i="15"/>
  <c r="G159" i="15" s="1"/>
  <c r="E159" i="15"/>
  <c r="D159" i="15"/>
  <c r="F158" i="15"/>
  <c r="G158" i="15" s="1"/>
  <c r="E158" i="15"/>
  <c r="D158" i="15"/>
  <c r="F157" i="15"/>
  <c r="G157" i="15" s="1"/>
  <c r="E157" i="15"/>
  <c r="D157" i="15"/>
  <c r="F156" i="15"/>
  <c r="G156" i="15" s="1"/>
  <c r="E156" i="15"/>
  <c r="D156" i="15"/>
  <c r="F155" i="15"/>
  <c r="G155" i="15" s="1"/>
  <c r="E155" i="15"/>
  <c r="D155" i="15"/>
  <c r="F154" i="15"/>
  <c r="G154" i="15" s="1"/>
  <c r="E154" i="15"/>
  <c r="D154" i="15"/>
  <c r="F153" i="15"/>
  <c r="G153" i="15" s="1"/>
  <c r="E153" i="15"/>
  <c r="D153" i="15"/>
  <c r="F152" i="15"/>
  <c r="G152" i="15" s="1"/>
  <c r="E152" i="15"/>
  <c r="D152" i="15"/>
  <c r="F151" i="15"/>
  <c r="G151" i="15" s="1"/>
  <c r="E151" i="15"/>
  <c r="D151" i="15"/>
  <c r="F150" i="15"/>
  <c r="G150" i="15" s="1"/>
  <c r="E150" i="15"/>
  <c r="D150" i="15"/>
  <c r="F149" i="15"/>
  <c r="G149" i="15" s="1"/>
  <c r="E149" i="15"/>
  <c r="D149" i="15"/>
  <c r="F148" i="15"/>
  <c r="G148" i="15" s="1"/>
  <c r="E148" i="15"/>
  <c r="D148" i="15"/>
  <c r="F147" i="15"/>
  <c r="G147" i="15" s="1"/>
  <c r="E147" i="15"/>
  <c r="D147" i="15"/>
  <c r="F146" i="15"/>
  <c r="G146" i="15" s="1"/>
  <c r="E146" i="15"/>
  <c r="D146" i="15"/>
  <c r="F145" i="15"/>
  <c r="G145" i="15" s="1"/>
  <c r="E145" i="15"/>
  <c r="D145" i="15"/>
  <c r="F144" i="15"/>
  <c r="G144" i="15" s="1"/>
  <c r="E144" i="15"/>
  <c r="D144" i="15"/>
  <c r="F143" i="15"/>
  <c r="G143" i="15" s="1"/>
  <c r="E143" i="15"/>
  <c r="D143" i="15"/>
  <c r="F142" i="15"/>
  <c r="G142" i="15" s="1"/>
  <c r="E142" i="15"/>
  <c r="D142" i="15"/>
  <c r="F141" i="15"/>
  <c r="G141" i="15" s="1"/>
  <c r="E141" i="15"/>
  <c r="D141" i="15"/>
  <c r="F140" i="15"/>
  <c r="G140" i="15" s="1"/>
  <c r="E140" i="15"/>
  <c r="D140" i="15"/>
  <c r="F139" i="15"/>
  <c r="G139" i="15" s="1"/>
  <c r="E139" i="15"/>
  <c r="D139" i="15"/>
  <c r="F138" i="15"/>
  <c r="G138" i="15" s="1"/>
  <c r="E138" i="15"/>
  <c r="D138" i="15"/>
  <c r="F137" i="15"/>
  <c r="G137" i="15" s="1"/>
  <c r="E137" i="15"/>
  <c r="D137" i="15"/>
  <c r="F136" i="15"/>
  <c r="G136" i="15" s="1"/>
  <c r="E136" i="15"/>
  <c r="D136" i="15"/>
  <c r="F135" i="15"/>
  <c r="G135" i="15" s="1"/>
  <c r="E135" i="15"/>
  <c r="D135" i="15"/>
  <c r="F134" i="15"/>
  <c r="G134" i="15" s="1"/>
  <c r="E134" i="15"/>
  <c r="D134" i="15"/>
  <c r="F133" i="15"/>
  <c r="G133" i="15" s="1"/>
  <c r="E133" i="15"/>
  <c r="D133" i="15"/>
  <c r="F132" i="15"/>
  <c r="G132" i="15" s="1"/>
  <c r="E132" i="15"/>
  <c r="D132" i="15"/>
  <c r="F131" i="15"/>
  <c r="G131" i="15" s="1"/>
  <c r="E131" i="15"/>
  <c r="D131" i="15"/>
  <c r="F130" i="15"/>
  <c r="G130" i="15" s="1"/>
  <c r="E130" i="15"/>
  <c r="D130" i="15"/>
  <c r="F129" i="15"/>
  <c r="G129" i="15" s="1"/>
  <c r="E129" i="15"/>
  <c r="D129" i="15"/>
  <c r="F128" i="15"/>
  <c r="G128" i="15" s="1"/>
  <c r="E128" i="15"/>
  <c r="D128" i="15"/>
  <c r="F127" i="15"/>
  <c r="G127" i="15" s="1"/>
  <c r="E127" i="15"/>
  <c r="D127" i="15"/>
  <c r="F126" i="15"/>
  <c r="G126" i="15" s="1"/>
  <c r="E126" i="15"/>
  <c r="D126" i="15"/>
  <c r="F125" i="15"/>
  <c r="G125" i="15" s="1"/>
  <c r="E125" i="15"/>
  <c r="D125" i="15"/>
  <c r="F124" i="15"/>
  <c r="G124" i="15" s="1"/>
  <c r="E124" i="15"/>
  <c r="D124" i="15"/>
  <c r="F123" i="15"/>
  <c r="G123" i="15" s="1"/>
  <c r="E123" i="15"/>
  <c r="D123" i="15"/>
  <c r="F122" i="15"/>
  <c r="G122" i="15" s="1"/>
  <c r="E122" i="15"/>
  <c r="D122" i="15"/>
  <c r="F121" i="15"/>
  <c r="G121" i="15" s="1"/>
  <c r="E121" i="15"/>
  <c r="D121" i="15"/>
  <c r="F120" i="15"/>
  <c r="G120" i="15" s="1"/>
  <c r="E120" i="15"/>
  <c r="D120" i="15"/>
  <c r="F119" i="15"/>
  <c r="G119" i="15" s="1"/>
  <c r="E119" i="15"/>
  <c r="D119" i="15"/>
  <c r="F118" i="15"/>
  <c r="G118" i="15" s="1"/>
  <c r="E118" i="15"/>
  <c r="D118" i="15"/>
  <c r="F117" i="15"/>
  <c r="G117" i="15" s="1"/>
  <c r="E117" i="15"/>
  <c r="D117" i="15"/>
  <c r="F116" i="15"/>
  <c r="G116" i="15" s="1"/>
  <c r="E116" i="15"/>
  <c r="D116" i="15"/>
  <c r="F115" i="15"/>
  <c r="G115" i="15" s="1"/>
  <c r="E115" i="15"/>
  <c r="D115" i="15"/>
  <c r="F114" i="15"/>
  <c r="G114" i="15" s="1"/>
  <c r="E114" i="15"/>
  <c r="D114" i="15"/>
  <c r="F113" i="15"/>
  <c r="G113" i="15" s="1"/>
  <c r="E113" i="15"/>
  <c r="D113" i="15"/>
  <c r="F112" i="15"/>
  <c r="G112" i="15" s="1"/>
  <c r="E112" i="15"/>
  <c r="D112" i="15"/>
  <c r="F111" i="15"/>
  <c r="G111" i="15" s="1"/>
  <c r="E111" i="15"/>
  <c r="D111" i="15"/>
  <c r="F110" i="15"/>
  <c r="G110" i="15" s="1"/>
  <c r="E110" i="15"/>
  <c r="D110" i="15"/>
  <c r="F109" i="15"/>
  <c r="G109" i="15" s="1"/>
  <c r="E109" i="15"/>
  <c r="D109" i="15"/>
  <c r="F108" i="15"/>
  <c r="G108" i="15" s="1"/>
  <c r="E108" i="15"/>
  <c r="D108" i="15"/>
  <c r="F107" i="15"/>
  <c r="G107" i="15" s="1"/>
  <c r="E107" i="15"/>
  <c r="D107" i="15"/>
  <c r="F106" i="15"/>
  <c r="G106" i="15" s="1"/>
  <c r="E106" i="15"/>
  <c r="D106" i="15"/>
  <c r="F105" i="15"/>
  <c r="G105" i="15" s="1"/>
  <c r="E105" i="15"/>
  <c r="D105" i="15"/>
  <c r="F104" i="15"/>
  <c r="G104" i="15" s="1"/>
  <c r="E104" i="15"/>
  <c r="D104" i="15"/>
  <c r="F103" i="15"/>
  <c r="G103" i="15" s="1"/>
  <c r="E103" i="15"/>
  <c r="D103" i="15"/>
  <c r="F102" i="15"/>
  <c r="G102" i="15" s="1"/>
  <c r="E102" i="15"/>
  <c r="D102" i="15"/>
  <c r="F101" i="15"/>
  <c r="G101" i="15" s="1"/>
  <c r="E101" i="15"/>
  <c r="D101" i="15"/>
  <c r="F100" i="15"/>
  <c r="G100" i="15" s="1"/>
  <c r="E100" i="15"/>
  <c r="D100" i="15"/>
  <c r="F99" i="15"/>
  <c r="G99" i="15" s="1"/>
  <c r="E99" i="15"/>
  <c r="D99" i="15"/>
  <c r="F98" i="15"/>
  <c r="G98" i="15" s="1"/>
  <c r="E98" i="15"/>
  <c r="D98" i="15"/>
  <c r="F97" i="15"/>
  <c r="G97" i="15" s="1"/>
  <c r="E97" i="15"/>
  <c r="D97" i="15"/>
  <c r="F96" i="15"/>
  <c r="G96" i="15" s="1"/>
  <c r="E96" i="15"/>
  <c r="D96" i="15"/>
  <c r="F95" i="15"/>
  <c r="G95" i="15" s="1"/>
  <c r="E95" i="15"/>
  <c r="D95" i="15"/>
  <c r="F94" i="15"/>
  <c r="G94" i="15" s="1"/>
  <c r="E94" i="15"/>
  <c r="D94" i="15"/>
  <c r="F93" i="15"/>
  <c r="G93" i="15" s="1"/>
  <c r="E93" i="15"/>
  <c r="D93" i="15"/>
  <c r="F92" i="15"/>
  <c r="G92" i="15" s="1"/>
  <c r="E92" i="15"/>
  <c r="D92" i="15"/>
  <c r="F91" i="15"/>
  <c r="G91" i="15" s="1"/>
  <c r="E91" i="15"/>
  <c r="D91" i="15"/>
  <c r="F90" i="15"/>
  <c r="G90" i="15" s="1"/>
  <c r="E90" i="15"/>
  <c r="D90" i="15"/>
  <c r="F89" i="15"/>
  <c r="G89" i="15" s="1"/>
  <c r="E89" i="15"/>
  <c r="D89" i="15"/>
  <c r="F88" i="15"/>
  <c r="G88" i="15" s="1"/>
  <c r="E88" i="15"/>
  <c r="D88" i="15"/>
  <c r="F87" i="15"/>
  <c r="G87" i="15" s="1"/>
  <c r="E87" i="15"/>
  <c r="D87" i="15"/>
  <c r="F86" i="15"/>
  <c r="G86" i="15" s="1"/>
  <c r="E86" i="15"/>
  <c r="D86" i="15"/>
  <c r="F85" i="15"/>
  <c r="G85" i="15" s="1"/>
  <c r="E85" i="15"/>
  <c r="D85" i="15"/>
  <c r="F84" i="15"/>
  <c r="G84" i="15" s="1"/>
  <c r="E84" i="15"/>
  <c r="D84" i="15"/>
  <c r="F83" i="15"/>
  <c r="G83" i="15" s="1"/>
  <c r="E83" i="15"/>
  <c r="D83" i="15"/>
  <c r="F82" i="15"/>
  <c r="G82" i="15" s="1"/>
  <c r="E82" i="15"/>
  <c r="D82" i="15"/>
  <c r="F81" i="15"/>
  <c r="G81" i="15" s="1"/>
  <c r="E81" i="15"/>
  <c r="D81" i="15"/>
  <c r="F80" i="15"/>
  <c r="G80" i="15" s="1"/>
  <c r="E80" i="15"/>
  <c r="D80" i="15"/>
  <c r="F79" i="15"/>
  <c r="G79" i="15" s="1"/>
  <c r="E79" i="15"/>
  <c r="D79" i="15"/>
  <c r="F78" i="15"/>
  <c r="G78" i="15" s="1"/>
  <c r="E78" i="15"/>
  <c r="D78" i="15"/>
  <c r="F77" i="15"/>
  <c r="G77" i="15" s="1"/>
  <c r="E77" i="15"/>
  <c r="D77" i="15"/>
  <c r="F76" i="15"/>
  <c r="G76" i="15" s="1"/>
  <c r="E76" i="15"/>
  <c r="D76" i="15"/>
  <c r="F75" i="15"/>
  <c r="G75" i="15" s="1"/>
  <c r="E75" i="15"/>
  <c r="D75" i="15"/>
  <c r="F74" i="15"/>
  <c r="G74" i="15" s="1"/>
  <c r="E74" i="15"/>
  <c r="D74" i="15"/>
  <c r="F73" i="15"/>
  <c r="G73" i="15" s="1"/>
  <c r="E73" i="15"/>
  <c r="D73" i="15"/>
  <c r="F72" i="15"/>
  <c r="G72" i="15" s="1"/>
  <c r="E72" i="15"/>
  <c r="D72" i="15"/>
  <c r="F71" i="15"/>
  <c r="G71" i="15" s="1"/>
  <c r="E71" i="15"/>
  <c r="D71" i="15"/>
  <c r="F70" i="15"/>
  <c r="G70" i="15" s="1"/>
  <c r="E70" i="15"/>
  <c r="D70" i="15"/>
  <c r="F69" i="15"/>
  <c r="G69" i="15" s="1"/>
  <c r="E69" i="15"/>
  <c r="D69" i="15"/>
  <c r="F68" i="15"/>
  <c r="G68" i="15" s="1"/>
  <c r="E68" i="15"/>
  <c r="D68" i="15"/>
  <c r="F67" i="15"/>
  <c r="G67" i="15" s="1"/>
  <c r="E67" i="15"/>
  <c r="D67" i="15"/>
  <c r="F66" i="15"/>
  <c r="G66" i="15" s="1"/>
  <c r="E66" i="15"/>
  <c r="D66" i="15"/>
  <c r="F65" i="15"/>
  <c r="G65" i="15" s="1"/>
  <c r="E65" i="15"/>
  <c r="D65" i="15"/>
  <c r="F64" i="15"/>
  <c r="G64" i="15" s="1"/>
  <c r="E64" i="15"/>
  <c r="D64" i="15"/>
  <c r="F63" i="15"/>
  <c r="G63" i="15" s="1"/>
  <c r="E63" i="15"/>
  <c r="D63" i="15"/>
  <c r="F62" i="15"/>
  <c r="G62" i="15" s="1"/>
  <c r="E62" i="15"/>
  <c r="D62" i="15"/>
  <c r="F61" i="15"/>
  <c r="G61" i="15" s="1"/>
  <c r="E61" i="15"/>
  <c r="D61" i="15"/>
  <c r="F60" i="15"/>
  <c r="G60" i="15" s="1"/>
  <c r="E60" i="15"/>
  <c r="D60" i="15"/>
  <c r="F59" i="15"/>
  <c r="G59" i="15" s="1"/>
  <c r="E59" i="15"/>
  <c r="D59" i="15"/>
  <c r="F58" i="15"/>
  <c r="G58" i="15" s="1"/>
  <c r="E58" i="15"/>
  <c r="D58" i="15"/>
  <c r="F57" i="15"/>
  <c r="G57" i="15" s="1"/>
  <c r="E57" i="15"/>
  <c r="D57" i="15"/>
  <c r="F56" i="15"/>
  <c r="G56" i="15" s="1"/>
  <c r="E56" i="15"/>
  <c r="D56" i="15"/>
  <c r="F55" i="15"/>
  <c r="G55" i="15" s="1"/>
  <c r="E55" i="15"/>
  <c r="D55" i="15"/>
  <c r="F54" i="15"/>
  <c r="G54" i="15" s="1"/>
  <c r="E54" i="15"/>
  <c r="D54" i="15"/>
  <c r="F53" i="15"/>
  <c r="G53" i="15" s="1"/>
  <c r="E53" i="15"/>
  <c r="D53" i="15"/>
  <c r="F52" i="15"/>
  <c r="G52" i="15" s="1"/>
  <c r="E52" i="15"/>
  <c r="D52" i="15"/>
  <c r="F51" i="15"/>
  <c r="G51" i="15" s="1"/>
  <c r="E51" i="15"/>
  <c r="D51" i="15"/>
  <c r="F50" i="15"/>
  <c r="G50" i="15" s="1"/>
  <c r="E50" i="15"/>
  <c r="D50" i="15"/>
  <c r="F49" i="15"/>
  <c r="G49" i="15" s="1"/>
  <c r="E49" i="15"/>
  <c r="D49" i="15"/>
  <c r="F48" i="15"/>
  <c r="G48" i="15" s="1"/>
  <c r="E48" i="15"/>
  <c r="D48" i="15"/>
  <c r="F47" i="15"/>
  <c r="G47" i="15" s="1"/>
  <c r="E47" i="15"/>
  <c r="D47" i="15"/>
  <c r="F46" i="15"/>
  <c r="G46" i="15" s="1"/>
  <c r="E46" i="15"/>
  <c r="D46" i="15"/>
  <c r="F45" i="15"/>
  <c r="G45" i="15" s="1"/>
  <c r="E45" i="15"/>
  <c r="D45" i="15"/>
  <c r="F44" i="15"/>
  <c r="G44" i="15" s="1"/>
  <c r="E44" i="15"/>
  <c r="D44" i="15"/>
  <c r="F43" i="15"/>
  <c r="G43" i="15" s="1"/>
  <c r="E43" i="15"/>
  <c r="D43" i="15"/>
  <c r="F42" i="15"/>
  <c r="G42" i="15" s="1"/>
  <c r="E42" i="15"/>
  <c r="D42" i="15"/>
  <c r="F41" i="15"/>
  <c r="G41" i="15" s="1"/>
  <c r="E41" i="15"/>
  <c r="D41" i="15"/>
  <c r="F40" i="15"/>
  <c r="G40" i="15" s="1"/>
  <c r="E40" i="15"/>
  <c r="D40" i="15"/>
  <c r="F39" i="15"/>
  <c r="G39" i="15" s="1"/>
  <c r="E39" i="15"/>
  <c r="D39" i="15"/>
  <c r="F38" i="15"/>
  <c r="G38" i="15" s="1"/>
  <c r="E38" i="15"/>
  <c r="D38" i="15"/>
  <c r="F37" i="15"/>
  <c r="G37" i="15" s="1"/>
  <c r="E37" i="15"/>
  <c r="D37" i="15"/>
  <c r="F36" i="15"/>
  <c r="G36" i="15" s="1"/>
  <c r="E36" i="15"/>
  <c r="D36" i="15"/>
  <c r="F35" i="15"/>
  <c r="G35" i="15" s="1"/>
  <c r="E35" i="15"/>
  <c r="D35" i="15"/>
  <c r="F34" i="15"/>
  <c r="G34" i="15" s="1"/>
  <c r="E34" i="15"/>
  <c r="D34" i="15"/>
  <c r="F33" i="15"/>
  <c r="G33" i="15" s="1"/>
  <c r="E33" i="15"/>
  <c r="D33" i="15"/>
  <c r="F32" i="15"/>
  <c r="G32" i="15" s="1"/>
  <c r="E32" i="15"/>
  <c r="D32" i="15"/>
  <c r="F31" i="15"/>
  <c r="G31" i="15" s="1"/>
  <c r="E31" i="15"/>
  <c r="D31" i="15"/>
  <c r="F30" i="15"/>
  <c r="G30" i="15" s="1"/>
  <c r="E30" i="15"/>
  <c r="D30" i="15"/>
  <c r="F29" i="15"/>
  <c r="G29" i="15" s="1"/>
  <c r="E29" i="15"/>
  <c r="D29" i="15"/>
  <c r="F28" i="15"/>
  <c r="G28" i="15" s="1"/>
  <c r="E28" i="15"/>
  <c r="D28" i="15"/>
  <c r="F27" i="15"/>
  <c r="G27" i="15" s="1"/>
  <c r="E27" i="15"/>
  <c r="D27" i="15"/>
  <c r="F26" i="15"/>
  <c r="G26" i="15" s="1"/>
  <c r="E26" i="15"/>
  <c r="D26" i="15"/>
  <c r="F25" i="15"/>
  <c r="G25" i="15" s="1"/>
  <c r="E25" i="15"/>
  <c r="D25" i="15"/>
  <c r="F24" i="15"/>
  <c r="G24" i="15" s="1"/>
  <c r="E24" i="15"/>
  <c r="D24" i="15"/>
  <c r="F23" i="15"/>
  <c r="G23" i="15" s="1"/>
  <c r="E23" i="15"/>
  <c r="D23" i="15"/>
  <c r="F22" i="15"/>
  <c r="G22" i="15" s="1"/>
  <c r="E22" i="15"/>
  <c r="D22" i="15"/>
  <c r="F21" i="15"/>
  <c r="G21" i="15" s="1"/>
  <c r="E21" i="15"/>
  <c r="D21" i="15"/>
  <c r="F20" i="15"/>
  <c r="G20" i="15" s="1"/>
  <c r="E20" i="15"/>
  <c r="D20" i="15"/>
  <c r="F19" i="15"/>
  <c r="G19" i="15" s="1"/>
  <c r="E19" i="15"/>
  <c r="D19" i="15"/>
  <c r="F18" i="15"/>
  <c r="G18" i="15" s="1"/>
  <c r="E18" i="15"/>
  <c r="D18" i="15"/>
  <c r="F17" i="15"/>
  <c r="G17" i="15" s="1"/>
  <c r="E17" i="15"/>
  <c r="D17" i="15"/>
  <c r="F16" i="15"/>
  <c r="G16" i="15" s="1"/>
  <c r="E16" i="15"/>
  <c r="D16" i="15"/>
  <c r="F15" i="15"/>
  <c r="G15" i="15" s="1"/>
  <c r="E15" i="15"/>
  <c r="D15" i="15"/>
  <c r="F14" i="15"/>
  <c r="G14" i="15" s="1"/>
  <c r="E14" i="15"/>
  <c r="D14" i="15"/>
  <c r="F13" i="15"/>
  <c r="G13" i="15" s="1"/>
  <c r="E13" i="15"/>
  <c r="D13" i="15"/>
  <c r="F12" i="15"/>
  <c r="G12" i="15" s="1"/>
  <c r="E12" i="15"/>
  <c r="D12" i="15"/>
  <c r="F11" i="15"/>
  <c r="G11" i="15" s="1"/>
  <c r="E11" i="15"/>
  <c r="D11" i="15"/>
  <c r="F10" i="15"/>
  <c r="G10" i="15" s="1"/>
  <c r="E10" i="15"/>
  <c r="D10" i="15"/>
  <c r="F9" i="15"/>
  <c r="G9" i="15" s="1"/>
  <c r="E9" i="15"/>
  <c r="D9" i="15"/>
  <c r="F8" i="15"/>
  <c r="G8" i="15" s="1"/>
  <c r="E8" i="15"/>
  <c r="D8" i="15"/>
  <c r="F7" i="15"/>
  <c r="G7" i="15" s="1"/>
  <c r="E7" i="15"/>
  <c r="D7" i="15"/>
  <c r="F6" i="15"/>
  <c r="G6" i="15" s="1"/>
  <c r="E6" i="15"/>
  <c r="D6" i="15"/>
  <c r="F5" i="15"/>
  <c r="G5" i="15" s="1"/>
  <c r="E5" i="15"/>
  <c r="D5" i="15"/>
  <c r="F4" i="15"/>
  <c r="G4" i="15" s="1"/>
  <c r="E4" i="15"/>
  <c r="D4" i="15"/>
  <c r="F3" i="15"/>
  <c r="G3" i="15" s="1"/>
  <c r="E3" i="15"/>
  <c r="D3" i="15"/>
  <c r="G2" i="15"/>
  <c r="E2" i="15"/>
  <c r="D2" i="15"/>
</calcChain>
</file>

<file path=xl/sharedStrings.xml><?xml version="1.0" encoding="utf-8"?>
<sst xmlns="http://schemas.openxmlformats.org/spreadsheetml/2006/main" count="16766" uniqueCount="4110">
  <si>
    <t>VHCL_MAKER_ARBC_NAME</t>
  </si>
  <si>
    <t>VHCL_MODEL_ARBC_NAME</t>
  </si>
  <si>
    <t>VHCL_STYLE_ARBC_NAME</t>
  </si>
  <si>
    <t>اشوك ليلاند</t>
  </si>
  <si>
    <t>اويستر</t>
  </si>
  <si>
    <t>باص ركاب</t>
  </si>
  <si>
    <t>فالكون</t>
  </si>
  <si>
    <t>ايسوزو</t>
  </si>
  <si>
    <t>-</t>
  </si>
  <si>
    <t>ان ام آر 71 اتش 22</t>
  </si>
  <si>
    <t>ان ام ار 71 اي 22</t>
  </si>
  <si>
    <t>ان بي ار71 كيه نصف نقل ش</t>
  </si>
  <si>
    <t>ان كيو ار 75 ال 24</t>
  </si>
  <si>
    <t>بكب غمارتين</t>
  </si>
  <si>
    <t>بكب غمارتين دبل</t>
  </si>
  <si>
    <t>سي واي زد 51 بي - 07</t>
  </si>
  <si>
    <t>قلاب</t>
  </si>
  <si>
    <t>نصف نقل</t>
  </si>
  <si>
    <t>دي ماكس  4*4</t>
  </si>
  <si>
    <t>دي ماكس 4*4</t>
  </si>
  <si>
    <t>دينا صندوق</t>
  </si>
  <si>
    <t>ان كيو ار 75 ال شاسيه دي</t>
  </si>
  <si>
    <t>ايشر</t>
  </si>
  <si>
    <t>20.15</t>
  </si>
  <si>
    <t>بورش</t>
  </si>
  <si>
    <t>بانوميرا</t>
  </si>
  <si>
    <t>كايمان</t>
  </si>
  <si>
    <t>تويوتا</t>
  </si>
  <si>
    <t>افالون</t>
  </si>
  <si>
    <t>اكس ال  سيدان</t>
  </si>
  <si>
    <t>ليمتد</t>
  </si>
  <si>
    <t>افانزا</t>
  </si>
  <si>
    <t>استاندرد اوتوماتيك</t>
  </si>
  <si>
    <t>بريوس</t>
  </si>
  <si>
    <t>هاتش باك هجين</t>
  </si>
  <si>
    <t>اف جيه كروزر</t>
  </si>
  <si>
    <t>هايس</t>
  </si>
  <si>
    <t>كامري</t>
  </si>
  <si>
    <t>جي ال أتوماتيك</t>
  </si>
  <si>
    <t>جي ال اكس فتحة سقف اتو</t>
  </si>
  <si>
    <t>لكزس</t>
  </si>
  <si>
    <t>آر اكس 350 جيب</t>
  </si>
  <si>
    <t>ار اكس  350</t>
  </si>
  <si>
    <t>معده</t>
  </si>
  <si>
    <t>25 جي اف 32.8</t>
  </si>
  <si>
    <t>هاى اس</t>
  </si>
  <si>
    <t>سقف عالي</t>
  </si>
  <si>
    <t>فان بضاعة</t>
  </si>
  <si>
    <t>يارس</t>
  </si>
  <si>
    <t>1.3</t>
  </si>
  <si>
    <t>واي  1.3</t>
  </si>
  <si>
    <t>واي اكس 1.3</t>
  </si>
  <si>
    <t>يارس 1.3</t>
  </si>
  <si>
    <t>جنرال موتورز</t>
  </si>
  <si>
    <t>كاديلاك</t>
  </si>
  <si>
    <t>اسكاليد</t>
  </si>
  <si>
    <t>جيانج لنج موتورز</t>
  </si>
  <si>
    <t>جى ام سي</t>
  </si>
  <si>
    <t>جيه اكس 1021 دي بي</t>
  </si>
  <si>
    <t>جيه ام سي</t>
  </si>
  <si>
    <t>بوردنق</t>
  </si>
  <si>
    <t>جيه اكس1021 دي اس اتش</t>
  </si>
  <si>
    <t>دودج</t>
  </si>
  <si>
    <t>رام</t>
  </si>
  <si>
    <t>1200</t>
  </si>
  <si>
    <t>دوسان</t>
  </si>
  <si>
    <t>معدة</t>
  </si>
  <si>
    <t>دي30جي</t>
  </si>
  <si>
    <t>رينو</t>
  </si>
  <si>
    <t>شاحنه</t>
  </si>
  <si>
    <t>سي 460</t>
  </si>
  <si>
    <t>سوزوكى</t>
  </si>
  <si>
    <t>ايه بى فى - فان بضائع</t>
  </si>
  <si>
    <t>فورد</t>
  </si>
  <si>
    <t>تورس</t>
  </si>
  <si>
    <t>إس  إي</t>
  </si>
  <si>
    <t>اس اي</t>
  </si>
  <si>
    <t>اس اي ال</t>
  </si>
  <si>
    <t>اس اي ال أ دبليو د</t>
  </si>
  <si>
    <t>اس ايى ال اف دبليو د</t>
  </si>
  <si>
    <t>فولفو</t>
  </si>
  <si>
    <t>إف اتش 12  4*2</t>
  </si>
  <si>
    <t>فيات كرايسلر</t>
  </si>
  <si>
    <t>رام 1200 4*2</t>
  </si>
  <si>
    <t>رام 1200 4*4</t>
  </si>
  <si>
    <t>كتربلر</t>
  </si>
  <si>
    <t>262</t>
  </si>
  <si>
    <t>216 بي</t>
  </si>
  <si>
    <t>سي بي 14 بي</t>
  </si>
  <si>
    <t>246</t>
  </si>
  <si>
    <t>422 اف</t>
  </si>
  <si>
    <t>428أف</t>
  </si>
  <si>
    <t>دي بي 30 ان تي</t>
  </si>
  <si>
    <t>لاندروفر</t>
  </si>
  <si>
    <t>رانج روفر اتش اس اي</t>
  </si>
  <si>
    <t>رانج روفر سبورت اتش اس</t>
  </si>
  <si>
    <t>مازيراتي</t>
  </si>
  <si>
    <t>كواتروبورتي</t>
  </si>
  <si>
    <t>مان</t>
  </si>
  <si>
    <t>راس تريلا</t>
  </si>
  <si>
    <t>تي جي اكس 18.440</t>
  </si>
  <si>
    <t>مجموعة كرايسلر</t>
  </si>
  <si>
    <t>جيب</t>
  </si>
  <si>
    <t>رنجلر صحارى انليمتد 4×</t>
  </si>
  <si>
    <t>مرسيدس</t>
  </si>
  <si>
    <t>اكتروس</t>
  </si>
  <si>
    <t>1842ال اس</t>
  </si>
  <si>
    <t>بنز</t>
  </si>
  <si>
    <t>اي 200</t>
  </si>
  <si>
    <t>1843</t>
  </si>
  <si>
    <t>1845</t>
  </si>
  <si>
    <t>ميتسوبيشي</t>
  </si>
  <si>
    <t>باجيرو</t>
  </si>
  <si>
    <t>جي ال اس 4*4</t>
  </si>
  <si>
    <t>شاحنة</t>
  </si>
  <si>
    <t>فوزو اف ام 618 ال اتش</t>
  </si>
  <si>
    <t>فوزو اف ام 658 ام ال</t>
  </si>
  <si>
    <t>فوزو</t>
  </si>
  <si>
    <t>كانتر اف اي 84 سي اي</t>
  </si>
  <si>
    <t>كانتر اف اي 84 سي جي 6ال</t>
  </si>
  <si>
    <t>نيسان</t>
  </si>
  <si>
    <t>انفينيتي</t>
  </si>
  <si>
    <t>كيو 50</t>
  </si>
  <si>
    <t>هونداي</t>
  </si>
  <si>
    <t>يونيفرس</t>
  </si>
  <si>
    <t>الفا روميو</t>
  </si>
  <si>
    <t>جوليا</t>
  </si>
  <si>
    <t>اودي</t>
  </si>
  <si>
    <t>ار اس 3 2.5</t>
  </si>
  <si>
    <t>ار8 5.2</t>
  </si>
  <si>
    <t>اس 3</t>
  </si>
  <si>
    <t>اية 5</t>
  </si>
  <si>
    <t>اية 6</t>
  </si>
  <si>
    <t>ايه 3 -1.4</t>
  </si>
  <si>
    <t>ايه 4</t>
  </si>
  <si>
    <t>ايه 8 هايبرد</t>
  </si>
  <si>
    <t>كيو2 -1.4</t>
  </si>
  <si>
    <t>كيو5 -2.0</t>
  </si>
  <si>
    <t>كيو7 -2.0</t>
  </si>
  <si>
    <t>كيو7-3.0</t>
  </si>
  <si>
    <t>ام يو اكس- دبل - ديزل</t>
  </si>
  <si>
    <t>نقل صغير</t>
  </si>
  <si>
    <t>ام يو -اكس  4*4</t>
  </si>
  <si>
    <t>ام يو -اكس 4*2</t>
  </si>
  <si>
    <t>ان ام ار 85 اي  4*2</t>
  </si>
  <si>
    <t>ان بي ار 75 اف-اتش قلاب</t>
  </si>
  <si>
    <t>ان كيو ار 90 ال 4*2</t>
  </si>
  <si>
    <t>دي ماكس  4*2</t>
  </si>
  <si>
    <t>دي ماكس 4*2</t>
  </si>
  <si>
    <t>روديو</t>
  </si>
  <si>
    <t>ان بي ار 75 كيه-اتش 4×2</t>
  </si>
  <si>
    <t>911 جي تي 2 ار اس</t>
  </si>
  <si>
    <t>911 جي تي3</t>
  </si>
  <si>
    <t>باناميرا بيسك</t>
  </si>
  <si>
    <t>بانوميرا 4 اس</t>
  </si>
  <si>
    <t>كايين اس</t>
  </si>
  <si>
    <t>كايين بيسك</t>
  </si>
  <si>
    <t>ماكان</t>
  </si>
  <si>
    <t>بى ام دبليو</t>
  </si>
  <si>
    <t>318 اي</t>
  </si>
  <si>
    <t>520 اي</t>
  </si>
  <si>
    <t>530 اي</t>
  </si>
  <si>
    <t>730 ال اي</t>
  </si>
  <si>
    <t>740 ال اي</t>
  </si>
  <si>
    <t>آي 320</t>
  </si>
  <si>
    <t>اكس 3  30اي</t>
  </si>
  <si>
    <t>اكس 4-28أي</t>
  </si>
  <si>
    <t>اكس 5-35 اي</t>
  </si>
  <si>
    <t>اكس 6-35 اي</t>
  </si>
  <si>
    <t>اكس2 20 اي</t>
  </si>
  <si>
    <t>بيجو أتوموبيل</t>
  </si>
  <si>
    <t>بيجو</t>
  </si>
  <si>
    <t>بوكسر</t>
  </si>
  <si>
    <t>بيجو 3008 جي تي لاين هات</t>
  </si>
  <si>
    <t>بينتلي</t>
  </si>
  <si>
    <t>فلاينج سبير في 8</t>
  </si>
  <si>
    <t>اكس ال اوتوماتيك</t>
  </si>
  <si>
    <t>انوفا</t>
  </si>
  <si>
    <t>اكس ال</t>
  </si>
  <si>
    <t>برادو</t>
  </si>
  <si>
    <t>تي اكس ديزل</t>
  </si>
  <si>
    <t>إنوفا</t>
  </si>
  <si>
    <t>فورتشنر</t>
  </si>
  <si>
    <t>فورتشنر 4*4</t>
  </si>
  <si>
    <t>كامري 2.5 لتر</t>
  </si>
  <si>
    <t>كامري 2.5 لتر هايبرد</t>
  </si>
  <si>
    <t>كامري 3.5 لتر</t>
  </si>
  <si>
    <t>كوستر</t>
  </si>
  <si>
    <t>لاندكروزر</t>
  </si>
  <si>
    <t>لاندكروزر ديزل عادي</t>
  </si>
  <si>
    <t>هايس   جير اوتوماتيك</t>
  </si>
  <si>
    <t>هايس 4*2</t>
  </si>
  <si>
    <t>راف فور</t>
  </si>
  <si>
    <t>4*4</t>
  </si>
  <si>
    <t>رافعة شوكية</t>
  </si>
  <si>
    <t>8 اف بي اي 15</t>
  </si>
  <si>
    <t>جي اكس 1</t>
  </si>
  <si>
    <t>جي اكس 2</t>
  </si>
  <si>
    <t>جيب 4*2 اتوماتيك</t>
  </si>
  <si>
    <t>دفع رباعي اوتوماتيك ب</t>
  </si>
  <si>
    <t>في اكس 1</t>
  </si>
  <si>
    <t>في اكس 2</t>
  </si>
  <si>
    <t>كورولا</t>
  </si>
  <si>
    <t>اكس ال اي 1.6 اوتوماتيك</t>
  </si>
  <si>
    <t>اكس ال اي 1.6 عادي</t>
  </si>
  <si>
    <t>اكس ال اي 2.0 اوتوماتيك</t>
  </si>
  <si>
    <t>جي ال اي 1.6 اوتوماتيك</t>
  </si>
  <si>
    <t>جي ال اي 2.0 اوتوماتيك</t>
  </si>
  <si>
    <t>برادو تي اكس</t>
  </si>
  <si>
    <t>برادو تي اكس ال</t>
  </si>
  <si>
    <t>برادو تي اكس ال اتومات</t>
  </si>
  <si>
    <t>برادو في اكس</t>
  </si>
  <si>
    <t>بكب</t>
  </si>
  <si>
    <t>جي اكس آر 1</t>
  </si>
  <si>
    <t>جي اكس آر 2</t>
  </si>
  <si>
    <t>جي اكس آر ديزل</t>
  </si>
  <si>
    <t>جي اكس ار</t>
  </si>
  <si>
    <t>ديلوكس طويل</t>
  </si>
  <si>
    <t>في اكس ار</t>
  </si>
  <si>
    <t>قصير</t>
  </si>
  <si>
    <t>570 ال اكس</t>
  </si>
  <si>
    <t>ار اكس 350 ال</t>
  </si>
  <si>
    <t>ار اكس 450 اتش</t>
  </si>
  <si>
    <t>ار اكس 450 اتش ال</t>
  </si>
  <si>
    <t>ال اس 350</t>
  </si>
  <si>
    <t>ال اس 500</t>
  </si>
  <si>
    <t>ال اس 500 اتش</t>
  </si>
  <si>
    <t>ان اكس 300</t>
  </si>
  <si>
    <t>اي اس 250</t>
  </si>
  <si>
    <t>اي اس 300</t>
  </si>
  <si>
    <t>اي اس350</t>
  </si>
  <si>
    <t>ايه اس 350</t>
  </si>
  <si>
    <t>جي اس 350</t>
  </si>
  <si>
    <t>جي اس 450 اتش</t>
  </si>
  <si>
    <t>جي اكس 460    4.6لتر</t>
  </si>
  <si>
    <t>30دي اف 62.8</t>
  </si>
  <si>
    <t>8 اف بي إي 20</t>
  </si>
  <si>
    <t>8 اف بي ان 25</t>
  </si>
  <si>
    <t>ان 45 دي اف 8</t>
  </si>
  <si>
    <t>هايلكس</t>
  </si>
  <si>
    <t>2.4 سوبر جي ال اكس دفع ر</t>
  </si>
  <si>
    <t>2.7  جي ال اكس دفع ثنائي</t>
  </si>
  <si>
    <t>2.7 سوبر جي ال اكس دفع ر</t>
  </si>
  <si>
    <t>بكب غمارة طويل 2700 سي س</t>
  </si>
  <si>
    <t>بكب غمارة قصير 2700 سي س</t>
  </si>
  <si>
    <t>بكب غماره بنزين2700 سي س</t>
  </si>
  <si>
    <t>تي ار دي</t>
  </si>
  <si>
    <t>جي ال 2</t>
  </si>
  <si>
    <t>جي ال 2.4</t>
  </si>
  <si>
    <t>جي ال اكس</t>
  </si>
  <si>
    <t>سوبر جي ال اكس</t>
  </si>
  <si>
    <t>سوبر جي ال اكس 2.4 اتوما</t>
  </si>
  <si>
    <t>غمارة بكب 2000 سي سي/ جي</t>
  </si>
  <si>
    <t>واي 1.5</t>
  </si>
  <si>
    <t>واي اتوماتيك</t>
  </si>
  <si>
    <t>واي اكس 1.5</t>
  </si>
  <si>
    <t>جاكور</t>
  </si>
  <si>
    <t>اف بيس ار سبورت</t>
  </si>
  <si>
    <t>اف تايب ار داينمك</t>
  </si>
  <si>
    <t>اكس اف برستيج</t>
  </si>
  <si>
    <t>اي-بيس ار داينمك اس</t>
  </si>
  <si>
    <t>شيفروليه سلفرادو</t>
  </si>
  <si>
    <t>اكس ال 4×2</t>
  </si>
  <si>
    <t>اكس ال 4×4</t>
  </si>
  <si>
    <t>اكيديا</t>
  </si>
  <si>
    <t>بكب غمارة</t>
  </si>
  <si>
    <t>تيرين</t>
  </si>
  <si>
    <t>سافانا</t>
  </si>
  <si>
    <t>سافانا 2500</t>
  </si>
  <si>
    <t>سيرا 4*4</t>
  </si>
  <si>
    <t>سيرا بكب</t>
  </si>
  <si>
    <t>يوكون  إكس  إل</t>
  </si>
  <si>
    <t>يوكون 4*2</t>
  </si>
  <si>
    <t>يوكون 4*4</t>
  </si>
  <si>
    <t>يوكون اكس ال دينالي</t>
  </si>
  <si>
    <t>يوكون دينالي</t>
  </si>
  <si>
    <t>شفرولية</t>
  </si>
  <si>
    <t>اكوينوكس ال اس</t>
  </si>
  <si>
    <t>امبالا ال اس</t>
  </si>
  <si>
    <t>امبالا ال تي</t>
  </si>
  <si>
    <t>امبالا ال تي زد</t>
  </si>
  <si>
    <t>ايكو نكس ال اس</t>
  </si>
  <si>
    <t>ايكونكس ال تي</t>
  </si>
  <si>
    <t>تاهو 4*2</t>
  </si>
  <si>
    <t>تاهو 4×4</t>
  </si>
  <si>
    <t>ترافيرس ال اس</t>
  </si>
  <si>
    <t>ترافيرس ال تي</t>
  </si>
  <si>
    <t>سبارك</t>
  </si>
  <si>
    <t>سوبربان 1500 4*2</t>
  </si>
  <si>
    <t>سوبربان 1500 4*4</t>
  </si>
  <si>
    <t>سيلفرادو</t>
  </si>
  <si>
    <t>كومارو</t>
  </si>
  <si>
    <t>ماليبو ال اس</t>
  </si>
  <si>
    <t>ماليبو ال تي</t>
  </si>
  <si>
    <t>ماليبو ال تي زد</t>
  </si>
  <si>
    <t>اسكاليد 4*4</t>
  </si>
  <si>
    <t>اكس تي 5</t>
  </si>
  <si>
    <t>ايه تي اس</t>
  </si>
  <si>
    <t>سي تي 6</t>
  </si>
  <si>
    <t>سي تي اس</t>
  </si>
  <si>
    <t>جيلي</t>
  </si>
  <si>
    <t>اميجراند</t>
  </si>
  <si>
    <t>اكس 7 سبورت</t>
  </si>
  <si>
    <t>نيون</t>
  </si>
  <si>
    <t>دي 70اس-5</t>
  </si>
  <si>
    <t>دي ال 420ايه</t>
  </si>
  <si>
    <t>دوليفو إنترنشونل</t>
  </si>
  <si>
    <t>دوليفو انتلرناشيونال</t>
  </si>
  <si>
    <t>3000 ريفوليوشن</t>
  </si>
  <si>
    <t>عربة تنظيف</t>
  </si>
  <si>
    <t>5000 ايفل ويشن إي يو4</t>
  </si>
  <si>
    <t>رولزرويس</t>
  </si>
  <si>
    <t>ريث</t>
  </si>
  <si>
    <t>رولزرويس-بنتلي</t>
  </si>
  <si>
    <t>بنتلي</t>
  </si>
  <si>
    <t>بنتايجا دبليو12</t>
  </si>
  <si>
    <t>مولسان</t>
  </si>
  <si>
    <t>دوكار</t>
  </si>
  <si>
    <t>فان 1.6</t>
  </si>
  <si>
    <t>ميغان</t>
  </si>
  <si>
    <t>اي 1.6  اوتوماتيك</t>
  </si>
  <si>
    <t>سايك موتور</t>
  </si>
  <si>
    <t>ام جي 360</t>
  </si>
  <si>
    <t>سوبارو</t>
  </si>
  <si>
    <t>اكس في</t>
  </si>
  <si>
    <t>سويد</t>
  </si>
  <si>
    <t>إس دي 125</t>
  </si>
  <si>
    <t>شانجان انترناشيونال ك</t>
  </si>
  <si>
    <t>شانجان</t>
  </si>
  <si>
    <t>إي اي دي او</t>
  </si>
  <si>
    <t>سي اس 35</t>
  </si>
  <si>
    <t>سي اس 75</t>
  </si>
  <si>
    <t>اف 150 4×4 وانيت</t>
  </si>
  <si>
    <t>اف 150 4×4 وانيت رابتور</t>
  </si>
  <si>
    <t>إف 150 4×4</t>
  </si>
  <si>
    <t>وانيت</t>
  </si>
  <si>
    <t>إيدج  كي  4  جي</t>
  </si>
  <si>
    <t>إس إيه  إل</t>
  </si>
  <si>
    <t>اكسبديشن</t>
  </si>
  <si>
    <t>أكس أل تي 4×2 3.5 لتر</t>
  </si>
  <si>
    <t>أكس أل تي 4×4 3.5 لتر</t>
  </si>
  <si>
    <t>أكس أل تي ال 4×4 3.5 لتر</t>
  </si>
  <si>
    <t>اكس ال 2×4</t>
  </si>
  <si>
    <t>ليمتيد 4×4 3.5 لتر</t>
  </si>
  <si>
    <t>اكسبلورار</t>
  </si>
  <si>
    <t>كي 8دي إكس ال تي</t>
  </si>
  <si>
    <t>اكسبيديشن يو1ام</t>
  </si>
  <si>
    <t>بلانتيوم4×4</t>
  </si>
  <si>
    <t>ال تي دي اف دبليو د</t>
  </si>
  <si>
    <t>بي 2 اف</t>
  </si>
  <si>
    <t>اف 150</t>
  </si>
  <si>
    <t>اف 150 غمارتين 4*4</t>
  </si>
  <si>
    <t>اكسبلورر اكس ال تي</t>
  </si>
  <si>
    <t>فولكس واجن</t>
  </si>
  <si>
    <t>أرتيون ار لاين 4×4</t>
  </si>
  <si>
    <t>ارتيون اليجانس  4*2</t>
  </si>
  <si>
    <t>باسات اس</t>
  </si>
  <si>
    <t>باسات اس اي</t>
  </si>
  <si>
    <t>باسات اس اي ال</t>
  </si>
  <si>
    <t>باسات سبورت</t>
  </si>
  <si>
    <t>تيجوان اس اي</t>
  </si>
  <si>
    <t>تيجوان اس اي ال</t>
  </si>
  <si>
    <t>تيجوان سبورت</t>
  </si>
  <si>
    <t>تيرامونت اس اي 4×4</t>
  </si>
  <si>
    <t>تيرامونت اس اي ال 4×4</t>
  </si>
  <si>
    <t>طوارق  كومفرت لاين 4×4</t>
  </si>
  <si>
    <t>طوارق هاي لاين 4×4</t>
  </si>
  <si>
    <t>جولف</t>
  </si>
  <si>
    <t>جي تي اي  4*2  4ابواب</t>
  </si>
  <si>
    <t>فيرارى + مازيراتي الاي</t>
  </si>
  <si>
    <t>فيراري</t>
  </si>
  <si>
    <t>812 سوبرفاست</t>
  </si>
  <si>
    <t>14ال</t>
  </si>
  <si>
    <t>226بي</t>
  </si>
  <si>
    <t>745 سي</t>
  </si>
  <si>
    <t>966 ال</t>
  </si>
  <si>
    <t>بي ام 620</t>
  </si>
  <si>
    <t>جي بي 25 أن تي</t>
  </si>
  <si>
    <t>جي بي 30 ان تي</t>
  </si>
  <si>
    <t>دي 8 ار</t>
  </si>
  <si>
    <t>دي 9 ار</t>
  </si>
  <si>
    <t>دي بي 25 ان تي</t>
  </si>
  <si>
    <t>دي بي 50 سي ان تي</t>
  </si>
  <si>
    <t>سي بي 2.7</t>
  </si>
  <si>
    <t>كيا موتورز</t>
  </si>
  <si>
    <t>ريو</t>
  </si>
  <si>
    <t>كيا ريو</t>
  </si>
  <si>
    <t>كيا</t>
  </si>
  <si>
    <t>اسبورتاج</t>
  </si>
  <si>
    <t>اوبتما</t>
  </si>
  <si>
    <t>ستينجر</t>
  </si>
  <si>
    <t>سورينتو يو ام</t>
  </si>
  <si>
    <t>كادنزا</t>
  </si>
  <si>
    <t>كرنفال</t>
  </si>
  <si>
    <t>موهافي</t>
  </si>
  <si>
    <t>كيس</t>
  </si>
  <si>
    <t>570 تي</t>
  </si>
  <si>
    <t>رانج روفر</t>
  </si>
  <si>
    <t>ايفوك اس اي  بلس</t>
  </si>
  <si>
    <t>فيلار ار داينمك اس</t>
  </si>
  <si>
    <t>فيلار ار- داينمك  اس اي</t>
  </si>
  <si>
    <t>فيلار فيرست اديشن</t>
  </si>
  <si>
    <t>ديسكفري اتش اس اي  2لتر</t>
  </si>
  <si>
    <t>ديسكفري سبورت اتش اس ا</t>
  </si>
  <si>
    <t>رانج روفر اوتو بيجراف</t>
  </si>
  <si>
    <t>رانج روفر فوق</t>
  </si>
  <si>
    <t>رانج روفر فوق اس اي</t>
  </si>
  <si>
    <t>لمبرغينى</t>
  </si>
  <si>
    <t>لمرغيني افنتادور اس ك</t>
  </si>
  <si>
    <t>مازدا</t>
  </si>
  <si>
    <t>3</t>
  </si>
  <si>
    <t>6</t>
  </si>
  <si>
    <t>سي اكس -5</t>
  </si>
  <si>
    <t>سي اكس -9  4*4</t>
  </si>
  <si>
    <t>سي اكس -9 4×2</t>
  </si>
  <si>
    <t>سي اكس 3 4*2</t>
  </si>
  <si>
    <t>ليفانتي</t>
  </si>
  <si>
    <t>جراند شروكي لاريدو 4×4</t>
  </si>
  <si>
    <t>جراند شروكي ليمتد 4×4</t>
  </si>
  <si>
    <t>جراند شيروكي 4*4</t>
  </si>
  <si>
    <t>جراند شيروكي صمت 4×4</t>
  </si>
  <si>
    <t>رانجلر انليمتيد</t>
  </si>
  <si>
    <t>رانجلر انليميتد</t>
  </si>
  <si>
    <t>رانجلر بابين</t>
  </si>
  <si>
    <t>رانجلر سبورت 4×4</t>
  </si>
  <si>
    <t>رانجلر ليمتد اتوماتيك</t>
  </si>
  <si>
    <t>تشارجر 6.4</t>
  </si>
  <si>
    <t>درانجو أر تي 4×4</t>
  </si>
  <si>
    <t>دور انجو اس ار تي</t>
  </si>
  <si>
    <t>دور انجو اكسبرس 4×4</t>
  </si>
  <si>
    <t>دور انجو4×2</t>
  </si>
  <si>
    <t>شارجر ار تي</t>
  </si>
  <si>
    <t>شارجر اس ايه اكسبرس</t>
  </si>
  <si>
    <t>شارجر اس ايه لوكس</t>
  </si>
  <si>
    <t>شالنجر أرتي</t>
  </si>
  <si>
    <t>شالنجر اس ار تي</t>
  </si>
  <si>
    <t>شالنجر اس ايه</t>
  </si>
  <si>
    <t xml:space="preserve"> 1500 غمارتين</t>
  </si>
  <si>
    <t>1500 غمارة</t>
  </si>
  <si>
    <t>كرايسلر</t>
  </si>
  <si>
    <t>300</t>
  </si>
  <si>
    <t>300 اس</t>
  </si>
  <si>
    <t>300 سي</t>
  </si>
  <si>
    <t>300 سي اس ار تي 8</t>
  </si>
  <si>
    <t>300 ليمتد</t>
  </si>
  <si>
    <t>باسيفيكا</t>
  </si>
  <si>
    <t>جيب جراند شيروكي</t>
  </si>
  <si>
    <t>180 سي</t>
  </si>
  <si>
    <t>200 سي</t>
  </si>
  <si>
    <t>إي 200</t>
  </si>
  <si>
    <t>إي 300</t>
  </si>
  <si>
    <t>اس 450</t>
  </si>
  <si>
    <t>اس 560 فورماتيك</t>
  </si>
  <si>
    <t>اس 63 ايه ام جي</t>
  </si>
  <si>
    <t>اس 650 مايباخ</t>
  </si>
  <si>
    <t>اي 300</t>
  </si>
  <si>
    <t>اي 400 فورماتيك</t>
  </si>
  <si>
    <t>ايه ام جي  اي 63 اس فورم</t>
  </si>
  <si>
    <t>ايه ام جي سي 63 اس</t>
  </si>
  <si>
    <t>جي إل إيه 250 فور ماتيك</t>
  </si>
  <si>
    <t>جي ال إي 400 فورماتيك</t>
  </si>
  <si>
    <t>جي ال إي 43</t>
  </si>
  <si>
    <t>جي ال اس 500</t>
  </si>
  <si>
    <t>جي ال اي 63 اس اية ام جي</t>
  </si>
  <si>
    <t>جي ال سي 250 فورماتيك</t>
  </si>
  <si>
    <t>جي ال سي 300  فورماتيك</t>
  </si>
  <si>
    <t>جي500ال</t>
  </si>
  <si>
    <t>سي 200</t>
  </si>
  <si>
    <t>سي ال ايه 250 فورماتيك</t>
  </si>
  <si>
    <t>سيتارو  سي 2  2×4</t>
  </si>
  <si>
    <t>سيتارو جي سي 2</t>
  </si>
  <si>
    <t>في 250</t>
  </si>
  <si>
    <t>زيتروس</t>
  </si>
  <si>
    <t>4800 اي 2733</t>
  </si>
  <si>
    <t>اتراج</t>
  </si>
  <si>
    <t>اوتلاندر 4×4</t>
  </si>
  <si>
    <t>سبيس ستار</t>
  </si>
  <si>
    <t>جي ال اس 4×4  3.5 لتر</t>
  </si>
  <si>
    <t>اكلبس كروس 1.5 لتر</t>
  </si>
  <si>
    <t>ال 200 بكب</t>
  </si>
  <si>
    <t>ال 200 بكب 2.5</t>
  </si>
  <si>
    <t>ال200 بكب</t>
  </si>
  <si>
    <t>ال200 بكب 2.4</t>
  </si>
  <si>
    <t>مونتيرو سبورت</t>
  </si>
  <si>
    <t>إكستريل</t>
  </si>
  <si>
    <t>واجن تي 32</t>
  </si>
  <si>
    <t>واجن تي 32 اتوماتيك 4*4</t>
  </si>
  <si>
    <t>التيما</t>
  </si>
  <si>
    <t>ال 33      3.5 لتر</t>
  </si>
  <si>
    <t>ال 33     2.5 لتر</t>
  </si>
  <si>
    <t>اورفان</t>
  </si>
  <si>
    <t>اي 26</t>
  </si>
  <si>
    <t>باثفايندر</t>
  </si>
  <si>
    <t>ار52-4*2</t>
  </si>
  <si>
    <t>ار52-4*4</t>
  </si>
  <si>
    <t>سينترا</t>
  </si>
  <si>
    <t>جي اكس اي</t>
  </si>
  <si>
    <t>صني</t>
  </si>
  <si>
    <t>ان 17</t>
  </si>
  <si>
    <t>اكستريل  بنزين اوتوما</t>
  </si>
  <si>
    <t>اكستريل 4×4</t>
  </si>
  <si>
    <t>اكستريل 4×4 بنزين اوتو</t>
  </si>
  <si>
    <t>اكستريل اتوماتيك</t>
  </si>
  <si>
    <t>باترول 4 لتر اتوماتيك</t>
  </si>
  <si>
    <t>باترول 4.8 لتر عادي</t>
  </si>
  <si>
    <t>باترول اتوماتيك</t>
  </si>
  <si>
    <t>كيكس</t>
  </si>
  <si>
    <t>ماكسيما</t>
  </si>
  <si>
    <t>هوندا</t>
  </si>
  <si>
    <t>اوديسي</t>
  </si>
  <si>
    <t>3.5 تورينج</t>
  </si>
  <si>
    <t>اي اكس ال3.5</t>
  </si>
  <si>
    <t>جيه إي إكس في 2.4إل</t>
  </si>
  <si>
    <t>جيه اي اكس 2.4 ال</t>
  </si>
  <si>
    <t>سفيك</t>
  </si>
  <si>
    <t>ار اس</t>
  </si>
  <si>
    <t>سي آر في</t>
  </si>
  <si>
    <t>تورينج</t>
  </si>
  <si>
    <t>سي ار في اي اكس</t>
  </si>
  <si>
    <t>سي بي اف</t>
  </si>
  <si>
    <t>160 جي اس</t>
  </si>
  <si>
    <t>اكورد 20 سبورت</t>
  </si>
  <si>
    <t>اكورد ال اكس</t>
  </si>
  <si>
    <t>اكورد اي  اكس  ال ايه ا</t>
  </si>
  <si>
    <t>اكورد سبورت 1.5 ال</t>
  </si>
  <si>
    <t>سيفك ال اكس اي اس بي</t>
  </si>
  <si>
    <t>سيفك دي اكس</t>
  </si>
  <si>
    <t>أزيرا جي ال اس</t>
  </si>
  <si>
    <t>إلنترا 1600 قوة</t>
  </si>
  <si>
    <t>إلنترا جي إل 2.0 اتومات</t>
  </si>
  <si>
    <t>اتش - 1</t>
  </si>
  <si>
    <t>اتش دي 65</t>
  </si>
  <si>
    <t>ازيرا</t>
  </si>
  <si>
    <t>اكسنت</t>
  </si>
  <si>
    <t>اكسنت 1400 سي سي</t>
  </si>
  <si>
    <t>النترا 2000 قوة</t>
  </si>
  <si>
    <t>سانتا في جي ال اس 3.3</t>
  </si>
  <si>
    <t>سانتافي</t>
  </si>
  <si>
    <t>سنتافيه</t>
  </si>
  <si>
    <t>سنتافيه جي ال اتوماتي</t>
  </si>
  <si>
    <t>سوناتا</t>
  </si>
  <si>
    <t>سوناتا جي ال اس 2.4</t>
  </si>
  <si>
    <t>كاونتي حافله</t>
  </si>
  <si>
    <t>سيدان 3.5  اتوماتيك</t>
  </si>
  <si>
    <t>توسان</t>
  </si>
  <si>
    <t>جي ال  4×4</t>
  </si>
  <si>
    <t>جي ال 4×2</t>
  </si>
  <si>
    <t>جينسس</t>
  </si>
  <si>
    <t>جي 70</t>
  </si>
  <si>
    <t>جي 80</t>
  </si>
  <si>
    <t>جينسيس جي 70</t>
  </si>
  <si>
    <t>هيلي</t>
  </si>
  <si>
    <t>سي بي سي دي 100-دبليو 5</t>
  </si>
  <si>
    <t>هينو</t>
  </si>
  <si>
    <t>500سيريس جي تي1جيه اتش ا</t>
  </si>
  <si>
    <t>500 سيريس جي اتش 8 جيه جي</t>
  </si>
  <si>
    <t>يال</t>
  </si>
  <si>
    <t>إي ار بيه 25 في إل</t>
  </si>
  <si>
    <t>اي ار بيه 20 في تي</t>
  </si>
  <si>
    <t>استون مارتن</t>
  </si>
  <si>
    <t>دي بي اس</t>
  </si>
  <si>
    <t>فانتيج</t>
  </si>
  <si>
    <t>فالكن</t>
  </si>
  <si>
    <t>ايه 6 هايبرد</t>
  </si>
  <si>
    <t>ايه 7</t>
  </si>
  <si>
    <t>كيو 8</t>
  </si>
  <si>
    <t>ام يو اكس - ديزل</t>
  </si>
  <si>
    <t>ان ام ار 85 اي 4*2</t>
  </si>
  <si>
    <t>دي ماكس 2.5 لتر</t>
  </si>
  <si>
    <t>دي ماكس 2.5 لتر 4×2</t>
  </si>
  <si>
    <t>دي ماكس 2.5 لتر 4×4</t>
  </si>
  <si>
    <t>دي ماكس 4×4 اتوماتيك</t>
  </si>
  <si>
    <t>دي ماكس غمارتين 4*2 اوت</t>
  </si>
  <si>
    <t>سي واي زد 51 كيو</t>
  </si>
  <si>
    <t>911 جي تي 3 ار اس</t>
  </si>
  <si>
    <t>430 اي</t>
  </si>
  <si>
    <t>540 اي</t>
  </si>
  <si>
    <t>اكس 1  20 اي</t>
  </si>
  <si>
    <t>اكس 4  30 اي</t>
  </si>
  <si>
    <t>اكس 5 40 أي</t>
  </si>
  <si>
    <t>اكس 7  50 اي</t>
  </si>
  <si>
    <t>اكس 7 40 اي</t>
  </si>
  <si>
    <t>ميني كوبر اس</t>
  </si>
  <si>
    <t>مولسان اي دبليو بي</t>
  </si>
  <si>
    <t>افالون 3.5 لتر</t>
  </si>
  <si>
    <t>انوفا 2.8 لتر</t>
  </si>
  <si>
    <t>راف فور 2.5 هايبرد دفع ر</t>
  </si>
  <si>
    <t>رش</t>
  </si>
  <si>
    <t>رش  اف 800 ال اي</t>
  </si>
  <si>
    <t>كورولا 1.6 لتر اوتوماتي</t>
  </si>
  <si>
    <t>كورولا 1.6 لتر عادي</t>
  </si>
  <si>
    <t>كورولا 2 لتر اوتوماتيك</t>
  </si>
  <si>
    <t>هايس   يدوي</t>
  </si>
  <si>
    <t>ال اكس 450 ديزل</t>
  </si>
  <si>
    <t>اي اس 300 اتش هايبرد</t>
  </si>
  <si>
    <t>يو اكس 200</t>
  </si>
  <si>
    <t>15جي اف32.8</t>
  </si>
  <si>
    <t>اكس جيه ال دبليو بي لا</t>
  </si>
  <si>
    <t>اي بيس استاندرد</t>
  </si>
  <si>
    <t>جريت وول</t>
  </si>
  <si>
    <t>هافال اتش 6</t>
  </si>
  <si>
    <t>اكاديا</t>
  </si>
  <si>
    <t>اكاديا دفع امامي</t>
  </si>
  <si>
    <t>اكاديا دفع رباعي</t>
  </si>
  <si>
    <t>تيرين اس ال اي  دفع اما</t>
  </si>
  <si>
    <t>تيرين اس ال اي دفع ربا</t>
  </si>
  <si>
    <t>تيرين دينالي دفع رباع</t>
  </si>
  <si>
    <t>سييرا 4×4</t>
  </si>
  <si>
    <t>سييرا دفع رباعي</t>
  </si>
  <si>
    <t>سييرا4×4</t>
  </si>
  <si>
    <t>يوكون 4×2</t>
  </si>
  <si>
    <t>يوكون 4×4</t>
  </si>
  <si>
    <t>يوكون اكس ال 4×2</t>
  </si>
  <si>
    <t>يوكون اكس ال 4×4</t>
  </si>
  <si>
    <t>ايكونكس بريمير دفع رب</t>
  </si>
  <si>
    <t>بليزر</t>
  </si>
  <si>
    <t>تاهو 4×2</t>
  </si>
  <si>
    <t>ترافيرس بريمير دفع ام</t>
  </si>
  <si>
    <t>سبارك عادي</t>
  </si>
  <si>
    <t>سلفرادو 4×4</t>
  </si>
  <si>
    <t>سوبر بان</t>
  </si>
  <si>
    <t>سوبر بان 4×4</t>
  </si>
  <si>
    <t>سيلفرادو دفع رباعي</t>
  </si>
  <si>
    <t>ماليبو</t>
  </si>
  <si>
    <t>اكس تي 4</t>
  </si>
  <si>
    <t>جوانزو موتورز</t>
  </si>
  <si>
    <t>جي اي سي  موتر</t>
  </si>
  <si>
    <t>جي اس 4</t>
  </si>
  <si>
    <t>جي اس 8</t>
  </si>
  <si>
    <t>اس دي 300</t>
  </si>
  <si>
    <t>دي اكس 190 دبليو ايه</t>
  </si>
  <si>
    <t>دي اكس 220 ال سي ايه -2</t>
  </si>
  <si>
    <t>دي اكس 225 ال سي ايه</t>
  </si>
  <si>
    <t>دي اكس 520 ال سي ايه</t>
  </si>
  <si>
    <t>ديملر كرايسلر</t>
  </si>
  <si>
    <t>جراند شيروكي</t>
  </si>
  <si>
    <t>درانجو</t>
  </si>
  <si>
    <t>كولينين</t>
  </si>
  <si>
    <t>بنتايجا</t>
  </si>
  <si>
    <t>كونتيننتال جي تي</t>
  </si>
  <si>
    <t>فانتوم</t>
  </si>
  <si>
    <t>داستر 4×2</t>
  </si>
  <si>
    <t>داستر 4×4</t>
  </si>
  <si>
    <t>سمبول</t>
  </si>
  <si>
    <t>1.6اتوماتيك</t>
  </si>
  <si>
    <t>ام جي  ار اكس 5</t>
  </si>
  <si>
    <t>سي اس 95</t>
  </si>
  <si>
    <t>في 7 اوتوماتيك</t>
  </si>
  <si>
    <t>ترانزيت 150</t>
  </si>
  <si>
    <t>لينكون نافجتور بريزيد</t>
  </si>
  <si>
    <t>اف 550</t>
  </si>
  <si>
    <t>غمارة شاصيه 4×4</t>
  </si>
  <si>
    <t>اي ال  بلاتنيوم 4×4</t>
  </si>
  <si>
    <t>رينجر</t>
  </si>
  <si>
    <t>اكس ال تي 4*4</t>
  </si>
  <si>
    <t>سوبر ديوتي</t>
  </si>
  <si>
    <t>اف 250 4×2 بنزين</t>
  </si>
  <si>
    <t>اف او-سي سي-330بي اس -اي</t>
  </si>
  <si>
    <t>اف او-سي سي-4500 دي سي</t>
  </si>
  <si>
    <t>اف 150 4×2</t>
  </si>
  <si>
    <t>اف 150 4×4</t>
  </si>
  <si>
    <t>اكسبيدشن اي ال اكس ال</t>
  </si>
  <si>
    <t>ايدج 2 لتر</t>
  </si>
  <si>
    <t>ترانزيت</t>
  </si>
  <si>
    <t>ترانزيت 270 اس 4*2</t>
  </si>
  <si>
    <t>رينجر اكس ال  بيك اب 4*4</t>
  </si>
  <si>
    <t>سوبر ديوتي اف 350</t>
  </si>
  <si>
    <t>موستانج جي تي اتوماتي</t>
  </si>
  <si>
    <t>فيجو</t>
  </si>
  <si>
    <t>امبينت اتوماتيك 1.5 لتر</t>
  </si>
  <si>
    <t>لينكولن</t>
  </si>
  <si>
    <t>نافيجيتور  تيربو 3.5 لت</t>
  </si>
  <si>
    <t>موستانج</t>
  </si>
  <si>
    <t xml:space="preserve"> بي 8 سي</t>
  </si>
  <si>
    <t>ارتيون اليجانس  4*4</t>
  </si>
  <si>
    <t>تيرامونت اس</t>
  </si>
  <si>
    <t>طوارق ترند لاين 4×4</t>
  </si>
  <si>
    <t>جي تي اي 4*2  2 باب</t>
  </si>
  <si>
    <t>فيات</t>
  </si>
  <si>
    <t>بروفيشنال</t>
  </si>
  <si>
    <t>فيورينو</t>
  </si>
  <si>
    <t>500</t>
  </si>
  <si>
    <t>550</t>
  </si>
  <si>
    <t>488 بيستا</t>
  </si>
  <si>
    <t>349 دي 2 ال</t>
  </si>
  <si>
    <t>دي 6 ار</t>
  </si>
  <si>
    <t>دي بي 150 ان ام 1 اس</t>
  </si>
  <si>
    <t>07-320 بي</t>
  </si>
  <si>
    <t>349-07 بي</t>
  </si>
  <si>
    <t>426 اف 2</t>
  </si>
  <si>
    <t>950 ال</t>
  </si>
  <si>
    <t>950 جي سي</t>
  </si>
  <si>
    <t>ا ي بي 30 سي أ</t>
  </si>
  <si>
    <t>تي اتش 417 دي</t>
  </si>
  <si>
    <t>سي اس 11 جي سي</t>
  </si>
  <si>
    <t>سي بي 10</t>
  </si>
  <si>
    <t>سي دبليو 34</t>
  </si>
  <si>
    <t>ك 160</t>
  </si>
  <si>
    <t>اوبتيما</t>
  </si>
  <si>
    <t>بيكانتو ال اكس</t>
  </si>
  <si>
    <t>سيراتو</t>
  </si>
  <si>
    <t>سيراتيو  ال اكس</t>
  </si>
  <si>
    <t>سيراتيو  اي اكس</t>
  </si>
  <si>
    <t>كيا سيراتو</t>
  </si>
  <si>
    <t>ال 1.6</t>
  </si>
  <si>
    <t>اس ار 130</t>
  </si>
  <si>
    <t>اس ار 250</t>
  </si>
  <si>
    <t>رانج روفر سبورت  اوتوب</t>
  </si>
  <si>
    <t>رانج روفر سبورت اس اي</t>
  </si>
  <si>
    <t>اوروس  4*4</t>
  </si>
  <si>
    <t>لينكون</t>
  </si>
  <si>
    <t>نافيغيتور ريزرف 4×4 3.5</t>
  </si>
  <si>
    <t>نافيغيتور سيلكت 4×4 3.5</t>
  </si>
  <si>
    <t>سي اكس 3 4*4</t>
  </si>
  <si>
    <t>جيبلي</t>
  </si>
  <si>
    <t>باص</t>
  </si>
  <si>
    <t>لاين اس ستي ايه 21</t>
  </si>
  <si>
    <t>لاين اس ستي جي ايه 23</t>
  </si>
  <si>
    <t>جراند شروكي 3.6 لتر</t>
  </si>
  <si>
    <t>جراند شروكي3.6 لتر</t>
  </si>
  <si>
    <t>شيروكي 3.2 لتر</t>
  </si>
  <si>
    <t>كومباس 2.4 لتر 4*4</t>
  </si>
  <si>
    <t>كومباس 2.4 لتر 4×4</t>
  </si>
  <si>
    <t>تشارجر 5.7 لتر</t>
  </si>
  <si>
    <t>تشارجر3.6 لتر</t>
  </si>
  <si>
    <t>درانجو  4*2</t>
  </si>
  <si>
    <t>رام 1500 كلاسيك 3.6 4×4</t>
  </si>
  <si>
    <t>رام 1500 كلاسيك 3.6 لتر 4×4</t>
  </si>
  <si>
    <t>شارجر لتر 3.6</t>
  </si>
  <si>
    <t>شالنجر 3.6 لتر</t>
  </si>
  <si>
    <t>شالنجر 5.7 لتر</t>
  </si>
  <si>
    <t>1500 4×4</t>
  </si>
  <si>
    <t>غمارتين 1500 5.7 لتر</t>
  </si>
  <si>
    <t>إي 450 فورماتيك</t>
  </si>
  <si>
    <t>اي  350</t>
  </si>
  <si>
    <t>ايه  250</t>
  </si>
  <si>
    <t>ايه 200</t>
  </si>
  <si>
    <t>ايه ام جي  جي 63</t>
  </si>
  <si>
    <t>ايه ام جي  جي تي 53 فورم</t>
  </si>
  <si>
    <t>ايه ام جي جي تي 63 اس فو</t>
  </si>
  <si>
    <t>جي 63 ايه ام جي</t>
  </si>
  <si>
    <t>جي ال  اس450 ماتيك 4</t>
  </si>
  <si>
    <t>جي ال اس 400 فورماتيك</t>
  </si>
  <si>
    <t>جي ال اي 450 فور ماتيك</t>
  </si>
  <si>
    <t>جي ال ايه 220 فورماتيك  4</t>
  </si>
  <si>
    <t>جي ال سي  300 فورماتيك</t>
  </si>
  <si>
    <t>سي 300</t>
  </si>
  <si>
    <t>سي ال اس 350</t>
  </si>
  <si>
    <t>سي ال اس 450 فورماتيك</t>
  </si>
  <si>
    <t>سي ال اية 200</t>
  </si>
  <si>
    <t>في كلاس في 250  5ابواب</t>
  </si>
  <si>
    <t>فوزو اف جيه اكس 4 دبليو</t>
  </si>
  <si>
    <t>كانتر</t>
  </si>
  <si>
    <t>اف ايه 85 سي جي4×2</t>
  </si>
  <si>
    <t>اوتلاندر</t>
  </si>
  <si>
    <t>اي اس اكس</t>
  </si>
  <si>
    <t>باجيرو 3.5 لتر دفع رباع</t>
  </si>
  <si>
    <t>باجيرو 3.8 لتر دفع رباع</t>
  </si>
  <si>
    <t>فوزو اف جي اكس 4 دبليو</t>
  </si>
  <si>
    <t>فوزو روزا ديزل</t>
  </si>
  <si>
    <t>كانتر اف اي 84 سي جي</t>
  </si>
  <si>
    <t>مونتيرو سبورت دفع ربا</t>
  </si>
  <si>
    <t>انفنتى</t>
  </si>
  <si>
    <t>كيو اكس 80</t>
  </si>
  <si>
    <t>كيو 70</t>
  </si>
  <si>
    <t>كيو اكس 50</t>
  </si>
  <si>
    <t>كيو اكس 60</t>
  </si>
  <si>
    <t>كيو اكس 70</t>
  </si>
  <si>
    <t>اكستريل اوتوماتيك دفع</t>
  </si>
  <si>
    <t>اكستريل بنزين اتوماتي</t>
  </si>
  <si>
    <t>التيما ال 34 اس ار</t>
  </si>
  <si>
    <t>التيما ال 34 اس في</t>
  </si>
  <si>
    <t>اورفان بنزين عادي</t>
  </si>
  <si>
    <t>اورفان ديزل عادي</t>
  </si>
  <si>
    <t>باترول اتوماتيك دفع ر</t>
  </si>
  <si>
    <t>باترول اوتوماتيك</t>
  </si>
  <si>
    <t>باترول عادي  بابين  دف</t>
  </si>
  <si>
    <t>باثفايندر 3.5 لتر 4*4</t>
  </si>
  <si>
    <t>باثفايندر 3.5 لتر اتوما</t>
  </si>
  <si>
    <t>باثفايندر 3.5لتر اتوما</t>
  </si>
  <si>
    <t>سنترا اتوماتيك</t>
  </si>
  <si>
    <t>صني اتوماتيك</t>
  </si>
  <si>
    <t>كيكس بنزين اوتوماتيك</t>
  </si>
  <si>
    <t>نافارا بكب بنزين اتوم</t>
  </si>
  <si>
    <t>نافارا بنزين عادي دفع</t>
  </si>
  <si>
    <t>نافارا ديزل دفع رياعي</t>
  </si>
  <si>
    <t>3.5 ال اكس</t>
  </si>
  <si>
    <t>3.5 اي اكس ال</t>
  </si>
  <si>
    <t>إي إكس2.4إل</t>
  </si>
  <si>
    <t>دراجة نارية</t>
  </si>
  <si>
    <t>جي ال 1800 اتش</t>
  </si>
  <si>
    <t>اكورد اي اكس 1.5 لتر</t>
  </si>
  <si>
    <t>بايلوت - اي اكس</t>
  </si>
  <si>
    <t>بايلوت - اي اكس ال</t>
  </si>
  <si>
    <t>بايلوت - تورنج</t>
  </si>
  <si>
    <t>سي ار اف 1000 دي</t>
  </si>
  <si>
    <t>سي ار في - اي اكس</t>
  </si>
  <si>
    <t>فولستر 1600 سي سي</t>
  </si>
  <si>
    <t>كريتا</t>
  </si>
  <si>
    <t>اكسنت 1.6 لتر اوتواتيك</t>
  </si>
  <si>
    <t>سوناتا هايبرد</t>
  </si>
  <si>
    <t>فيلوستر</t>
  </si>
  <si>
    <t>كونا</t>
  </si>
  <si>
    <t>كونا 2لتر</t>
  </si>
  <si>
    <t>اكس زد يو710ال</t>
  </si>
  <si>
    <t>500 سيريس اف جي 8 جيه بي</t>
  </si>
  <si>
    <t>اكس زد يو720ال- اتش كي ا</t>
  </si>
  <si>
    <t>أي آر بيه 30 في ال</t>
  </si>
  <si>
    <t>ام ار 14</t>
  </si>
  <si>
    <t>جي بي 30 ام اكس</t>
  </si>
  <si>
    <t>جي بيه 25 يو اكس</t>
  </si>
  <si>
    <t>جيه بيه 30 يو اكس</t>
  </si>
  <si>
    <t>الجن سويبر</t>
  </si>
  <si>
    <t>بليكان</t>
  </si>
  <si>
    <t>ام سي في</t>
  </si>
  <si>
    <t>400 مرسيدس بنز 2×4</t>
  </si>
  <si>
    <t>اس 8</t>
  </si>
  <si>
    <t>ايه 6 هاي بريد</t>
  </si>
  <si>
    <t>ايه8</t>
  </si>
  <si>
    <t>كيو 3</t>
  </si>
  <si>
    <t>ان كيو ار</t>
  </si>
  <si>
    <t>نصف نقل ديزل</t>
  </si>
  <si>
    <t>ام يو اكس 3 لتر 4.4</t>
  </si>
  <si>
    <t>ام يو اكس 3 لتر 4×2</t>
  </si>
  <si>
    <t>ان بي ار 81 اتش  4*2</t>
  </si>
  <si>
    <t>دي ماكس</t>
  </si>
  <si>
    <t>دي ماكس  2.5 لتر4×4</t>
  </si>
  <si>
    <t>دي ماكس 2.5 لتر4×2</t>
  </si>
  <si>
    <t>دي ماكس 3لتر 4×4</t>
  </si>
  <si>
    <t>دي ماكس 4×4</t>
  </si>
  <si>
    <t>دي ماكس مفتوح الجوانب</t>
  </si>
  <si>
    <t>سي واي زد 51 بي</t>
  </si>
  <si>
    <t>718  كايمان اس</t>
  </si>
  <si>
    <t>911 كاريرا</t>
  </si>
  <si>
    <t>911 كاريرا 4 اس</t>
  </si>
  <si>
    <t>911 كاريرا اس</t>
  </si>
  <si>
    <t>بانميرا جي تي اس</t>
  </si>
  <si>
    <t>كايمان 718</t>
  </si>
  <si>
    <t>كايين</t>
  </si>
  <si>
    <t>كايين هايبرد</t>
  </si>
  <si>
    <t>ماكان اس</t>
  </si>
  <si>
    <t>218 اي</t>
  </si>
  <si>
    <t>330اي</t>
  </si>
  <si>
    <t>840 اي</t>
  </si>
  <si>
    <t>اكس 1 20 اي</t>
  </si>
  <si>
    <t>اكس 6  40 اي</t>
  </si>
  <si>
    <t>ام 5</t>
  </si>
  <si>
    <t>ام 8</t>
  </si>
  <si>
    <t>ام 850 اي</t>
  </si>
  <si>
    <t>زد 4  20 اي</t>
  </si>
  <si>
    <t>ميني كوبر</t>
  </si>
  <si>
    <t>ميني كوبر اس كانتري ما</t>
  </si>
  <si>
    <t>ميني كوبر كلوب مان</t>
  </si>
  <si>
    <t>بي ام دبليو دراجة ناري</t>
  </si>
  <si>
    <t>ار 1250 جي اس</t>
  </si>
  <si>
    <t>ار 1250 جي اس ادفنشر</t>
  </si>
  <si>
    <t>508 الور</t>
  </si>
  <si>
    <t>508جي تي لاين</t>
  </si>
  <si>
    <t>اللور 3008</t>
  </si>
  <si>
    <t>فلاينج سبير دبليو 12</t>
  </si>
  <si>
    <t>كونتينينتال</t>
  </si>
  <si>
    <t>تاتا</t>
  </si>
  <si>
    <t>حافلة</t>
  </si>
  <si>
    <t>ال بي  613</t>
  </si>
  <si>
    <t>جرانفيا 3.5 لتر دفع خلف</t>
  </si>
  <si>
    <t>راف فور 2 لتر بنزين دفع</t>
  </si>
  <si>
    <t>سوبرا</t>
  </si>
  <si>
    <t>سي اتش ار هايبرد اتوما</t>
  </si>
  <si>
    <t>فورتشنر  دفع رباعي</t>
  </si>
  <si>
    <t>كورولا هايبرد 1.8 لتر  ا</t>
  </si>
  <si>
    <t>لاند كروزر بيك اب بنزي</t>
  </si>
  <si>
    <t>هايلاندر هايبرد  دفع ر</t>
  </si>
  <si>
    <t>هايلاندر هايبرد دفع ا</t>
  </si>
  <si>
    <t>هايلاندر هايبرد دفع ر</t>
  </si>
  <si>
    <t>هايلوكس 2.8 لتر ديزل دف</t>
  </si>
  <si>
    <t>هايلوكس بنزين 2.7 لتر د</t>
  </si>
  <si>
    <t>هايلوكس بنزين دفع خلف</t>
  </si>
  <si>
    <t>جي اكس آر 3</t>
  </si>
  <si>
    <t>اكس-إي</t>
  </si>
  <si>
    <t>هافال اتش2 اف دبليو دي</t>
  </si>
  <si>
    <t>هافال اتش9 فور دبليو د</t>
  </si>
  <si>
    <t>وينجل 7   4*2</t>
  </si>
  <si>
    <t>وينجل 7 دفع رباعي</t>
  </si>
  <si>
    <t>سافانا  6 لتر</t>
  </si>
  <si>
    <t>سييرا</t>
  </si>
  <si>
    <t>بليزر دفع رباعي</t>
  </si>
  <si>
    <t>تاهو ار اس تي</t>
  </si>
  <si>
    <t>تاهو ار اس تي 4×4</t>
  </si>
  <si>
    <t>سلفرادو</t>
  </si>
  <si>
    <t>سلفرادو دفع رباعي</t>
  </si>
  <si>
    <t>اكس تي 6</t>
  </si>
  <si>
    <t>سي تي 4</t>
  </si>
  <si>
    <t>سي تي 5</t>
  </si>
  <si>
    <t xml:space="preserve"> جي اس 3</t>
  </si>
  <si>
    <t>جي ان 8</t>
  </si>
  <si>
    <t>جي ايه 4</t>
  </si>
  <si>
    <t>جي ايه 8</t>
  </si>
  <si>
    <t>جيانج لينج جية ام سي</t>
  </si>
  <si>
    <t>جيه اكس 1043 دي بي 2</t>
  </si>
  <si>
    <t>دي30 ان اكس بي</t>
  </si>
  <si>
    <t>جوست</t>
  </si>
  <si>
    <t>ميجان</t>
  </si>
  <si>
    <t>دوكر</t>
  </si>
  <si>
    <t>سيمبول</t>
  </si>
  <si>
    <t>سانج يونج</t>
  </si>
  <si>
    <t>تيفولي 4×2 اوتوماتيك</t>
  </si>
  <si>
    <t>تيفولي اكس كي</t>
  </si>
  <si>
    <t>تيفولي اكس كي  4×2</t>
  </si>
  <si>
    <t>تيفولي اكس كي 4×2</t>
  </si>
  <si>
    <t>ريكستون 4×4 اوتوماتيك</t>
  </si>
  <si>
    <t>كوراندوا 4×2 اوتوماتيك</t>
  </si>
  <si>
    <t>ام جي 5</t>
  </si>
  <si>
    <t>ام جي 6</t>
  </si>
  <si>
    <t>ام جي اتش اس</t>
  </si>
  <si>
    <t>ام جي ار اكس 8</t>
  </si>
  <si>
    <t>ام جي تي 60 4×4</t>
  </si>
  <si>
    <t>ام جي زد اس</t>
  </si>
  <si>
    <t>فور ستر</t>
  </si>
  <si>
    <t>سوميتومو</t>
  </si>
  <si>
    <t>اس اتش 220 ال سي -6</t>
  </si>
  <si>
    <t>السفن</t>
  </si>
  <si>
    <t>سي اس 35 بلس</t>
  </si>
  <si>
    <t>شيري - تشيري</t>
  </si>
  <si>
    <t>تشيري</t>
  </si>
  <si>
    <t>تيجو 2</t>
  </si>
  <si>
    <t>شيري</t>
  </si>
  <si>
    <t>اريزو6</t>
  </si>
  <si>
    <t>ادج اس اي دفع امامي</t>
  </si>
  <si>
    <t>اسكورت امبيانتي دفع ا</t>
  </si>
  <si>
    <t>اف 150 رابتر</t>
  </si>
  <si>
    <t>اكسبلورر اكس ال تي 14</t>
  </si>
  <si>
    <t>اكسبلورر ليمتد دفع رب</t>
  </si>
  <si>
    <t>ايدج</t>
  </si>
  <si>
    <t>تورس امبيانتي دفع اما</t>
  </si>
  <si>
    <t>تورس تريند دفع امامي</t>
  </si>
  <si>
    <t>تورس تيتانيوم دفع اما</t>
  </si>
  <si>
    <t>رينجر اكس ال 4×2 بيك اب</t>
  </si>
  <si>
    <t>لينكون كورسير</t>
  </si>
  <si>
    <t>لنكون</t>
  </si>
  <si>
    <t>افيتور بريز يدنشان دف</t>
  </si>
  <si>
    <t>افيتور ريزيرف دفع ربا</t>
  </si>
  <si>
    <t>نوتيلوس 2 لتر</t>
  </si>
  <si>
    <t>إي سي 480 دي ال</t>
  </si>
  <si>
    <t>باسات ترند لاين</t>
  </si>
  <si>
    <t>باسات كومفورت لاين</t>
  </si>
  <si>
    <t>باسات هاي لاين</t>
  </si>
  <si>
    <t xml:space="preserve"> 500  1.4  لتر</t>
  </si>
  <si>
    <t>500 اكس</t>
  </si>
  <si>
    <t>500سي 1.4 لتر</t>
  </si>
  <si>
    <t>اف 8</t>
  </si>
  <si>
    <t>930 كي</t>
  </si>
  <si>
    <t>320 جي سي</t>
  </si>
  <si>
    <t>320-07 سي</t>
  </si>
  <si>
    <t>اي بي 20 تي سي بي</t>
  </si>
  <si>
    <t>اي بي 20 سي ايه</t>
  </si>
  <si>
    <t>ايه بي 655 اف</t>
  </si>
  <si>
    <t>سي بي 1.7</t>
  </si>
  <si>
    <t>بيجاس</t>
  </si>
  <si>
    <t>بيكانتو إي اكس</t>
  </si>
  <si>
    <t>تيلورايد</t>
  </si>
  <si>
    <t>سول</t>
  </si>
  <si>
    <t>سيلتوس</t>
  </si>
  <si>
    <t>كى 900</t>
  </si>
  <si>
    <t>ايفوك</t>
  </si>
  <si>
    <t>فيلار ار-داينمك بيس</t>
  </si>
  <si>
    <t>ديسكفري سبورت</t>
  </si>
  <si>
    <t>ديفنر110 دفع رباعي 2لتر</t>
  </si>
  <si>
    <t>ديفنر110 دفع رباعي 3 لتر</t>
  </si>
  <si>
    <t>هويركان</t>
  </si>
  <si>
    <t>سي اكس 30 دفع ثنائي</t>
  </si>
  <si>
    <t>ليفاتني اس</t>
  </si>
  <si>
    <t>تي جي اس 18.400</t>
  </si>
  <si>
    <t>جلاديتور</t>
  </si>
  <si>
    <t>رام 1500 3.6 لتر 4×4</t>
  </si>
  <si>
    <t>200اية</t>
  </si>
  <si>
    <t>اس 320</t>
  </si>
  <si>
    <t>ايه ام جي  ايه 35 فورمات</t>
  </si>
  <si>
    <t>ايه ام جي  جي تي  63 اس ف</t>
  </si>
  <si>
    <t>ايه ام جي جي ال اي 53 فو</t>
  </si>
  <si>
    <t>ايه ام جي سي ال ايه 35 ف</t>
  </si>
  <si>
    <t>جي ال اس 450 فورماتيك</t>
  </si>
  <si>
    <t>جي ال سي 200 فورماتيك دف</t>
  </si>
  <si>
    <t>سبرنتر 516</t>
  </si>
  <si>
    <t>سبرنتر311 سي دي اي  2×4</t>
  </si>
  <si>
    <t>سي ال ايه 200</t>
  </si>
  <si>
    <t>سي ال ايه 250</t>
  </si>
  <si>
    <t>فيتو تورير 121</t>
  </si>
  <si>
    <t>4440</t>
  </si>
  <si>
    <t>اروكس 3342 ايه اس 6×6</t>
  </si>
  <si>
    <t>اف اي 84 سي اي</t>
  </si>
  <si>
    <t>اف اي 84 سي جي</t>
  </si>
  <si>
    <t>اف ايه في 1بيه كيه 3.9لت</t>
  </si>
  <si>
    <t>بي اي 63 جى ال ام 4×2  2 با</t>
  </si>
  <si>
    <t>بي اي 637 جيه</t>
  </si>
  <si>
    <t>كانتر  4*2</t>
  </si>
  <si>
    <t>كانتر 4*2</t>
  </si>
  <si>
    <t>اكلبس كروس 1.5لتر دفع ا</t>
  </si>
  <si>
    <t>اكلبس كروس1.5 لتر دفع ا</t>
  </si>
  <si>
    <t>ال 200 بترول 2.4 لتر</t>
  </si>
  <si>
    <t>ال 200 بترول 2.4 لتر دفع ر</t>
  </si>
  <si>
    <t>ال 200 ديزل 2.4 لتر</t>
  </si>
  <si>
    <t>ال 200 ديزل 2.5 لتر دفع خل</t>
  </si>
  <si>
    <t>اوتلادر دفع رباعي</t>
  </si>
  <si>
    <t>اي اس اكس دفع رباعي</t>
  </si>
  <si>
    <t>فوزو روزا بي اي 637 جيه</t>
  </si>
  <si>
    <t>نافارا</t>
  </si>
  <si>
    <t>بنزين اوتماتيك</t>
  </si>
  <si>
    <t>ديزل عادي</t>
  </si>
  <si>
    <t>عادي بنزين</t>
  </si>
  <si>
    <t>اكستريل اتوماتيك دفع</t>
  </si>
  <si>
    <t>التيما اتوماتيك</t>
  </si>
  <si>
    <t>باترول بابين اتوماتيك</t>
  </si>
  <si>
    <t>زد 370 اتوماتيك</t>
  </si>
  <si>
    <t>سيلفيان بنزين عادي</t>
  </si>
  <si>
    <t>سيلفيان ديزل عادي</t>
  </si>
  <si>
    <t>كيكس اتوماتيك بنزين</t>
  </si>
  <si>
    <t>ان سي 750 اس ايه جي</t>
  </si>
  <si>
    <t>سي ار -في  دي اكس</t>
  </si>
  <si>
    <t>سيتي  دي اكس 1.5 لتر</t>
  </si>
  <si>
    <t>سيفك ال اكس اي</t>
  </si>
  <si>
    <t>بالاسيد</t>
  </si>
  <si>
    <t>كاونتي</t>
  </si>
  <si>
    <t>جي 90</t>
  </si>
  <si>
    <t>اتش 1 تي كيو</t>
  </si>
  <si>
    <t>سنتافية</t>
  </si>
  <si>
    <t>300 اكس زد يو 710 ال اتش ك</t>
  </si>
  <si>
    <t>300 اكس زد يو 730 ال اتش ا</t>
  </si>
  <si>
    <t>500 جي دي 8 جيه ال اس ايه</t>
  </si>
  <si>
    <t>اكس زد يو 600ال- اتش ام ا</t>
  </si>
  <si>
    <t>اكس زد يو710ال-اتش كي ام</t>
  </si>
  <si>
    <t>ام بي 20 اكس يو</t>
  </si>
  <si>
    <t>دي بي اكس</t>
  </si>
  <si>
    <t>قازل</t>
  </si>
  <si>
    <t>انديان</t>
  </si>
  <si>
    <t>سكاوت</t>
  </si>
  <si>
    <t>انهوي هيوالينج اتو مب</t>
  </si>
  <si>
    <t>جاك</t>
  </si>
  <si>
    <t>ان سريس ال اي 645</t>
  </si>
  <si>
    <t>ان سريس ال دي 123</t>
  </si>
  <si>
    <t>ايه 5</t>
  </si>
  <si>
    <t>ايه4</t>
  </si>
  <si>
    <t>كيو 7</t>
  </si>
  <si>
    <t>كيو3</t>
  </si>
  <si>
    <t>دي ماكس  2.5 لتر 2×4</t>
  </si>
  <si>
    <t>دي ماكس 2.5 لتر 4×4 عادي</t>
  </si>
  <si>
    <t>دي ماكس 3 لتر 4×4 اوتوما</t>
  </si>
  <si>
    <t>ان ام ار 85 اي</t>
  </si>
  <si>
    <t>سي واي زد 51 ح</t>
  </si>
  <si>
    <t>سي واي زد 51كيو</t>
  </si>
  <si>
    <t>باناميرا</t>
  </si>
  <si>
    <t>باناميرا 4</t>
  </si>
  <si>
    <t>كايين جي تي اس</t>
  </si>
  <si>
    <t>بوماج</t>
  </si>
  <si>
    <t>بي اف 800 سي</t>
  </si>
  <si>
    <t>120 اي</t>
  </si>
  <si>
    <t>320 اي</t>
  </si>
  <si>
    <t>420 اي</t>
  </si>
  <si>
    <t>اكس 3 30 اي</t>
  </si>
  <si>
    <t>اكس 4 ام 40 اي</t>
  </si>
  <si>
    <t>اكس 6 ام</t>
  </si>
  <si>
    <t>اكس 6 ام 50 اي</t>
  </si>
  <si>
    <t>ام 3</t>
  </si>
  <si>
    <t>ام 4</t>
  </si>
  <si>
    <t>ام 440 اي</t>
  </si>
  <si>
    <t>ميني جون كوبر ووركس</t>
  </si>
  <si>
    <t>ار 18</t>
  </si>
  <si>
    <t>اس 1000 ار ار</t>
  </si>
  <si>
    <t>اكسبرت اوتوماتيك</t>
  </si>
  <si>
    <t>بارتنر</t>
  </si>
  <si>
    <t>جي تي لاين 3008</t>
  </si>
  <si>
    <t>الترا 814</t>
  </si>
  <si>
    <t>زينون 2.2 لتر  ديزل</t>
  </si>
  <si>
    <t>ال بي او 1618</t>
  </si>
  <si>
    <t>تاتا دايو</t>
  </si>
  <si>
    <t>ام 8 سي  4 اف</t>
  </si>
  <si>
    <t>برادو 2.8 لتر ديزل  دفع</t>
  </si>
  <si>
    <t>فورتشنر اس يو في ديزل</t>
  </si>
  <si>
    <t>كورولا  1.5 لتر  اوتومات</t>
  </si>
  <si>
    <t>كورولا كروس 1.8 لتر هاب</t>
  </si>
  <si>
    <t>لاند كروزر</t>
  </si>
  <si>
    <t>لاندكروزر برادو</t>
  </si>
  <si>
    <t>لاندكروزر ديزل  عادي</t>
  </si>
  <si>
    <t>هايلوكس 2.4 لتر عادي</t>
  </si>
  <si>
    <t>هايلوكس دفع رباعي  بان</t>
  </si>
  <si>
    <t>هايلوكس دفع رباعي بان</t>
  </si>
  <si>
    <t>هايلوكس دفع رباعي ديز</t>
  </si>
  <si>
    <t>يارس 1.5 لتر دفع امامي ا</t>
  </si>
  <si>
    <t>في اكس</t>
  </si>
  <si>
    <t>بور 4×4</t>
  </si>
  <si>
    <t>هافال جوليان</t>
  </si>
  <si>
    <t>يوكون اكس ال دفع خلفي</t>
  </si>
  <si>
    <t>يوكون اكس ال دفع رباعي</t>
  </si>
  <si>
    <t>يوكون اكس ال لارج دفع</t>
  </si>
  <si>
    <t>يوكون دفع خلفي</t>
  </si>
  <si>
    <t>يوكون دفع رباعي</t>
  </si>
  <si>
    <t>يوكون دفع رباعي 5.3 لتر</t>
  </si>
  <si>
    <t>يوكون دفع رباعي دينال</t>
  </si>
  <si>
    <t>يوكون دينالي اكس ال دف</t>
  </si>
  <si>
    <t>يوكون دينالي دفع رباع</t>
  </si>
  <si>
    <t>اكوينوكس ال اس دفع اما</t>
  </si>
  <si>
    <t>اكوينوكس ال تي دفع اما</t>
  </si>
  <si>
    <t>بليزر دفع امامي</t>
  </si>
  <si>
    <t>تاهو دفع خلفي</t>
  </si>
  <si>
    <t>تاهو دفع رباعي</t>
  </si>
  <si>
    <t>سوبربان دفع خلفي</t>
  </si>
  <si>
    <t>سوبربان دفع رباعي</t>
  </si>
  <si>
    <t>كابتيفا</t>
  </si>
  <si>
    <t>كابتيفا دفع امامي</t>
  </si>
  <si>
    <t>جي اس 5</t>
  </si>
  <si>
    <t>جي ان 6</t>
  </si>
  <si>
    <t>ازكارا دفع رباعي</t>
  </si>
  <si>
    <t>كولراي</t>
  </si>
  <si>
    <t>جيه اكس 1064 تي جي 2</t>
  </si>
  <si>
    <t>اس دي 310</t>
  </si>
  <si>
    <t>دي اكس 480ال سي ايه</t>
  </si>
  <si>
    <t>دي اكس420ال سي ايه</t>
  </si>
  <si>
    <t>كوليوس</t>
  </si>
  <si>
    <t>ماستر ال 1 اتش 1</t>
  </si>
  <si>
    <t>تيفولي 4×2 اتوماتيك</t>
  </si>
  <si>
    <t>كورندوا4×2 اوتوماتيك</t>
  </si>
  <si>
    <t>سي اس 85</t>
  </si>
  <si>
    <t>تيجو</t>
  </si>
  <si>
    <t>تيجو جي  او 8 تي 18</t>
  </si>
  <si>
    <t>فاو</t>
  </si>
  <si>
    <t>هونشي</t>
  </si>
  <si>
    <t>اتش 9 دفع خلفي</t>
  </si>
  <si>
    <t>بلاتينوم  4×4</t>
  </si>
  <si>
    <t>اف 150 4×4 هايبرد</t>
  </si>
  <si>
    <t>اف 150 رابتور  4*4</t>
  </si>
  <si>
    <t>اف 150 رابتور 4×4</t>
  </si>
  <si>
    <t>اكسبدشن 3.5 لتر 4×2</t>
  </si>
  <si>
    <t>اكسبديشن 3.5لتر 4×2</t>
  </si>
  <si>
    <t>اكسبديشن 3.5لتر 4×4</t>
  </si>
  <si>
    <t>اكسبلور</t>
  </si>
  <si>
    <t>اكسبلور اس تي دفع رباع</t>
  </si>
  <si>
    <t>اكسبلور اكس ال تي دفع</t>
  </si>
  <si>
    <t>اكسبلور ستاندر دفع رب</t>
  </si>
  <si>
    <t>اكسبلور ليمتد  دفع ربا</t>
  </si>
  <si>
    <t>اكسدبيشن 3.5 لتر 4×4</t>
  </si>
  <si>
    <t>برونكو 2.7 لتر</t>
  </si>
  <si>
    <t>برونكو 2.7 لتر 4×4</t>
  </si>
  <si>
    <t>برونكو اوتربانكس 4 ابو</t>
  </si>
  <si>
    <t>برونكو بيق بيند 4×4  2با</t>
  </si>
  <si>
    <t>برونكو بيق بيند 4×4 4اب</t>
  </si>
  <si>
    <t>رينجر اكس ال تي 4*4</t>
  </si>
  <si>
    <t>لينكون كروسير ستاندر</t>
  </si>
  <si>
    <t>موستنج  جي تي 5لتر</t>
  </si>
  <si>
    <t>افيتور ستاندر</t>
  </si>
  <si>
    <t>كروسير ستاندر</t>
  </si>
  <si>
    <t>نافيجيتور بريزيدنشال</t>
  </si>
  <si>
    <t>نافيجيتور رزيريف 4×4</t>
  </si>
  <si>
    <t>نوتيلوس</t>
  </si>
  <si>
    <t>افياتور</t>
  </si>
  <si>
    <t>تيجوان ار لاين</t>
  </si>
  <si>
    <t>تيجوان ترند</t>
  </si>
  <si>
    <t>تيرامونت</t>
  </si>
  <si>
    <t>طوارق</t>
  </si>
  <si>
    <t>تي روك ترند</t>
  </si>
  <si>
    <t>تي روك سبورت</t>
  </si>
  <si>
    <t>تي روك ستايلي</t>
  </si>
  <si>
    <t>تير امونت 4×4</t>
  </si>
  <si>
    <t>812 جي تي اس</t>
  </si>
  <si>
    <t>دي بي 100 ان ام 1 اس</t>
  </si>
  <si>
    <t>320 - 07 دي</t>
  </si>
  <si>
    <t>320-05  جي اكس</t>
  </si>
  <si>
    <t>323 جي اكس</t>
  </si>
  <si>
    <t>345 جي سي</t>
  </si>
  <si>
    <t>349-07 سي</t>
  </si>
  <si>
    <t>966 جي سي</t>
  </si>
  <si>
    <t>اي بي 25 سي بي</t>
  </si>
  <si>
    <t>اي بي 30 سي بي</t>
  </si>
  <si>
    <t>دي 9 جي سي</t>
  </si>
  <si>
    <t>دي بي 100 ان اتش</t>
  </si>
  <si>
    <t>دي بي 35 ان تي</t>
  </si>
  <si>
    <t>دي بي 70</t>
  </si>
  <si>
    <t>سي بي 2.5</t>
  </si>
  <si>
    <t>ريو دفع امامي 1.4لتر</t>
  </si>
  <si>
    <t>سورينتو ام كيو 4</t>
  </si>
  <si>
    <t>سونت</t>
  </si>
  <si>
    <t>سونيت  1.5لتر دفع امامي</t>
  </si>
  <si>
    <t>سونيت  دفع امامي</t>
  </si>
  <si>
    <t>كي 4000 جي</t>
  </si>
  <si>
    <t>كي 5</t>
  </si>
  <si>
    <t>ديفندر 90    3ابواب 3لتر</t>
  </si>
  <si>
    <t>ديفندر 90   3ابواب 3لتر</t>
  </si>
  <si>
    <t>جراند شيروكي ال 3.6لتر 4</t>
  </si>
  <si>
    <t>رانجلر 2 لتر 2 باب</t>
  </si>
  <si>
    <t>رانجلر 2لتر 2 باب</t>
  </si>
  <si>
    <t>رانجلر 2لتر 4 ابواب</t>
  </si>
  <si>
    <t>رانجلر 2لتر 4ابواب</t>
  </si>
  <si>
    <t>اس 450 فورماتيك</t>
  </si>
  <si>
    <t>اس 500  فورماتيك</t>
  </si>
  <si>
    <t>ايه ام جي  جي تي 43</t>
  </si>
  <si>
    <t>ايه ام جي جي ال اي 63 اس</t>
  </si>
  <si>
    <t>جي ال ايه 200</t>
  </si>
  <si>
    <t>جي ال بي 200</t>
  </si>
  <si>
    <t>جي ال سي 200</t>
  </si>
  <si>
    <t>سبر نتر</t>
  </si>
  <si>
    <t>سبرنتر</t>
  </si>
  <si>
    <t>سبرينتر 316</t>
  </si>
  <si>
    <t>سبرينتر 416</t>
  </si>
  <si>
    <t>فيتو 116</t>
  </si>
  <si>
    <t>فيتو توير 121</t>
  </si>
  <si>
    <t>اف ايه 84 سي ايه  4×2</t>
  </si>
  <si>
    <t>اسبيس استار</t>
  </si>
  <si>
    <t>اكسباندر</t>
  </si>
  <si>
    <t>اكلبس كروس 1.5 لتر دفع ا</t>
  </si>
  <si>
    <t>اكلبس كروس 1.5 لتر دفع ر</t>
  </si>
  <si>
    <t>ال 200  دفع خلفي بنزين 2.4</t>
  </si>
  <si>
    <t>ال 200 دفع خلفي بنزين 2.4</t>
  </si>
  <si>
    <t>ال 200 دفع خلفي ديزل 2.5ل</t>
  </si>
  <si>
    <t>ال 200 دفع رباعي ديزل 2.4</t>
  </si>
  <si>
    <t>ال 200دفع خلفي ديزل 2.5لت</t>
  </si>
  <si>
    <t>اوتلاندر دفع رباعي</t>
  </si>
  <si>
    <t>اي اس اكس دفع امامي</t>
  </si>
  <si>
    <t>فوزر كانتر اف إي 84 سي إ</t>
  </si>
  <si>
    <t>فوزو كانتر اف إي 84 سي إ</t>
  </si>
  <si>
    <t>فوزو كانتر اف اي 84 سي ج</t>
  </si>
  <si>
    <t>فوزو كانتر اف اي 85 سي ج</t>
  </si>
  <si>
    <t>اكستريل دفع  امامي اوت</t>
  </si>
  <si>
    <t>اكستريل دفع امامي اوت</t>
  </si>
  <si>
    <t>اكستريل دفع رباعي  اوت</t>
  </si>
  <si>
    <t>اكستريل دفع رباعي اوت</t>
  </si>
  <si>
    <t>اكستيرا اتوماتيك دفع</t>
  </si>
  <si>
    <t>التيما  اتوماتيك</t>
  </si>
  <si>
    <t>التيما اوتماتيك</t>
  </si>
  <si>
    <t>باترول 4 لتر اربع ابوا</t>
  </si>
  <si>
    <t>باترول 4.8 لتر  بابين عا</t>
  </si>
  <si>
    <t>باترول 4.8 لتر اربع ابو</t>
  </si>
  <si>
    <t>باترول 4.8 لتر اوتوماتي</t>
  </si>
  <si>
    <t>باترول 4.8 لتر بابين عا</t>
  </si>
  <si>
    <t>باترول 4.8 لتر عادي 4*4</t>
  </si>
  <si>
    <t>باترول 5.6لتر اربع ابوا</t>
  </si>
  <si>
    <t>باترول اتوماتيك 4.8 لتر</t>
  </si>
  <si>
    <t>باترول اوتوماتيك دفع</t>
  </si>
  <si>
    <t>باترول عادي دفع رباعي</t>
  </si>
  <si>
    <t>صني اوتوماتيك</t>
  </si>
  <si>
    <t>كيكس بنزين اوتاماتيك</t>
  </si>
  <si>
    <t>ماكسيما اتوماتيك</t>
  </si>
  <si>
    <t>اتش ار في اي اكس</t>
  </si>
  <si>
    <t>اتش ار في دي اكس</t>
  </si>
  <si>
    <t>اتش ار-في ال اكس</t>
  </si>
  <si>
    <t>اكورد  اي اكس ال  1.5   لت</t>
  </si>
  <si>
    <t>اكورد ال اكس سبورت</t>
  </si>
  <si>
    <t>بايلوت اس اي 3.5لتر</t>
  </si>
  <si>
    <t>ستي ال اكس سبورت</t>
  </si>
  <si>
    <t>اتش 1</t>
  </si>
  <si>
    <t>جي في 70</t>
  </si>
  <si>
    <t>جي في 70  2.5 لتر</t>
  </si>
  <si>
    <t>جي في 80</t>
  </si>
  <si>
    <t>اتش 1 عادي</t>
  </si>
  <si>
    <t>النترا  2لتر</t>
  </si>
  <si>
    <t>النترا 1.6 لتر</t>
  </si>
  <si>
    <t>جنسيس جي في 80</t>
  </si>
  <si>
    <t>كريتا 1.5 لتر</t>
  </si>
  <si>
    <t>هيبي شانجان اوتوموبيل</t>
  </si>
  <si>
    <t>هيبي شانجان</t>
  </si>
  <si>
    <t>هنتر اف 70</t>
  </si>
  <si>
    <t>300 -720  دبيلو كي ام كيو ك</t>
  </si>
  <si>
    <t>300- 600ال دبليو كي ام ام</t>
  </si>
  <si>
    <t>710-300 دبيلو كي ام كي كيو</t>
  </si>
  <si>
    <t>هينو 300-730 دبيلو كي اف ت</t>
  </si>
  <si>
    <t>300-720-دبليوا اف ار ال في</t>
  </si>
  <si>
    <t>إي ار بيه 16 في تي</t>
  </si>
  <si>
    <t>يو دي تركس</t>
  </si>
  <si>
    <t>كرونر ال كيه اي 210</t>
  </si>
  <si>
    <t>كرونر بي كيه اي 250  2×4</t>
  </si>
  <si>
    <t>كرونر بي كيه ايه 250</t>
  </si>
  <si>
    <t>كويستر</t>
  </si>
  <si>
    <t>CADILLAC</t>
  </si>
  <si>
    <t>XT4</t>
  </si>
  <si>
    <t>L4</t>
  </si>
  <si>
    <t>GMC</t>
  </si>
  <si>
    <t>ACADIA</t>
  </si>
  <si>
    <t>LAND ROVER</t>
  </si>
  <si>
    <t>RANGE ROVER</t>
  </si>
  <si>
    <t>V8P</t>
  </si>
  <si>
    <t>NISSAN</t>
  </si>
  <si>
    <t>ALTIMA</t>
  </si>
  <si>
    <t>L34 S</t>
  </si>
  <si>
    <t>L34 SV</t>
  </si>
  <si>
    <t>اف سي ايه</t>
  </si>
  <si>
    <t>ابارث 595</t>
  </si>
  <si>
    <t>ام يو اكس 3 لتر 4×4</t>
  </si>
  <si>
    <t>ان بي ار 75 اف</t>
  </si>
  <si>
    <t>دي ماكس  2.5 لتر  2×4  جوا</t>
  </si>
  <si>
    <t>دي ماكس 2.5لتر 4*4</t>
  </si>
  <si>
    <t>دي ماكس 2.5لتر 4×4</t>
  </si>
  <si>
    <t>دي ماكس 3 لتر 2×4 غمارتي</t>
  </si>
  <si>
    <t>دي ماكس 3 لتر 4×4 عادي</t>
  </si>
  <si>
    <t>ان بي ار 75 كي</t>
  </si>
  <si>
    <t>ان بي ار 85 اتش</t>
  </si>
  <si>
    <t>ان بي ار 85 كي</t>
  </si>
  <si>
    <t>ان كيو ار 75 ال</t>
  </si>
  <si>
    <t>ان كيو ار 90 ال</t>
  </si>
  <si>
    <t>بايك</t>
  </si>
  <si>
    <t>بي جيه 40 ال</t>
  </si>
  <si>
    <t>911 تيربو</t>
  </si>
  <si>
    <t>911 تيربو  اس</t>
  </si>
  <si>
    <t>911 جي تي 3</t>
  </si>
  <si>
    <t>باناميرا 4 اكسكيوتف</t>
  </si>
  <si>
    <t>ماكان جي تي اس</t>
  </si>
  <si>
    <t>750 إل أي</t>
  </si>
  <si>
    <t>اكس 5 ام 50 اي</t>
  </si>
  <si>
    <t>زد 4 30   اي</t>
  </si>
  <si>
    <t>208</t>
  </si>
  <si>
    <t>اكتيف 3008</t>
  </si>
  <si>
    <t>اللور 2008</t>
  </si>
  <si>
    <t>اللور2008</t>
  </si>
  <si>
    <t>اللور5008</t>
  </si>
  <si>
    <t>جي تي 2008</t>
  </si>
  <si>
    <t>جي تي 3008</t>
  </si>
  <si>
    <t>جي تي 5008</t>
  </si>
  <si>
    <t>جي تي 508</t>
  </si>
  <si>
    <t>فلاينج سبير في 8 اس</t>
  </si>
  <si>
    <t>انوفا دفع خلفي بنزين 2.</t>
  </si>
  <si>
    <t>انوفا دفع خلفي ديزل2.8</t>
  </si>
  <si>
    <t>راف فور 2.5لتر بنزين دف</t>
  </si>
  <si>
    <t>راف فور هايبرد2.5لتر دف</t>
  </si>
  <si>
    <t>رايز  1لتر  اتوماتيك  د</t>
  </si>
  <si>
    <t>رايز 1.2 لتر اتوماتيك د</t>
  </si>
  <si>
    <t>فورتشنر 2.4لتر دفع رباع</t>
  </si>
  <si>
    <t>فورتشنر دفع خلفي 2.7 لت</t>
  </si>
  <si>
    <t>فورتشنر دفع رباعي 2.7 ل</t>
  </si>
  <si>
    <t>فورتشنر دفع رباعي 2.8لت</t>
  </si>
  <si>
    <t>فورتشنر دفع رباعي 4لتر</t>
  </si>
  <si>
    <t>لاند كروزر برادو دفع ر</t>
  </si>
  <si>
    <t>لاند كروزر بنزين 3.5 لت</t>
  </si>
  <si>
    <t>لاندكروزر 3.3 لتر دفع ر</t>
  </si>
  <si>
    <t>لاندكروزر 3.4لتر ديزل د</t>
  </si>
  <si>
    <t>لاندكروزر 4 لتر  عادي ب</t>
  </si>
  <si>
    <t>لاندكروزر برادو دفع ر</t>
  </si>
  <si>
    <t>لاندكروزر3.3لتر دفع رب</t>
  </si>
  <si>
    <t>هاي اس 2.8 لتر دفع خلفي</t>
  </si>
  <si>
    <t>هاي اس 2.8لتر دفع خلفي إ</t>
  </si>
  <si>
    <t>هاي اس سقف عالي 2.8لتر د</t>
  </si>
  <si>
    <t>هايس   اوتوماتيك</t>
  </si>
  <si>
    <t>هايلكس غمارة دفع ثنائ</t>
  </si>
  <si>
    <t>هايلوكس 2.4 لتر ديزل دف</t>
  </si>
  <si>
    <t>هايلوكس 2.4لتر ديزل دفع</t>
  </si>
  <si>
    <t>هايلوكس 2.7 لتر بنزين د</t>
  </si>
  <si>
    <t>هايلوكس 2.7لتر بنزين دف</t>
  </si>
  <si>
    <t>هايلوكس 2.8لتر ديزل دفع</t>
  </si>
  <si>
    <t>ال اكس 600 3.5 لتر  دفع رب</t>
  </si>
  <si>
    <t>ال اكس 600 3.5 لتر دفع ربا</t>
  </si>
  <si>
    <t>ان اكس 350  دفع رباعي</t>
  </si>
  <si>
    <t>ان اكس 350 اتش  دفع رباع</t>
  </si>
  <si>
    <t>هافال اتش 6 4×2</t>
  </si>
  <si>
    <t>هافال اتش 6 4×4</t>
  </si>
  <si>
    <t>وينجل5 ار دبليو دي</t>
  </si>
  <si>
    <t>تيرين دفع رباعي  تيربو</t>
  </si>
  <si>
    <t>يوكن اكس ال  لارج  دفع</t>
  </si>
  <si>
    <t>يوكون اكس ال دينالي لا</t>
  </si>
  <si>
    <t>يوكون اكس ال لارج  دفع</t>
  </si>
  <si>
    <t>بيلزر دفع رباعي</t>
  </si>
  <si>
    <t>تاهو دفع خلفي 5.3</t>
  </si>
  <si>
    <t>تاهو دفع رباعي  6.2 لتر</t>
  </si>
  <si>
    <t>ترافيرس ار اس دفع رباع</t>
  </si>
  <si>
    <t>ترافيرس ال اس دفع امام</t>
  </si>
  <si>
    <t>ترافيرس ال تي دفع امام</t>
  </si>
  <si>
    <t>ترافيرس بريمير دفع رب</t>
  </si>
  <si>
    <t>جرووف</t>
  </si>
  <si>
    <t>سوبر بان دفع خلفي</t>
  </si>
  <si>
    <t>سوبربان دفع خلفي 6.2 لت</t>
  </si>
  <si>
    <t>سوبربان دفع رباعي 5.3 ل</t>
  </si>
  <si>
    <t>قروف دفع امامي 1.5لتر</t>
  </si>
  <si>
    <t>ماليبو تيربو  دفع امام</t>
  </si>
  <si>
    <t>اسكاليد 4×4</t>
  </si>
  <si>
    <t>جي اس 3</t>
  </si>
  <si>
    <t>جي اي 6</t>
  </si>
  <si>
    <t>اوكافانجو</t>
  </si>
  <si>
    <t>بنراي</t>
  </si>
  <si>
    <t>توجيلا دفع رباعي</t>
  </si>
  <si>
    <t>ام جي تي 60</t>
  </si>
  <si>
    <t>ام جي جي تي</t>
  </si>
  <si>
    <t>ماكسوس تي 60 4×4</t>
  </si>
  <si>
    <t>ماكسوس دي 60</t>
  </si>
  <si>
    <t>ماكسوس دي 90</t>
  </si>
  <si>
    <t>ايدو بلس</t>
  </si>
  <si>
    <t>سي اس 75 بلس</t>
  </si>
  <si>
    <t>شيري تيجو 7</t>
  </si>
  <si>
    <t>اريزو 3</t>
  </si>
  <si>
    <t>اريزو 5</t>
  </si>
  <si>
    <t>اريزو 6 برو</t>
  </si>
  <si>
    <t>اكسيد تي اكس ال</t>
  </si>
  <si>
    <t>تيجو 2 برو</t>
  </si>
  <si>
    <t>تيجو 4 برو</t>
  </si>
  <si>
    <t>تيجو 7 برو</t>
  </si>
  <si>
    <t>تيجو 8</t>
  </si>
  <si>
    <t>تيجو 8 برو</t>
  </si>
  <si>
    <t>بستون تي 99</t>
  </si>
  <si>
    <t>اتش اس 5 دفع امامي</t>
  </si>
  <si>
    <t>اتش اس 5 دفع رباعي</t>
  </si>
  <si>
    <t>اكسبلور اكس ال تي 2.3لت</t>
  </si>
  <si>
    <t>رينجر اكس ال اس 2.2 لتر</t>
  </si>
  <si>
    <t>لينكون كروس اير   2.0لتر</t>
  </si>
  <si>
    <t>افياتور 3 لتر</t>
  </si>
  <si>
    <t>اي سي 220 دي ال</t>
  </si>
  <si>
    <t>جي تي اي 4*2  4 ابواب</t>
  </si>
  <si>
    <t>ايه 08-352</t>
  </si>
  <si>
    <t>تيلورايد 3.8 لتر دفع رب</t>
  </si>
  <si>
    <t>سبورتاج 1.6لتر دفع امام</t>
  </si>
  <si>
    <t>سول 1.6لتر دفع امامي</t>
  </si>
  <si>
    <t>سونيت سي في تي كيو واي</t>
  </si>
  <si>
    <t>سونيت كيو واي سي في تي</t>
  </si>
  <si>
    <t>سيلتوس 1.6لتر دفع امامي</t>
  </si>
  <si>
    <t>سيلتوس اس بي 2 اي</t>
  </si>
  <si>
    <t>كرنفال دفع امامي  3.5 لت</t>
  </si>
  <si>
    <t>كي 8</t>
  </si>
  <si>
    <t>كي 8 دفع امامي</t>
  </si>
  <si>
    <t>كيه 5 دي ال 3 دفع امامي 2</t>
  </si>
  <si>
    <t>كيه 8 جي ال 3 دفع امامي 3</t>
  </si>
  <si>
    <t>سبورت 3 لتر</t>
  </si>
  <si>
    <t>ديفندر 110  3لتر</t>
  </si>
  <si>
    <t>ديفيندر 110  5لتر</t>
  </si>
  <si>
    <t>سي اكس -5 دفع ثنائي 4×2</t>
  </si>
  <si>
    <t>سي اكس -5 دفع رباعي 4×4</t>
  </si>
  <si>
    <t>ليفانتي مودينا دفع رب</t>
  </si>
  <si>
    <t>ليفانتي هايبرد دفع رب</t>
  </si>
  <si>
    <t>اروكس 3048  ايه 6*6</t>
  </si>
  <si>
    <t>اس 580 فورماتيك</t>
  </si>
  <si>
    <t>اس 680 مايباخ فورماتيك</t>
  </si>
  <si>
    <t>جي ال اس 600 فورماتيك ما</t>
  </si>
  <si>
    <t>جي ال سي 200 فورماتيك</t>
  </si>
  <si>
    <t>زيتروس 3342 اي اس 6×6</t>
  </si>
  <si>
    <t>سي200</t>
  </si>
  <si>
    <t>فيتو تورر 121</t>
  </si>
  <si>
    <t>اف ام 65 اف ام 2×4</t>
  </si>
  <si>
    <t>اف اي في 1 بيه كي</t>
  </si>
  <si>
    <t>اف اي في 1بيه كي</t>
  </si>
  <si>
    <t>اف ايه في 1بيه اتش</t>
  </si>
  <si>
    <t>اف جيه اكس 4 دبليو ال 6.3</t>
  </si>
  <si>
    <t>اف جيه اكس 4 دبليو بيه</t>
  </si>
  <si>
    <t>اف جيه اكس 4دبليو اتش 6.</t>
  </si>
  <si>
    <t>اف كيه 61 اف ام 2×4</t>
  </si>
  <si>
    <t>كانتر اف اي 84 سي جي  4×2</t>
  </si>
  <si>
    <t>كانتر اف ايه بي 7 ايه ا</t>
  </si>
  <si>
    <t>كانتر اف ايه بي 7 ايه ج</t>
  </si>
  <si>
    <t>كانتر اف ايه بي9 ايه جي</t>
  </si>
  <si>
    <t>اتراج 1.2لتر دفع امامي</t>
  </si>
  <si>
    <t>اسبيس استار 1.2لتر دفع</t>
  </si>
  <si>
    <t>اكلبس كروس 1.5لتر</t>
  </si>
  <si>
    <t>ال 200  ديزل دفع خلفي 2.5ل</t>
  </si>
  <si>
    <t>ال 200 بنزين دفع خلفي  2.4</t>
  </si>
  <si>
    <t>ال 200 بنزين دفع خلفي 2.4</t>
  </si>
  <si>
    <t>ال 200 بنزين دفع رباعي 2.</t>
  </si>
  <si>
    <t>ال 200 ديزل دفع خلفي 2.5ل</t>
  </si>
  <si>
    <t>ال 200 ديزل دفع رباعي 2.4</t>
  </si>
  <si>
    <t>اوتلاندر دفع رباعي 2.4ل</t>
  </si>
  <si>
    <t>ايه اس اكس 2 لتر دفع ام</t>
  </si>
  <si>
    <t>ايه اس اكس 2لتر دفع ربا</t>
  </si>
  <si>
    <t>فورز اف جي واي 1دبليو ا</t>
  </si>
  <si>
    <t>فوزو اف ايه سي اكس ايه</t>
  </si>
  <si>
    <t>كيو 50  دفع خلفي 3 لتر</t>
  </si>
  <si>
    <t>كيو اكس 55 دفع رباعي</t>
  </si>
  <si>
    <t>اورفان ديزل عادي 2.5 لت</t>
  </si>
  <si>
    <t>باترول  اتوماتيك دفع ر</t>
  </si>
  <si>
    <t>باترول بنزين اوتوماتي</t>
  </si>
  <si>
    <t>باترول بنزين عادي دفع</t>
  </si>
  <si>
    <t>باثفايندر 3.5 لتر دفع ا</t>
  </si>
  <si>
    <t>باثفايندر 3.5 لتر دفع ر</t>
  </si>
  <si>
    <t>نافارا ديزل عادي</t>
  </si>
  <si>
    <t>توسان  2.5 لتر</t>
  </si>
  <si>
    <t>توسان 1.6 لتر</t>
  </si>
  <si>
    <t>توسان 2 لتر</t>
  </si>
  <si>
    <t>توسان 2.5 لتر</t>
  </si>
  <si>
    <t>جراند اي 10</t>
  </si>
  <si>
    <t>ستاريا</t>
  </si>
  <si>
    <t>ستاريا 2.2لتر</t>
  </si>
  <si>
    <t>ستاريا 3.5 لتر</t>
  </si>
  <si>
    <t>فولتسر</t>
  </si>
  <si>
    <t>كونا  2لتر</t>
  </si>
  <si>
    <t>كونا هايبرد</t>
  </si>
  <si>
    <t>هينو 300 730 دبليو كي ام ك</t>
  </si>
  <si>
    <t xml:space="preserve">العلامة </t>
  </si>
  <si>
    <t>الطراز/ الموديل</t>
  </si>
  <si>
    <t>ANKAI</t>
  </si>
  <si>
    <t>باص -CANTON- راكب29</t>
  </si>
  <si>
    <t xml:space="preserve">باص -HK6118G- راكب67 </t>
  </si>
  <si>
    <t>BMW</t>
  </si>
  <si>
    <t>118i</t>
  </si>
  <si>
    <t>120i</t>
  </si>
  <si>
    <t>140i</t>
  </si>
  <si>
    <t>218i</t>
  </si>
  <si>
    <t>240i</t>
  </si>
  <si>
    <t>318i</t>
  </si>
  <si>
    <t>320i</t>
  </si>
  <si>
    <t>330i</t>
  </si>
  <si>
    <t>420i</t>
  </si>
  <si>
    <t>430i</t>
  </si>
  <si>
    <t>440i</t>
  </si>
  <si>
    <t>520i</t>
  </si>
  <si>
    <t xml:space="preserve">530i </t>
  </si>
  <si>
    <t>550i</t>
  </si>
  <si>
    <t>730Li</t>
  </si>
  <si>
    <t xml:space="preserve">740Li </t>
  </si>
  <si>
    <t>750Li</t>
  </si>
  <si>
    <t>760Li</t>
  </si>
  <si>
    <t xml:space="preserve">840i </t>
  </si>
  <si>
    <t>M2</t>
  </si>
  <si>
    <t>M3</t>
  </si>
  <si>
    <t>M4</t>
  </si>
  <si>
    <t>M40i</t>
  </si>
  <si>
    <t>M5</t>
  </si>
  <si>
    <t>M8</t>
  </si>
  <si>
    <t>M850i</t>
  </si>
  <si>
    <t>X1</t>
  </si>
  <si>
    <t>X2</t>
  </si>
  <si>
    <t>X3</t>
  </si>
  <si>
    <t>X4</t>
  </si>
  <si>
    <t>X5</t>
  </si>
  <si>
    <t>X6</t>
  </si>
  <si>
    <t>X7</t>
  </si>
  <si>
    <t>Z4</t>
  </si>
  <si>
    <t>FUSO</t>
  </si>
  <si>
    <t>باص - فوزو روزا</t>
  </si>
  <si>
    <t>GAC</t>
  </si>
  <si>
    <t>GA4</t>
  </si>
  <si>
    <t>GA6</t>
  </si>
  <si>
    <t>GA8</t>
  </si>
  <si>
    <t>GN6</t>
  </si>
  <si>
    <t>GS3</t>
  </si>
  <si>
    <t>GS4</t>
  </si>
  <si>
    <t>GS8 FACELIFT</t>
  </si>
  <si>
    <t xml:space="preserve"> سوبربان </t>
  </si>
  <si>
    <t xml:space="preserve">اكاديا </t>
  </si>
  <si>
    <t xml:space="preserve">سافانا - LWB-2500 </t>
  </si>
  <si>
    <t>سافانا  - LWB-3500</t>
  </si>
  <si>
    <t>سييرا - غمارة - V8- 5.3L</t>
  </si>
  <si>
    <t>سييرا - غمارتين - DENALI - V8- 6.0L</t>
  </si>
  <si>
    <t>سييرا - غمارتين - V8- 5.3L</t>
  </si>
  <si>
    <t>يوكن -  SLE - 4X2</t>
  </si>
  <si>
    <t>يوكن -  SLE - 4X4</t>
  </si>
  <si>
    <t>يوكن -  SLT - 4X4</t>
  </si>
  <si>
    <t>يوكن -  XL -SLE - 4X2</t>
  </si>
  <si>
    <t>يوكن -  XL -SLE - 4X4</t>
  </si>
  <si>
    <t>يوكن - Denali</t>
  </si>
  <si>
    <t>يوكن - XL Denali</t>
  </si>
  <si>
    <t>JAC</t>
  </si>
  <si>
    <t xml:space="preserve"> 4X2- T8 بيكب</t>
  </si>
  <si>
    <t>4X4 -T8 بيكب</t>
  </si>
  <si>
    <t>J7</t>
  </si>
  <si>
    <t>S3</t>
  </si>
  <si>
    <t>S7 PRO</t>
  </si>
  <si>
    <t>فان بضائع - SUNRAY</t>
  </si>
  <si>
    <t>فان ركاب M4</t>
  </si>
  <si>
    <t>Jeep</t>
  </si>
  <si>
    <t xml:space="preserve"> جلاديتور- بيكب غمارة</t>
  </si>
  <si>
    <t xml:space="preserve"> جلاديتور- بيكب غمارتين</t>
  </si>
  <si>
    <t xml:space="preserve"> رانجلر- جيب -2 أبواب</t>
  </si>
  <si>
    <t xml:space="preserve"> رانجلر- جيب -4 أبواب</t>
  </si>
  <si>
    <t>جراند شروكي</t>
  </si>
  <si>
    <t>جراند شروكي-V8 5.7L</t>
  </si>
  <si>
    <t>جراند شروكي-V8 6.4L</t>
  </si>
  <si>
    <t>كومباس</t>
  </si>
  <si>
    <t>لاريدو</t>
  </si>
  <si>
    <t xml:space="preserve">LAMBO لامبورجيني  </t>
  </si>
  <si>
    <t xml:space="preserve">HURACAN-هوراكان  </t>
  </si>
  <si>
    <t>URUS- اوروس</t>
  </si>
  <si>
    <t>افنتادور -AVENTADOR</t>
  </si>
  <si>
    <t>MG</t>
  </si>
  <si>
    <t>GT</t>
  </si>
  <si>
    <t>HS</t>
  </si>
  <si>
    <t>RX5</t>
  </si>
  <si>
    <t>RX8</t>
  </si>
  <si>
    <t>T60</t>
  </si>
  <si>
    <t>ZS11</t>
  </si>
  <si>
    <t>Mini</t>
  </si>
  <si>
    <t>JONH COOPER</t>
  </si>
  <si>
    <t>ميني Clubman</t>
  </si>
  <si>
    <t>ميني JCW</t>
  </si>
  <si>
    <t xml:space="preserve">ميني كوبر </t>
  </si>
  <si>
    <t xml:space="preserve">استون مارتن </t>
  </si>
  <si>
    <t>DB11</t>
  </si>
  <si>
    <t>DBS</t>
  </si>
  <si>
    <t>DBX</t>
  </si>
  <si>
    <t xml:space="preserve">RAPIDE </t>
  </si>
  <si>
    <t>RAPIDE AMR</t>
  </si>
  <si>
    <t xml:space="preserve">VANTAGE GT8  </t>
  </si>
  <si>
    <t>VANTAGE -SV12</t>
  </si>
  <si>
    <t>VANTAGE هاتشباك</t>
  </si>
  <si>
    <t>اشوك</t>
  </si>
  <si>
    <t>باص - ليلاند</t>
  </si>
  <si>
    <t xml:space="preserve"> 4V-C 4-GDA</t>
  </si>
  <si>
    <t>GDA</t>
  </si>
  <si>
    <t>جوليا 4V</t>
  </si>
  <si>
    <t>جوليا 6V</t>
  </si>
  <si>
    <t>انفنتي</t>
  </si>
  <si>
    <t xml:space="preserve"> Q-70</t>
  </si>
  <si>
    <t xml:space="preserve"> QX-80</t>
  </si>
  <si>
    <t>Q-30</t>
  </si>
  <si>
    <t>Q-50</t>
  </si>
  <si>
    <t>Q-60</t>
  </si>
  <si>
    <t>QX-50</t>
  </si>
  <si>
    <t>QX-60</t>
  </si>
  <si>
    <t>QX-70</t>
  </si>
  <si>
    <t xml:space="preserve"> A3</t>
  </si>
  <si>
    <t>A4</t>
  </si>
  <si>
    <t>A5</t>
  </si>
  <si>
    <t>A6</t>
  </si>
  <si>
    <t>A7</t>
  </si>
  <si>
    <t>A8</t>
  </si>
  <si>
    <t>Q3</t>
  </si>
  <si>
    <t>Q5</t>
  </si>
  <si>
    <t>Q7</t>
  </si>
  <si>
    <t>Q8</t>
  </si>
  <si>
    <t>RS5</t>
  </si>
  <si>
    <t>RS6</t>
  </si>
  <si>
    <t>RS7</t>
  </si>
  <si>
    <t>S5</t>
  </si>
  <si>
    <t>S6</t>
  </si>
  <si>
    <t>S7</t>
  </si>
  <si>
    <t>S8</t>
  </si>
  <si>
    <t>TT</t>
  </si>
  <si>
    <t xml:space="preserve"> MUX</t>
  </si>
  <si>
    <t>بيكب ديماكس غمارة - 4X2</t>
  </si>
  <si>
    <t xml:space="preserve">بيكب ديماكس غمارة -4X4 </t>
  </si>
  <si>
    <t>بيكب ديماكس غمارتين - 4X2</t>
  </si>
  <si>
    <t xml:space="preserve">بيكب ديماكس غمارتين - 4X4 </t>
  </si>
  <si>
    <t xml:space="preserve">بايك </t>
  </si>
  <si>
    <t>Bj40</t>
  </si>
  <si>
    <t xml:space="preserve">Bj80 </t>
  </si>
  <si>
    <t>D50</t>
  </si>
  <si>
    <t>X35</t>
  </si>
  <si>
    <t xml:space="preserve">بنتلي </t>
  </si>
  <si>
    <t>بنتياقا - BANTAYGA</t>
  </si>
  <si>
    <t xml:space="preserve">فلاينج سبير-FIYING </t>
  </si>
  <si>
    <t>كونتيننتالCONTINENTAL-GT</t>
  </si>
  <si>
    <t>مولسان - MULSANNE</t>
  </si>
  <si>
    <t xml:space="preserve"> بانميرا</t>
  </si>
  <si>
    <t xml:space="preserve"> بوكستر</t>
  </si>
  <si>
    <t xml:space="preserve"> كايين</t>
  </si>
  <si>
    <t xml:space="preserve"> ماكان</t>
  </si>
  <si>
    <t>كاريرا -911</t>
  </si>
  <si>
    <t xml:space="preserve"> اكسبرت </t>
  </si>
  <si>
    <t xml:space="preserve">تسلا </t>
  </si>
  <si>
    <t>S</t>
  </si>
  <si>
    <t>X</t>
  </si>
  <si>
    <t>Y</t>
  </si>
  <si>
    <t xml:space="preserve"> افانزا</t>
  </si>
  <si>
    <t xml:space="preserve"> انوفا</t>
  </si>
  <si>
    <t xml:space="preserve"> برادو- 2.8 - 4X4  ديزل</t>
  </si>
  <si>
    <t xml:space="preserve"> برادو-2.7 - 4X4 بنزين</t>
  </si>
  <si>
    <t xml:space="preserve"> برادو-4.0 - 4X4 بنزين</t>
  </si>
  <si>
    <t xml:space="preserve"> بريوس</t>
  </si>
  <si>
    <t xml:space="preserve"> جرانفا فان</t>
  </si>
  <si>
    <t xml:space="preserve"> راش</t>
  </si>
  <si>
    <t xml:space="preserve"> سيكويا </t>
  </si>
  <si>
    <t xml:space="preserve"> فورشنر-GX  2.7- 4X4   بنزين</t>
  </si>
  <si>
    <t xml:space="preserve"> فورشنر-GX  2.7 - 4X2 بنزين</t>
  </si>
  <si>
    <t xml:space="preserve"> فورشنر-GX 2.4 - 4X4   ديزل</t>
  </si>
  <si>
    <t xml:space="preserve"> فورشنر-VX-  4.0 - 4X4  بنزين</t>
  </si>
  <si>
    <t xml:space="preserve"> فورشنر -VX  2.8 - 4X4   ديزل</t>
  </si>
  <si>
    <t xml:space="preserve"> كامركروزر</t>
  </si>
  <si>
    <t xml:space="preserve">C-HR </t>
  </si>
  <si>
    <t>اف جي</t>
  </si>
  <si>
    <t>افالون - LIMITED</t>
  </si>
  <si>
    <t>افالون - TOURING</t>
  </si>
  <si>
    <t>افالون - XLE</t>
  </si>
  <si>
    <t>افالون  - PREMIUM</t>
  </si>
  <si>
    <t xml:space="preserve">اوريون </t>
  </si>
  <si>
    <t>بريفيا</t>
  </si>
  <si>
    <t>راف فور RAV4</t>
  </si>
  <si>
    <t>رايز</t>
  </si>
  <si>
    <t>ربع (مصندق)</t>
  </si>
  <si>
    <t xml:space="preserve">شاص غمارة - 4.0  -  بنزين </t>
  </si>
  <si>
    <t xml:space="preserve">شاص غمارة -4.5  -  ديزل </t>
  </si>
  <si>
    <t xml:space="preserve">شاص غمارتين - 4.5 -  ديزل </t>
  </si>
  <si>
    <t xml:space="preserve">شاص غمارتين -4.0  - بنزين </t>
  </si>
  <si>
    <t>كامري- 2.5 - هايبرد - LE</t>
  </si>
  <si>
    <t xml:space="preserve">كامري- 2.5 - هايبرد  - GLE </t>
  </si>
  <si>
    <t xml:space="preserve">كامري- 2.5 -LE </t>
  </si>
  <si>
    <t>كامري - 2.5 - SE</t>
  </si>
  <si>
    <t>كامري - 2.5 -GLE</t>
  </si>
  <si>
    <t xml:space="preserve">كامري - SE - 6V - 3.5   </t>
  </si>
  <si>
    <t>كامري -2.5- هايبرد - LUMIERE</t>
  </si>
  <si>
    <t xml:space="preserve">كامري قراندي  6V  -  3.5     </t>
  </si>
  <si>
    <t>كرولا  كروس</t>
  </si>
  <si>
    <t>كورلا - 1.5</t>
  </si>
  <si>
    <t>كورلا - 1.8</t>
  </si>
  <si>
    <t xml:space="preserve">كورلا - 2.0 </t>
  </si>
  <si>
    <t xml:space="preserve">لاند كروزر  GR - 3.5  بنزين </t>
  </si>
  <si>
    <t xml:space="preserve">لاند كروزر  GXR - 3.5 بنزين </t>
  </si>
  <si>
    <t xml:space="preserve">لاند كروزر  GXR - 6V  4.0  </t>
  </si>
  <si>
    <t xml:space="preserve">لاند كروزر  GXR - 8V  4.5      </t>
  </si>
  <si>
    <t xml:space="preserve">لاند كروزر  GXR  -  3.3  ديزل  </t>
  </si>
  <si>
    <t xml:space="preserve">لاند كروزر  VX - 3.5 بنزين </t>
  </si>
  <si>
    <t>لاند كروزر GX - 3.3  ديزل</t>
  </si>
  <si>
    <t>لاند كروزر GX - 4.0  - V6   بنزين</t>
  </si>
  <si>
    <t>لاند كروزر GXR - 8V - 4.6 ديزل</t>
  </si>
  <si>
    <t>لاند كروزر VX - 3.3  ديزل</t>
  </si>
  <si>
    <t>لاند كروزر VXR - 3.5  بنزين</t>
  </si>
  <si>
    <t>لاند كروزر VXS - 5.7</t>
  </si>
  <si>
    <t>لاند كروزرGRS - 3.3  ديزل</t>
  </si>
  <si>
    <t>هايس مني باص 13 راكب</t>
  </si>
  <si>
    <t>هايلاندر</t>
  </si>
  <si>
    <t>هايلكس-ADVENTURE غمارتين 4.0  -4X4- 6V  بنزين</t>
  </si>
  <si>
    <t>هايلكس غمارة  2.4 -GLX - 4X4   - ديزل</t>
  </si>
  <si>
    <t>هايلكس غمارة  2.4  -GL -  4X2 - ديزل</t>
  </si>
  <si>
    <t>هايلكس غمارة  2.7 - GLX - 4X4 - بنزين</t>
  </si>
  <si>
    <t>هايلكس غمارة  2.8 -GL - 4X   -  ديزل</t>
  </si>
  <si>
    <t>هايلكس غمارة 2.7  -GLX - 4X2  - بنزين</t>
  </si>
  <si>
    <t>هايلكس غمارتين  2.7- 4X4 - GLX  بنزين</t>
  </si>
  <si>
    <t>هايلكس غمارتين  2.7 - 4X2 - GLX بنزين</t>
  </si>
  <si>
    <t>هايلكس غمارتين  2.7 -4X2 - GL  بنزين</t>
  </si>
  <si>
    <t>هايلكس غمارتين  2.8 -4X4 - GL ديزل</t>
  </si>
  <si>
    <t>هايلكس غمارتين 2.7 - 4X4 - GL  بنزين</t>
  </si>
  <si>
    <t>هايلكس غمارتين 2.8- 4X4 - GLX ديزل</t>
  </si>
  <si>
    <t>هايلكس غمارتين 2.8 - 4X2 - GL ديزل</t>
  </si>
  <si>
    <t>هايلكس غمارتين 4.0  -4X4- GLX  بنزين</t>
  </si>
  <si>
    <t xml:space="preserve">تويوتا </t>
  </si>
  <si>
    <t>باص - كوستر  30 راكب</t>
  </si>
  <si>
    <t>تندرا</t>
  </si>
  <si>
    <t>كراون SUV</t>
  </si>
  <si>
    <t>جاكور JAGUAR</t>
  </si>
  <si>
    <t xml:space="preserve"> V6- F-Type Series</t>
  </si>
  <si>
    <t xml:space="preserve"> V8 - F-PACE</t>
  </si>
  <si>
    <t>XE</t>
  </si>
  <si>
    <t>XF</t>
  </si>
  <si>
    <t xml:space="preserve"> وينجل7</t>
  </si>
  <si>
    <t xml:space="preserve"> اميجراند GS </t>
  </si>
  <si>
    <t xml:space="preserve"> اميجراند GT</t>
  </si>
  <si>
    <t xml:space="preserve"> اميجراند GX</t>
  </si>
  <si>
    <t xml:space="preserve"> اميجراند X7</t>
  </si>
  <si>
    <t>ازكارا</t>
  </si>
  <si>
    <t xml:space="preserve">بينراي </t>
  </si>
  <si>
    <t>توجيلا</t>
  </si>
  <si>
    <t>جينسيس</t>
  </si>
  <si>
    <t xml:space="preserve"> G70</t>
  </si>
  <si>
    <t xml:space="preserve"> G80</t>
  </si>
  <si>
    <t xml:space="preserve"> G90</t>
  </si>
  <si>
    <t xml:space="preserve"> GV80</t>
  </si>
  <si>
    <t>GV70</t>
  </si>
  <si>
    <t>دايهاتسو</t>
  </si>
  <si>
    <t>ميني باص - جران ماكس</t>
  </si>
  <si>
    <t>دوج</t>
  </si>
  <si>
    <t xml:space="preserve"> تشالنجر </t>
  </si>
  <si>
    <t xml:space="preserve"> دورانجو</t>
  </si>
  <si>
    <t xml:space="preserve"> رام1500-غمارة - 4x4 - V6</t>
  </si>
  <si>
    <t xml:space="preserve"> رام1500-غمارة - 4x4 - V8</t>
  </si>
  <si>
    <t xml:space="preserve"> رام1500 غمارتين  -V6-  3.6L</t>
  </si>
  <si>
    <t xml:space="preserve"> نيون</t>
  </si>
  <si>
    <t>Viper - GTS</t>
  </si>
  <si>
    <t>تشارجر  5.7L-  R/T - 8V</t>
  </si>
  <si>
    <t>تشارجر  6.4L - SRT - 8V</t>
  </si>
  <si>
    <t>تشارجر SE - 6V</t>
  </si>
  <si>
    <t>رام  4x2 - 1200 بيك اب</t>
  </si>
  <si>
    <t>رام 1500- غمارة - Express - 4x4 - V6</t>
  </si>
  <si>
    <t xml:space="preserve">رام 1500-غمارة- Big - 4x4 - V8 </t>
  </si>
  <si>
    <t>رام 1500-غمارة -4x4 - V8- 5.7L</t>
  </si>
  <si>
    <t xml:space="preserve">رام 1500-غمارتين-4x4 -V8  6.4L </t>
  </si>
  <si>
    <t xml:space="preserve">رام 1500-غمارتين-Express - V6  3.6L </t>
  </si>
  <si>
    <t>رام 1500 - غمارة - 4x4 - V8</t>
  </si>
  <si>
    <t>رام 1500 -غمارة- Express - 4x2 - V6</t>
  </si>
  <si>
    <t>رام 2500-غمارة - ST- 4x4 - V6</t>
  </si>
  <si>
    <t xml:space="preserve">رام 2500-غمارتين- 4x4- V8 6.4L </t>
  </si>
  <si>
    <t xml:space="preserve">رام 2500-غمارتين -4x4 - V8 5.7L </t>
  </si>
  <si>
    <t>دونغ فينج</t>
  </si>
  <si>
    <t>AX4</t>
  </si>
  <si>
    <t>AX7</t>
  </si>
  <si>
    <t>C16/C72</t>
  </si>
  <si>
    <t>C31</t>
  </si>
  <si>
    <t>C32</t>
  </si>
  <si>
    <t>C35</t>
  </si>
  <si>
    <t>E32</t>
  </si>
  <si>
    <t>ايفو T5</t>
  </si>
  <si>
    <t>روز رايس ROLLS</t>
  </si>
  <si>
    <t>GHOST</t>
  </si>
  <si>
    <t>PHANTOM</t>
  </si>
  <si>
    <t>تويزي</t>
  </si>
  <si>
    <t>سافران</t>
  </si>
  <si>
    <t xml:space="preserve">رينو </t>
  </si>
  <si>
    <t>تاليسمان</t>
  </si>
  <si>
    <t xml:space="preserve">داستر </t>
  </si>
  <si>
    <t xml:space="preserve">فان دوكر </t>
  </si>
  <si>
    <t>فان ماستر-H1L1</t>
  </si>
  <si>
    <t xml:space="preserve">ميجان </t>
  </si>
  <si>
    <t>زوتي</t>
  </si>
  <si>
    <t>T700</t>
  </si>
  <si>
    <t>XLV</t>
  </si>
  <si>
    <t>تيفولي</t>
  </si>
  <si>
    <t>ريكستون</t>
  </si>
  <si>
    <t>كوراندو</t>
  </si>
  <si>
    <t>سكودا</t>
  </si>
  <si>
    <t xml:space="preserve">اوكتافيا </t>
  </si>
  <si>
    <t>رابيد</t>
  </si>
  <si>
    <t>سوبيرب</t>
  </si>
  <si>
    <t>فابيا</t>
  </si>
  <si>
    <t>كودياك</t>
  </si>
  <si>
    <t>STA</t>
  </si>
  <si>
    <t>WRX</t>
  </si>
  <si>
    <t>XV</t>
  </si>
  <si>
    <t>امبريزا</t>
  </si>
  <si>
    <t>فروستر</t>
  </si>
  <si>
    <t xml:space="preserve">ليجاسي </t>
  </si>
  <si>
    <t>سوزوكي</t>
  </si>
  <si>
    <t xml:space="preserve"> ديزاير</t>
  </si>
  <si>
    <t>APV  فان</t>
  </si>
  <si>
    <t xml:space="preserve">APV بيك اب </t>
  </si>
  <si>
    <t>ارتيجا</t>
  </si>
  <si>
    <t>بالينو</t>
  </si>
  <si>
    <t>جمني</t>
  </si>
  <si>
    <t>سياز</t>
  </si>
  <si>
    <t xml:space="preserve">فيتارا </t>
  </si>
  <si>
    <t>CS35</t>
  </si>
  <si>
    <t>CS75</t>
  </si>
  <si>
    <t>CS85</t>
  </si>
  <si>
    <t>CS95</t>
  </si>
  <si>
    <t>EADO</t>
  </si>
  <si>
    <t>L7</t>
  </si>
  <si>
    <t xml:space="preserve">ايدو </t>
  </si>
  <si>
    <t xml:space="preserve">هنترHUNTER F70 بيكب  </t>
  </si>
  <si>
    <t xml:space="preserve"> تيجو2</t>
  </si>
  <si>
    <t xml:space="preserve"> تيجو3</t>
  </si>
  <si>
    <t xml:space="preserve"> تيجو4</t>
  </si>
  <si>
    <t xml:space="preserve"> تيجو5</t>
  </si>
  <si>
    <t xml:space="preserve"> تيجو7</t>
  </si>
  <si>
    <t xml:space="preserve"> تيجو8</t>
  </si>
  <si>
    <t>اريزو3</t>
  </si>
  <si>
    <t>اريزو5</t>
  </si>
  <si>
    <t>جيتور X70</t>
  </si>
  <si>
    <t>جيتور X90</t>
  </si>
  <si>
    <t>شيفروليه</t>
  </si>
  <si>
    <t xml:space="preserve"> امبالا</t>
  </si>
  <si>
    <t xml:space="preserve"> بليزر </t>
  </si>
  <si>
    <t xml:space="preserve"> تاهو 4X2</t>
  </si>
  <si>
    <t xml:space="preserve"> تاهو 4X4</t>
  </si>
  <si>
    <t xml:space="preserve"> ترافرس</t>
  </si>
  <si>
    <t xml:space="preserve"> سلفرادو 6V</t>
  </si>
  <si>
    <t xml:space="preserve"> سلفرادو 8V</t>
  </si>
  <si>
    <t xml:space="preserve"> كابتيفا 4V</t>
  </si>
  <si>
    <t xml:space="preserve"> كابتيفا 6V</t>
  </si>
  <si>
    <t xml:space="preserve"> كورفت </t>
  </si>
  <si>
    <t xml:space="preserve"> كومارو</t>
  </si>
  <si>
    <t xml:space="preserve"> كومارو SS</t>
  </si>
  <si>
    <t xml:space="preserve">ايكونس </t>
  </si>
  <si>
    <t>سوبربان  4X2</t>
  </si>
  <si>
    <t>سوبربان  4X4</t>
  </si>
  <si>
    <t xml:space="preserve">كروز </t>
  </si>
  <si>
    <t>شيلي</t>
  </si>
  <si>
    <t xml:space="preserve"> اريزو 6 </t>
  </si>
  <si>
    <t>فاو بيستون</t>
  </si>
  <si>
    <t>T33</t>
  </si>
  <si>
    <t>T77</t>
  </si>
  <si>
    <t xml:space="preserve"> V8 -4X2 - F350 -غمارة</t>
  </si>
  <si>
    <t xml:space="preserve"> V8 -4X4 - F350 -غمارة</t>
  </si>
  <si>
    <t xml:space="preserve"> V8 -4X4 - F350 -غمارتين</t>
  </si>
  <si>
    <t xml:space="preserve"> فلكس</t>
  </si>
  <si>
    <t xml:space="preserve"> فيجو</t>
  </si>
  <si>
    <t>اسكورت</t>
  </si>
  <si>
    <t>اسكيب</t>
  </si>
  <si>
    <t xml:space="preserve">افانور </t>
  </si>
  <si>
    <t>اكس تريل</t>
  </si>
  <si>
    <t>اكسبدشن</t>
  </si>
  <si>
    <t>اكسبلورر</t>
  </si>
  <si>
    <t>ايفرست</t>
  </si>
  <si>
    <t>ايكوسبورت</t>
  </si>
  <si>
    <t>جيب برونكو - V4</t>
  </si>
  <si>
    <t>جيب برونكو ر-V6</t>
  </si>
  <si>
    <t>رابتر - F150</t>
  </si>
  <si>
    <t>رينجر بيكب</t>
  </si>
  <si>
    <t>غمارة - V10 - 4X2 - F450</t>
  </si>
  <si>
    <t>غمارة - V6 - F150</t>
  </si>
  <si>
    <t>غمارة - V8 - 4X4 - F550</t>
  </si>
  <si>
    <t>غمارة - V8 - F150</t>
  </si>
  <si>
    <t>غمارتين - V6 - F150</t>
  </si>
  <si>
    <t>غمارتين - V8 - F150</t>
  </si>
  <si>
    <t>غمارتين - V8 - F250</t>
  </si>
  <si>
    <t xml:space="preserve">فان بضائع وركاب - ترانزيت كاستم - 9 ركاب  </t>
  </si>
  <si>
    <t>فوكس</t>
  </si>
  <si>
    <t>فيوجن</t>
  </si>
  <si>
    <t>موستنج</t>
  </si>
  <si>
    <t xml:space="preserve">فولفو </t>
  </si>
  <si>
    <t>XS60</t>
  </si>
  <si>
    <t>XS90</t>
  </si>
  <si>
    <t>فولكس واجن VW</t>
  </si>
  <si>
    <t>ID.4</t>
  </si>
  <si>
    <t>T-ROC</t>
  </si>
  <si>
    <t>باسات</t>
  </si>
  <si>
    <t>بيتل</t>
  </si>
  <si>
    <t>تيجوان</t>
  </si>
  <si>
    <t>جيتا</t>
  </si>
  <si>
    <t xml:space="preserve">طوارق </t>
  </si>
  <si>
    <t>فيات - FCA</t>
  </si>
  <si>
    <t>500X</t>
  </si>
  <si>
    <t>باص - دوكاتو-DUCATO</t>
  </si>
  <si>
    <t>ميني باص - فيورينو</t>
  </si>
  <si>
    <t xml:space="preserve">فيراري </t>
  </si>
  <si>
    <t>812 GTS</t>
  </si>
  <si>
    <t>812 Superfast MY18</t>
  </si>
  <si>
    <t>F8 TRIBUTO</t>
  </si>
  <si>
    <t>Ferrari Monza SP1</t>
  </si>
  <si>
    <t>Ferrari Monza SP2</t>
  </si>
  <si>
    <t>Ferrari Roma</t>
  </si>
  <si>
    <t>Portofino M</t>
  </si>
  <si>
    <t>SF90 Spider</t>
  </si>
  <si>
    <t>SF90 Stradale</t>
  </si>
  <si>
    <t xml:space="preserve"> CT4</t>
  </si>
  <si>
    <t xml:space="preserve"> CT5</t>
  </si>
  <si>
    <t xml:space="preserve"> ESCALADE</t>
  </si>
  <si>
    <t xml:space="preserve"> XT4</t>
  </si>
  <si>
    <t xml:space="preserve"> XT5</t>
  </si>
  <si>
    <t xml:space="preserve"> XT6</t>
  </si>
  <si>
    <t>CT6</t>
  </si>
  <si>
    <t>CTS</t>
  </si>
  <si>
    <t xml:space="preserve"> V6 3.6L - C300</t>
  </si>
  <si>
    <t>M300</t>
  </si>
  <si>
    <t>V8 5.7L- C300</t>
  </si>
  <si>
    <t>V8 5.7L- S300</t>
  </si>
  <si>
    <t xml:space="preserve"> K3 سيراتو </t>
  </si>
  <si>
    <t xml:space="preserve"> K7 كادنزا</t>
  </si>
  <si>
    <t xml:space="preserve"> اوبتما K5</t>
  </si>
  <si>
    <t xml:space="preserve"> بيجاس</t>
  </si>
  <si>
    <t xml:space="preserve"> ريو</t>
  </si>
  <si>
    <t xml:space="preserve"> سبورتاج</t>
  </si>
  <si>
    <t>EV6</t>
  </si>
  <si>
    <t>ستونيك</t>
  </si>
  <si>
    <t xml:space="preserve">سورنتو </t>
  </si>
  <si>
    <t xml:space="preserve">سونيت </t>
  </si>
  <si>
    <t>كادنزا K8</t>
  </si>
  <si>
    <t>كادنزا V6</t>
  </si>
  <si>
    <t>كارنفال</t>
  </si>
  <si>
    <t xml:space="preserve">نيرو </t>
  </si>
  <si>
    <t>لاند روفر</t>
  </si>
  <si>
    <t xml:space="preserve"> V8 - 5.0 - Autobiography</t>
  </si>
  <si>
    <t xml:space="preserve"> ايفوك</t>
  </si>
  <si>
    <t xml:space="preserve"> ديفندر SE - 4V</t>
  </si>
  <si>
    <t xml:space="preserve"> فوج HSE - V8  </t>
  </si>
  <si>
    <t xml:space="preserve"> فوج SE- 3.0 - V6  </t>
  </si>
  <si>
    <t xml:space="preserve"> فوج سبورت SVR - V8  </t>
  </si>
  <si>
    <t xml:space="preserve"> فيلار</t>
  </si>
  <si>
    <t>ديفندر HSE - 6V</t>
  </si>
  <si>
    <t>ديفندر X- 5.0 - V8</t>
  </si>
  <si>
    <t>ديفندرX- 6V</t>
  </si>
  <si>
    <t xml:space="preserve">رانج روفر 2.0-4V- SE سبورت  </t>
  </si>
  <si>
    <t xml:space="preserve">رانج روفر 3.0-6V- HSE سبورت </t>
  </si>
  <si>
    <t>سبورت -V6- Autobiography</t>
  </si>
  <si>
    <t xml:space="preserve"> ES250</t>
  </si>
  <si>
    <t xml:space="preserve"> ES350</t>
  </si>
  <si>
    <t xml:space="preserve"> LS350</t>
  </si>
  <si>
    <t xml:space="preserve"> LX500</t>
  </si>
  <si>
    <t xml:space="preserve"> LX600</t>
  </si>
  <si>
    <t xml:space="preserve"> RX350</t>
  </si>
  <si>
    <t>ES300</t>
  </si>
  <si>
    <t>GS350</t>
  </si>
  <si>
    <t>GS450</t>
  </si>
  <si>
    <t>GX460</t>
  </si>
  <si>
    <t>is200</t>
  </si>
  <si>
    <t>is300</t>
  </si>
  <si>
    <t>is350</t>
  </si>
  <si>
    <t>LC500</t>
  </si>
  <si>
    <t>LS-500</t>
  </si>
  <si>
    <t>LX570</t>
  </si>
  <si>
    <t>NX200</t>
  </si>
  <si>
    <t>NX300</t>
  </si>
  <si>
    <t>NX350</t>
  </si>
  <si>
    <t>RC300</t>
  </si>
  <si>
    <t>RC350</t>
  </si>
  <si>
    <t>RC-F</t>
  </si>
  <si>
    <t>RXH450</t>
  </si>
  <si>
    <t>UX200</t>
  </si>
  <si>
    <t xml:space="preserve">لوسيد </t>
  </si>
  <si>
    <t>اير</t>
  </si>
  <si>
    <t xml:space="preserve"> MKZ</t>
  </si>
  <si>
    <t xml:space="preserve">افياتور </t>
  </si>
  <si>
    <t>كورسير</t>
  </si>
  <si>
    <t xml:space="preserve">كونتيننتال - تاون </t>
  </si>
  <si>
    <t>نافيجيتور</t>
  </si>
  <si>
    <t xml:space="preserve">  3 هاتشباك</t>
  </si>
  <si>
    <t xml:space="preserve"> BT50</t>
  </si>
  <si>
    <t xml:space="preserve"> CX3</t>
  </si>
  <si>
    <t xml:space="preserve"> CX9</t>
  </si>
  <si>
    <t xml:space="preserve">3 سيدان </t>
  </si>
  <si>
    <t>CX30</t>
  </si>
  <si>
    <t>CX5</t>
  </si>
  <si>
    <t>CX80</t>
  </si>
  <si>
    <t>MX5</t>
  </si>
  <si>
    <t xml:space="preserve">مازراتي </t>
  </si>
  <si>
    <t>GHIBLI 350</t>
  </si>
  <si>
    <t>GHIBLI 350 MY20</t>
  </si>
  <si>
    <t>GranTurismo MC</t>
  </si>
  <si>
    <t>LE (430A) MY18 L2</t>
  </si>
  <si>
    <t>LE 350 L1</t>
  </si>
  <si>
    <t>LE 350 L2</t>
  </si>
  <si>
    <t>Levante Gran Sport</t>
  </si>
  <si>
    <t>Levante GranLusso</t>
  </si>
  <si>
    <t>Levante S  GranSport</t>
  </si>
  <si>
    <t>Levante Trofeo</t>
  </si>
  <si>
    <t>Quattroporte Gran Lusso</t>
  </si>
  <si>
    <t>Quattroporte Trofeo</t>
  </si>
  <si>
    <t>ماكسوس</t>
  </si>
  <si>
    <t>D60</t>
  </si>
  <si>
    <t>G50</t>
  </si>
  <si>
    <t xml:space="preserve">ماهيندار </t>
  </si>
  <si>
    <t>DC-سكوربيو</t>
  </si>
  <si>
    <t xml:space="preserve">   C200</t>
  </si>
  <si>
    <t xml:space="preserve">   S450</t>
  </si>
  <si>
    <t xml:space="preserve">  E300</t>
  </si>
  <si>
    <t xml:space="preserve"> A200</t>
  </si>
  <si>
    <t xml:space="preserve"> A35</t>
  </si>
  <si>
    <t xml:space="preserve"> A45</t>
  </si>
  <si>
    <t xml:space="preserve"> AMG-GT43</t>
  </si>
  <si>
    <t xml:space="preserve"> C180</t>
  </si>
  <si>
    <t xml:space="preserve"> C63</t>
  </si>
  <si>
    <t xml:space="preserve"> CLA180</t>
  </si>
  <si>
    <t xml:space="preserve"> CLA200</t>
  </si>
  <si>
    <t xml:space="preserve"> CLA350</t>
  </si>
  <si>
    <t xml:space="preserve"> CLS400</t>
  </si>
  <si>
    <t xml:space="preserve"> CLS450</t>
  </si>
  <si>
    <t xml:space="preserve"> E200</t>
  </si>
  <si>
    <t xml:space="preserve"> E220</t>
  </si>
  <si>
    <t xml:space="preserve"> E320</t>
  </si>
  <si>
    <t xml:space="preserve"> F200</t>
  </si>
  <si>
    <t xml:space="preserve"> G500</t>
  </si>
  <si>
    <t xml:space="preserve"> G550</t>
  </si>
  <si>
    <t xml:space="preserve"> G63</t>
  </si>
  <si>
    <t xml:space="preserve"> G700-برابوس</t>
  </si>
  <si>
    <t xml:space="preserve"> G800-برابوس</t>
  </si>
  <si>
    <t xml:space="preserve"> GLB200</t>
  </si>
  <si>
    <t xml:space="preserve"> GLC200</t>
  </si>
  <si>
    <t xml:space="preserve"> GLC250</t>
  </si>
  <si>
    <t xml:space="preserve"> GLC300</t>
  </si>
  <si>
    <t xml:space="preserve"> GLC350</t>
  </si>
  <si>
    <t xml:space="preserve"> GLC43</t>
  </si>
  <si>
    <t xml:space="preserve"> GLE43</t>
  </si>
  <si>
    <t xml:space="preserve"> GLE450</t>
  </si>
  <si>
    <t xml:space="preserve"> GLE53 </t>
  </si>
  <si>
    <t xml:space="preserve"> GLE63</t>
  </si>
  <si>
    <t xml:space="preserve"> GLS450</t>
  </si>
  <si>
    <t xml:space="preserve"> GT43</t>
  </si>
  <si>
    <t xml:space="preserve"> S500</t>
  </si>
  <si>
    <t xml:space="preserve"> S560</t>
  </si>
  <si>
    <t xml:space="preserve"> S680-MAYBACH </t>
  </si>
  <si>
    <t>A250</t>
  </si>
  <si>
    <t>B200</t>
  </si>
  <si>
    <t>C300</t>
  </si>
  <si>
    <t>C350</t>
  </si>
  <si>
    <t>C43</t>
  </si>
  <si>
    <t>CLA250</t>
  </si>
  <si>
    <t>CLA35</t>
  </si>
  <si>
    <t>CLS350</t>
  </si>
  <si>
    <t>CLS53</t>
  </si>
  <si>
    <t>E300 Coupe</t>
  </si>
  <si>
    <t>E350</t>
  </si>
  <si>
    <t>E400</t>
  </si>
  <si>
    <t>E43</t>
  </si>
  <si>
    <t>E450</t>
  </si>
  <si>
    <t>E53</t>
  </si>
  <si>
    <t>E63</t>
  </si>
  <si>
    <t>EQS580</t>
  </si>
  <si>
    <t>G900-برابوس</t>
  </si>
  <si>
    <t>GLA200</t>
  </si>
  <si>
    <t>GLA250</t>
  </si>
  <si>
    <t>GLA45</t>
  </si>
  <si>
    <t>GLE250</t>
  </si>
  <si>
    <t>GLE300</t>
  </si>
  <si>
    <t>GLE350</t>
  </si>
  <si>
    <t>GLE900-برابوس</t>
  </si>
  <si>
    <t>GLS350</t>
  </si>
  <si>
    <t>GLS580</t>
  </si>
  <si>
    <t>GLS600-MAYBACH</t>
  </si>
  <si>
    <t>GLS63</t>
  </si>
  <si>
    <t>GT63</t>
  </si>
  <si>
    <t>GTR</t>
  </si>
  <si>
    <t>S400</t>
  </si>
  <si>
    <t>S550</t>
  </si>
  <si>
    <t>S580</t>
  </si>
  <si>
    <t xml:space="preserve">S63 </t>
  </si>
  <si>
    <t>SLC200</t>
  </si>
  <si>
    <t xml:space="preserve">V250 CLASS ميني فان </t>
  </si>
  <si>
    <t>XLP-G800-برابوس</t>
  </si>
  <si>
    <t>باص- MCV500</t>
  </si>
  <si>
    <t>باص - توريزمو 350O</t>
  </si>
  <si>
    <t>ميني فان  V250</t>
  </si>
  <si>
    <t xml:space="preserve">مكلارين </t>
  </si>
  <si>
    <t xml:space="preserve">  سبايدر S720 </t>
  </si>
  <si>
    <t>F1</t>
  </si>
  <si>
    <t>ميستوبيشي</t>
  </si>
  <si>
    <t xml:space="preserve"> اكسباندر </t>
  </si>
  <si>
    <t xml:space="preserve"> اكلبس كروس</t>
  </si>
  <si>
    <t xml:space="preserve"> غمارة L200</t>
  </si>
  <si>
    <t xml:space="preserve"> غمارتين 4X4 L200 </t>
  </si>
  <si>
    <t xml:space="preserve"> غمارتين L200</t>
  </si>
  <si>
    <t xml:space="preserve"> مونتيرو</t>
  </si>
  <si>
    <t>ASX</t>
  </si>
  <si>
    <t xml:space="preserve">باص - روزا FUSO </t>
  </si>
  <si>
    <t>سبس ستار</t>
  </si>
  <si>
    <t xml:space="preserve">كانتر </t>
  </si>
  <si>
    <t>لانسرLANCER</t>
  </si>
  <si>
    <t xml:space="preserve"> اكس تريل</t>
  </si>
  <si>
    <t xml:space="preserve"> اكستيرا</t>
  </si>
  <si>
    <t xml:space="preserve"> التيما</t>
  </si>
  <si>
    <t xml:space="preserve"> باترول بلاتينوم</t>
  </si>
  <si>
    <t xml:space="preserve"> باترول سفاري</t>
  </si>
  <si>
    <t xml:space="preserve"> باترول شاص</t>
  </si>
  <si>
    <t xml:space="preserve"> باثفاندر</t>
  </si>
  <si>
    <t xml:space="preserve"> سنترا</t>
  </si>
  <si>
    <t xml:space="preserve"> صني</t>
  </si>
  <si>
    <t xml:space="preserve"> كيكس</t>
  </si>
  <si>
    <t xml:space="preserve"> نافارا بيكب</t>
  </si>
  <si>
    <t>370Z</t>
  </si>
  <si>
    <t>Z</t>
  </si>
  <si>
    <t>هافال</t>
  </si>
  <si>
    <t>H6</t>
  </si>
  <si>
    <t>دارجو</t>
  </si>
  <si>
    <t xml:space="preserve"> CRV</t>
  </si>
  <si>
    <t xml:space="preserve"> HR-V</t>
  </si>
  <si>
    <t xml:space="preserve"> اوديسي </t>
  </si>
  <si>
    <t xml:space="preserve"> بايلوت</t>
  </si>
  <si>
    <t xml:space="preserve"> سيتي </t>
  </si>
  <si>
    <t xml:space="preserve"> سيفيك</t>
  </si>
  <si>
    <t>اكورد</t>
  </si>
  <si>
    <t xml:space="preserve">هونشي </t>
  </si>
  <si>
    <t>H5</t>
  </si>
  <si>
    <t>H9</t>
  </si>
  <si>
    <t>HS5</t>
  </si>
  <si>
    <t>HS7</t>
  </si>
  <si>
    <t>هيونداي</t>
  </si>
  <si>
    <t xml:space="preserve">  توسان- توكسون 1.6 </t>
  </si>
  <si>
    <t xml:space="preserve"> باليسيد</t>
  </si>
  <si>
    <t xml:space="preserve"> توسان- توكسون 2.0</t>
  </si>
  <si>
    <t xml:space="preserve"> ستاركس- H1</t>
  </si>
  <si>
    <t xml:space="preserve"> فيلوستر </t>
  </si>
  <si>
    <t>i10</t>
  </si>
  <si>
    <t xml:space="preserve">ازيرا - جراند يور </t>
  </si>
  <si>
    <t>اكسنت - فيرنا - أكسيل 1.4</t>
  </si>
  <si>
    <t>اكسنت - فيرنا - أكسيل 1.6</t>
  </si>
  <si>
    <t>النترا - افانتي 1.6</t>
  </si>
  <si>
    <t>النترا - افانتي 2.0</t>
  </si>
  <si>
    <t xml:space="preserve">باص - كاونتي </t>
  </si>
  <si>
    <t>سنتافي - ماكس كروز 2.4</t>
  </si>
  <si>
    <t>سنتافي - ماكس كروز 2.5</t>
  </si>
  <si>
    <t>سنتافي - ماكس كروز 3.5</t>
  </si>
  <si>
    <t xml:space="preserve">سنتنيال </t>
  </si>
  <si>
    <t xml:space="preserve">سوناتا - سمارت 2.0 </t>
  </si>
  <si>
    <t xml:space="preserve">سوناتا - سمارت 2.5  </t>
  </si>
  <si>
    <t>أودي</t>
  </si>
  <si>
    <t>AUDI</t>
  </si>
  <si>
    <t>تسلا</t>
  </si>
  <si>
    <t>VHCL_MAKER_ENG_NAME</t>
  </si>
  <si>
    <t xml:space="preserve"> ساوث ايست</t>
  </si>
  <si>
    <t>ABARTH</t>
  </si>
  <si>
    <t>ASHOKLEY</t>
  </si>
  <si>
    <t>ASTON MARTIN</t>
  </si>
  <si>
    <t>CHANGAN</t>
  </si>
  <si>
    <t>CHERY</t>
  </si>
  <si>
    <t>CHEVROLET</t>
  </si>
  <si>
    <t>CNHTC</t>
  </si>
  <si>
    <t>DBA</t>
  </si>
  <si>
    <t>DFM</t>
  </si>
  <si>
    <t>EXEED</t>
  </si>
  <si>
    <t>FCA US LLC</t>
  </si>
  <si>
    <t>FORD</t>
  </si>
  <si>
    <t>FORTA</t>
  </si>
  <si>
    <t>GAC MOTOR</t>
  </si>
  <si>
    <t>HINO</t>
  </si>
  <si>
    <t>HONDA</t>
  </si>
  <si>
    <t>HYUNDAI</t>
  </si>
  <si>
    <t>ISUZU</t>
  </si>
  <si>
    <t>JMC</t>
  </si>
  <si>
    <t>KIA</t>
  </si>
  <si>
    <t>LINCOLN</t>
  </si>
  <si>
    <t>MCLAREN</t>
  </si>
  <si>
    <t>MITSUBISHI</t>
  </si>
  <si>
    <t>MITSUBISHI F</t>
  </si>
  <si>
    <t>PANTHER</t>
  </si>
  <si>
    <t>RENAULT</t>
  </si>
  <si>
    <t>SHAANXI</t>
  </si>
  <si>
    <t>SSANGYONG</t>
  </si>
  <si>
    <t>SUZUKI</t>
  </si>
  <si>
    <t>TATA</t>
  </si>
  <si>
    <t>آرمر سيستمز</t>
  </si>
  <si>
    <t>أتيك</t>
  </si>
  <si>
    <t>أجريتا هسبانيا أس ايه</t>
  </si>
  <si>
    <t>أجكو</t>
  </si>
  <si>
    <t>أجكو أنتر ناشونال</t>
  </si>
  <si>
    <t>أجكو إنترناشونال</t>
  </si>
  <si>
    <t>أجكو تشالنجر</t>
  </si>
  <si>
    <t>أسيا</t>
  </si>
  <si>
    <t>أكس سي ام جي</t>
  </si>
  <si>
    <t>ألكسندر دينيس</t>
  </si>
  <si>
    <t>أمان</t>
  </si>
  <si>
    <t>أمريكان هوست</t>
  </si>
  <si>
    <t>AMERICAN HOIST</t>
  </si>
  <si>
    <t>أنهوي جيا نجهواي</t>
  </si>
  <si>
    <t>أواشيب</t>
  </si>
  <si>
    <t>أوركس</t>
  </si>
  <si>
    <t>أوكايا</t>
  </si>
  <si>
    <t>.</t>
  </si>
  <si>
    <t>أي إم تي</t>
  </si>
  <si>
    <t>أي اتش أي</t>
  </si>
  <si>
    <t>أيه بي جي</t>
  </si>
  <si>
    <t>أيه تي أيه</t>
  </si>
  <si>
    <t>إس إتش إس</t>
  </si>
  <si>
    <t>SHS</t>
  </si>
  <si>
    <t>إس بي إس</t>
  </si>
  <si>
    <t>SBS</t>
  </si>
  <si>
    <t>إكسماج</t>
  </si>
  <si>
    <t>إكسن كاى</t>
  </si>
  <si>
    <t>إن سي كي</t>
  </si>
  <si>
    <t>إى ون</t>
  </si>
  <si>
    <t>E - ONE</t>
  </si>
  <si>
    <t>إيران خودرو</t>
  </si>
  <si>
    <t>EIRAN FODRO</t>
  </si>
  <si>
    <t>إيفا</t>
  </si>
  <si>
    <t>إيكولاين</t>
  </si>
  <si>
    <t>ا ر فيشن</t>
  </si>
  <si>
    <t>R. VISION</t>
  </si>
  <si>
    <t>ا ستيل</t>
  </si>
  <si>
    <t>ا سدي ال جي</t>
  </si>
  <si>
    <t>ا م . جنرال</t>
  </si>
  <si>
    <t>اب رايت إنك</t>
  </si>
  <si>
    <t>UPRIGHT INC</t>
  </si>
  <si>
    <t>ابريليا</t>
  </si>
  <si>
    <t>ابوجبعا</t>
  </si>
  <si>
    <t>اتش ام اى</t>
  </si>
  <si>
    <t>اتش اي ان دبليو اي واي</t>
  </si>
  <si>
    <t>اتش تي اي</t>
  </si>
  <si>
    <t>اتش في ام</t>
  </si>
  <si>
    <t>HVM</t>
  </si>
  <si>
    <t>اجري كيوبمنت</t>
  </si>
  <si>
    <t>ادانا</t>
  </si>
  <si>
    <t>ادلي</t>
  </si>
  <si>
    <t>ادمس</t>
  </si>
  <si>
    <t>ADAMS</t>
  </si>
  <si>
    <t>ادميرال</t>
  </si>
  <si>
    <t>ADMIRAL</t>
  </si>
  <si>
    <t>ار جي</t>
  </si>
  <si>
    <t>R G</t>
  </si>
  <si>
    <t>اراس خودرو</t>
  </si>
  <si>
    <t>اربي</t>
  </si>
  <si>
    <t>ارتيسون</t>
  </si>
  <si>
    <t>ARTISON</t>
  </si>
  <si>
    <t>ارجو تراكتورز ايه بيه</t>
  </si>
  <si>
    <t>اردملي</t>
  </si>
  <si>
    <t>ERDEMLI</t>
  </si>
  <si>
    <t>ارديكو</t>
  </si>
  <si>
    <t>اركتيك</t>
  </si>
  <si>
    <t>اركو</t>
  </si>
  <si>
    <t>ارورا</t>
  </si>
  <si>
    <t>ارون</t>
  </si>
  <si>
    <t>اريال اتوم</t>
  </si>
  <si>
    <t>اريل موتوز كومبني</t>
  </si>
  <si>
    <t>اريو</t>
  </si>
  <si>
    <t>اس ال ا إي</t>
  </si>
  <si>
    <t>اس ام سى</t>
  </si>
  <si>
    <t>اس ام في</t>
  </si>
  <si>
    <t>اس تي اف</t>
  </si>
  <si>
    <t>STF</t>
  </si>
  <si>
    <t>اس تي اي</t>
  </si>
  <si>
    <t>S T E</t>
  </si>
  <si>
    <t>اس جي</t>
  </si>
  <si>
    <t>اس دي ال جي</t>
  </si>
  <si>
    <t>SDLG</t>
  </si>
  <si>
    <t>اساكي</t>
  </si>
  <si>
    <t>اسبيري</t>
  </si>
  <si>
    <t>ASPIRE</t>
  </si>
  <si>
    <t>استبل</t>
  </si>
  <si>
    <t>استرا</t>
  </si>
  <si>
    <t>استود</t>
  </si>
  <si>
    <t>ASTON MARINE</t>
  </si>
  <si>
    <t>استيك</t>
  </si>
  <si>
    <t>اسكايد</t>
  </si>
  <si>
    <t>اسكورتس</t>
  </si>
  <si>
    <t>اسيا استار</t>
  </si>
  <si>
    <t>اسيل ماستر</t>
  </si>
  <si>
    <t>ASEL MASTER</t>
  </si>
  <si>
    <t>اطلس</t>
  </si>
  <si>
    <t>اطلس كوبكو</t>
  </si>
  <si>
    <t>اف ام سى</t>
  </si>
  <si>
    <t>اف بي اي</t>
  </si>
  <si>
    <t>F B I</t>
  </si>
  <si>
    <t>اف تي اف</t>
  </si>
  <si>
    <t>FCA</t>
  </si>
  <si>
    <t>افانت</t>
  </si>
  <si>
    <t>AVANT TECNO</t>
  </si>
  <si>
    <t>افردايم</t>
  </si>
  <si>
    <t>افرمنغوليا</t>
  </si>
  <si>
    <t>افلينج</t>
  </si>
  <si>
    <t>افيكو</t>
  </si>
  <si>
    <t>اقزو سلك واي انترناشو</t>
  </si>
  <si>
    <t>اكريمانز</t>
  </si>
  <si>
    <t>اكزنكاي</t>
  </si>
  <si>
    <t>اكزوهو - اكزيز هو جروب</t>
  </si>
  <si>
    <t>اكس انجيو</t>
  </si>
  <si>
    <t>اكس تك</t>
  </si>
  <si>
    <t>اكس تي 3</t>
  </si>
  <si>
    <t>اكس جي ام ايه</t>
  </si>
  <si>
    <t>اكس.يو.زد.اتش.او.يو</t>
  </si>
  <si>
    <t>اكسافاتور</t>
  </si>
  <si>
    <t>اكستريم</t>
  </si>
  <si>
    <t>XTREME</t>
  </si>
  <si>
    <t>اكسلمن</t>
  </si>
  <si>
    <t>اكسمين</t>
  </si>
  <si>
    <t>اكسهو</t>
  </si>
  <si>
    <t>XUZHOU</t>
  </si>
  <si>
    <t>اكسو جونج</t>
  </si>
  <si>
    <t>اكسوهو</t>
  </si>
  <si>
    <t>اكسي مين ويل</t>
  </si>
  <si>
    <t>اكسياكسيان</t>
  </si>
  <si>
    <t>XIAXIAN</t>
  </si>
  <si>
    <t>اكسيانهو</t>
  </si>
  <si>
    <t>اكسيمن</t>
  </si>
  <si>
    <t>اكسيمن كينج لونج</t>
  </si>
  <si>
    <t>XIAMEN KING LONG</t>
  </si>
  <si>
    <t>اكسيو كونغ</t>
  </si>
  <si>
    <t>اكشن كونستركستن اكويب</t>
  </si>
  <si>
    <t>اكودر</t>
  </si>
  <si>
    <t>ACCODR</t>
  </si>
  <si>
    <t>اكورا</t>
  </si>
  <si>
    <t>ACURA</t>
  </si>
  <si>
    <t>اكيورا</t>
  </si>
  <si>
    <t>ال ام ال</t>
  </si>
  <si>
    <t>LML</t>
  </si>
  <si>
    <t>ال ام تي</t>
  </si>
  <si>
    <t>LMT</t>
  </si>
  <si>
    <t>ال ام في</t>
  </si>
  <si>
    <t>LMV</t>
  </si>
  <si>
    <t>ال تي أي</t>
  </si>
  <si>
    <t>التمانز</t>
  </si>
  <si>
    <t>الدور ادو</t>
  </si>
  <si>
    <t>الشركة الوطنية الصيني</t>
  </si>
  <si>
    <t>الشركه الخليجيه</t>
  </si>
  <si>
    <t>الفا</t>
  </si>
  <si>
    <t>ALFA  ROMEO</t>
  </si>
  <si>
    <t>الفارميو</t>
  </si>
  <si>
    <t>الهلمان</t>
  </si>
  <si>
    <t>الينزمديفس</t>
  </si>
  <si>
    <t>ام اس تي</t>
  </si>
  <si>
    <t>ام ال تي برودكتس</t>
  </si>
  <si>
    <t>LMT PRODUCTS</t>
  </si>
  <si>
    <t>ام اى ان</t>
  </si>
  <si>
    <t>ام اي جاك برودكتس</t>
  </si>
  <si>
    <t>ام بي</t>
  </si>
  <si>
    <t>MB</t>
  </si>
  <si>
    <t>ام بي يو</t>
  </si>
  <si>
    <t>M B U</t>
  </si>
  <si>
    <t>ام جي</t>
  </si>
  <si>
    <t>MCV</t>
  </si>
  <si>
    <t>ام في</t>
  </si>
  <si>
    <t>MV</t>
  </si>
  <si>
    <t>ام في اجوستا</t>
  </si>
  <si>
    <t>اماكس</t>
  </si>
  <si>
    <t>AIMIX</t>
  </si>
  <si>
    <t>امبريال</t>
  </si>
  <si>
    <t>امريكان اوجيرس</t>
  </si>
  <si>
    <t>امريكان موتور - رامبلي</t>
  </si>
  <si>
    <t>اموج</t>
  </si>
  <si>
    <t>اميركان موتور</t>
  </si>
  <si>
    <t>اميريكان</t>
  </si>
  <si>
    <t>ان تي إس إن</t>
  </si>
  <si>
    <t>ان سي بي</t>
  </si>
  <si>
    <t>NCB</t>
  </si>
  <si>
    <t>انبت اوت بوت</t>
  </si>
  <si>
    <t>انبغرسول</t>
  </si>
  <si>
    <t>انترناشيونال</t>
  </si>
  <si>
    <t>انتولي</t>
  </si>
  <si>
    <t>ANTOLI</t>
  </si>
  <si>
    <t>انتومى</t>
  </si>
  <si>
    <t>انتينسوس</t>
  </si>
  <si>
    <t>انجرسول راند</t>
  </si>
  <si>
    <t>انجرسون لاند</t>
  </si>
  <si>
    <t>انسجن</t>
  </si>
  <si>
    <t>ENSIGN</t>
  </si>
  <si>
    <t>انسيون</t>
  </si>
  <si>
    <t>ANSION</t>
  </si>
  <si>
    <t>انشي</t>
  </si>
  <si>
    <t>انظمة الدفاع البري</t>
  </si>
  <si>
    <t>MOBILE LAND SYSTEM</t>
  </si>
  <si>
    <t>Infiniti</t>
  </si>
  <si>
    <t>انكاي</t>
  </si>
  <si>
    <t>انهوي</t>
  </si>
  <si>
    <t>ANHUI ANKAI AUTOMOBILE CO LTD</t>
  </si>
  <si>
    <t>انهوي جيانجهواي - زنجم</t>
  </si>
  <si>
    <t>XINGMA</t>
  </si>
  <si>
    <t>انهوي هيلي اندستريال</t>
  </si>
  <si>
    <t>انوراكشا</t>
  </si>
  <si>
    <t>او اند كي</t>
  </si>
  <si>
    <t>اوبرن</t>
  </si>
  <si>
    <t>اوبل</t>
  </si>
  <si>
    <t>اوبيتيماس تورو</t>
  </si>
  <si>
    <t>اوتوس</t>
  </si>
  <si>
    <t>اوتوكار</t>
  </si>
  <si>
    <t>اوسا</t>
  </si>
  <si>
    <t>اوستن</t>
  </si>
  <si>
    <t>اوشكش</t>
  </si>
  <si>
    <t>اوشكوش</t>
  </si>
  <si>
    <t>اوفرسيس</t>
  </si>
  <si>
    <t>اوفيشيني بيكيني</t>
  </si>
  <si>
    <t>اوقر</t>
  </si>
  <si>
    <t>اوكسي يوكسي</t>
  </si>
  <si>
    <t>WUXI YOLIX</t>
  </si>
  <si>
    <t>اوكي</t>
  </si>
  <si>
    <t>اومار</t>
  </si>
  <si>
    <t>OMAR</t>
  </si>
  <si>
    <t>اوماهر</t>
  </si>
  <si>
    <t>اومي</t>
  </si>
  <si>
    <t>اوميغا</t>
  </si>
  <si>
    <t>اوميغا لفت</t>
  </si>
  <si>
    <t>OMEGA LIFT</t>
  </si>
  <si>
    <t>اويلماك</t>
  </si>
  <si>
    <t>OILMAK</t>
  </si>
  <si>
    <t>اي بي</t>
  </si>
  <si>
    <t>EP</t>
  </si>
  <si>
    <t>اي بي جي</t>
  </si>
  <si>
    <t>A B G</t>
  </si>
  <si>
    <t>اي دبليو ام</t>
  </si>
  <si>
    <t>AWM</t>
  </si>
  <si>
    <t>ايبيروك</t>
  </si>
  <si>
    <t>EPIROC</t>
  </si>
  <si>
    <t>ايجل</t>
  </si>
  <si>
    <t>ايجل توكس</t>
  </si>
  <si>
    <t>EAGLE TUCS</t>
  </si>
  <si>
    <t>ايدار</t>
  </si>
  <si>
    <t>ايدزل</t>
  </si>
  <si>
    <t>ايرزار</t>
  </si>
  <si>
    <t>ايزل ماستر</t>
  </si>
  <si>
    <t>ايس</t>
  </si>
  <si>
    <t>ايساكي</t>
  </si>
  <si>
    <t>ايسكس</t>
  </si>
  <si>
    <t>ESSEX</t>
  </si>
  <si>
    <t>ايسكي</t>
  </si>
  <si>
    <t>Isuzu</t>
  </si>
  <si>
    <t>ايطال كار</t>
  </si>
  <si>
    <t>ايفانجل</t>
  </si>
  <si>
    <t>EVANGEL</t>
  </si>
  <si>
    <t>ايفران</t>
  </si>
  <si>
    <t>EVERUN</t>
  </si>
  <si>
    <t>ايفيكو</t>
  </si>
  <si>
    <t>ايناسا</t>
  </si>
  <si>
    <t>اينجل</t>
  </si>
  <si>
    <t>ايه ام اس</t>
  </si>
  <si>
    <t>A M S</t>
  </si>
  <si>
    <t>ايه ام سي</t>
  </si>
  <si>
    <t>ايه ام في</t>
  </si>
  <si>
    <t>ايه بي اي</t>
  </si>
  <si>
    <t>ايه تي في</t>
  </si>
  <si>
    <t>A T V</t>
  </si>
  <si>
    <t>ايه سي اي</t>
  </si>
  <si>
    <t>ايولوس</t>
  </si>
  <si>
    <t>بابومان</t>
  </si>
  <si>
    <t>باتيوني</t>
  </si>
  <si>
    <t>باجانج</t>
  </si>
  <si>
    <t>بارا زابال</t>
  </si>
  <si>
    <t>باربر جرين</t>
  </si>
  <si>
    <t>بارت</t>
  </si>
  <si>
    <t>PART</t>
  </si>
  <si>
    <t>باركر برزرس تشوبيرز</t>
  </si>
  <si>
    <t>PARKER BROTHERS CHOPPERS</t>
  </si>
  <si>
    <t>باسفي شاتيو</t>
  </si>
  <si>
    <t>باشان</t>
  </si>
  <si>
    <t>بافوري</t>
  </si>
  <si>
    <t>BUFORE</t>
  </si>
  <si>
    <t>باك درافت</t>
  </si>
  <si>
    <t>باكارد</t>
  </si>
  <si>
    <t>باكشوت</t>
  </si>
  <si>
    <t>BUCKSHOT</t>
  </si>
  <si>
    <t>باكهو</t>
  </si>
  <si>
    <t>بالكن كار</t>
  </si>
  <si>
    <t>باندي</t>
  </si>
  <si>
    <t>بانهارد</t>
  </si>
  <si>
    <t>بانوراميك</t>
  </si>
  <si>
    <t>PANORAMIC</t>
  </si>
  <si>
    <t>بانييون</t>
  </si>
  <si>
    <t>باو</t>
  </si>
  <si>
    <t>باوار سكريبر</t>
  </si>
  <si>
    <t>باوتو بي بن هيفي ديوتي</t>
  </si>
  <si>
    <t>باودينغ</t>
  </si>
  <si>
    <t>باور</t>
  </si>
  <si>
    <t>باور سكرين</t>
  </si>
  <si>
    <t>BOWER SCREEN</t>
  </si>
  <si>
    <t>باور كربر</t>
  </si>
  <si>
    <t>باوربلس</t>
  </si>
  <si>
    <t>باوربوز</t>
  </si>
  <si>
    <t>باولر</t>
  </si>
  <si>
    <t>باولي</t>
  </si>
  <si>
    <t>باوو</t>
  </si>
  <si>
    <t>بايبي لاين</t>
  </si>
  <si>
    <t>E LINE</t>
  </si>
  <si>
    <t>بايجو</t>
  </si>
  <si>
    <t>بايوس</t>
  </si>
  <si>
    <t>بتللي</t>
  </si>
  <si>
    <t>بجاج</t>
  </si>
  <si>
    <t>BAJAJ</t>
  </si>
  <si>
    <t>بجاني</t>
  </si>
  <si>
    <t>PAGANI</t>
  </si>
  <si>
    <t>بجي - بجاج</t>
  </si>
  <si>
    <t>برافو</t>
  </si>
  <si>
    <t>بربر قرين</t>
  </si>
  <si>
    <t>بركتيكا</t>
  </si>
  <si>
    <t>PRACTIKA</t>
  </si>
  <si>
    <t>برنس</t>
  </si>
  <si>
    <t>برو - ون</t>
  </si>
  <si>
    <t>برو جوارد</t>
  </si>
  <si>
    <t>بروبست</t>
  </si>
  <si>
    <t>بروتك</t>
  </si>
  <si>
    <t>PROTEC</t>
  </si>
  <si>
    <t>بروتون</t>
  </si>
  <si>
    <t>برود صن اسكادنديا</t>
  </si>
  <si>
    <t>برودير سون</t>
  </si>
  <si>
    <t>BRODERSON</t>
  </si>
  <si>
    <t>بروس</t>
  </si>
  <si>
    <t>برونتو اسكايلفت</t>
  </si>
  <si>
    <t>بريفوست</t>
  </si>
  <si>
    <t>بريكلين</t>
  </si>
  <si>
    <t>BRICKLIN</t>
  </si>
  <si>
    <t>بفينج بنشى</t>
  </si>
  <si>
    <t>بق بير شوبرز</t>
  </si>
  <si>
    <t>بكاسو</t>
  </si>
  <si>
    <t>بكيشرز</t>
  </si>
  <si>
    <t>BUCYRUS</t>
  </si>
  <si>
    <t>بلاتفورم</t>
  </si>
  <si>
    <t>بلايموث</t>
  </si>
  <si>
    <t>بلو بيرد</t>
  </si>
  <si>
    <t>بلو نوكس</t>
  </si>
  <si>
    <t>بلولينك</t>
  </si>
  <si>
    <t>بلونكس</t>
  </si>
  <si>
    <t>بمردير</t>
  </si>
  <si>
    <t>بن فورد</t>
  </si>
  <si>
    <t>بناتي</t>
  </si>
  <si>
    <t>بنجولي</t>
  </si>
  <si>
    <t>بنجيدي</t>
  </si>
  <si>
    <t>PENGDE</t>
  </si>
  <si>
    <t>بنديني</t>
  </si>
  <si>
    <t>BANDINI</t>
  </si>
  <si>
    <t>بو تريكس</t>
  </si>
  <si>
    <t>بوبكات</t>
  </si>
  <si>
    <t>بوبكان</t>
  </si>
  <si>
    <t>بوتراتز</t>
  </si>
  <si>
    <t>بوتوا بيفانج بينشي لل</t>
  </si>
  <si>
    <t>بوتون</t>
  </si>
  <si>
    <t>بوتيان</t>
  </si>
  <si>
    <t>بوجاتي</t>
  </si>
  <si>
    <t>بوجاتي فيرون</t>
  </si>
  <si>
    <t>بوجي</t>
  </si>
  <si>
    <t>BOGI</t>
  </si>
  <si>
    <t>بور</t>
  </si>
  <si>
    <t>بور سكرين</t>
  </si>
  <si>
    <t>POWERSCREEN</t>
  </si>
  <si>
    <t>بورام</t>
  </si>
  <si>
    <t>BORUM</t>
  </si>
  <si>
    <t>بوربلس</t>
  </si>
  <si>
    <t>POWERPLUS</t>
  </si>
  <si>
    <t>بورتيك</t>
  </si>
  <si>
    <t>BORETECH</t>
  </si>
  <si>
    <t>بورجا</t>
  </si>
  <si>
    <t>BORJA</t>
  </si>
  <si>
    <t>بورجوارد</t>
  </si>
  <si>
    <t>BORGWARD</t>
  </si>
  <si>
    <t>بوروما</t>
  </si>
  <si>
    <t>BORUMA</t>
  </si>
  <si>
    <t>بوس</t>
  </si>
  <si>
    <t>بوس هوس</t>
  </si>
  <si>
    <t>BOSS - HOSS</t>
  </si>
  <si>
    <t>بوسايرس</t>
  </si>
  <si>
    <t>بوشر</t>
  </si>
  <si>
    <t>BUCHER</t>
  </si>
  <si>
    <t>بوفري</t>
  </si>
  <si>
    <t>بوكر</t>
  </si>
  <si>
    <t>بوكلين</t>
  </si>
  <si>
    <t>بول</t>
  </si>
  <si>
    <t>BULL</t>
  </si>
  <si>
    <t>بولاريس</t>
  </si>
  <si>
    <t>بولمان</t>
  </si>
  <si>
    <t>بوم باردير</t>
  </si>
  <si>
    <t>بوماغ</t>
  </si>
  <si>
    <t>بوماك</t>
  </si>
  <si>
    <t>بون را</t>
  </si>
  <si>
    <t>بوناتي</t>
  </si>
  <si>
    <t>بونلك</t>
  </si>
  <si>
    <t>BONLUCK</t>
  </si>
  <si>
    <t>بونلوك</t>
  </si>
  <si>
    <t>بوني</t>
  </si>
  <si>
    <t>بوير كوربر</t>
  </si>
  <si>
    <t>بى اند اتش</t>
  </si>
  <si>
    <t>بى بن</t>
  </si>
  <si>
    <t>بي  تي برودكت</t>
  </si>
  <si>
    <t>بي ار ام</t>
  </si>
  <si>
    <t>BRM_1KARMONEDTANK</t>
  </si>
  <si>
    <t>بي ار بي كندا</t>
  </si>
  <si>
    <t>بي ام اي</t>
  </si>
  <si>
    <t>PMI</t>
  </si>
  <si>
    <t>بي ام سي</t>
  </si>
  <si>
    <t>BMC</t>
  </si>
  <si>
    <t>بي ان اتش</t>
  </si>
  <si>
    <t>بي اي اي ان</t>
  </si>
  <si>
    <t>بي اي دبليو</t>
  </si>
  <si>
    <t>بي بي ام</t>
  </si>
  <si>
    <t>بي تي</t>
  </si>
  <si>
    <t>بي تي . واهانا بيركاسا</t>
  </si>
  <si>
    <t>بي جي اس</t>
  </si>
  <si>
    <t>بي جي او</t>
  </si>
  <si>
    <t>بي سي إس</t>
  </si>
  <si>
    <t>بي واي دي</t>
  </si>
  <si>
    <t>بياجو</t>
  </si>
  <si>
    <t>بياجيو</t>
  </si>
  <si>
    <t>بيبل</t>
  </si>
  <si>
    <t>بيبين</t>
  </si>
  <si>
    <t>BENBIN</t>
  </si>
  <si>
    <t>بيتالى</t>
  </si>
  <si>
    <t>بيتر بلت</t>
  </si>
  <si>
    <t>بيتش كلينر</t>
  </si>
  <si>
    <t>BEACHCLEANER INC</t>
  </si>
  <si>
    <t>بيتيبون</t>
  </si>
  <si>
    <t>PETTIBONE</t>
  </si>
  <si>
    <t>بيج دوق</t>
  </si>
  <si>
    <t>بيجاسو</t>
  </si>
  <si>
    <t>بيجنج</t>
  </si>
  <si>
    <t>BEIJAING</t>
  </si>
  <si>
    <t>EUGEOT AUTOMOBILES</t>
  </si>
  <si>
    <t>بيد فور - بدفور</t>
  </si>
  <si>
    <t>بيردوا</t>
  </si>
  <si>
    <t>بيرس</t>
  </si>
  <si>
    <t>بيركاسا</t>
  </si>
  <si>
    <t>بيرليني</t>
  </si>
  <si>
    <t>بيرو</t>
  </si>
  <si>
    <t>BIRO</t>
  </si>
  <si>
    <t>بيق بير</t>
  </si>
  <si>
    <t>بيكر</t>
  </si>
  <si>
    <t>بيكورسا</t>
  </si>
  <si>
    <t>PIQUERSA</t>
  </si>
  <si>
    <t>بيكويرسا ماكيوينا ريا</t>
  </si>
  <si>
    <t>بيكي</t>
  </si>
  <si>
    <t>بيل</t>
  </si>
  <si>
    <t>بيلاز</t>
  </si>
  <si>
    <t>بيليلي</t>
  </si>
  <si>
    <t>BELLEI</t>
  </si>
  <si>
    <t>بيمل</t>
  </si>
  <si>
    <t>بيميل</t>
  </si>
  <si>
    <t>بين</t>
  </si>
  <si>
    <t>BENTLEY</t>
  </si>
  <si>
    <t>بينفورد</t>
  </si>
  <si>
    <t>بينلي</t>
  </si>
  <si>
    <t>BENELLI</t>
  </si>
  <si>
    <t>بيوان</t>
  </si>
  <si>
    <t>تا ينا لونغ</t>
  </si>
  <si>
    <t>تاترا</t>
  </si>
  <si>
    <t>تادانو</t>
  </si>
  <si>
    <t>تارا</t>
  </si>
  <si>
    <t>تاز هو جون واي</t>
  </si>
  <si>
    <t>تازاكي</t>
  </si>
  <si>
    <t>تاكوشي</t>
  </si>
  <si>
    <t>TAKEUCHI</t>
  </si>
  <si>
    <t>تام</t>
  </si>
  <si>
    <t>تام يورب</t>
  </si>
  <si>
    <t>TAM EUROPE</t>
  </si>
  <si>
    <t>تاماروك</t>
  </si>
  <si>
    <t>تامروك</t>
  </si>
  <si>
    <t>تانا</t>
  </si>
  <si>
    <t>تايان دور ننجيو</t>
  </si>
  <si>
    <t>تايتان</t>
  </si>
  <si>
    <t>TITAN</t>
  </si>
  <si>
    <t>تايزهو زهونغينغ</t>
  </si>
  <si>
    <t>TAIZHOU ZHONGNENG</t>
  </si>
  <si>
    <t>تايشان</t>
  </si>
  <si>
    <t>تايفون</t>
  </si>
  <si>
    <t>تبريرج سجوب</t>
  </si>
  <si>
    <t>تدانو</t>
  </si>
  <si>
    <t>ترافير تسون</t>
  </si>
  <si>
    <t>تراك تور</t>
  </si>
  <si>
    <t>ترانس</t>
  </si>
  <si>
    <t>ترانساك انترناشيونال</t>
  </si>
  <si>
    <t>ترانكور</t>
  </si>
  <si>
    <t>ترانيف روكت</t>
  </si>
  <si>
    <t>ترايفي</t>
  </si>
  <si>
    <t>ترايمف</t>
  </si>
  <si>
    <t>تربرج</t>
  </si>
  <si>
    <t>TERBERG</t>
  </si>
  <si>
    <t>ترجودا</t>
  </si>
  <si>
    <t>ترك</t>
  </si>
  <si>
    <t>ترك إكس تي سي 12</t>
  </si>
  <si>
    <t>تركتو تشينك</t>
  </si>
  <si>
    <t>تركس</t>
  </si>
  <si>
    <t>تركينج</t>
  </si>
  <si>
    <t>ترنشر</t>
  </si>
  <si>
    <t>تروجزي</t>
  </si>
  <si>
    <t>ترولر</t>
  </si>
  <si>
    <t>تروميشي</t>
  </si>
  <si>
    <t>ترى بيد</t>
  </si>
  <si>
    <t>تريكس</t>
  </si>
  <si>
    <t>TEREX</t>
  </si>
  <si>
    <t>ترينكور</t>
  </si>
  <si>
    <t>TRENCOR</t>
  </si>
  <si>
    <t>تريومف</t>
  </si>
  <si>
    <t>تسكار يوروكوماك اي اس</t>
  </si>
  <si>
    <t>TESCAR EUROCOMAC ES800</t>
  </si>
  <si>
    <t>TESLA</t>
  </si>
  <si>
    <t>تسما</t>
  </si>
  <si>
    <t>تسمك</t>
  </si>
  <si>
    <t>تشارلز</t>
  </si>
  <si>
    <t>THE CHARLES MACHINE WORKS , INC.</t>
  </si>
  <si>
    <t>تشالنجر</t>
  </si>
  <si>
    <t>تشانغده</t>
  </si>
  <si>
    <t>تشاينا فرست اوتومبيل</t>
  </si>
  <si>
    <t>تشاينا ناشيونال ديوتي</t>
  </si>
  <si>
    <t>CHINA NATIONAL HEVEY DUTY TRUK</t>
  </si>
  <si>
    <t>تشنغتشو تشا نجلي</t>
  </si>
  <si>
    <t>تشوف</t>
  </si>
  <si>
    <t>SCHOPE</t>
  </si>
  <si>
    <t>تشونغ</t>
  </si>
  <si>
    <t>تشيجيانغ</t>
  </si>
  <si>
    <t>ZHEJIANG</t>
  </si>
  <si>
    <t>تشين زيانغ</t>
  </si>
  <si>
    <t>تكراف</t>
  </si>
  <si>
    <t>TKRAF</t>
  </si>
  <si>
    <t>تكسي</t>
  </si>
  <si>
    <t>تكني</t>
  </si>
  <si>
    <t>TEKNE</t>
  </si>
  <si>
    <t>تما</t>
  </si>
  <si>
    <t>تمبو</t>
  </si>
  <si>
    <t>تمسا</t>
  </si>
  <si>
    <t>تنت</t>
  </si>
  <si>
    <t>TENNANT</t>
  </si>
  <si>
    <t>توايتس</t>
  </si>
  <si>
    <t>توتا</t>
  </si>
  <si>
    <t>تور</t>
  </si>
  <si>
    <t>TOR</t>
  </si>
  <si>
    <t>توسكان</t>
  </si>
  <si>
    <t>توكاي</t>
  </si>
  <si>
    <t>توكيو</t>
  </si>
  <si>
    <t>توماس</t>
  </si>
  <si>
    <t>توموسان</t>
  </si>
  <si>
    <t>TUMOSAN</t>
  </si>
  <si>
    <t>تويتس</t>
  </si>
  <si>
    <t>تى سى أم</t>
  </si>
  <si>
    <t>تي ال دي</t>
  </si>
  <si>
    <t>TLD</t>
  </si>
  <si>
    <t>تي اي يو</t>
  </si>
  <si>
    <t>TEU</t>
  </si>
  <si>
    <t>تي تي موتور</t>
  </si>
  <si>
    <t>TT MOTOR</t>
  </si>
  <si>
    <t>تي جي بي</t>
  </si>
  <si>
    <t>تي في ار</t>
  </si>
  <si>
    <t>تي في اس</t>
  </si>
  <si>
    <t>تيان ليون</t>
  </si>
  <si>
    <t>تيانما</t>
  </si>
  <si>
    <t>تياني</t>
  </si>
  <si>
    <t>تيبون</t>
  </si>
  <si>
    <t>TEUPEN</t>
  </si>
  <si>
    <t>تيتان</t>
  </si>
  <si>
    <t>تيترا</t>
  </si>
  <si>
    <t>TETRA</t>
  </si>
  <si>
    <t>تيجر - تايجر</t>
  </si>
  <si>
    <t>تير بيرج</t>
  </si>
  <si>
    <t>تيركس</t>
  </si>
  <si>
    <t>تيركس فرانا</t>
  </si>
  <si>
    <t>TEREX FEANNA</t>
  </si>
  <si>
    <t>تيركس-ديماج</t>
  </si>
  <si>
    <t>تيريام</t>
  </si>
  <si>
    <t>تيسلا</t>
  </si>
  <si>
    <t>تيسمك</t>
  </si>
  <si>
    <t>تيقات فنشر</t>
  </si>
  <si>
    <t>تيننت</t>
  </si>
  <si>
    <t>ثوايتس</t>
  </si>
  <si>
    <t>جابنا ناشونال هيفى تر</t>
  </si>
  <si>
    <t>جابو</t>
  </si>
  <si>
    <t>جاردال</t>
  </si>
  <si>
    <t>GARDALL</t>
  </si>
  <si>
    <t>جاردنردينفر روك</t>
  </si>
  <si>
    <t>جارسيت</t>
  </si>
  <si>
    <t>جاك هيفى جيانج هاى اتو</t>
  </si>
  <si>
    <t>جاكون</t>
  </si>
  <si>
    <t>JACON</t>
  </si>
  <si>
    <t>جاليون</t>
  </si>
  <si>
    <t>جامبرت</t>
  </si>
  <si>
    <t>جامستر</t>
  </si>
  <si>
    <t>JAMSTAR</t>
  </si>
  <si>
    <t>جانجسو جي موتور</t>
  </si>
  <si>
    <t>JIANCSU CUOWEI MOTOMR</t>
  </si>
  <si>
    <t>جانكشن</t>
  </si>
  <si>
    <t>جانكل</t>
  </si>
  <si>
    <t>جايتا ينو</t>
  </si>
  <si>
    <t>جت بايك</t>
  </si>
  <si>
    <t>جرافة 5 آندكي</t>
  </si>
  <si>
    <t>جروف</t>
  </si>
  <si>
    <t>جلويال</t>
  </si>
  <si>
    <t>جنبي</t>
  </si>
  <si>
    <t>جنجداو فلاير</t>
  </si>
  <si>
    <t>جنجن موتورز</t>
  </si>
  <si>
    <t>جنجو</t>
  </si>
  <si>
    <t>جنقينريش</t>
  </si>
  <si>
    <t>جنيج جيانج هواوي</t>
  </si>
  <si>
    <t>جهيل</t>
  </si>
  <si>
    <t>جوانزولين</t>
  </si>
  <si>
    <t>جوبل</t>
  </si>
  <si>
    <t>GOUPIL</t>
  </si>
  <si>
    <t>جوت وولد</t>
  </si>
  <si>
    <t>GOTTWALD</t>
  </si>
  <si>
    <t>جوتوولد</t>
  </si>
  <si>
    <t>جوداو</t>
  </si>
  <si>
    <t>جودسينس</t>
  </si>
  <si>
    <t>جورجبوى</t>
  </si>
  <si>
    <t>جوز بللركلاس اندسترل</t>
  </si>
  <si>
    <t>جوز هو جون ينج</t>
  </si>
  <si>
    <t>جوزهو ليفان</t>
  </si>
  <si>
    <t>جولدن</t>
  </si>
  <si>
    <t>جولدن دراقون</t>
  </si>
  <si>
    <t>جون بين تكنو لجيس</t>
  </si>
  <si>
    <t>جون جيرنيش</t>
  </si>
  <si>
    <t>جون جين- سي اس ام</t>
  </si>
  <si>
    <t>JUN JIN- CSM</t>
  </si>
  <si>
    <t>جون دير</t>
  </si>
  <si>
    <t>JOHN DEERE</t>
  </si>
  <si>
    <t>جون ليان</t>
  </si>
  <si>
    <t>جون واي</t>
  </si>
  <si>
    <t>جونادير</t>
  </si>
  <si>
    <t>جوناو</t>
  </si>
  <si>
    <t>جونجزهو</t>
  </si>
  <si>
    <t>GUANGZHOU</t>
  </si>
  <si>
    <t>جونجيم</t>
  </si>
  <si>
    <t>جوندير</t>
  </si>
  <si>
    <t>جونز</t>
  </si>
  <si>
    <t>جونستون</t>
  </si>
  <si>
    <t>جوي لونق</t>
  </si>
  <si>
    <t>جويس</t>
  </si>
  <si>
    <t>جى ني</t>
  </si>
  <si>
    <t>جي _ دبليو إي أي</t>
  </si>
  <si>
    <t>G_ WEI</t>
  </si>
  <si>
    <t>جي ئى سي</t>
  </si>
  <si>
    <t>جي ار</t>
  </si>
  <si>
    <t>جي ال جي</t>
  </si>
  <si>
    <t>JLG</t>
  </si>
  <si>
    <t>جي ام</t>
  </si>
  <si>
    <t>جي اي سي</t>
  </si>
  <si>
    <t>جي بي بولو</t>
  </si>
  <si>
    <t>جي دي ار</t>
  </si>
  <si>
    <t>جي سى بي</t>
  </si>
  <si>
    <t>جياتسون</t>
  </si>
  <si>
    <t>جيانجشي</t>
  </si>
  <si>
    <t>جيانغسي</t>
  </si>
  <si>
    <t>جيدا</t>
  </si>
  <si>
    <t>جيريه</t>
  </si>
  <si>
    <t>JEREH</t>
  </si>
  <si>
    <t>جيكو</t>
  </si>
  <si>
    <t>JEKKO</t>
  </si>
  <si>
    <t>جيل - جيلي</t>
  </si>
  <si>
    <t>جيلكرست</t>
  </si>
  <si>
    <t>GEELY</t>
  </si>
  <si>
    <t>جيناف</t>
  </si>
  <si>
    <t>جينبي</t>
  </si>
  <si>
    <t>جينج تي</t>
  </si>
  <si>
    <t>جينجمان</t>
  </si>
  <si>
    <t>جينما</t>
  </si>
  <si>
    <t>JINMA</t>
  </si>
  <si>
    <t>جيننج اوكينج تيك</t>
  </si>
  <si>
    <t>JINING OKING TEC</t>
  </si>
  <si>
    <t>جيني</t>
  </si>
  <si>
    <t>GENIE</t>
  </si>
  <si>
    <t>جيني انديوسترز ريدمون</t>
  </si>
  <si>
    <t>جيه أل جي</t>
  </si>
  <si>
    <t>جيه ايه بي موتو</t>
  </si>
  <si>
    <t>جيه سي بي</t>
  </si>
  <si>
    <t>جيهاو</t>
  </si>
  <si>
    <t>JIEHAO</t>
  </si>
  <si>
    <t>جيو استر</t>
  </si>
  <si>
    <t>جيوجين</t>
  </si>
  <si>
    <t>جيون جين</t>
  </si>
  <si>
    <t>حوا اخوان</t>
  </si>
  <si>
    <t>داتسون</t>
  </si>
  <si>
    <t>دادي اوتو</t>
  </si>
  <si>
    <t>داسيا</t>
  </si>
  <si>
    <t>داف</t>
  </si>
  <si>
    <t>دافيلو</t>
  </si>
  <si>
    <t>داليان</t>
  </si>
  <si>
    <t>داندونج هيو نجاى</t>
  </si>
  <si>
    <t>دانغ دونغ</t>
  </si>
  <si>
    <t>دايتسي فير</t>
  </si>
  <si>
    <t>دايتونا</t>
  </si>
  <si>
    <t>دايسى</t>
  </si>
  <si>
    <t>دايفنج</t>
  </si>
  <si>
    <t>DIVING</t>
  </si>
  <si>
    <t>دايكن</t>
  </si>
  <si>
    <t>داينا باك</t>
  </si>
  <si>
    <t>دايهاتسو موتورز</t>
  </si>
  <si>
    <t>دايو</t>
  </si>
  <si>
    <t>دايون</t>
  </si>
  <si>
    <t>دتش وتش</t>
  </si>
  <si>
    <t>درسر</t>
  </si>
  <si>
    <t>دروك مولر</t>
  </si>
  <si>
    <t>دريستا</t>
  </si>
  <si>
    <t>DRESSTA</t>
  </si>
  <si>
    <t>دريسيتا كومباني ليمتد</t>
  </si>
  <si>
    <t>دريلتك</t>
  </si>
  <si>
    <t>دريلتيك</t>
  </si>
  <si>
    <t>دريلتين</t>
  </si>
  <si>
    <t>دريلنيج</t>
  </si>
  <si>
    <t>دريليش كومبوني يو اس ا</t>
  </si>
  <si>
    <t>دريم ماشين تشربرز</t>
  </si>
  <si>
    <t>دستا</t>
  </si>
  <si>
    <t>DESTA</t>
  </si>
  <si>
    <t>دفسك</t>
  </si>
  <si>
    <t>دفون</t>
  </si>
  <si>
    <t>DAVON</t>
  </si>
  <si>
    <t>دلتا</t>
  </si>
  <si>
    <t>دلوس</t>
  </si>
  <si>
    <t>دليفو</t>
  </si>
  <si>
    <t>دليكا</t>
  </si>
  <si>
    <t>دناباك</t>
  </si>
  <si>
    <t>DUNABK</t>
  </si>
  <si>
    <t>دوسنق</t>
  </si>
  <si>
    <t>دوقلاس</t>
  </si>
  <si>
    <t>دوكاتي موتورز هولدنج</t>
  </si>
  <si>
    <t>دومك</t>
  </si>
  <si>
    <t>دونج فنج</t>
  </si>
  <si>
    <t>دونج فينج</t>
  </si>
  <si>
    <t>دونغ فينغ</t>
  </si>
  <si>
    <t>دونق فينق</t>
  </si>
  <si>
    <t>DONG FENG</t>
  </si>
  <si>
    <t>دي اف ام</t>
  </si>
  <si>
    <t>ديافولينو</t>
  </si>
  <si>
    <t>ديتاس</t>
  </si>
  <si>
    <t>ديترويت كوربوريشن</t>
  </si>
  <si>
    <t>ديتش ونش</t>
  </si>
  <si>
    <t>ديتوز</t>
  </si>
  <si>
    <t>دير</t>
  </si>
  <si>
    <t>ديز هوديجونج</t>
  </si>
  <si>
    <t>ديستا</t>
  </si>
  <si>
    <t>ديستو</t>
  </si>
  <si>
    <t>ديسوتا</t>
  </si>
  <si>
    <t>ديسوتو</t>
  </si>
  <si>
    <t>ديسي</t>
  </si>
  <si>
    <t>ديلفر</t>
  </si>
  <si>
    <t>ديليم</t>
  </si>
  <si>
    <t>ديماج</t>
  </si>
  <si>
    <t>ديماك</t>
  </si>
  <si>
    <t>ديملر بنز</t>
  </si>
  <si>
    <t>ديناباك</t>
  </si>
  <si>
    <t>دينباك</t>
  </si>
  <si>
    <t>دينلي</t>
  </si>
  <si>
    <t>ديوكار</t>
  </si>
  <si>
    <t>ديوو</t>
  </si>
  <si>
    <t>رابا</t>
  </si>
  <si>
    <t>راتل ارمورد</t>
  </si>
  <si>
    <t>رافو</t>
  </si>
  <si>
    <t>رام موتورز</t>
  </si>
  <si>
    <t>راميلر</t>
  </si>
  <si>
    <t>راهي</t>
  </si>
  <si>
    <t>ربيلكا ايرا</t>
  </si>
  <si>
    <t>ERA REPLICA</t>
  </si>
  <si>
    <t>ربيولت</t>
  </si>
  <si>
    <t>رس ريس</t>
  </si>
  <si>
    <t>رستون بوكيروس</t>
  </si>
  <si>
    <t>ركس</t>
  </si>
  <si>
    <t>روبكس</t>
  </si>
  <si>
    <t>روتز مالتي كلين</t>
  </si>
  <si>
    <t>ROOTS MULTICLEAN</t>
  </si>
  <si>
    <t>رود ساوبر</t>
  </si>
  <si>
    <t>رود ستار</t>
  </si>
  <si>
    <t>رودتيك</t>
  </si>
  <si>
    <t>ROADTEC</t>
  </si>
  <si>
    <t>رودوي</t>
  </si>
  <si>
    <t>روز نياور</t>
  </si>
  <si>
    <t>روزنباور</t>
  </si>
  <si>
    <t>روزنبور</t>
  </si>
  <si>
    <t>روسكا</t>
  </si>
  <si>
    <t>روسن</t>
  </si>
  <si>
    <t>روسينياور</t>
  </si>
  <si>
    <t>روفر</t>
  </si>
  <si>
    <t>رولر</t>
  </si>
  <si>
    <t>ROLR</t>
  </si>
  <si>
    <t>ROLLS-ROYCE</t>
  </si>
  <si>
    <t>رويال انفيلد</t>
  </si>
  <si>
    <t>ري هنستل</t>
  </si>
  <si>
    <t>ريتش</t>
  </si>
  <si>
    <t>RICH</t>
  </si>
  <si>
    <t>ريتش ال</t>
  </si>
  <si>
    <t>ريجر</t>
  </si>
  <si>
    <t>ريدنك</t>
  </si>
  <si>
    <t>ريدوت</t>
  </si>
  <si>
    <t>REDDOT</t>
  </si>
  <si>
    <t>ريفينق</t>
  </si>
  <si>
    <t>REVENGE</t>
  </si>
  <si>
    <t>رينلي</t>
  </si>
  <si>
    <t>RENLI</t>
  </si>
  <si>
    <t>رينولت</t>
  </si>
  <si>
    <t>زازا</t>
  </si>
  <si>
    <t>زانج ينج</t>
  </si>
  <si>
    <t>زبلاين</t>
  </si>
  <si>
    <t>زد</t>
  </si>
  <si>
    <t>زد اكس اوتو</t>
  </si>
  <si>
    <t>زل</t>
  </si>
  <si>
    <t>زنقدا</t>
  </si>
  <si>
    <t>زهاي جنجرين</t>
  </si>
  <si>
    <t>زهجيانج يونقكانق توب</t>
  </si>
  <si>
    <t>زهننقى دونج</t>
  </si>
  <si>
    <t>زهيا جيانج هيرف</t>
  </si>
  <si>
    <t>زهيا جينج جود سينس</t>
  </si>
  <si>
    <t>ZHEJIANG GOODSENSE</t>
  </si>
  <si>
    <t>زهينقزو يوتونج قروب ك</t>
  </si>
  <si>
    <t>زوتى</t>
  </si>
  <si>
    <t>زوم</t>
  </si>
  <si>
    <t>زوم لاين</t>
  </si>
  <si>
    <t>زوملاين</t>
  </si>
  <si>
    <t>ZOOMLION</t>
  </si>
  <si>
    <t>زومليون</t>
  </si>
  <si>
    <t>زوميلون</t>
  </si>
  <si>
    <t>زونج تونج</t>
  </si>
  <si>
    <t>زونج هاو</t>
  </si>
  <si>
    <t>زوندا</t>
  </si>
  <si>
    <t>زونق شن</t>
  </si>
  <si>
    <t>زووم</t>
  </si>
  <si>
    <t>زيامن</t>
  </si>
  <si>
    <t>XIAMEN</t>
  </si>
  <si>
    <t>زيتلمير</t>
  </si>
  <si>
    <t>زيتور</t>
  </si>
  <si>
    <t>ZETOR</t>
  </si>
  <si>
    <t>زيجيانج</t>
  </si>
  <si>
    <t>زيل - زيلماير</t>
  </si>
  <si>
    <t>زيمر</t>
  </si>
  <si>
    <t>ساب</t>
  </si>
  <si>
    <t>ساترون</t>
  </si>
  <si>
    <t>ساتفين</t>
  </si>
  <si>
    <t>SUTPHEN</t>
  </si>
  <si>
    <t>سارد</t>
  </si>
  <si>
    <t>SARD</t>
  </si>
  <si>
    <t>سافيم</t>
  </si>
  <si>
    <t>SAVIEM</t>
  </si>
  <si>
    <t>ساك</t>
  </si>
  <si>
    <t>ساكسون</t>
  </si>
  <si>
    <t>سامبرون</t>
  </si>
  <si>
    <t>سامسونج</t>
  </si>
  <si>
    <t>سان بونج</t>
  </si>
  <si>
    <t>SANG YONG</t>
  </si>
  <si>
    <t>ساندفك</t>
  </si>
  <si>
    <t>ساندفيك</t>
  </si>
  <si>
    <t>ساندليمو</t>
  </si>
  <si>
    <t>سانغ لونغ</t>
  </si>
  <si>
    <t>SANG LONG</t>
  </si>
  <si>
    <t>سانوس</t>
  </si>
  <si>
    <t>SANOS</t>
  </si>
  <si>
    <t>ساني</t>
  </si>
  <si>
    <t>سانيو</t>
  </si>
  <si>
    <t>SANY</t>
  </si>
  <si>
    <t>سانيو تراك</t>
  </si>
  <si>
    <t>SINOTRCK</t>
  </si>
  <si>
    <t>سانيو وي</t>
  </si>
  <si>
    <t>سانيون</t>
  </si>
  <si>
    <t>سايبا</t>
  </si>
  <si>
    <t>سايس موتور كوربريشن ل</t>
  </si>
  <si>
    <t>سايك ماكسوس</t>
  </si>
  <si>
    <t>SAIC MAXUS</t>
  </si>
  <si>
    <t>SAIC MOTOR</t>
  </si>
  <si>
    <t>سايك موتوركوربوريشن ا</t>
  </si>
  <si>
    <t>ساينو ترك</t>
  </si>
  <si>
    <t>سبارتان</t>
  </si>
  <si>
    <t>سبايكر</t>
  </si>
  <si>
    <t>ستارلينج</t>
  </si>
  <si>
    <t>ستافو ستروج</t>
  </si>
  <si>
    <t>ستالوا والا</t>
  </si>
  <si>
    <t>ستاير</t>
  </si>
  <si>
    <t>ستاين بوك</t>
  </si>
  <si>
    <t>STEINBOCK</t>
  </si>
  <si>
    <t>سترا</t>
  </si>
  <si>
    <t>سترايكر</t>
  </si>
  <si>
    <t>ستروين</t>
  </si>
  <si>
    <t>ستروينج</t>
  </si>
  <si>
    <t>ستل مالر</t>
  </si>
  <si>
    <t>ستوتز</t>
  </si>
  <si>
    <t>STUTZ</t>
  </si>
  <si>
    <t>ستودبيكر</t>
  </si>
  <si>
    <t>ستورن</t>
  </si>
  <si>
    <t>ستون ولف</t>
  </si>
  <si>
    <t>ستيا</t>
  </si>
  <si>
    <t>ستير - ستير لينج</t>
  </si>
  <si>
    <t>STYYRE</t>
  </si>
  <si>
    <t>ستيل</t>
  </si>
  <si>
    <t>STILL</t>
  </si>
  <si>
    <t>سفموتو</t>
  </si>
  <si>
    <t>CFMOTO</t>
  </si>
  <si>
    <t>سفيترك</t>
  </si>
  <si>
    <t>سكارب</t>
  </si>
  <si>
    <t>SCARAB</t>
  </si>
  <si>
    <t>سكاميل</t>
  </si>
  <si>
    <t>سكانيا</t>
  </si>
  <si>
    <t>SCANIA MOTORS</t>
  </si>
  <si>
    <t>سكاي</t>
  </si>
  <si>
    <t>سكايب</t>
  </si>
  <si>
    <t>سكايتراك</t>
  </si>
  <si>
    <t>سكودا اوتو</t>
  </si>
  <si>
    <t>سكي</t>
  </si>
  <si>
    <t>سلنج شوت</t>
  </si>
  <si>
    <t>SLINGSHOT</t>
  </si>
  <si>
    <t>سمارت</t>
  </si>
  <si>
    <t>سمند</t>
  </si>
  <si>
    <t>سن اسيا تريدنج ليميتد</t>
  </si>
  <si>
    <t>سن وارد</t>
  </si>
  <si>
    <t>سنبوجن</t>
  </si>
  <si>
    <t>SENNEBOGEN</t>
  </si>
  <si>
    <t>سنتك</t>
  </si>
  <si>
    <t>سندر استار</t>
  </si>
  <si>
    <t>سنلونغ</t>
  </si>
  <si>
    <t>SUNLONG</t>
  </si>
  <si>
    <t>سنورد</t>
  </si>
  <si>
    <t>سنوركل</t>
  </si>
  <si>
    <t>سنوين</t>
  </si>
  <si>
    <t>SUNWIN</t>
  </si>
  <si>
    <t>سوانهوا</t>
  </si>
  <si>
    <t>Subaru</t>
  </si>
  <si>
    <t>سوبريور</t>
  </si>
  <si>
    <t>UZUKI</t>
  </si>
  <si>
    <t>سوسان</t>
  </si>
  <si>
    <t>SOOSAN</t>
  </si>
  <si>
    <t>سوسكي</t>
  </si>
  <si>
    <t>سولميك</t>
  </si>
  <si>
    <t>SOLMIC</t>
  </si>
  <si>
    <t>سوليس</t>
  </si>
  <si>
    <t>SOLIS</t>
  </si>
  <si>
    <t>سومتو</t>
  </si>
  <si>
    <t>SUMITOMO</t>
  </si>
  <si>
    <t>سومر</t>
  </si>
  <si>
    <t>سوميرو</t>
  </si>
  <si>
    <t>SOMERO</t>
  </si>
  <si>
    <t>سوناليكا</t>
  </si>
  <si>
    <t>SONALIKA</t>
  </si>
  <si>
    <t>سونج جيو</t>
  </si>
  <si>
    <t>سونغ لونغ</t>
  </si>
  <si>
    <t>SUN LONG</t>
  </si>
  <si>
    <t>سونق بونق</t>
  </si>
  <si>
    <t>سويلميك</t>
  </si>
  <si>
    <t>سى أم أي</t>
  </si>
  <si>
    <t>سي إي او</t>
  </si>
  <si>
    <t>CEO</t>
  </si>
  <si>
    <t>سي اتش ال</t>
  </si>
  <si>
    <t>سي اتش تي سي موتوز</t>
  </si>
  <si>
    <t>CHTC</t>
  </si>
  <si>
    <t>سي ار ـ اس</t>
  </si>
  <si>
    <t>سي اس اف  اس ار ال</t>
  </si>
  <si>
    <t>CSF SRL</t>
  </si>
  <si>
    <t>سي اف موتو</t>
  </si>
  <si>
    <t>سي ام سي</t>
  </si>
  <si>
    <t>CMC</t>
  </si>
  <si>
    <t>سي ان اتش تي سي</t>
  </si>
  <si>
    <t>سي اند سي</t>
  </si>
  <si>
    <t>سي اي ام سي</t>
  </si>
  <si>
    <t>CIMC</t>
  </si>
  <si>
    <t>سي ايه ام سي</t>
  </si>
  <si>
    <t>CAMC</t>
  </si>
  <si>
    <t>سي بي دي</t>
  </si>
  <si>
    <t>سي سي ام جي</t>
  </si>
  <si>
    <t>سيات</t>
  </si>
  <si>
    <t>سيامكو</t>
  </si>
  <si>
    <t>سيترا</t>
  </si>
  <si>
    <t>سيتي بوجن</t>
  </si>
  <si>
    <t>سيدا ستير</t>
  </si>
  <si>
    <t>سيدار بيدس</t>
  </si>
  <si>
    <t>سيدرا بيدس</t>
  </si>
  <si>
    <t>سيرسيل</t>
  </si>
  <si>
    <t>سيساب</t>
  </si>
  <si>
    <t>CESAB</t>
  </si>
  <si>
    <t>سيسو</t>
  </si>
  <si>
    <t>سيسيس</t>
  </si>
  <si>
    <t>سيشوان هيونداي موتور</t>
  </si>
  <si>
    <t>سيشون شينغود شينغونغ</t>
  </si>
  <si>
    <t>سيفا موتو</t>
  </si>
  <si>
    <t>سيفترك</t>
  </si>
  <si>
    <t>سيفيترك</t>
  </si>
  <si>
    <t>سيقما</t>
  </si>
  <si>
    <t>SECMA</t>
  </si>
  <si>
    <t>سيلا</t>
  </si>
  <si>
    <t>سيلك</t>
  </si>
  <si>
    <t>سيم ديوتز</t>
  </si>
  <si>
    <t>سينا</t>
  </si>
  <si>
    <t>سينبوجن</t>
  </si>
  <si>
    <t>سينو</t>
  </si>
  <si>
    <t>سينواي</t>
  </si>
  <si>
    <t>سينوبوم</t>
  </si>
  <si>
    <t>سينوتراك</t>
  </si>
  <si>
    <t>سينوترك</t>
  </si>
  <si>
    <t>سينوماش</t>
  </si>
  <si>
    <t>سينومك</t>
  </si>
  <si>
    <t>سينيبوج</t>
  </si>
  <si>
    <t>سينيبوغن</t>
  </si>
  <si>
    <t>شاك</t>
  </si>
  <si>
    <t>شاك مان</t>
  </si>
  <si>
    <t>شامبيون</t>
  </si>
  <si>
    <t>شان جونج</t>
  </si>
  <si>
    <t>شان دانج</t>
  </si>
  <si>
    <t>SHAN DAING</t>
  </si>
  <si>
    <t>شان دونق</t>
  </si>
  <si>
    <t>شانا</t>
  </si>
  <si>
    <t>CHANA</t>
  </si>
  <si>
    <t>شانتوي</t>
  </si>
  <si>
    <t>شانج جانج</t>
  </si>
  <si>
    <t>شانج دونج</t>
  </si>
  <si>
    <t>شانج لونج</t>
  </si>
  <si>
    <t>SHEN LONG</t>
  </si>
  <si>
    <t>شانج هاى اوتو (سايك مو</t>
  </si>
  <si>
    <t>شانج هي</t>
  </si>
  <si>
    <t>شانج ينج</t>
  </si>
  <si>
    <t>شانجلي</t>
  </si>
  <si>
    <t>شانجلين</t>
  </si>
  <si>
    <t>شانجهاي مابل</t>
  </si>
  <si>
    <t>شاندونغ</t>
  </si>
  <si>
    <t>شانسي</t>
  </si>
  <si>
    <t>شانغراو</t>
  </si>
  <si>
    <t>شانكسي اوتوموبيل قروب</t>
  </si>
  <si>
    <t>SHAANXI AUTOMOBILE GROUP</t>
  </si>
  <si>
    <t>شانكسي هوانج</t>
  </si>
  <si>
    <t>شانكلينك</t>
  </si>
  <si>
    <t>CHANGLING</t>
  </si>
  <si>
    <t>شاننيو</t>
  </si>
  <si>
    <t>شانيا ناشيونال</t>
  </si>
  <si>
    <t>شاويو</t>
  </si>
  <si>
    <t>CHAOYUE</t>
  </si>
  <si>
    <t>شاينلونك</t>
  </si>
  <si>
    <t>SHENLONG</t>
  </si>
  <si>
    <t>شبر</t>
  </si>
  <si>
    <t>شتاير</t>
  </si>
  <si>
    <t>شتل ليفت إنك</t>
  </si>
  <si>
    <t>SHUTTLELIFT INC</t>
  </si>
  <si>
    <t>شجو - شانزي كونستركشن</t>
  </si>
  <si>
    <t>شركة الشاحنات المتنقل</t>
  </si>
  <si>
    <t>شركة انتر ناشونال</t>
  </si>
  <si>
    <t>شركة تايز هو زو نغنينغ</t>
  </si>
  <si>
    <t>شركة هوجو</t>
  </si>
  <si>
    <t>شفرليه</t>
  </si>
  <si>
    <t>شكمان</t>
  </si>
  <si>
    <t>SHACMAN</t>
  </si>
  <si>
    <t>شميت</t>
  </si>
  <si>
    <t>شنج لونج</t>
  </si>
  <si>
    <t>شنجان موتورز</t>
  </si>
  <si>
    <t>شنزهن قريت</t>
  </si>
  <si>
    <t>شنغاي - شنغهاي</t>
  </si>
  <si>
    <t>شنق لونق</t>
  </si>
  <si>
    <t>شنق هون اوتو</t>
  </si>
  <si>
    <t>شنقهاي اس اي اي مشينري</t>
  </si>
  <si>
    <t>SHANGHAI</t>
  </si>
  <si>
    <t>شوجو</t>
  </si>
  <si>
    <t>شوفيل سبلاي</t>
  </si>
  <si>
    <t>شونج شنج يوان جروب</t>
  </si>
  <si>
    <t>شونج كنج</t>
  </si>
  <si>
    <t>شيامن إكس جي إم إيه</t>
  </si>
  <si>
    <t>شيانغ لينغ</t>
  </si>
  <si>
    <t>شيبورا</t>
  </si>
  <si>
    <t>شيرنج تون</t>
  </si>
  <si>
    <t>CHERRINGTON</t>
  </si>
  <si>
    <t>شيفينج</t>
  </si>
  <si>
    <t>شيقون</t>
  </si>
  <si>
    <t>شيكمان</t>
  </si>
  <si>
    <t>شيمدت</t>
  </si>
  <si>
    <t>SCHMIDT</t>
  </si>
  <si>
    <t>شين زهين توب</t>
  </si>
  <si>
    <t>شينج جونج</t>
  </si>
  <si>
    <t>شينجلي</t>
  </si>
  <si>
    <t>CHENGLI</t>
  </si>
  <si>
    <t>شينلونغ</t>
  </si>
  <si>
    <t>شينوا</t>
  </si>
  <si>
    <t>شينيانج بريليانس جيني</t>
  </si>
  <si>
    <t>صن لونق</t>
  </si>
  <si>
    <t>صن وارد انتليجنت ايكو</t>
  </si>
  <si>
    <t>SUNWARD</t>
  </si>
  <si>
    <t>صن وين</t>
  </si>
  <si>
    <t>طوكيو</t>
  </si>
  <si>
    <t>غبور مصر</t>
  </si>
  <si>
    <t>فاب</t>
  </si>
  <si>
    <t>فاتا</t>
  </si>
  <si>
    <t>فارسن</t>
  </si>
  <si>
    <t>فارسين هاندلر</t>
  </si>
  <si>
    <t>فارقو</t>
  </si>
  <si>
    <t>FARGO</t>
  </si>
  <si>
    <t>فاكتور</t>
  </si>
  <si>
    <t>فاكتوري فايف</t>
  </si>
  <si>
    <t>فالكو كاريللي إليفيتو</t>
  </si>
  <si>
    <t>فالميت</t>
  </si>
  <si>
    <t>فاليسون</t>
  </si>
  <si>
    <t>فان هول</t>
  </si>
  <si>
    <t>فانت</t>
  </si>
  <si>
    <t>فانتوزي</t>
  </si>
  <si>
    <t>فاندرهول</t>
  </si>
  <si>
    <t>VANDERHALL</t>
  </si>
  <si>
    <t>فانكار</t>
  </si>
  <si>
    <t>فانكو</t>
  </si>
  <si>
    <t>فانكوش</t>
  </si>
  <si>
    <t>فاون</t>
  </si>
  <si>
    <t>فاويا</t>
  </si>
  <si>
    <t>فاي</t>
  </si>
  <si>
    <t>فايبرو - ماكس</t>
  </si>
  <si>
    <t>فايتز</t>
  </si>
  <si>
    <t>فبراتور</t>
  </si>
  <si>
    <t>فدمكو</t>
  </si>
  <si>
    <t>فرات</t>
  </si>
  <si>
    <t>فرايت لاينر</t>
  </si>
  <si>
    <t>فرايتب لايز</t>
  </si>
  <si>
    <t>فرجسون</t>
  </si>
  <si>
    <t>FERGUSON</t>
  </si>
  <si>
    <t>فرنسيه</t>
  </si>
  <si>
    <t>فريتلاينر</t>
  </si>
  <si>
    <t>فريجتليز</t>
  </si>
  <si>
    <t>فريكا - سوايست</t>
  </si>
  <si>
    <t>فسكر</t>
  </si>
  <si>
    <t>فكتورى</t>
  </si>
  <si>
    <t>فللي</t>
  </si>
  <si>
    <t>FLLI</t>
  </si>
  <si>
    <t>فلينج</t>
  </si>
  <si>
    <t>فنتازي</t>
  </si>
  <si>
    <t>فندت</t>
  </si>
  <si>
    <t>FENDT</t>
  </si>
  <si>
    <t>فندهام</t>
  </si>
  <si>
    <t>فنق لينق</t>
  </si>
  <si>
    <t>فنويك</t>
  </si>
  <si>
    <t>فنيري</t>
  </si>
  <si>
    <t>فوا</t>
  </si>
  <si>
    <t>فوتن موتورز</t>
  </si>
  <si>
    <t>فوتون</t>
  </si>
  <si>
    <t>فوتون - فوتان</t>
  </si>
  <si>
    <t>فوجلي</t>
  </si>
  <si>
    <t>فودي</t>
  </si>
  <si>
    <t>فور كاوا</t>
  </si>
  <si>
    <t>فور كاوا - كليفت</t>
  </si>
  <si>
    <t>فورد نيوهولا ند</t>
  </si>
  <si>
    <t>فورس</t>
  </si>
  <si>
    <t>فورلاند</t>
  </si>
  <si>
    <t>FORLAND</t>
  </si>
  <si>
    <t>فورمولا جت</t>
  </si>
  <si>
    <t>فوشن</t>
  </si>
  <si>
    <t>FOSHEN</t>
  </si>
  <si>
    <t>فوشيان</t>
  </si>
  <si>
    <t>فوغلي</t>
  </si>
  <si>
    <t>فوكي</t>
  </si>
  <si>
    <t>فولتاس</t>
  </si>
  <si>
    <t>VOLVO</t>
  </si>
  <si>
    <t>فون تراف</t>
  </si>
  <si>
    <t>فونتراف</t>
  </si>
  <si>
    <t>FONTRAF</t>
  </si>
  <si>
    <t>F.C.A</t>
  </si>
  <si>
    <t>فيبراتور</t>
  </si>
  <si>
    <t>فيبروكات</t>
  </si>
  <si>
    <t>VIBROCAT</t>
  </si>
  <si>
    <t>فيبروماكس</t>
  </si>
  <si>
    <t>VIPROMAX</t>
  </si>
  <si>
    <t>فيتارى</t>
  </si>
  <si>
    <t>فيتز</t>
  </si>
  <si>
    <t>فيجاروس</t>
  </si>
  <si>
    <t>فيرار</t>
  </si>
  <si>
    <t>فيرارا</t>
  </si>
  <si>
    <t>فيرتاجن</t>
  </si>
  <si>
    <t>فيرتكن</t>
  </si>
  <si>
    <t>فيرسن</t>
  </si>
  <si>
    <t>فيرمر</t>
  </si>
  <si>
    <t>فيرمير - فيرميك</t>
  </si>
  <si>
    <t>فيسبا</t>
  </si>
  <si>
    <t>فيسكر كواتش</t>
  </si>
  <si>
    <t>FISKER COACH</t>
  </si>
  <si>
    <t>فيسل فيجا</t>
  </si>
  <si>
    <t>فيشل انديو سترال</t>
  </si>
  <si>
    <t>فيشن كراولار</t>
  </si>
  <si>
    <t>فيكتوري اوتو</t>
  </si>
  <si>
    <t>فيكون</t>
  </si>
  <si>
    <t>فيماكس</t>
  </si>
  <si>
    <t>VMAX</t>
  </si>
  <si>
    <t>فيندت</t>
  </si>
  <si>
    <t>فينويك</t>
  </si>
  <si>
    <t>FENWICK</t>
  </si>
  <si>
    <t>فينيري</t>
  </si>
  <si>
    <t>فيوجان</t>
  </si>
  <si>
    <t>FUJIAN</t>
  </si>
  <si>
    <t>فيوجيان نيو لونج ما</t>
  </si>
  <si>
    <t>FUJIAN NEW LONGMA MOTOR</t>
  </si>
  <si>
    <t>فيوري</t>
  </si>
  <si>
    <t>فيوشون</t>
  </si>
  <si>
    <t>فيوكسن</t>
  </si>
  <si>
    <t>قاجيفا</t>
  </si>
  <si>
    <t>CAGIVA</t>
  </si>
  <si>
    <t>قاز قاز</t>
  </si>
  <si>
    <t>GAS GAS</t>
  </si>
  <si>
    <t>قرون ماكنق تكنولوجي</t>
  </si>
  <si>
    <t>قوانزو زنقكي</t>
  </si>
  <si>
    <t>قوانق دونق</t>
  </si>
  <si>
    <t>قودرج</t>
  </si>
  <si>
    <t>قولدن</t>
  </si>
  <si>
    <t>قولف</t>
  </si>
  <si>
    <t>قوناو</t>
  </si>
  <si>
    <t>قينقداو</t>
  </si>
  <si>
    <t>كابري</t>
  </si>
  <si>
    <t>CAPRI</t>
  </si>
  <si>
    <t>كات</t>
  </si>
  <si>
    <t>كاتر هام</t>
  </si>
  <si>
    <t>كاتو</t>
  </si>
  <si>
    <t>كاربر</t>
  </si>
  <si>
    <t>كاربوديز</t>
  </si>
  <si>
    <t>كارتك موتورز</t>
  </si>
  <si>
    <t>كارجوتك</t>
  </si>
  <si>
    <t>CARGOTEC</t>
  </si>
  <si>
    <t>كاردنردنفر</t>
  </si>
  <si>
    <t>كارشر</t>
  </si>
  <si>
    <t>KARSHER</t>
  </si>
  <si>
    <t>كارفر</t>
  </si>
  <si>
    <t>كارمكس</t>
  </si>
  <si>
    <t>CARMIX</t>
  </si>
  <si>
    <t>كارولر</t>
  </si>
  <si>
    <t>كارير</t>
  </si>
  <si>
    <t>كازا قراندي</t>
  </si>
  <si>
    <t>كازي</t>
  </si>
  <si>
    <t>كاسا جراند</t>
  </si>
  <si>
    <t>كاساغراندي</t>
  </si>
  <si>
    <t>كاسبهرر</t>
  </si>
  <si>
    <t>كاسر</t>
  </si>
  <si>
    <t>كاسي</t>
  </si>
  <si>
    <t>كاكا</t>
  </si>
  <si>
    <t>KAKA</t>
  </si>
  <si>
    <t>كالمار</t>
  </si>
  <si>
    <t>KALMAR</t>
  </si>
  <si>
    <t>كام باقنا</t>
  </si>
  <si>
    <t>CAMPAGNA</t>
  </si>
  <si>
    <t>كاما</t>
  </si>
  <si>
    <t>كاماج</t>
  </si>
  <si>
    <t>كامار - كالمار</t>
  </si>
  <si>
    <t>كامبل</t>
  </si>
  <si>
    <t>كامنز</t>
  </si>
  <si>
    <t>كاميل</t>
  </si>
  <si>
    <t>كان ام</t>
  </si>
  <si>
    <t>كان ورث</t>
  </si>
  <si>
    <t>كانو</t>
  </si>
  <si>
    <t>كاوازاكي</t>
  </si>
  <si>
    <t>كاوساكى - كوازكي</t>
  </si>
  <si>
    <t>AWASAKI</t>
  </si>
  <si>
    <t>كاي تي ام</t>
  </si>
  <si>
    <t>كايتانو</t>
  </si>
  <si>
    <t>CAETANO</t>
  </si>
  <si>
    <t>كايدا</t>
  </si>
  <si>
    <t>كايدن</t>
  </si>
  <si>
    <t>KIDEN</t>
  </si>
  <si>
    <t>كايس</t>
  </si>
  <si>
    <t>كاينوس</t>
  </si>
  <si>
    <t>KYNOS</t>
  </si>
  <si>
    <t>كباسيتي</t>
  </si>
  <si>
    <t>كبوتا</t>
  </si>
  <si>
    <t>كتربلير</t>
  </si>
  <si>
    <t>كراز</t>
  </si>
  <si>
    <t>كرايزلر</t>
  </si>
  <si>
    <t>كروب</t>
  </si>
  <si>
    <t>كروزر</t>
  </si>
  <si>
    <t>كرولر</t>
  </si>
  <si>
    <t>كريسلر</t>
  </si>
  <si>
    <t>كرينا - كرين</t>
  </si>
  <si>
    <t>كرينز</t>
  </si>
  <si>
    <t>كزا جراند</t>
  </si>
  <si>
    <t>كفس فيراري سرل</t>
  </si>
  <si>
    <t>كلارك</t>
  </si>
  <si>
    <t>كلارك ماشنقان</t>
  </si>
  <si>
    <t>كلاس</t>
  </si>
  <si>
    <t>كلايز</t>
  </si>
  <si>
    <t>كلايمكس</t>
  </si>
  <si>
    <t>كلاين تراكس</t>
  </si>
  <si>
    <t>كلمر</t>
  </si>
  <si>
    <t>كليم</t>
  </si>
  <si>
    <t>كلينت</t>
  </si>
  <si>
    <t>كماتسو</t>
  </si>
  <si>
    <t>كماز - كوماز</t>
  </si>
  <si>
    <t>كنج ذوولودر</t>
  </si>
  <si>
    <t>كنج زو</t>
  </si>
  <si>
    <t>كنج لونج</t>
  </si>
  <si>
    <t>كندر</t>
  </si>
  <si>
    <t>كنورث</t>
  </si>
  <si>
    <t>كنيت</t>
  </si>
  <si>
    <t>كوادرو فيلكس إس إيه</t>
  </si>
  <si>
    <t>كواساكي</t>
  </si>
  <si>
    <t>كوانجزهو</t>
  </si>
  <si>
    <t>QIYANGZHOU</t>
  </si>
  <si>
    <t>كوبار اى دى ديوقرار</t>
  </si>
  <si>
    <t>كوباكو</t>
  </si>
  <si>
    <t>كوبرا</t>
  </si>
  <si>
    <t>CPPRA</t>
  </si>
  <si>
    <t>كوبوتا</t>
  </si>
  <si>
    <t>كوبيلكو</t>
  </si>
  <si>
    <t>KOBELCO</t>
  </si>
  <si>
    <t>كورينسا</t>
  </si>
  <si>
    <t>CORINSA</t>
  </si>
  <si>
    <t>كوش مان</t>
  </si>
  <si>
    <t>كوفاتش</t>
  </si>
  <si>
    <t>كوكو روفا</t>
  </si>
  <si>
    <t>كوكوروفا</t>
  </si>
  <si>
    <t>كوكين</t>
  </si>
  <si>
    <t>كولز</t>
  </si>
  <si>
    <t>كولكس</t>
  </si>
  <si>
    <t>كوماتسو</t>
  </si>
  <si>
    <t>كومار</t>
  </si>
  <si>
    <t>كوماك</t>
  </si>
  <si>
    <t>كومباك</t>
  </si>
  <si>
    <t>COMPAC</t>
  </si>
  <si>
    <t>كومبلانت</t>
  </si>
  <si>
    <t>كومبي ليفت</t>
  </si>
  <si>
    <t>كومت اوبكرا</t>
  </si>
  <si>
    <t>كومر</t>
  </si>
  <si>
    <t>كومنث</t>
  </si>
  <si>
    <t>كونانزي ليوجانج ماشين</t>
  </si>
  <si>
    <t>كونتراك</t>
  </si>
  <si>
    <t>كونفديريت</t>
  </si>
  <si>
    <t>كوني كرينز</t>
  </si>
  <si>
    <t>KONECRANES</t>
  </si>
  <si>
    <t>كونيج سيج</t>
  </si>
  <si>
    <t>كونيك رانز</t>
  </si>
  <si>
    <t>كونيكرانس</t>
  </si>
  <si>
    <t>كونيكرين</t>
  </si>
  <si>
    <t>KONEGRANES</t>
  </si>
  <si>
    <t>كونيكسيج</t>
  </si>
  <si>
    <t>KOENIGSEGG</t>
  </si>
  <si>
    <t>كي ام اي</t>
  </si>
  <si>
    <t>كي ام سي</t>
  </si>
  <si>
    <t>K M C</t>
  </si>
  <si>
    <t>كي بي اي 3</t>
  </si>
  <si>
    <t>K P A 3</t>
  </si>
  <si>
    <t>كي تي إم</t>
  </si>
  <si>
    <t>كية تي ام</t>
  </si>
  <si>
    <t>K T M</t>
  </si>
  <si>
    <t>كيتو</t>
  </si>
  <si>
    <t>كيفان</t>
  </si>
  <si>
    <t>كيلن</t>
  </si>
  <si>
    <t>كينج ان</t>
  </si>
  <si>
    <t>كينورث</t>
  </si>
  <si>
    <t>كيو واي 8</t>
  </si>
  <si>
    <t>QY8</t>
  </si>
  <si>
    <t>كيوبوتا</t>
  </si>
  <si>
    <t>كيوتي</t>
  </si>
  <si>
    <t>كيون باولي</t>
  </si>
  <si>
    <t>لا نسر</t>
  </si>
  <si>
    <t>لادا</t>
  </si>
  <si>
    <t>LADA</t>
  </si>
  <si>
    <t>لازاريث</t>
  </si>
  <si>
    <t>L</t>
  </si>
  <si>
    <t>لاند سفيرك</t>
  </si>
  <si>
    <t>لاند مارك</t>
  </si>
  <si>
    <t>لاندول</t>
  </si>
  <si>
    <t>LANDOLL</t>
  </si>
  <si>
    <t>لانديني</t>
  </si>
  <si>
    <t>لانسيا</t>
  </si>
  <si>
    <t>LANCIA</t>
  </si>
  <si>
    <t>لايلند</t>
  </si>
  <si>
    <t>لايمور</t>
  </si>
  <si>
    <t>لايند</t>
  </si>
  <si>
    <t>LINDE</t>
  </si>
  <si>
    <t>لاينك بلت</t>
  </si>
  <si>
    <t>لباز</t>
  </si>
  <si>
    <t>لزوم</t>
  </si>
  <si>
    <t>لندي</t>
  </si>
  <si>
    <t>لنسر بوس</t>
  </si>
  <si>
    <t>لنك بيلت</t>
  </si>
  <si>
    <t>لوبونج</t>
  </si>
  <si>
    <t>لوتس</t>
  </si>
  <si>
    <t>لورين</t>
  </si>
  <si>
    <t>لوفول</t>
  </si>
  <si>
    <t>LOVOL</t>
  </si>
  <si>
    <t>لوكاتيلي</t>
  </si>
  <si>
    <t>لوكال موتورز</t>
  </si>
  <si>
    <t>لوكسجن</t>
  </si>
  <si>
    <t>لوكومو</t>
  </si>
  <si>
    <t>لول</t>
  </si>
  <si>
    <t>لون سن</t>
  </si>
  <si>
    <t>لونا</t>
  </si>
  <si>
    <t>لونج جونج</t>
  </si>
  <si>
    <t>لونج كنج</t>
  </si>
  <si>
    <t>لونج هيونجاهى</t>
  </si>
  <si>
    <t>لونسين</t>
  </si>
  <si>
    <t>لونكنج</t>
  </si>
  <si>
    <t>لوي</t>
  </si>
  <si>
    <t>لي بوي</t>
  </si>
  <si>
    <t>لي شيد</t>
  </si>
  <si>
    <t>LI SHIDE</t>
  </si>
  <si>
    <t>لياز</t>
  </si>
  <si>
    <t>ليبريرو</t>
  </si>
  <si>
    <t>LIBRERO</t>
  </si>
  <si>
    <t>ليبهر</t>
  </si>
  <si>
    <t>ليبهير</t>
  </si>
  <si>
    <t>LEPHER</t>
  </si>
  <si>
    <t>ليجر</t>
  </si>
  <si>
    <t>LIGIER</t>
  </si>
  <si>
    <t>ليزهوما شنري كربوب ال</t>
  </si>
  <si>
    <t>ليفان</t>
  </si>
  <si>
    <t>ليفتنج</t>
  </si>
  <si>
    <t>ليلاند</t>
  </si>
  <si>
    <t>LILAND</t>
  </si>
  <si>
    <t>ليما</t>
  </si>
  <si>
    <t>لينجونج</t>
  </si>
  <si>
    <t>لينجيون</t>
  </si>
  <si>
    <t>ليند</t>
  </si>
  <si>
    <t>ليندا</t>
  </si>
  <si>
    <t>ليندي</t>
  </si>
  <si>
    <t>لينر</t>
  </si>
  <si>
    <t>لينك بيلت</t>
  </si>
  <si>
    <t>ليوا</t>
  </si>
  <si>
    <t>ليوقونق</t>
  </si>
  <si>
    <t>ماتبرو</t>
  </si>
  <si>
    <t>MATBRO</t>
  </si>
  <si>
    <t>ماتروت</t>
  </si>
  <si>
    <t>ماتريكولا</t>
  </si>
  <si>
    <t>ماتيرو</t>
  </si>
  <si>
    <t>ماثينو</t>
  </si>
  <si>
    <t>ماثيو</t>
  </si>
  <si>
    <t>ماجروس - جروس</t>
  </si>
  <si>
    <t>MAGROS</t>
  </si>
  <si>
    <t>ماد فاك</t>
  </si>
  <si>
    <t>مادفاك</t>
  </si>
  <si>
    <t>MADVAC</t>
  </si>
  <si>
    <t>مارجريوس</t>
  </si>
  <si>
    <t>مارشيتى</t>
  </si>
  <si>
    <t>ماركتي</t>
  </si>
  <si>
    <t>MARCHETTI</t>
  </si>
  <si>
    <t>ماروكا</t>
  </si>
  <si>
    <t>ماريني</t>
  </si>
  <si>
    <t>ماز</t>
  </si>
  <si>
    <t>MAZ</t>
  </si>
  <si>
    <t>Mazda</t>
  </si>
  <si>
    <t>ماست</t>
  </si>
  <si>
    <t>ماستاس</t>
  </si>
  <si>
    <t>ماسكن</t>
  </si>
  <si>
    <t>MASKIN</t>
  </si>
  <si>
    <t>ماسي فيرجسون</t>
  </si>
  <si>
    <t>مافريك</t>
  </si>
  <si>
    <t>MAVERICK</t>
  </si>
  <si>
    <t>مافي</t>
  </si>
  <si>
    <t>ماك</t>
  </si>
  <si>
    <t>ماكرو</t>
  </si>
  <si>
    <t>MACRO</t>
  </si>
  <si>
    <t>ماكس ويل</t>
  </si>
  <si>
    <t>ماكستون</t>
  </si>
  <si>
    <t>ماكسيمل</t>
  </si>
  <si>
    <t>ماكلارين</t>
  </si>
  <si>
    <t>ماكلين</t>
  </si>
  <si>
    <t>مالتي كويب</t>
  </si>
  <si>
    <t>ماناي</t>
  </si>
  <si>
    <t>مانتز</t>
  </si>
  <si>
    <t>مانتوك</t>
  </si>
  <si>
    <t>MANITOWOC</t>
  </si>
  <si>
    <t>مانتيوك</t>
  </si>
  <si>
    <t>مانكو</t>
  </si>
  <si>
    <t>MANCO</t>
  </si>
  <si>
    <t>ماني توك</t>
  </si>
  <si>
    <t>مانيتو</t>
  </si>
  <si>
    <t>مانيتواك</t>
  </si>
  <si>
    <t>ماهيندرا</t>
  </si>
  <si>
    <t>مايباخ</t>
  </si>
  <si>
    <t>مايت</t>
  </si>
  <si>
    <t>MITE</t>
  </si>
  <si>
    <t>مدحلة ريماز</t>
  </si>
  <si>
    <t>مركز الملك عبدالله لل</t>
  </si>
  <si>
    <t>مسكفيتش</t>
  </si>
  <si>
    <t>مسيرسي</t>
  </si>
  <si>
    <t>مكالوسكي</t>
  </si>
  <si>
    <t>مكبو</t>
  </si>
  <si>
    <t>مكلارين اتوموتوف</t>
  </si>
  <si>
    <t>ملت</t>
  </si>
  <si>
    <t>مناكو كودج</t>
  </si>
  <si>
    <t>موبايل</t>
  </si>
  <si>
    <t>موتو بيتا</t>
  </si>
  <si>
    <t>موتو قوزى</t>
  </si>
  <si>
    <t>موتوقازي</t>
  </si>
  <si>
    <t>مودان</t>
  </si>
  <si>
    <t>مورتون</t>
  </si>
  <si>
    <t>مورجن</t>
  </si>
  <si>
    <t>مورغان</t>
  </si>
  <si>
    <t>موروكا</t>
  </si>
  <si>
    <t>موريس</t>
  </si>
  <si>
    <t>موريك انترنشونال</t>
  </si>
  <si>
    <t>مول</t>
  </si>
  <si>
    <t>مول بيوجي</t>
  </si>
  <si>
    <t>MOLBUGGY</t>
  </si>
  <si>
    <t>مولتيل</t>
  </si>
  <si>
    <t>MULTITEL</t>
  </si>
  <si>
    <t>مونتيد</t>
  </si>
  <si>
    <t>MOUNTED</t>
  </si>
  <si>
    <t>موندال</t>
  </si>
  <si>
    <t>مونستر</t>
  </si>
  <si>
    <t>MUNSTERS</t>
  </si>
  <si>
    <t>مونيكا موتوز</t>
  </si>
  <si>
    <t>مي يا</t>
  </si>
  <si>
    <t>ميتال قلانتي</t>
  </si>
  <si>
    <t>Misubishi</t>
  </si>
  <si>
    <t>ميتسوكا</t>
  </si>
  <si>
    <t>MITSUOKA</t>
  </si>
  <si>
    <t>ميتشغن</t>
  </si>
  <si>
    <t>ميتونج</t>
  </si>
  <si>
    <t>ميديا</t>
  </si>
  <si>
    <t>ميراج</t>
  </si>
  <si>
    <t>ميرلو</t>
  </si>
  <si>
    <t>ميرولو</t>
  </si>
  <si>
    <t>ميسنو</t>
  </si>
  <si>
    <t>ميني</t>
  </si>
  <si>
    <t>ميني مونستر</t>
  </si>
  <si>
    <t>ميوا</t>
  </si>
  <si>
    <t>ميوت</t>
  </si>
  <si>
    <t>MUTT</t>
  </si>
  <si>
    <t>ناش</t>
  </si>
  <si>
    <t>NASH</t>
  </si>
  <si>
    <t>نافيا</t>
  </si>
  <si>
    <t>NAVYA</t>
  </si>
  <si>
    <t>نافيستار</t>
  </si>
  <si>
    <t>نانجين</t>
  </si>
  <si>
    <t>NANJIN</t>
  </si>
  <si>
    <t>نفيتي لفت</t>
  </si>
  <si>
    <t>نوبل</t>
  </si>
  <si>
    <t>نورث ستار</t>
  </si>
  <si>
    <t>نورينكو</t>
  </si>
  <si>
    <t>نويل</t>
  </si>
  <si>
    <t>نيبون</t>
  </si>
  <si>
    <t>Nissan</t>
  </si>
  <si>
    <t>نيشا</t>
  </si>
  <si>
    <t>نيفتي لفت</t>
  </si>
  <si>
    <t>نيلفيسك ايجلولم أي اس</t>
  </si>
  <si>
    <t>نيمسا</t>
  </si>
  <si>
    <t>نينغبو</t>
  </si>
  <si>
    <t>نينقبو</t>
  </si>
  <si>
    <t>نيوبلان</t>
  </si>
  <si>
    <t>نيوهولاند</t>
  </si>
  <si>
    <t>هابي زونجكسون</t>
  </si>
  <si>
    <t>هاترا</t>
  </si>
  <si>
    <t>هادسون</t>
  </si>
  <si>
    <t>هارت فورد</t>
  </si>
  <si>
    <t>HARTFORD</t>
  </si>
  <si>
    <t>هارتيل</t>
  </si>
  <si>
    <t>هارشيني</t>
  </si>
  <si>
    <t>هارفستر</t>
  </si>
  <si>
    <t>HARVESTER</t>
  </si>
  <si>
    <t>هارلى ديفدسون</t>
  </si>
  <si>
    <t>هارلي</t>
  </si>
  <si>
    <t>هارلي انتر برايزز</t>
  </si>
  <si>
    <t>هارننيشفيقر</t>
  </si>
  <si>
    <t>HARNISCHFEGER</t>
  </si>
  <si>
    <t>هاري ديفيدسون</t>
  </si>
  <si>
    <t>هازي ماك</t>
  </si>
  <si>
    <t>هاسكوفارنا</t>
  </si>
  <si>
    <t>HASQVARNA</t>
  </si>
  <si>
    <t>هافي</t>
  </si>
  <si>
    <t>هافيلت</t>
  </si>
  <si>
    <t>HAFILAT</t>
  </si>
  <si>
    <t>هاكو</t>
  </si>
  <si>
    <t>HAKO</t>
  </si>
  <si>
    <t>هالا</t>
  </si>
  <si>
    <t>هالوت</t>
  </si>
  <si>
    <t>HALUT</t>
  </si>
  <si>
    <t>هالوتي</t>
  </si>
  <si>
    <t>هالي جندو</t>
  </si>
  <si>
    <t>هام</t>
  </si>
  <si>
    <t>هام ايه جي هامستراب</t>
  </si>
  <si>
    <t>هامرز</t>
  </si>
  <si>
    <t>هانتا</t>
  </si>
  <si>
    <t>هانج زهو</t>
  </si>
  <si>
    <t>هانسون</t>
  </si>
  <si>
    <t>هانغ زيو</t>
  </si>
  <si>
    <t>هانغشا</t>
  </si>
  <si>
    <t>هانقجا</t>
  </si>
  <si>
    <t>HANGCHA</t>
  </si>
  <si>
    <t>هانكوك</t>
  </si>
  <si>
    <t>هانوماق</t>
  </si>
  <si>
    <t>هاوتاي</t>
  </si>
  <si>
    <t>HAWTAI</t>
  </si>
  <si>
    <t>هاوجو</t>
  </si>
  <si>
    <t>هاولوتي</t>
  </si>
  <si>
    <t>هاوو - سينو</t>
  </si>
  <si>
    <t>HOWO - SINO</t>
  </si>
  <si>
    <t>هايباك</t>
  </si>
  <si>
    <t>هايبك</t>
  </si>
  <si>
    <t>هايتسو</t>
  </si>
  <si>
    <t>هايتك</t>
  </si>
  <si>
    <t>هايجر</t>
  </si>
  <si>
    <t>HIGER</t>
  </si>
  <si>
    <t>هايجونج</t>
  </si>
  <si>
    <t>HAIGONG</t>
  </si>
  <si>
    <t>هايستر</t>
  </si>
  <si>
    <t>هايسونج</t>
  </si>
  <si>
    <t>هايقر</t>
  </si>
  <si>
    <t>هايكو</t>
  </si>
  <si>
    <t>HYCO</t>
  </si>
  <si>
    <t>هايلوت</t>
  </si>
  <si>
    <t>هايما</t>
  </si>
  <si>
    <t>هايماك</t>
  </si>
  <si>
    <t>هاينيو</t>
  </si>
  <si>
    <t>هلي</t>
  </si>
  <si>
    <t>هلي مشنيري</t>
  </si>
  <si>
    <t>همبر</t>
  </si>
  <si>
    <t>هنتا - هونتا</t>
  </si>
  <si>
    <t>هنتر</t>
  </si>
  <si>
    <t>HUNTER</t>
  </si>
  <si>
    <t>هندرسون</t>
  </si>
  <si>
    <t>هندركسون</t>
  </si>
  <si>
    <t>هندركسون كارير</t>
  </si>
  <si>
    <t>هندوستان</t>
  </si>
  <si>
    <t>هنسم</t>
  </si>
  <si>
    <t>هنقرز هو آرت</t>
  </si>
  <si>
    <t>هو</t>
  </si>
  <si>
    <t>هوانان</t>
  </si>
  <si>
    <t>هوانغ هاي</t>
  </si>
  <si>
    <t>هوب</t>
  </si>
  <si>
    <t>هوبي جنق نان دونق</t>
  </si>
  <si>
    <t>هوبي دونج فينج موتور ا</t>
  </si>
  <si>
    <t>هوبي رنلي</t>
  </si>
  <si>
    <t>هودسن</t>
  </si>
  <si>
    <t>هوس</t>
  </si>
  <si>
    <t>HOSE</t>
  </si>
  <si>
    <t>هوسنج</t>
  </si>
  <si>
    <t>هوشين</t>
  </si>
  <si>
    <t>هوفر</t>
  </si>
  <si>
    <t>HOVER</t>
  </si>
  <si>
    <t>هوفمان</t>
  </si>
  <si>
    <t>هوكس ينج</t>
  </si>
  <si>
    <t>هولتي</t>
  </si>
  <si>
    <t>هولستر</t>
  </si>
  <si>
    <t>HOLISTER</t>
  </si>
  <si>
    <t>هولمان</t>
  </si>
  <si>
    <t>HOLMAN</t>
  </si>
  <si>
    <t>هولوت قروب</t>
  </si>
  <si>
    <t>هونان</t>
  </si>
  <si>
    <t>هونان بوكوان هولدنج ك</t>
  </si>
  <si>
    <t>هونج</t>
  </si>
  <si>
    <t>هونجزو</t>
  </si>
  <si>
    <t>هونجيان</t>
  </si>
  <si>
    <t>HOGYAN</t>
  </si>
  <si>
    <t>هووا</t>
  </si>
  <si>
    <t>هياب</t>
  </si>
  <si>
    <t>HIAB</t>
  </si>
  <si>
    <t>هيبي اوتو مبيل ليمتد</t>
  </si>
  <si>
    <t>هيبي اوتوموبيل</t>
  </si>
  <si>
    <t>هيبي زونغينغ</t>
  </si>
  <si>
    <t>HEBEI CHANGAN AUTOMOBILE</t>
  </si>
  <si>
    <t>هيتاشي</t>
  </si>
  <si>
    <t>هيجر</t>
  </si>
  <si>
    <t>هيدان</t>
  </si>
  <si>
    <t>هيدروم</t>
  </si>
  <si>
    <t>هيدرومك</t>
  </si>
  <si>
    <t>هيرو</t>
  </si>
  <si>
    <t>HERO</t>
  </si>
  <si>
    <t>هيستير</t>
  </si>
  <si>
    <t>هيسن</t>
  </si>
  <si>
    <t>HISUN</t>
  </si>
  <si>
    <t>هيف مان</t>
  </si>
  <si>
    <t>هيلكو</t>
  </si>
  <si>
    <t>HILCO</t>
  </si>
  <si>
    <t>هينان دينجد</t>
  </si>
  <si>
    <t>هينيكس</t>
  </si>
  <si>
    <t>هيو بيا</t>
  </si>
  <si>
    <t>هيو سنغ</t>
  </si>
  <si>
    <t>هيوبي شنجلي اوتو</t>
  </si>
  <si>
    <t>HUBEI CHENGLI AUTO</t>
  </si>
  <si>
    <t>واتكو</t>
  </si>
  <si>
    <t>واف</t>
  </si>
  <si>
    <t>واكر</t>
  </si>
  <si>
    <t>وان فينج</t>
  </si>
  <si>
    <t>واو</t>
  </si>
  <si>
    <t>واي تي او</t>
  </si>
  <si>
    <t>واير تجين</t>
  </si>
  <si>
    <t>وايز مان</t>
  </si>
  <si>
    <t>وتنابي</t>
  </si>
  <si>
    <t>ورتجن</t>
  </si>
  <si>
    <t>ورك هورس</t>
  </si>
  <si>
    <t>ورلد هيفي اندر ستري</t>
  </si>
  <si>
    <t>وز هو لونج</t>
  </si>
  <si>
    <t>وزنج</t>
  </si>
  <si>
    <t>WUZHEXIG</t>
  </si>
  <si>
    <t>وستكو</t>
  </si>
  <si>
    <t>ولز</t>
  </si>
  <si>
    <t>ولكر</t>
  </si>
  <si>
    <t>ووكسي أنيان أتومبيل</t>
  </si>
  <si>
    <t>وولدن</t>
  </si>
  <si>
    <t>WALDON</t>
  </si>
  <si>
    <t>وي مان</t>
  </si>
  <si>
    <t>WEIMAN</t>
  </si>
  <si>
    <t>ويجينز ليفت كوبانى ان</t>
  </si>
  <si>
    <t>وير انجل</t>
  </si>
  <si>
    <t>WAR EAGLE</t>
  </si>
  <si>
    <t>ويرتجن</t>
  </si>
  <si>
    <t>ويركلست</t>
  </si>
  <si>
    <t>WERKLUST</t>
  </si>
  <si>
    <t>ويزتيم</t>
  </si>
  <si>
    <t>WIZTEM</t>
  </si>
  <si>
    <t>ويسترن ستار</t>
  </si>
  <si>
    <t>ويسمان</t>
  </si>
  <si>
    <t>ويفانج</t>
  </si>
  <si>
    <t>ويكر</t>
  </si>
  <si>
    <t>ويكر نيوسن</t>
  </si>
  <si>
    <t>ويلر</t>
  </si>
  <si>
    <t>WEILER</t>
  </si>
  <si>
    <t>ويلينج - جي ام - ولنق</t>
  </si>
  <si>
    <t>وينجت</t>
  </si>
  <si>
    <t>ويندهم</t>
  </si>
  <si>
    <t>وينيباغور</t>
  </si>
  <si>
    <t>ويوزهينغ</t>
  </si>
  <si>
    <t>WUZHENG</t>
  </si>
  <si>
    <t>ياتو</t>
  </si>
  <si>
    <t>يازنج</t>
  </si>
  <si>
    <t>ياكاكاو</t>
  </si>
  <si>
    <t>يال - ييل يوروب ماتيري</t>
  </si>
  <si>
    <t>يام</t>
  </si>
  <si>
    <t>ياماها</t>
  </si>
  <si>
    <t>AMAHA</t>
  </si>
  <si>
    <t>يانج زى تشاينا جروب لم</t>
  </si>
  <si>
    <t>يانج زي</t>
  </si>
  <si>
    <t>يانج مينج</t>
  </si>
  <si>
    <t>يانج وانج</t>
  </si>
  <si>
    <t>يانجزو ياشينج موتور</t>
  </si>
  <si>
    <t>YANGZHOU YAXING MOTOR</t>
  </si>
  <si>
    <t>يانغجوياشنج(أسيا ستار</t>
  </si>
  <si>
    <t>يانمار</t>
  </si>
  <si>
    <t>YANMAR</t>
  </si>
  <si>
    <t>يانمر</t>
  </si>
  <si>
    <t>ياوربي جي</t>
  </si>
  <si>
    <t>يتو</t>
  </si>
  <si>
    <t>يس رود ستار - رود ماستر</t>
  </si>
  <si>
    <t>يلي</t>
  </si>
  <si>
    <t>YALI</t>
  </si>
  <si>
    <t>ينتاي هايدي</t>
  </si>
  <si>
    <t>YANTAI HAIDE</t>
  </si>
  <si>
    <t>ينمار</t>
  </si>
  <si>
    <t>يو ان</t>
  </si>
  <si>
    <t>يو ان اي كاريرز</t>
  </si>
  <si>
    <t>UNI CARRIERS</t>
  </si>
  <si>
    <t>يواس ليجيند</t>
  </si>
  <si>
    <t>US LEGEND</t>
  </si>
  <si>
    <t>يوتونج</t>
  </si>
  <si>
    <t>YUTONG</t>
  </si>
  <si>
    <t>يوتونج هيفي اندستريز</t>
  </si>
  <si>
    <t>يوتونق</t>
  </si>
  <si>
    <t>يوتيليف</t>
  </si>
  <si>
    <t>يوجين</t>
  </si>
  <si>
    <t>يودي</t>
  </si>
  <si>
    <t>يوربوس</t>
  </si>
  <si>
    <t>يورو بيب لاين</t>
  </si>
  <si>
    <t>EURO PIPELINE</t>
  </si>
  <si>
    <t>يورو فيكلوس اسبشياليز</t>
  </si>
  <si>
    <t>يوروبابلاين</t>
  </si>
  <si>
    <t>يورولفت</t>
  </si>
  <si>
    <t>EUROLIFT</t>
  </si>
  <si>
    <t>يوروماك ماكيناريا  اس</t>
  </si>
  <si>
    <t>يوسانج</t>
  </si>
  <si>
    <t>يوفو</t>
  </si>
  <si>
    <t>يوكار</t>
  </si>
  <si>
    <t>يوكرين</t>
  </si>
  <si>
    <t>يوكليد</t>
  </si>
  <si>
    <t>يولترا ستار</t>
  </si>
  <si>
    <t>يوماك</t>
  </si>
  <si>
    <t>يونغ كانغ تشانغ شون</t>
  </si>
  <si>
    <t>يونونج</t>
  </si>
  <si>
    <t>يوني كاريرز</t>
  </si>
  <si>
    <t>UNICARRIERS</t>
  </si>
  <si>
    <t>يونيفرسال</t>
  </si>
  <si>
    <t>يونيك</t>
  </si>
  <si>
    <t>يوينموغ</t>
  </si>
  <si>
    <t>COL1</t>
  </si>
  <si>
    <t>COL2</t>
  </si>
  <si>
    <t>COL3</t>
  </si>
  <si>
    <t>أسماء متقاربة في البيانات</t>
  </si>
  <si>
    <t>الأسماء المرسلة</t>
  </si>
  <si>
    <t xml:space="preserve">الأسماء الموجودة في البيانات </t>
  </si>
  <si>
    <t>الأسماء الموجودة في البيانات من lookup table</t>
  </si>
  <si>
    <t>الأسماء المتطابقة بين lookup  والمرسلة</t>
  </si>
  <si>
    <t>Similarity</t>
  </si>
  <si>
    <t>COL4</t>
  </si>
  <si>
    <t>COL5</t>
  </si>
  <si>
    <t>COL6</t>
  </si>
  <si>
    <t>ENG_MAKER</t>
  </si>
  <si>
    <t>ENG_MODEL</t>
  </si>
  <si>
    <t>ENG_STYLE</t>
  </si>
  <si>
    <t>MUX -Double - Diesel</t>
  </si>
  <si>
    <t>MUX - Diesel</t>
  </si>
  <si>
    <t>A8 Hybrid</t>
  </si>
  <si>
    <t>A 8</t>
  </si>
  <si>
    <t>A 7</t>
  </si>
  <si>
    <t>A6 Hybrid</t>
  </si>
  <si>
    <t>Q7-3.0</t>
  </si>
  <si>
    <t>Aya 5</t>
  </si>
  <si>
    <t>Aya 6</t>
  </si>
  <si>
    <t>A6 High Post</t>
  </si>
  <si>
    <t>A 5</t>
  </si>
  <si>
    <t>S 8</t>
  </si>
  <si>
    <t>S 3</t>
  </si>
  <si>
    <t>BJ 40 th</t>
  </si>
  <si>
    <t>Cayenne S.</t>
  </si>
  <si>
    <t>Kayman 718</t>
  </si>
  <si>
    <t>X6 m50 any</t>
  </si>
  <si>
    <t>M. 3</t>
  </si>
  <si>
    <t>X7 40 i</t>
  </si>
  <si>
    <t>730 LI</t>
  </si>
  <si>
    <t>X6 40 i</t>
  </si>
  <si>
    <t>X5 40 i</t>
  </si>
  <si>
    <t>740 LI</t>
  </si>
  <si>
    <t>530 i</t>
  </si>
  <si>
    <t>X6 m</t>
  </si>
  <si>
    <t>318 i</t>
  </si>
  <si>
    <t>X 4-28</t>
  </si>
  <si>
    <t>520 i</t>
  </si>
  <si>
    <t>X2 20 i</t>
  </si>
  <si>
    <t>750 LI</t>
  </si>
  <si>
    <t>320 i</t>
  </si>
  <si>
    <t>120 i</t>
  </si>
  <si>
    <t>Umm 5</t>
  </si>
  <si>
    <t>M. 8</t>
  </si>
  <si>
    <t>330 i</t>
  </si>
  <si>
    <t>X1 20 i</t>
  </si>
  <si>
    <t>Mini John Cooper Worms</t>
  </si>
  <si>
    <t>840 i</t>
  </si>
  <si>
    <t>S 1000 RR</t>
  </si>
  <si>
    <t>GT 508</t>
  </si>
  <si>
    <t>GT 5008</t>
  </si>
  <si>
    <t>508 GT Line</t>
  </si>
  <si>
    <t>GT 3008</t>
  </si>
  <si>
    <t>Lore 5008</t>
  </si>
  <si>
    <t>Lore 3008</t>
  </si>
  <si>
    <t>Activ 3008</t>
  </si>
  <si>
    <t>GT 2008</t>
  </si>
  <si>
    <t>Lower 2008</t>
  </si>
  <si>
    <t>LS 500</t>
  </si>
  <si>
    <t>LS 500H</t>
  </si>
  <si>
    <t>LS 350</t>
  </si>
  <si>
    <t>GS 350</t>
  </si>
  <si>
    <t>RX 350 th</t>
  </si>
  <si>
    <t>RX 350 pockets</t>
  </si>
  <si>
    <t>RX 350</t>
  </si>
  <si>
    <t>Prado in X</t>
  </si>
  <si>
    <t>IS 350</t>
  </si>
  <si>
    <t>IS 300</t>
  </si>
  <si>
    <t>In X</t>
  </si>
  <si>
    <t>UX 200</t>
  </si>
  <si>
    <t>Limited</t>
  </si>
  <si>
    <t>In X2</t>
  </si>
  <si>
    <t>In X1</t>
  </si>
  <si>
    <t>X Sidan</t>
  </si>
  <si>
    <t>CHR Hybrid Atoma</t>
  </si>
  <si>
    <t>XF Prestige</t>
  </si>
  <si>
    <t>X-E</t>
  </si>
  <si>
    <t>Haval H6</t>
  </si>
  <si>
    <t>Winjel 5 RWD</t>
  </si>
  <si>
    <t>Escalade 4 x 4</t>
  </si>
  <si>
    <t>Escalade</t>
  </si>
  <si>
    <t>CT 6</t>
  </si>
  <si>
    <t>XT6</t>
  </si>
  <si>
    <t>XT 5</t>
  </si>
  <si>
    <t>CT 5</t>
  </si>
  <si>
    <t>XT 4</t>
  </si>
  <si>
    <t>CT 4</t>
  </si>
  <si>
    <t>Savana 6 liters</t>
  </si>
  <si>
    <t>SUV</t>
  </si>
  <si>
    <t>GS8</t>
  </si>
  <si>
    <t>GN 6</t>
  </si>
  <si>
    <t xml:space="preserve"> GS3</t>
  </si>
  <si>
    <t>Ghost</t>
  </si>
  <si>
    <t>Phantom</t>
  </si>
  <si>
    <t>Continental GT</t>
  </si>
  <si>
    <t>MG 6</t>
  </si>
  <si>
    <t>MGRX 5</t>
  </si>
  <si>
    <t>MG GT</t>
  </si>
  <si>
    <t>MG 5</t>
  </si>
  <si>
    <t>MG 360</t>
  </si>
  <si>
    <t>CS75 Plus</t>
  </si>
  <si>
    <t>CS 35 Plus</t>
  </si>
  <si>
    <t>CS 35</t>
  </si>
  <si>
    <t>Areno 6</t>
  </si>
  <si>
    <t>Tigo 2</t>
  </si>
  <si>
    <t>Areno 5</t>
  </si>
  <si>
    <t>Areno 3</t>
  </si>
  <si>
    <t>H9 Back Payment</t>
  </si>
  <si>
    <t>Ophiator 3 liters</t>
  </si>
  <si>
    <t>Mustang GT automatic</t>
  </si>
  <si>
    <t>Nutelos 2 liters</t>
  </si>
  <si>
    <t>Edge 2 liters</t>
  </si>
  <si>
    <t>Tremont S</t>
  </si>
  <si>
    <t>Passat S</t>
  </si>
  <si>
    <t>T -Rock Stayley</t>
  </si>
  <si>
    <t>T -Rock Trend</t>
  </si>
  <si>
    <t>500 X</t>
  </si>
  <si>
    <t>812 Supervast</t>
  </si>
  <si>
    <t>F8</t>
  </si>
  <si>
    <t>Ki 5</t>
  </si>
  <si>
    <t>CX -5</t>
  </si>
  <si>
    <t>Quattroporte</t>
  </si>
  <si>
    <t>Livatni S</t>
  </si>
  <si>
    <t>S 580 Formate</t>
  </si>
  <si>
    <t>G500 th</t>
  </si>
  <si>
    <t>S 560 Formate</t>
  </si>
  <si>
    <t>S450 Formate</t>
  </si>
  <si>
    <t>AMG GT 43</t>
  </si>
  <si>
    <t>S 450</t>
  </si>
  <si>
    <t>S 320</t>
  </si>
  <si>
    <t>GLS 450 Formate</t>
  </si>
  <si>
    <t>GLS 500</t>
  </si>
  <si>
    <t>CLS 450 Formate</t>
  </si>
  <si>
    <t>CLS 350</t>
  </si>
  <si>
    <t>GLC 300 Formate</t>
  </si>
  <si>
    <t>GLC 200 Formate</t>
  </si>
  <si>
    <t>C 300</t>
  </si>
  <si>
    <t>C 200</t>
  </si>
  <si>
    <t>GLC 250 Formate</t>
  </si>
  <si>
    <t>GLC 200</t>
  </si>
  <si>
    <t>CLA 250</t>
  </si>
  <si>
    <t>GLA 200</t>
  </si>
  <si>
    <t>CLA 200</t>
  </si>
  <si>
    <t>CLA 250 Formate</t>
  </si>
  <si>
    <t>GLB 200</t>
  </si>
  <si>
    <t>A 250</t>
  </si>
  <si>
    <t>A 200</t>
  </si>
  <si>
    <t>QX 80</t>
  </si>
  <si>
    <t>Q 50</t>
  </si>
  <si>
    <t>QX 60</t>
  </si>
  <si>
    <t>Q70</t>
  </si>
  <si>
    <t>QX 70</t>
  </si>
  <si>
    <t>QX 50</t>
  </si>
  <si>
    <t>Z 370 automatic</t>
  </si>
  <si>
    <t>CRV - iX</t>
  </si>
  <si>
    <t>CR -D X</t>
  </si>
  <si>
    <t>G90</t>
  </si>
  <si>
    <t>GV 80</t>
  </si>
  <si>
    <t>GV 70</t>
  </si>
  <si>
    <t>G80</t>
  </si>
  <si>
    <t>G70</t>
  </si>
  <si>
    <t>Gensis G70</t>
  </si>
  <si>
    <t>H1</t>
  </si>
  <si>
    <t>Tucson 2 liters</t>
  </si>
  <si>
    <t>Konna 2 liters</t>
  </si>
  <si>
    <t>Elantra 2 liters</t>
  </si>
  <si>
    <t>STYLE</t>
  </si>
  <si>
    <t>ENG MATCH</t>
  </si>
  <si>
    <t>ARABIC MATCH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</si>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</sst>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26">
    <font>
      <sz val="10"/>
      <color theme="1"/>
      <name val="SST Arabic"/>
      <family val="2"/>
    </font>
    <font>
      <sz val="11"/>
      <color theme="1"/>
      <name val="Calibri"/>
      <family val="2"/>
      <scheme val="minor"/>
    </font>
    <font>
      <sz val="10"/>
      <color theme="1"/>
      <name val="SST Arabic"/>
      <family val="2"/>
    </font>
    <font>
      <b/>
      <sz val="10"/>
      <color theme="1"/>
      <name val="SST Arabic"/>
      <family val="2"/>
    </font>
    <font>
      <sz val="10"/>
      <color theme="0"/>
      <name val="SST Arabic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SST Arabic"/>
      <family val="2"/>
    </font>
    <font>
      <b/>
      <sz val="11"/>
      <color theme="3"/>
      <name val="Calibri"/>
      <family val="2"/>
      <scheme val="minor"/>
    </font>
    <font>
      <b/>
      <sz val="10"/>
      <color theme="1"/>
      <name val="Sst arabic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sz val="11"/>
      <color theme="5" tint="-0.249977111117893"/>
      <name val="Calibri"/>
      <family val="2"/>
    </font>
    <font>
      <sz val="14"/>
      <color rgb="FFC00000"/>
      <name val="Calibri"/>
      <family val="2"/>
    </font>
    <font>
      <sz val="16"/>
      <color rgb="FFC00000"/>
      <name val="Calibri"/>
      <family val="2"/>
    </font>
    <font>
      <sz val="11"/>
      <color theme="5" tint="-0.499984740745262"/>
      <name val="Calibri"/>
      <family val="2"/>
      <scheme val="minor"/>
    </font>
    <font>
      <b/>
      <sz val="14"/>
      <color theme="1"/>
      <name val="Sst arabic"/>
    </font>
    <font>
      <b/>
      <sz val="14"/>
      <color rgb="FFFF0000"/>
      <name val="Calibri"/>
      <family val="2"/>
    </font>
    <font>
      <b/>
      <sz val="14"/>
      <color rgb="FFFF0000"/>
      <name val="SST Arabic"/>
      <family val="2"/>
    </font>
    <font>
      <b/>
      <sz val="11"/>
      <color theme="5" tint="-0.499984740745262"/>
      <name val="Calibri"/>
      <family val="2"/>
    </font>
    <font>
      <b/>
      <sz val="11"/>
      <color theme="5" tint="-0.249977111117893"/>
      <name val="Calibri"/>
      <family val="2"/>
    </font>
    <font>
      <b/>
      <sz val="10"/>
      <color theme="5" tint="-0.249977111117893"/>
      <name val="SST Arabic"/>
    </font>
    <font>
      <b/>
      <sz val="14"/>
      <color theme="5" tint="-0.249977111117893"/>
      <name val="SST Arabic"/>
    </font>
    <font>
      <b/>
      <sz val="10"/>
      <color theme="5" tint="-0.249977111117893"/>
      <name val="SST Arabic"/>
      <family val="2"/>
    </font>
    <font>
      <b/>
      <sz val="12"/>
      <color rgb="FFC00000"/>
      <name val="SST Arabic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rgb="FFADB9CA"/>
        <bgColor rgb="FFADB9CA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4" applyNumberFormat="0" applyFont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0" fontId="5" fillId="2" borderId="1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 wrapText="1"/>
    </xf>
    <xf numFmtId="0" fontId="6" fillId="3" borderId="1" xfId="3" applyFont="1" applyBorder="1" applyAlignment="1">
      <alignment horizontal="center" vertical="center"/>
    </xf>
    <xf numFmtId="0" fontId="6" fillId="3" borderId="3" xfId="3" applyFont="1" applyBorder="1" applyAlignment="1">
      <alignment horizontal="center" vertical="center" wrapText="1"/>
    </xf>
    <xf numFmtId="0" fontId="6" fillId="3" borderId="1" xfId="3" applyFont="1" applyBorder="1" applyAlignment="1">
      <alignment horizontal="center"/>
    </xf>
    <xf numFmtId="164" fontId="0" fillId="0" borderId="0" xfId="1" applyNumberFormat="1" applyFont="1"/>
    <xf numFmtId="0" fontId="3" fillId="4" borderId="0" xfId="0" applyFont="1" applyFill="1"/>
    <xf numFmtId="0" fontId="5" fillId="2" borderId="0" xfId="2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7" fillId="0" borderId="0" xfId="0" applyFont="1"/>
    <xf numFmtId="0" fontId="0" fillId="5" borderId="4" xfId="4" applyFont="1"/>
    <xf numFmtId="0" fontId="3" fillId="0" borderId="0" xfId="0" applyFont="1"/>
    <xf numFmtId="0" fontId="0" fillId="4" borderId="0" xfId="0" applyFill="1"/>
    <xf numFmtId="165" fontId="0" fillId="0" borderId="0" xfId="0" applyNumberFormat="1"/>
    <xf numFmtId="0" fontId="9" fillId="6" borderId="0" xfId="0" applyFont="1" applyFill="1"/>
    <xf numFmtId="49" fontId="10" fillId="0" borderId="0" xfId="0" applyNumberFormat="1" applyFont="1"/>
    <xf numFmtId="0" fontId="1" fillId="0" borderId="0" xfId="0" applyFont="1"/>
    <xf numFmtId="0" fontId="5" fillId="2" borderId="3" xfId="2" applyFont="1" applyBorder="1" applyAlignment="1">
      <alignment horizontal="center" vertical="center" wrapText="1"/>
    </xf>
    <xf numFmtId="0" fontId="8" fillId="0" borderId="0" xfId="5"/>
    <xf numFmtId="0" fontId="8" fillId="0" borderId="0" xfId="5" applyAlignment="1">
      <alignment horizontal="left"/>
    </xf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49" fontId="14" fillId="0" borderId="0" xfId="0" applyNumberFormat="1" applyFont="1"/>
    <xf numFmtId="49" fontId="15" fillId="0" borderId="0" xfId="0" applyNumberFormat="1" applyFont="1"/>
    <xf numFmtId="49" fontId="16" fillId="0" borderId="0" xfId="0" applyNumberFormat="1" applyFont="1"/>
    <xf numFmtId="0" fontId="17" fillId="0" borderId="0" xfId="0" applyFont="1"/>
    <xf numFmtId="49" fontId="18" fillId="0" borderId="0" xfId="0" applyNumberFormat="1" applyFont="1"/>
    <xf numFmtId="0" fontId="19" fillId="0" borderId="0" xfId="0" applyFont="1"/>
    <xf numFmtId="49" fontId="20" fillId="0" borderId="0" xfId="0" applyNumberFormat="1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49" fontId="10" fillId="7" borderId="0" xfId="0" applyNumberFormat="1" applyFont="1" applyFill="1"/>
    <xf numFmtId="49" fontId="22" fillId="0" borderId="0" xfId="0" applyNumberFormat="1" applyFont="1"/>
    <xf numFmtId="49" fontId="9" fillId="6" borderId="0" xfId="0" applyNumberFormat="1" applyFont="1" applyFill="1"/>
    <xf numFmtId="0" fontId="24" fillId="0" borderId="0" xfId="0" applyFont="1"/>
    <xf numFmtId="0" fontId="3" fillId="0" borderId="0" xfId="0" applyFont="1" applyAlignment="1">
      <alignment horizontal="center"/>
    </xf>
    <xf numFmtId="49" fontId="25" fillId="0" borderId="0" xfId="0" applyNumberFormat="1" applyFont="1"/>
  </cellXfs>
  <cellStyles count="6">
    <cellStyle name="20% - Accent6" xfId="3" builtinId="50"/>
    <cellStyle name="Accent6" xfId="2" builtinId="49"/>
    <cellStyle name="Comma" xfId="1" builtinId="3"/>
    <cellStyle name="Heading 4" xfId="5" builtinId="19"/>
    <cellStyle name="Normal" xfId="0" builtinId="0"/>
    <cellStyle name="Note" xfId="4" builtinId="10"/>
  </cellStyles>
  <dxfs count="6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st arabic"/>
        <scheme val="none"/>
      </font>
      <fill>
        <patternFill patternType="solid">
          <fgColor rgb="FFADB9CA"/>
          <bgColor rgb="FFADB9C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6D46C2-9F0B-4531-9D9D-151D6733FFC3}" name="Table3" displayName="Table3" ref="A1:A1317" totalsRowShown="0" headerRowDxfId="5" dataDxfId="4">
  <autoFilter ref="A1:A1317" xr:uid="{7E6D46C2-9F0B-4531-9D9D-151D6733FFC3}"/>
  <tableColumns count="1">
    <tableColumn id="1" xr3:uid="{D8895D60-13E7-47F2-AD05-C433623C82D2}" name="ENG_STYL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E7E06-0B86-4111-A077-723894EF2105}" name="Table2" displayName="Table2" ref="A1:A1048576" totalsRowShown="0" headerRowDxfId="2" headerRowBorderDxfId="1" tableBorderDxfId="0" headerRowCellStyle="Accent6">
  <autoFilter ref="A1:A1048576" xr:uid="{D9FE7E06-0B86-4111-A077-723894EF2105}"/>
  <tableColumns count="1">
    <tableColumn id="1" xr3:uid="{89C992C2-0F98-4F42-960C-792CDEA0FC0E}" name="الطراز/ المودي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6A8E81-1D81-4EFF-8663-F0164B1365F8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workbookViewId="0">
      <selection activeCell="K11" sqref="K11"/>
    </sheetView>
  </sheetViews>
  <sheetFormatPr defaultRowHeight="13.2"/>
  <cols>
    <col min="1" max="1" width="17.6640625" customWidth="1"/>
    <col min="2" max="2" width="24.21875" customWidth="1"/>
  </cols>
  <sheetData>
    <row r="1" spans="1:2" ht="16.2" thickBot="1">
      <c r="A1" s="2" t="s">
        <v>1474</v>
      </c>
      <c r="B1" s="3" t="s">
        <v>1475</v>
      </c>
    </row>
    <row r="2" spans="1:2" ht="16.2" thickBot="1">
      <c r="A2" s="4" t="s">
        <v>1476</v>
      </c>
      <c r="B2" s="5" t="s">
        <v>1477</v>
      </c>
    </row>
    <row r="3" spans="1:2" ht="16.2" thickBot="1">
      <c r="A3" s="4" t="s">
        <v>1476</v>
      </c>
      <c r="B3" s="5" t="s">
        <v>1478</v>
      </c>
    </row>
    <row r="4" spans="1:2" ht="16.2" thickBot="1">
      <c r="A4" s="4" t="s">
        <v>1479</v>
      </c>
      <c r="B4" s="5" t="s">
        <v>1480</v>
      </c>
    </row>
    <row r="5" spans="1:2" ht="16.2" thickBot="1">
      <c r="A5" s="4" t="s">
        <v>1479</v>
      </c>
      <c r="B5" s="5" t="s">
        <v>1481</v>
      </c>
    </row>
    <row r="6" spans="1:2" ht="16.2" thickBot="1">
      <c r="A6" s="4" t="s">
        <v>1479</v>
      </c>
      <c r="B6" s="5" t="s">
        <v>1482</v>
      </c>
    </row>
    <row r="7" spans="1:2" ht="16.2" thickBot="1">
      <c r="A7" s="4" t="s">
        <v>1479</v>
      </c>
      <c r="B7" s="5" t="s">
        <v>1483</v>
      </c>
    </row>
    <row r="8" spans="1:2" ht="16.2" thickBot="1">
      <c r="A8" s="4" t="s">
        <v>1479</v>
      </c>
      <c r="B8" s="5" t="s">
        <v>1484</v>
      </c>
    </row>
    <row r="9" spans="1:2" ht="16.2" thickBot="1">
      <c r="A9" s="4" t="s">
        <v>1479</v>
      </c>
      <c r="B9" s="5" t="s">
        <v>1485</v>
      </c>
    </row>
    <row r="10" spans="1:2" ht="16.2" thickBot="1">
      <c r="A10" s="4" t="s">
        <v>1479</v>
      </c>
      <c r="B10" s="5" t="s">
        <v>1486</v>
      </c>
    </row>
    <row r="11" spans="1:2" ht="16.2" thickBot="1">
      <c r="A11" s="4" t="s">
        <v>1479</v>
      </c>
      <c r="B11" s="5" t="s">
        <v>1487</v>
      </c>
    </row>
    <row r="12" spans="1:2" ht="16.2" thickBot="1">
      <c r="A12" s="4" t="s">
        <v>1479</v>
      </c>
      <c r="B12" s="5" t="s">
        <v>1488</v>
      </c>
    </row>
    <row r="13" spans="1:2" ht="16.2" thickBot="1">
      <c r="A13" s="4" t="s">
        <v>1479</v>
      </c>
      <c r="B13" s="5" t="s">
        <v>1489</v>
      </c>
    </row>
    <row r="14" spans="1:2" ht="16.2" thickBot="1">
      <c r="A14" s="4" t="s">
        <v>1479</v>
      </c>
      <c r="B14" s="5" t="s">
        <v>1490</v>
      </c>
    </row>
    <row r="15" spans="1:2" ht="16.2" thickBot="1">
      <c r="A15" s="4" t="s">
        <v>1479</v>
      </c>
      <c r="B15" s="5" t="s">
        <v>1491</v>
      </c>
    </row>
    <row r="16" spans="1:2" ht="16.2" thickBot="1">
      <c r="A16" s="4" t="s">
        <v>1479</v>
      </c>
      <c r="B16" s="5" t="s">
        <v>1492</v>
      </c>
    </row>
    <row r="17" spans="1:2" ht="16.2" thickBot="1">
      <c r="A17" s="4" t="s">
        <v>1479</v>
      </c>
      <c r="B17" s="5" t="s">
        <v>1493</v>
      </c>
    </row>
    <row r="18" spans="1:2" ht="16.2" thickBot="1">
      <c r="A18" s="4" t="s">
        <v>1479</v>
      </c>
      <c r="B18" s="5" t="s">
        <v>1494</v>
      </c>
    </row>
    <row r="19" spans="1:2" ht="16.2" thickBot="1">
      <c r="A19" s="4" t="s">
        <v>1479</v>
      </c>
      <c r="B19" s="5" t="s">
        <v>1495</v>
      </c>
    </row>
    <row r="20" spans="1:2" ht="16.2" thickBot="1">
      <c r="A20" s="4" t="s">
        <v>1479</v>
      </c>
      <c r="B20" s="5" t="s">
        <v>1496</v>
      </c>
    </row>
    <row r="21" spans="1:2" ht="16.2" thickBot="1">
      <c r="A21" s="4" t="s">
        <v>1479</v>
      </c>
      <c r="B21" s="5" t="s">
        <v>1497</v>
      </c>
    </row>
    <row r="22" spans="1:2" ht="16.2" thickBot="1">
      <c r="A22" s="4" t="s">
        <v>1479</v>
      </c>
      <c r="B22" s="5" t="s">
        <v>1498</v>
      </c>
    </row>
    <row r="23" spans="1:2" ht="16.2" thickBot="1">
      <c r="A23" s="4" t="s">
        <v>1479</v>
      </c>
      <c r="B23" s="5" t="s">
        <v>1499</v>
      </c>
    </row>
    <row r="24" spans="1:2" ht="16.2" thickBot="1">
      <c r="A24" s="4" t="s">
        <v>1479</v>
      </c>
      <c r="B24" s="5" t="s">
        <v>1500</v>
      </c>
    </row>
    <row r="25" spans="1:2" ht="16.2" thickBot="1">
      <c r="A25" s="4" t="s">
        <v>1479</v>
      </c>
      <c r="B25" s="5" t="s">
        <v>1501</v>
      </c>
    </row>
    <row r="26" spans="1:2" ht="16.2" thickBot="1">
      <c r="A26" s="4" t="s">
        <v>1479</v>
      </c>
      <c r="B26" s="5" t="s">
        <v>1502</v>
      </c>
    </row>
    <row r="27" spans="1:2" ht="16.2" thickBot="1">
      <c r="A27" s="4" t="s">
        <v>1479</v>
      </c>
      <c r="B27" s="5" t="s">
        <v>1503</v>
      </c>
    </row>
    <row r="28" spans="1:2" ht="16.2" thickBot="1">
      <c r="A28" s="4" t="s">
        <v>1479</v>
      </c>
      <c r="B28" s="5" t="s">
        <v>1504</v>
      </c>
    </row>
    <row r="29" spans="1:2" ht="16.2" thickBot="1">
      <c r="A29" s="4" t="s">
        <v>1479</v>
      </c>
      <c r="B29" s="5" t="s">
        <v>1505</v>
      </c>
    </row>
    <row r="30" spans="1:2" ht="16.2" thickBot="1">
      <c r="A30" s="4" t="s">
        <v>1479</v>
      </c>
      <c r="B30" s="5" t="s">
        <v>1506</v>
      </c>
    </row>
    <row r="31" spans="1:2" ht="16.2" thickBot="1">
      <c r="A31" s="4" t="s">
        <v>1479</v>
      </c>
      <c r="B31" s="5" t="s">
        <v>1507</v>
      </c>
    </row>
    <row r="32" spans="1:2" ht="16.2" thickBot="1">
      <c r="A32" s="4" t="s">
        <v>1479</v>
      </c>
      <c r="B32" s="5" t="s">
        <v>1508</v>
      </c>
    </row>
    <row r="33" spans="1:2" ht="16.2" thickBot="1">
      <c r="A33" s="4" t="s">
        <v>1479</v>
      </c>
      <c r="B33" s="5" t="s">
        <v>1509</v>
      </c>
    </row>
    <row r="34" spans="1:2" ht="16.2" thickBot="1">
      <c r="A34" s="4" t="s">
        <v>1479</v>
      </c>
      <c r="B34" s="5" t="s">
        <v>1510</v>
      </c>
    </row>
    <row r="35" spans="1:2" ht="16.2" thickBot="1">
      <c r="A35" s="4" t="s">
        <v>1479</v>
      </c>
      <c r="B35" s="5" t="s">
        <v>1511</v>
      </c>
    </row>
    <row r="36" spans="1:2" ht="16.2" thickBot="1">
      <c r="A36" s="4" t="s">
        <v>1479</v>
      </c>
      <c r="B36" s="5" t="s">
        <v>1512</v>
      </c>
    </row>
    <row r="37" spans="1:2" ht="16.2" thickBot="1">
      <c r="A37" s="4" t="s">
        <v>1479</v>
      </c>
      <c r="B37" s="5" t="s">
        <v>1513</v>
      </c>
    </row>
    <row r="38" spans="1:2" ht="16.2" thickBot="1">
      <c r="A38" s="4" t="s">
        <v>1514</v>
      </c>
      <c r="B38" s="5" t="s">
        <v>1515</v>
      </c>
    </row>
    <row r="39" spans="1:2" ht="16.2" thickBot="1">
      <c r="A39" s="4" t="s">
        <v>1516</v>
      </c>
      <c r="B39" s="5" t="s">
        <v>1517</v>
      </c>
    </row>
    <row r="40" spans="1:2" ht="16.2" thickBot="1">
      <c r="A40" s="4" t="s">
        <v>1516</v>
      </c>
      <c r="B40" s="5" t="s">
        <v>1518</v>
      </c>
    </row>
    <row r="41" spans="1:2" ht="16.2" thickBot="1">
      <c r="A41" s="4" t="s">
        <v>1516</v>
      </c>
      <c r="B41" s="5" t="s">
        <v>1519</v>
      </c>
    </row>
    <row r="42" spans="1:2" ht="16.2" thickBot="1">
      <c r="A42" s="4" t="s">
        <v>1516</v>
      </c>
      <c r="B42" s="5" t="s">
        <v>1520</v>
      </c>
    </row>
    <row r="43" spans="1:2" ht="16.2" thickBot="1">
      <c r="A43" s="4" t="s">
        <v>1516</v>
      </c>
      <c r="B43" s="5" t="s">
        <v>1521</v>
      </c>
    </row>
    <row r="44" spans="1:2" ht="16.2" thickBot="1">
      <c r="A44" s="4" t="s">
        <v>1516</v>
      </c>
      <c r="B44" s="5" t="s">
        <v>1522</v>
      </c>
    </row>
    <row r="45" spans="1:2" ht="16.2" thickBot="1">
      <c r="A45" s="4" t="s">
        <v>1516</v>
      </c>
      <c r="B45" s="5" t="s">
        <v>1523</v>
      </c>
    </row>
    <row r="46" spans="1:2" ht="16.2" thickBot="1">
      <c r="A46" s="4" t="s">
        <v>1272</v>
      </c>
      <c r="B46" s="5" t="s">
        <v>1524</v>
      </c>
    </row>
    <row r="47" spans="1:2" ht="16.2" thickBot="1">
      <c r="A47" s="4" t="s">
        <v>1272</v>
      </c>
      <c r="B47" s="5" t="s">
        <v>1525</v>
      </c>
    </row>
    <row r="48" spans="1:2" ht="16.2" thickBot="1">
      <c r="A48" s="4" t="s">
        <v>1272</v>
      </c>
      <c r="B48" s="5" t="s">
        <v>266</v>
      </c>
    </row>
    <row r="49" spans="1:2" ht="16.2" thickBot="1">
      <c r="A49" s="4" t="s">
        <v>1272</v>
      </c>
      <c r="B49" s="5" t="s">
        <v>1526</v>
      </c>
    </row>
    <row r="50" spans="1:2" ht="16.2" thickBot="1">
      <c r="A50" s="4" t="s">
        <v>1272</v>
      </c>
      <c r="B50" s="5" t="s">
        <v>1527</v>
      </c>
    </row>
    <row r="51" spans="1:2" ht="16.2" thickBot="1">
      <c r="A51" s="4" t="s">
        <v>1272</v>
      </c>
      <c r="B51" s="5" t="s">
        <v>1528</v>
      </c>
    </row>
    <row r="52" spans="1:2" ht="31.8" thickBot="1">
      <c r="A52" s="4" t="s">
        <v>1272</v>
      </c>
      <c r="B52" s="5" t="s">
        <v>1529</v>
      </c>
    </row>
    <row r="53" spans="1:2" ht="16.2" thickBot="1">
      <c r="A53" s="4" t="s">
        <v>1272</v>
      </c>
      <c r="B53" s="5" t="s">
        <v>1530</v>
      </c>
    </row>
    <row r="54" spans="1:2" ht="16.2" thickBot="1">
      <c r="A54" s="4" t="s">
        <v>1272</v>
      </c>
      <c r="B54" s="5" t="s">
        <v>1531</v>
      </c>
    </row>
    <row r="55" spans="1:2" ht="16.2" thickBot="1">
      <c r="A55" s="4" t="s">
        <v>1272</v>
      </c>
      <c r="B55" s="5" t="s">
        <v>1532</v>
      </c>
    </row>
    <row r="56" spans="1:2" ht="16.2" thickBot="1">
      <c r="A56" s="4" t="s">
        <v>1272</v>
      </c>
      <c r="B56" s="5" t="s">
        <v>1533</v>
      </c>
    </row>
    <row r="57" spans="1:2" ht="16.2" thickBot="1">
      <c r="A57" s="4" t="s">
        <v>1272</v>
      </c>
      <c r="B57" s="5" t="s">
        <v>1534</v>
      </c>
    </row>
    <row r="58" spans="1:2" ht="16.2" thickBot="1">
      <c r="A58" s="4" t="s">
        <v>1272</v>
      </c>
      <c r="B58" s="5" t="s">
        <v>1535</v>
      </c>
    </row>
    <row r="59" spans="1:2" ht="16.2" thickBot="1">
      <c r="A59" s="4" t="s">
        <v>1272</v>
      </c>
      <c r="B59" s="5" t="s">
        <v>1536</v>
      </c>
    </row>
    <row r="60" spans="1:2" ht="16.2" thickBot="1">
      <c r="A60" s="4" t="s">
        <v>1272</v>
      </c>
      <c r="B60" s="5" t="s">
        <v>1537</v>
      </c>
    </row>
    <row r="61" spans="1:2" ht="16.2" thickBot="1">
      <c r="A61" s="4" t="s">
        <v>1538</v>
      </c>
      <c r="B61" s="5" t="s">
        <v>1539</v>
      </c>
    </row>
    <row r="62" spans="1:2" ht="16.2" thickBot="1">
      <c r="A62" s="4" t="s">
        <v>1538</v>
      </c>
      <c r="B62" s="5" t="s">
        <v>1540</v>
      </c>
    </row>
    <row r="63" spans="1:2" ht="16.2" thickBot="1">
      <c r="A63" s="4" t="s">
        <v>1538</v>
      </c>
      <c r="B63" s="5" t="s">
        <v>1541</v>
      </c>
    </row>
    <row r="64" spans="1:2" ht="16.2" thickBot="1">
      <c r="A64" s="4" t="s">
        <v>1538</v>
      </c>
      <c r="B64" s="5" t="s">
        <v>1542</v>
      </c>
    </row>
    <row r="65" spans="1:2" ht="16.2" thickBot="1">
      <c r="A65" s="4" t="s">
        <v>1538</v>
      </c>
      <c r="B65" s="5" t="s">
        <v>1543</v>
      </c>
    </row>
    <row r="66" spans="1:2" ht="16.2" thickBot="1">
      <c r="A66" s="4" t="s">
        <v>1538</v>
      </c>
      <c r="B66" s="5" t="s">
        <v>1544</v>
      </c>
    </row>
    <row r="67" spans="1:2" ht="16.2" thickBot="1">
      <c r="A67" s="4" t="s">
        <v>1538</v>
      </c>
      <c r="B67" s="5" t="s">
        <v>1545</v>
      </c>
    </row>
    <row r="68" spans="1:2" ht="16.2" thickBot="1">
      <c r="A68" s="4" t="s">
        <v>1546</v>
      </c>
      <c r="B68" s="5" t="s">
        <v>1547</v>
      </c>
    </row>
    <row r="69" spans="1:2" ht="16.2" thickBot="1">
      <c r="A69" s="4" t="s">
        <v>1546</v>
      </c>
      <c r="B69" s="5" t="s">
        <v>1548</v>
      </c>
    </row>
    <row r="70" spans="1:2" ht="16.2" thickBot="1">
      <c r="A70" s="4" t="s">
        <v>1546</v>
      </c>
      <c r="B70" s="5" t="s">
        <v>1549</v>
      </c>
    </row>
    <row r="71" spans="1:2" ht="16.2" thickBot="1">
      <c r="A71" s="4" t="s">
        <v>1546</v>
      </c>
      <c r="B71" s="5" t="s">
        <v>1550</v>
      </c>
    </row>
    <row r="72" spans="1:2" ht="16.2" thickBot="1">
      <c r="A72" s="4" t="s">
        <v>1546</v>
      </c>
      <c r="B72" s="5" t="s">
        <v>1551</v>
      </c>
    </row>
    <row r="73" spans="1:2" ht="16.2" thickBot="1">
      <c r="A73" s="4" t="s">
        <v>1546</v>
      </c>
      <c r="B73" s="5" t="s">
        <v>1552</v>
      </c>
    </row>
    <row r="74" spans="1:2" ht="16.2" thickBot="1">
      <c r="A74" s="4" t="s">
        <v>1546</v>
      </c>
      <c r="B74" s="5" t="s">
        <v>1553</v>
      </c>
    </row>
    <row r="75" spans="1:2" ht="16.2" thickBot="1">
      <c r="A75" s="4" t="s">
        <v>1546</v>
      </c>
      <c r="B75" s="5" t="s">
        <v>1554</v>
      </c>
    </row>
    <row r="76" spans="1:2" ht="16.2" thickBot="1">
      <c r="A76" s="4" t="s">
        <v>1546</v>
      </c>
      <c r="B76" s="5" t="s">
        <v>1555</v>
      </c>
    </row>
    <row r="77" spans="1:2" ht="16.2" thickBot="1">
      <c r="A77" s="4" t="s">
        <v>1556</v>
      </c>
      <c r="B77" s="5" t="s">
        <v>1557</v>
      </c>
    </row>
    <row r="78" spans="1:2" ht="16.2" thickBot="1">
      <c r="A78" s="4" t="s">
        <v>1556</v>
      </c>
      <c r="B78" s="5" t="s">
        <v>1558</v>
      </c>
    </row>
    <row r="79" spans="1:2" ht="16.2" thickBot="1">
      <c r="A79" s="4" t="s">
        <v>1556</v>
      </c>
      <c r="B79" s="5" t="s">
        <v>1559</v>
      </c>
    </row>
    <row r="80" spans="1:2" ht="16.2" thickBot="1">
      <c r="A80" s="4" t="s">
        <v>1560</v>
      </c>
      <c r="B80" s="5">
        <v>5</v>
      </c>
    </row>
    <row r="81" spans="1:2" ht="16.2" thickBot="1">
      <c r="A81" s="4" t="s">
        <v>1560</v>
      </c>
      <c r="B81" s="5">
        <v>6</v>
      </c>
    </row>
    <row r="82" spans="1:2" ht="16.2" thickBot="1">
      <c r="A82" s="4" t="s">
        <v>1560</v>
      </c>
      <c r="B82" s="5">
        <v>360</v>
      </c>
    </row>
    <row r="83" spans="1:2" ht="16.2" thickBot="1">
      <c r="A83" s="4" t="s">
        <v>1560</v>
      </c>
      <c r="B83" s="5" t="s">
        <v>1561</v>
      </c>
    </row>
    <row r="84" spans="1:2" ht="16.2" thickBot="1">
      <c r="A84" s="4" t="s">
        <v>1560</v>
      </c>
      <c r="B84" s="5" t="s">
        <v>1562</v>
      </c>
    </row>
    <row r="85" spans="1:2" ht="16.2" thickBot="1">
      <c r="A85" s="4" t="s">
        <v>1560</v>
      </c>
      <c r="B85" s="5" t="s">
        <v>1563</v>
      </c>
    </row>
    <row r="86" spans="1:2" ht="16.2" thickBot="1">
      <c r="A86" s="4" t="s">
        <v>1560</v>
      </c>
      <c r="B86" s="5" t="s">
        <v>1564</v>
      </c>
    </row>
    <row r="87" spans="1:2" ht="16.2" thickBot="1">
      <c r="A87" s="4" t="s">
        <v>1560</v>
      </c>
      <c r="B87" s="5" t="s">
        <v>1565</v>
      </c>
    </row>
    <row r="88" spans="1:2" ht="16.2" thickBot="1">
      <c r="A88" s="4" t="s">
        <v>1560</v>
      </c>
      <c r="B88" s="5" t="s">
        <v>1566</v>
      </c>
    </row>
    <row r="89" spans="1:2" ht="16.2" thickBot="1">
      <c r="A89" s="4" t="s">
        <v>1567</v>
      </c>
      <c r="B89" s="5" t="s">
        <v>1568</v>
      </c>
    </row>
    <row r="90" spans="1:2" ht="16.2" thickBot="1">
      <c r="A90" s="4" t="s">
        <v>1567</v>
      </c>
      <c r="B90" s="5" t="s">
        <v>1569</v>
      </c>
    </row>
    <row r="91" spans="1:2" ht="16.2" thickBot="1">
      <c r="A91" s="4" t="s">
        <v>1567</v>
      </c>
      <c r="B91" s="5" t="s">
        <v>1570</v>
      </c>
    </row>
    <row r="92" spans="1:2" ht="16.2" thickBot="1">
      <c r="A92" s="4" t="s">
        <v>1567</v>
      </c>
      <c r="B92" s="5" t="s">
        <v>1571</v>
      </c>
    </row>
    <row r="93" spans="1:2" ht="16.2" thickBot="1">
      <c r="A93" s="4" t="s">
        <v>1572</v>
      </c>
      <c r="B93" s="5" t="s">
        <v>1573</v>
      </c>
    </row>
    <row r="94" spans="1:2" ht="16.2" thickBot="1">
      <c r="A94" s="4" t="s">
        <v>1572</v>
      </c>
      <c r="B94" s="5" t="s">
        <v>1574</v>
      </c>
    </row>
    <row r="95" spans="1:2" ht="16.2" thickBot="1">
      <c r="A95" s="4" t="s">
        <v>1572</v>
      </c>
      <c r="B95" s="5" t="s">
        <v>1575</v>
      </c>
    </row>
    <row r="96" spans="1:2" ht="16.2" thickBot="1">
      <c r="A96" s="4" t="s">
        <v>1572</v>
      </c>
      <c r="B96" s="5" t="s">
        <v>1576</v>
      </c>
    </row>
    <row r="97" spans="1:2" ht="16.2" thickBot="1">
      <c r="A97" s="4" t="s">
        <v>1572</v>
      </c>
      <c r="B97" s="5" t="s">
        <v>1577</v>
      </c>
    </row>
    <row r="98" spans="1:2" ht="16.2" thickBot="1">
      <c r="A98" s="4" t="s">
        <v>1572</v>
      </c>
      <c r="B98" s="5" t="s">
        <v>1578</v>
      </c>
    </row>
    <row r="99" spans="1:2" ht="16.2" thickBot="1">
      <c r="A99" s="4" t="s">
        <v>1572</v>
      </c>
      <c r="B99" s="5" t="s">
        <v>1579</v>
      </c>
    </row>
    <row r="100" spans="1:2" ht="16.2" thickBot="1">
      <c r="A100" s="4" t="s">
        <v>1572</v>
      </c>
      <c r="B100" s="5" t="s">
        <v>1580</v>
      </c>
    </row>
    <row r="101" spans="1:2" ht="16.2" thickBot="1">
      <c r="A101" s="4" t="s">
        <v>1581</v>
      </c>
      <c r="B101" s="5" t="s">
        <v>1582</v>
      </c>
    </row>
    <row r="102" spans="1:2" ht="16.2" thickBot="1">
      <c r="A102" s="4" t="s">
        <v>125</v>
      </c>
      <c r="B102" s="5" t="s">
        <v>1583</v>
      </c>
    </row>
    <row r="103" spans="1:2" ht="16.2" thickBot="1">
      <c r="A103" s="4" t="s">
        <v>125</v>
      </c>
      <c r="B103" s="5" t="s">
        <v>1584</v>
      </c>
    </row>
    <row r="104" spans="1:2" ht="16.2" thickBot="1">
      <c r="A104" s="4" t="s">
        <v>125</v>
      </c>
      <c r="B104" s="5" t="s">
        <v>1585</v>
      </c>
    </row>
    <row r="105" spans="1:2" ht="16.2" thickBot="1">
      <c r="A105" s="4" t="s">
        <v>125</v>
      </c>
      <c r="B105" s="5" t="s">
        <v>1586</v>
      </c>
    </row>
    <row r="106" spans="1:2" ht="16.2" thickBot="1">
      <c r="A106" s="4" t="s">
        <v>1587</v>
      </c>
      <c r="B106" s="5" t="s">
        <v>1588</v>
      </c>
    </row>
    <row r="107" spans="1:2" ht="16.2" thickBot="1">
      <c r="A107" s="4" t="s">
        <v>1587</v>
      </c>
      <c r="B107" s="5" t="s">
        <v>1589</v>
      </c>
    </row>
    <row r="108" spans="1:2" ht="16.2" thickBot="1">
      <c r="A108" s="4" t="s">
        <v>1587</v>
      </c>
      <c r="B108" s="5" t="s">
        <v>1590</v>
      </c>
    </row>
    <row r="109" spans="1:2" ht="16.2" thickBot="1">
      <c r="A109" s="4" t="s">
        <v>1587</v>
      </c>
      <c r="B109" s="5" t="s">
        <v>1591</v>
      </c>
    </row>
    <row r="110" spans="1:2" ht="16.2" thickBot="1">
      <c r="A110" s="4" t="s">
        <v>1587</v>
      </c>
      <c r="B110" s="5" t="s">
        <v>1592</v>
      </c>
    </row>
    <row r="111" spans="1:2" ht="16.2" thickBot="1">
      <c r="A111" s="4" t="s">
        <v>1587</v>
      </c>
      <c r="B111" s="5" t="s">
        <v>1593</v>
      </c>
    </row>
    <row r="112" spans="1:2" ht="16.2" thickBot="1">
      <c r="A112" s="4" t="s">
        <v>1587</v>
      </c>
      <c r="B112" s="5" t="s">
        <v>1594</v>
      </c>
    </row>
    <row r="113" spans="1:2" ht="16.2" thickBot="1">
      <c r="A113" s="4" t="s">
        <v>1587</v>
      </c>
      <c r="B113" s="5" t="s">
        <v>1595</v>
      </c>
    </row>
    <row r="114" spans="1:2" ht="16.2" thickBot="1">
      <c r="A114" s="4" t="s">
        <v>127</v>
      </c>
      <c r="B114" s="5" t="s">
        <v>1596</v>
      </c>
    </row>
    <row r="115" spans="1:2" ht="16.2" thickBot="1">
      <c r="A115" s="4" t="s">
        <v>127</v>
      </c>
      <c r="B115" s="5" t="s">
        <v>1597</v>
      </c>
    </row>
    <row r="116" spans="1:2" ht="16.2" thickBot="1">
      <c r="A116" s="4" t="s">
        <v>127</v>
      </c>
      <c r="B116" s="5" t="s">
        <v>1598</v>
      </c>
    </row>
    <row r="117" spans="1:2" ht="16.2" thickBot="1">
      <c r="A117" s="4" t="s">
        <v>127</v>
      </c>
      <c r="B117" s="5" t="s">
        <v>1599</v>
      </c>
    </row>
    <row r="118" spans="1:2" ht="16.2" thickBot="1">
      <c r="A118" s="4" t="s">
        <v>127</v>
      </c>
      <c r="B118" s="5" t="s">
        <v>1600</v>
      </c>
    </row>
    <row r="119" spans="1:2" ht="16.2" thickBot="1">
      <c r="A119" s="4" t="s">
        <v>127</v>
      </c>
      <c r="B119" s="5" t="s">
        <v>1601</v>
      </c>
    </row>
    <row r="120" spans="1:2" ht="16.2" thickBot="1">
      <c r="A120" s="4" t="s">
        <v>127</v>
      </c>
      <c r="B120" s="5" t="s">
        <v>1602</v>
      </c>
    </row>
    <row r="121" spans="1:2" ht="16.2" thickBot="1">
      <c r="A121" s="4" t="s">
        <v>127</v>
      </c>
      <c r="B121" s="5" t="s">
        <v>1603</v>
      </c>
    </row>
    <row r="122" spans="1:2" ht="16.2" thickBot="1">
      <c r="A122" s="4" t="s">
        <v>127</v>
      </c>
      <c r="B122" s="5" t="s">
        <v>1604</v>
      </c>
    </row>
    <row r="123" spans="1:2" ht="16.2" thickBot="1">
      <c r="A123" s="4" t="s">
        <v>127</v>
      </c>
      <c r="B123" s="5" t="s">
        <v>1605</v>
      </c>
    </row>
    <row r="124" spans="1:2" ht="16.2" thickBot="1">
      <c r="A124" s="4" t="s">
        <v>127</v>
      </c>
      <c r="B124" s="5" t="s">
        <v>1606</v>
      </c>
    </row>
    <row r="125" spans="1:2" ht="16.2" thickBot="1">
      <c r="A125" s="4" t="s">
        <v>127</v>
      </c>
      <c r="B125" s="5" t="s">
        <v>1607</v>
      </c>
    </row>
    <row r="126" spans="1:2" ht="16.2" thickBot="1">
      <c r="A126" s="4" t="s">
        <v>127</v>
      </c>
      <c r="B126" s="5" t="s">
        <v>1608</v>
      </c>
    </row>
    <row r="127" spans="1:2" ht="16.2" thickBot="1">
      <c r="A127" s="4" t="s">
        <v>127</v>
      </c>
      <c r="B127" s="5" t="s">
        <v>1542</v>
      </c>
    </row>
    <row r="128" spans="1:2" ht="16.2" thickBot="1">
      <c r="A128" s="4" t="s">
        <v>127</v>
      </c>
      <c r="B128" s="5" t="s">
        <v>1609</v>
      </c>
    </row>
    <row r="129" spans="1:2" ht="16.2" thickBot="1">
      <c r="A129" s="4" t="s">
        <v>127</v>
      </c>
      <c r="B129" s="5" t="s">
        <v>1610</v>
      </c>
    </row>
    <row r="130" spans="1:2" ht="16.2" thickBot="1">
      <c r="A130" s="4" t="s">
        <v>127</v>
      </c>
      <c r="B130" s="5" t="s">
        <v>1611</v>
      </c>
    </row>
    <row r="131" spans="1:2" ht="16.2" thickBot="1">
      <c r="A131" s="4" t="s">
        <v>127</v>
      </c>
      <c r="B131" s="5" t="s">
        <v>1612</v>
      </c>
    </row>
    <row r="132" spans="1:2" ht="16.2" thickBot="1">
      <c r="A132" s="4" t="s">
        <v>127</v>
      </c>
      <c r="B132" s="5" t="s">
        <v>1613</v>
      </c>
    </row>
    <row r="133" spans="1:2" ht="16.2" thickBot="1">
      <c r="A133" s="4" t="s">
        <v>7</v>
      </c>
      <c r="B133" s="5" t="s">
        <v>1614</v>
      </c>
    </row>
    <row r="134" spans="1:2" ht="16.2" thickBot="1">
      <c r="A134" s="4" t="s">
        <v>7</v>
      </c>
      <c r="B134" s="5" t="s">
        <v>1615</v>
      </c>
    </row>
    <row r="135" spans="1:2" ht="16.2" thickBot="1">
      <c r="A135" s="4" t="s">
        <v>7</v>
      </c>
      <c r="B135" s="5" t="s">
        <v>1616</v>
      </c>
    </row>
    <row r="136" spans="1:2" ht="16.2" thickBot="1">
      <c r="A136" s="4" t="s">
        <v>7</v>
      </c>
      <c r="B136" s="5" t="s">
        <v>1617</v>
      </c>
    </row>
    <row r="137" spans="1:2" ht="16.2" thickBot="1">
      <c r="A137" s="4" t="s">
        <v>7</v>
      </c>
      <c r="B137" s="5" t="s">
        <v>1618</v>
      </c>
    </row>
    <row r="138" spans="1:2" ht="16.2" thickBot="1">
      <c r="A138" s="4" t="s">
        <v>1619</v>
      </c>
      <c r="B138" s="5" t="s">
        <v>1620</v>
      </c>
    </row>
    <row r="139" spans="1:2" ht="16.2" thickBot="1">
      <c r="A139" s="4" t="s">
        <v>1619</v>
      </c>
      <c r="B139" s="5" t="s">
        <v>1621</v>
      </c>
    </row>
    <row r="140" spans="1:2" ht="16.2" thickBot="1">
      <c r="A140" s="4" t="s">
        <v>1619</v>
      </c>
      <c r="B140" s="5" t="s">
        <v>1622</v>
      </c>
    </row>
    <row r="141" spans="1:2" ht="16.2" thickBot="1">
      <c r="A141" s="4" t="s">
        <v>1619</v>
      </c>
      <c r="B141" s="5" t="s">
        <v>1623</v>
      </c>
    </row>
    <row r="142" spans="1:2" ht="16.2" thickBot="1">
      <c r="A142" s="4" t="s">
        <v>1619</v>
      </c>
      <c r="B142" s="5" t="s">
        <v>1512</v>
      </c>
    </row>
    <row r="143" spans="1:2" ht="16.2" thickBot="1">
      <c r="A143" s="4" t="s">
        <v>1624</v>
      </c>
      <c r="B143" s="5" t="s">
        <v>1625</v>
      </c>
    </row>
    <row r="144" spans="1:2" ht="16.2" thickBot="1">
      <c r="A144" s="4" t="s">
        <v>1624</v>
      </c>
      <c r="B144" s="5" t="s">
        <v>1626</v>
      </c>
    </row>
    <row r="145" spans="1:2" ht="31.8" thickBot="1">
      <c r="A145" s="4" t="s">
        <v>1624</v>
      </c>
      <c r="B145" s="5" t="s">
        <v>1627</v>
      </c>
    </row>
    <row r="146" spans="1:2" ht="16.2" thickBot="1">
      <c r="A146" s="4" t="s">
        <v>1624</v>
      </c>
      <c r="B146" s="5" t="s">
        <v>1628</v>
      </c>
    </row>
    <row r="147" spans="1:2" ht="16.2" thickBot="1">
      <c r="A147" s="4" t="s">
        <v>24</v>
      </c>
      <c r="B147" s="5">
        <v>718</v>
      </c>
    </row>
    <row r="148" spans="1:2" ht="16.2" thickBot="1">
      <c r="A148" s="4" t="s">
        <v>24</v>
      </c>
      <c r="B148" s="5" t="s">
        <v>1629</v>
      </c>
    </row>
    <row r="149" spans="1:2" ht="16.2" thickBot="1">
      <c r="A149" s="4" t="s">
        <v>24</v>
      </c>
      <c r="B149" s="5" t="s">
        <v>1630</v>
      </c>
    </row>
    <row r="150" spans="1:2" ht="16.2" thickBot="1">
      <c r="A150" s="4" t="s">
        <v>24</v>
      </c>
      <c r="B150" s="5" t="s">
        <v>1631</v>
      </c>
    </row>
    <row r="151" spans="1:2" ht="16.2" thickBot="1">
      <c r="A151" s="4" t="s">
        <v>24</v>
      </c>
      <c r="B151" s="5" t="s">
        <v>1632</v>
      </c>
    </row>
    <row r="152" spans="1:2" ht="16.2" thickBot="1">
      <c r="A152" s="4" t="s">
        <v>24</v>
      </c>
      <c r="B152" s="5" t="s">
        <v>1633</v>
      </c>
    </row>
    <row r="153" spans="1:2" ht="16.2" thickBot="1">
      <c r="A153" s="4" t="s">
        <v>171</v>
      </c>
      <c r="B153" s="5">
        <v>2008</v>
      </c>
    </row>
    <row r="154" spans="1:2" ht="16.2" thickBot="1">
      <c r="A154" s="4" t="s">
        <v>171</v>
      </c>
      <c r="B154" s="5">
        <v>3008</v>
      </c>
    </row>
    <row r="155" spans="1:2" ht="16.2" thickBot="1">
      <c r="A155" s="4" t="s">
        <v>171</v>
      </c>
      <c r="B155" s="5">
        <v>5008</v>
      </c>
    </row>
    <row r="156" spans="1:2" ht="16.2" thickBot="1">
      <c r="A156" s="4" t="s">
        <v>171</v>
      </c>
      <c r="B156" s="5" t="s">
        <v>1634</v>
      </c>
    </row>
    <row r="157" spans="1:2" ht="16.2" thickBot="1">
      <c r="A157" s="4" t="s">
        <v>1635</v>
      </c>
      <c r="B157" s="5">
        <v>3</v>
      </c>
    </row>
    <row r="158" spans="1:2" ht="16.2" thickBot="1">
      <c r="A158" s="4" t="s">
        <v>1635</v>
      </c>
      <c r="B158" s="5" t="s">
        <v>1636</v>
      </c>
    </row>
    <row r="159" spans="1:2" ht="16.2" thickBot="1">
      <c r="A159" s="4" t="s">
        <v>1635</v>
      </c>
      <c r="B159" s="5" t="s">
        <v>1637</v>
      </c>
    </row>
    <row r="160" spans="1:2" ht="16.2" thickBot="1">
      <c r="A160" s="4" t="s">
        <v>1635</v>
      </c>
      <c r="B160" s="5" t="s">
        <v>1638</v>
      </c>
    </row>
    <row r="161" spans="1:2" ht="16.2" thickBot="1">
      <c r="A161" s="4" t="s">
        <v>27</v>
      </c>
      <c r="B161" s="5" t="s">
        <v>1639</v>
      </c>
    </row>
    <row r="162" spans="1:2" ht="16.2" thickBot="1">
      <c r="A162" s="4" t="s">
        <v>27</v>
      </c>
      <c r="B162" s="5" t="s">
        <v>1640</v>
      </c>
    </row>
    <row r="163" spans="1:2" ht="16.2" thickBot="1">
      <c r="A163" s="4" t="s">
        <v>27</v>
      </c>
      <c r="B163" s="5" t="s">
        <v>1641</v>
      </c>
    </row>
    <row r="164" spans="1:2" ht="16.2" thickBot="1">
      <c r="A164" s="4" t="s">
        <v>27</v>
      </c>
      <c r="B164" s="5" t="s">
        <v>1642</v>
      </c>
    </row>
    <row r="165" spans="1:2" ht="16.2" thickBot="1">
      <c r="A165" s="4" t="s">
        <v>27</v>
      </c>
      <c r="B165" s="5" t="s">
        <v>1643</v>
      </c>
    </row>
    <row r="166" spans="1:2" ht="16.2" thickBot="1">
      <c r="A166" s="4" t="s">
        <v>27</v>
      </c>
      <c r="B166" s="5" t="s">
        <v>1644</v>
      </c>
    </row>
    <row r="167" spans="1:2" ht="16.2" thickBot="1">
      <c r="A167" s="4" t="s">
        <v>27</v>
      </c>
      <c r="B167" s="5" t="s">
        <v>1645</v>
      </c>
    </row>
    <row r="168" spans="1:2" ht="16.2" thickBot="1">
      <c r="A168" s="4" t="s">
        <v>27</v>
      </c>
      <c r="B168" s="5" t="s">
        <v>1646</v>
      </c>
    </row>
    <row r="169" spans="1:2" ht="16.2" thickBot="1">
      <c r="A169" s="4" t="s">
        <v>27</v>
      </c>
      <c r="B169" s="5" t="s">
        <v>1647</v>
      </c>
    </row>
    <row r="170" spans="1:2" ht="31.8" thickBot="1">
      <c r="A170" s="4" t="s">
        <v>27</v>
      </c>
      <c r="B170" s="5" t="s">
        <v>1648</v>
      </c>
    </row>
    <row r="171" spans="1:2" ht="16.2" thickBot="1">
      <c r="A171" s="4" t="s">
        <v>27</v>
      </c>
      <c r="B171" s="5" t="s">
        <v>1649</v>
      </c>
    </row>
    <row r="172" spans="1:2" ht="31.8" thickBot="1">
      <c r="A172" s="4" t="s">
        <v>27</v>
      </c>
      <c r="B172" s="5" t="s">
        <v>1650</v>
      </c>
    </row>
    <row r="173" spans="1:2" ht="31.8" thickBot="1">
      <c r="A173" s="4" t="s">
        <v>27</v>
      </c>
      <c r="B173" s="5" t="s">
        <v>1651</v>
      </c>
    </row>
    <row r="174" spans="1:2" ht="31.8" thickBot="1">
      <c r="A174" s="4" t="s">
        <v>27</v>
      </c>
      <c r="B174" s="5" t="s">
        <v>1652</v>
      </c>
    </row>
    <row r="175" spans="1:2" ht="16.2" thickBot="1">
      <c r="A175" s="4" t="s">
        <v>27</v>
      </c>
      <c r="B175" s="5" t="s">
        <v>1653</v>
      </c>
    </row>
    <row r="176" spans="1:2" ht="16.2" thickBot="1">
      <c r="A176" s="4" t="s">
        <v>27</v>
      </c>
      <c r="B176" s="5" t="s">
        <v>1654</v>
      </c>
    </row>
    <row r="177" spans="1:2" ht="16.2" thickBot="1">
      <c r="A177" s="4" t="s">
        <v>27</v>
      </c>
      <c r="B177" s="5" t="s">
        <v>1655</v>
      </c>
    </row>
    <row r="178" spans="1:2" ht="16.2" thickBot="1">
      <c r="A178" s="4" t="s">
        <v>27</v>
      </c>
      <c r="B178" s="5" t="s">
        <v>1656</v>
      </c>
    </row>
    <row r="179" spans="1:2" ht="16.2" thickBot="1">
      <c r="A179" s="4" t="s">
        <v>27</v>
      </c>
      <c r="B179" s="5" t="s">
        <v>1657</v>
      </c>
    </row>
    <row r="180" spans="1:2" ht="16.2" thickBot="1">
      <c r="A180" s="4" t="s">
        <v>27</v>
      </c>
      <c r="B180" s="5" t="s">
        <v>1658</v>
      </c>
    </row>
    <row r="181" spans="1:2" ht="16.2" thickBot="1">
      <c r="A181" s="4" t="s">
        <v>27</v>
      </c>
      <c r="B181" s="5" t="s">
        <v>1659</v>
      </c>
    </row>
    <row r="182" spans="1:2" ht="16.2" thickBot="1">
      <c r="A182" s="4" t="s">
        <v>27</v>
      </c>
      <c r="B182" s="5" t="s">
        <v>1660</v>
      </c>
    </row>
    <row r="183" spans="1:2" ht="16.2" thickBot="1">
      <c r="A183" s="4" t="s">
        <v>27</v>
      </c>
      <c r="B183" s="5" t="s">
        <v>1661</v>
      </c>
    </row>
    <row r="184" spans="1:2" ht="16.2" thickBot="1">
      <c r="A184" s="4" t="s">
        <v>27</v>
      </c>
      <c r="B184" s="5" t="s">
        <v>1662</v>
      </c>
    </row>
    <row r="185" spans="1:2" ht="16.2" thickBot="1">
      <c r="A185" s="4" t="s">
        <v>27</v>
      </c>
      <c r="B185" s="5" t="s">
        <v>1663</v>
      </c>
    </row>
    <row r="186" spans="1:2" ht="16.2" thickBot="1">
      <c r="A186" s="4" t="s">
        <v>27</v>
      </c>
      <c r="B186" s="5" t="s">
        <v>1664</v>
      </c>
    </row>
    <row r="187" spans="1:2" ht="16.2" thickBot="1">
      <c r="A187" s="4" t="s">
        <v>27</v>
      </c>
      <c r="B187" s="5" t="s">
        <v>866</v>
      </c>
    </row>
    <row r="188" spans="1:2" ht="16.2" thickBot="1">
      <c r="A188" s="4" t="s">
        <v>27</v>
      </c>
      <c r="B188" s="5" t="s">
        <v>1665</v>
      </c>
    </row>
    <row r="189" spans="1:2" ht="16.2" thickBot="1">
      <c r="A189" s="4" t="s">
        <v>27</v>
      </c>
      <c r="B189" s="5" t="s">
        <v>1666</v>
      </c>
    </row>
    <row r="190" spans="1:2" ht="16.2" thickBot="1">
      <c r="A190" s="4" t="s">
        <v>27</v>
      </c>
      <c r="B190" s="5" t="s">
        <v>1667</v>
      </c>
    </row>
    <row r="191" spans="1:2" ht="16.2" thickBot="1">
      <c r="A191" s="4" t="s">
        <v>27</v>
      </c>
      <c r="B191" s="5" t="s">
        <v>1668</v>
      </c>
    </row>
    <row r="192" spans="1:2" ht="16.2" thickBot="1">
      <c r="A192" s="4" t="s">
        <v>27</v>
      </c>
      <c r="B192" s="5" t="s">
        <v>1669</v>
      </c>
    </row>
    <row r="193" spans="1:2" ht="16.2" thickBot="1">
      <c r="A193" s="4" t="s">
        <v>27</v>
      </c>
      <c r="B193" s="5" t="s">
        <v>1670</v>
      </c>
    </row>
    <row r="194" spans="1:2" ht="16.2" thickBot="1">
      <c r="A194" s="4" t="s">
        <v>27</v>
      </c>
      <c r="B194" s="5" t="s">
        <v>1671</v>
      </c>
    </row>
    <row r="195" spans="1:2" ht="16.2" thickBot="1">
      <c r="A195" s="4" t="s">
        <v>27</v>
      </c>
      <c r="B195" s="5" t="s">
        <v>1672</v>
      </c>
    </row>
    <row r="196" spans="1:2" ht="16.2" thickBot="1">
      <c r="A196" s="4" t="s">
        <v>27</v>
      </c>
      <c r="B196" s="5" t="s">
        <v>1673</v>
      </c>
    </row>
    <row r="197" spans="1:2" ht="16.2" thickBot="1">
      <c r="A197" s="4" t="s">
        <v>27</v>
      </c>
      <c r="B197" s="5" t="s">
        <v>1674</v>
      </c>
    </row>
    <row r="198" spans="1:2" ht="31.8" thickBot="1">
      <c r="A198" s="4" t="s">
        <v>27</v>
      </c>
      <c r="B198" s="5" t="s">
        <v>1675</v>
      </c>
    </row>
    <row r="199" spans="1:2" ht="16.2" thickBot="1">
      <c r="A199" s="4" t="s">
        <v>27</v>
      </c>
      <c r="B199" s="5" t="s">
        <v>1676</v>
      </c>
    </row>
    <row r="200" spans="1:2" ht="16.2" thickBot="1">
      <c r="A200" s="4" t="s">
        <v>27</v>
      </c>
      <c r="B200" s="5" t="s">
        <v>1677</v>
      </c>
    </row>
    <row r="201" spans="1:2" ht="16.2" thickBot="1">
      <c r="A201" s="4" t="s">
        <v>27</v>
      </c>
      <c r="B201" s="5" t="s">
        <v>1678</v>
      </c>
    </row>
    <row r="202" spans="1:2" ht="16.2" thickBot="1">
      <c r="A202" s="4" t="s">
        <v>27</v>
      </c>
      <c r="B202" s="5" t="s">
        <v>1679</v>
      </c>
    </row>
    <row r="203" spans="1:2" ht="16.2" thickBot="1">
      <c r="A203" s="4" t="s">
        <v>27</v>
      </c>
      <c r="B203" s="5" t="s">
        <v>1680</v>
      </c>
    </row>
    <row r="204" spans="1:2" ht="16.2" thickBot="1">
      <c r="A204" s="4" t="s">
        <v>27</v>
      </c>
      <c r="B204" s="5" t="s">
        <v>1681</v>
      </c>
    </row>
    <row r="205" spans="1:2" ht="16.2" thickBot="1">
      <c r="A205" s="4" t="s">
        <v>27</v>
      </c>
      <c r="B205" s="5" t="s">
        <v>1682</v>
      </c>
    </row>
    <row r="206" spans="1:2" ht="16.2" thickBot="1">
      <c r="A206" s="4" t="s">
        <v>27</v>
      </c>
      <c r="B206" s="5" t="s">
        <v>1683</v>
      </c>
    </row>
    <row r="207" spans="1:2" ht="16.2" thickBot="1">
      <c r="A207" s="4" t="s">
        <v>27</v>
      </c>
      <c r="B207" s="5" t="s">
        <v>1684</v>
      </c>
    </row>
    <row r="208" spans="1:2" ht="31.8" thickBot="1">
      <c r="A208" s="4" t="s">
        <v>27</v>
      </c>
      <c r="B208" s="5" t="s">
        <v>1685</v>
      </c>
    </row>
    <row r="209" spans="1:2" ht="16.2" thickBot="1">
      <c r="A209" s="4" t="s">
        <v>27</v>
      </c>
      <c r="B209" s="5" t="s">
        <v>1686</v>
      </c>
    </row>
    <row r="210" spans="1:2" ht="16.2" thickBot="1">
      <c r="A210" s="4" t="s">
        <v>27</v>
      </c>
      <c r="B210" s="5" t="s">
        <v>1687</v>
      </c>
    </row>
    <row r="211" spans="1:2" ht="31.8" thickBot="1">
      <c r="A211" s="4" t="s">
        <v>27</v>
      </c>
      <c r="B211" s="5" t="s">
        <v>1688</v>
      </c>
    </row>
    <row r="212" spans="1:2" ht="31.8" thickBot="1">
      <c r="A212" s="4" t="s">
        <v>27</v>
      </c>
      <c r="B212" s="5" t="s">
        <v>1689</v>
      </c>
    </row>
    <row r="213" spans="1:2" ht="16.2" thickBot="1">
      <c r="A213" s="4" t="s">
        <v>27</v>
      </c>
      <c r="B213" s="5" t="s">
        <v>1690</v>
      </c>
    </row>
    <row r="214" spans="1:2" ht="16.2" thickBot="1">
      <c r="A214" s="4" t="s">
        <v>27</v>
      </c>
      <c r="B214" s="5" t="s">
        <v>1691</v>
      </c>
    </row>
    <row r="215" spans="1:2" ht="16.2" thickBot="1">
      <c r="A215" s="4" t="s">
        <v>27</v>
      </c>
      <c r="B215" s="5" t="s">
        <v>1692</v>
      </c>
    </row>
    <row r="216" spans="1:2" ht="16.2" thickBot="1">
      <c r="A216" s="4" t="s">
        <v>27</v>
      </c>
      <c r="B216" s="5" t="s">
        <v>1693</v>
      </c>
    </row>
    <row r="217" spans="1:2" ht="16.2" thickBot="1">
      <c r="A217" s="4" t="s">
        <v>27</v>
      </c>
      <c r="B217" s="5" t="s">
        <v>1694</v>
      </c>
    </row>
    <row r="218" spans="1:2" ht="16.2" thickBot="1">
      <c r="A218" s="4" t="s">
        <v>27</v>
      </c>
      <c r="B218" s="5" t="s">
        <v>1695</v>
      </c>
    </row>
    <row r="219" spans="1:2" ht="31.8" thickBot="1">
      <c r="A219" s="4" t="s">
        <v>27</v>
      </c>
      <c r="B219" s="5" t="s">
        <v>1696</v>
      </c>
    </row>
    <row r="220" spans="1:2" ht="31.8" thickBot="1">
      <c r="A220" s="4" t="s">
        <v>27</v>
      </c>
      <c r="B220" s="5" t="s">
        <v>1697</v>
      </c>
    </row>
    <row r="221" spans="1:2" ht="31.8" thickBot="1">
      <c r="A221" s="4" t="s">
        <v>27</v>
      </c>
      <c r="B221" s="5" t="s">
        <v>1698</v>
      </c>
    </row>
    <row r="222" spans="1:2" ht="31.8" thickBot="1">
      <c r="A222" s="4" t="s">
        <v>27</v>
      </c>
      <c r="B222" s="5" t="s">
        <v>1699</v>
      </c>
    </row>
    <row r="223" spans="1:2" ht="31.8" thickBot="1">
      <c r="A223" s="4" t="s">
        <v>27</v>
      </c>
      <c r="B223" s="5" t="s">
        <v>1700</v>
      </c>
    </row>
    <row r="224" spans="1:2" ht="31.8" thickBot="1">
      <c r="A224" s="4" t="s">
        <v>27</v>
      </c>
      <c r="B224" s="5" t="s">
        <v>1701</v>
      </c>
    </row>
    <row r="225" spans="1:2" ht="31.8" thickBot="1">
      <c r="A225" s="4" t="s">
        <v>27</v>
      </c>
      <c r="B225" s="5" t="s">
        <v>1702</v>
      </c>
    </row>
    <row r="226" spans="1:2" ht="31.8" thickBot="1">
      <c r="A226" s="4" t="s">
        <v>27</v>
      </c>
      <c r="B226" s="5" t="s">
        <v>1703</v>
      </c>
    </row>
    <row r="227" spans="1:2" ht="31.8" thickBot="1">
      <c r="A227" s="4" t="s">
        <v>27</v>
      </c>
      <c r="B227" s="5" t="s">
        <v>1704</v>
      </c>
    </row>
    <row r="228" spans="1:2" ht="31.8" thickBot="1">
      <c r="A228" s="4" t="s">
        <v>27</v>
      </c>
      <c r="B228" s="5" t="s">
        <v>1705</v>
      </c>
    </row>
    <row r="229" spans="1:2" ht="31.8" thickBot="1">
      <c r="A229" s="4" t="s">
        <v>27</v>
      </c>
      <c r="B229" s="5" t="s">
        <v>1706</v>
      </c>
    </row>
    <row r="230" spans="1:2" ht="31.8" thickBot="1">
      <c r="A230" s="4" t="s">
        <v>27</v>
      </c>
      <c r="B230" s="5" t="s">
        <v>1707</v>
      </c>
    </row>
    <row r="231" spans="1:2" ht="31.8" thickBot="1">
      <c r="A231" s="4" t="s">
        <v>27</v>
      </c>
      <c r="B231" s="5" t="s">
        <v>1708</v>
      </c>
    </row>
    <row r="232" spans="1:2" ht="31.8" thickBot="1">
      <c r="A232" s="4" t="s">
        <v>27</v>
      </c>
      <c r="B232" s="5" t="s">
        <v>1709</v>
      </c>
    </row>
    <row r="233" spans="1:2" ht="16.2" thickBot="1">
      <c r="A233" s="4" t="s">
        <v>27</v>
      </c>
      <c r="B233" s="5" t="s">
        <v>48</v>
      </c>
    </row>
    <row r="234" spans="1:2" ht="16.2" thickBot="1">
      <c r="A234" s="4" t="s">
        <v>1710</v>
      </c>
      <c r="B234" s="5" t="s">
        <v>1711</v>
      </c>
    </row>
    <row r="235" spans="1:2" ht="16.2" thickBot="1">
      <c r="A235" s="4" t="s">
        <v>1710</v>
      </c>
      <c r="B235" s="5" t="s">
        <v>1712</v>
      </c>
    </row>
    <row r="236" spans="1:2" ht="16.2" thickBot="1">
      <c r="A236" s="4" t="s">
        <v>1710</v>
      </c>
      <c r="B236" s="5" t="s">
        <v>1713</v>
      </c>
    </row>
    <row r="237" spans="1:2" ht="16.2" thickBot="1">
      <c r="A237" s="4" t="s">
        <v>1714</v>
      </c>
      <c r="B237" s="5" t="s">
        <v>1715</v>
      </c>
    </row>
    <row r="238" spans="1:2" ht="16.2" thickBot="1">
      <c r="A238" s="4" t="s">
        <v>1714</v>
      </c>
      <c r="B238" s="5" t="s">
        <v>1716</v>
      </c>
    </row>
    <row r="239" spans="1:2" ht="16.2" thickBot="1">
      <c r="A239" s="4" t="s">
        <v>1714</v>
      </c>
      <c r="B239" s="5" t="s">
        <v>1717</v>
      </c>
    </row>
    <row r="240" spans="1:2" ht="16.2" thickBot="1">
      <c r="A240" s="4" t="s">
        <v>1714</v>
      </c>
      <c r="B240" s="5" t="s">
        <v>1718</v>
      </c>
    </row>
    <row r="241" spans="1:2" ht="16.2" thickBot="1">
      <c r="A241" s="4" t="s">
        <v>599</v>
      </c>
      <c r="B241" s="5" t="s">
        <v>1719</v>
      </c>
    </row>
    <row r="242" spans="1:2" ht="16.2" thickBot="1">
      <c r="A242" s="4" t="s">
        <v>300</v>
      </c>
      <c r="B242" s="5" t="s">
        <v>1720</v>
      </c>
    </row>
    <row r="243" spans="1:2" ht="16.2" thickBot="1">
      <c r="A243" s="4" t="s">
        <v>300</v>
      </c>
      <c r="B243" s="5" t="s">
        <v>1721</v>
      </c>
    </row>
    <row r="244" spans="1:2" ht="16.2" thickBot="1">
      <c r="A244" s="4" t="s">
        <v>300</v>
      </c>
      <c r="B244" s="5" t="s">
        <v>1722</v>
      </c>
    </row>
    <row r="245" spans="1:2" ht="16.2" thickBot="1">
      <c r="A245" s="4" t="s">
        <v>300</v>
      </c>
      <c r="B245" s="5" t="s">
        <v>1723</v>
      </c>
    </row>
    <row r="246" spans="1:2" ht="16.2" thickBot="1">
      <c r="A246" s="4" t="s">
        <v>300</v>
      </c>
      <c r="B246" s="5" t="s">
        <v>1724</v>
      </c>
    </row>
    <row r="247" spans="1:2" ht="16.2" thickBot="1">
      <c r="A247" s="4" t="s">
        <v>300</v>
      </c>
      <c r="B247" s="5" t="s">
        <v>1725</v>
      </c>
    </row>
    <row r="248" spans="1:2" ht="16.2" thickBot="1">
      <c r="A248" s="4" t="s">
        <v>300</v>
      </c>
      <c r="B248" s="5" t="s">
        <v>1726</v>
      </c>
    </row>
    <row r="249" spans="1:2" ht="16.2" thickBot="1">
      <c r="A249" s="4" t="s">
        <v>300</v>
      </c>
      <c r="B249" s="5" t="s">
        <v>1111</v>
      </c>
    </row>
    <row r="250" spans="1:2" ht="16.2" thickBot="1">
      <c r="A250" s="4" t="s">
        <v>1727</v>
      </c>
      <c r="B250" s="5" t="s">
        <v>1728</v>
      </c>
    </row>
    <row r="251" spans="1:2" ht="16.2" thickBot="1">
      <c r="A251" s="4" t="s">
        <v>1727</v>
      </c>
      <c r="B251" s="5" t="s">
        <v>1729</v>
      </c>
    </row>
    <row r="252" spans="1:2" ht="16.2" thickBot="1">
      <c r="A252" s="4" t="s">
        <v>1727</v>
      </c>
      <c r="B252" s="5" t="s">
        <v>1730</v>
      </c>
    </row>
    <row r="253" spans="1:2" ht="16.2" thickBot="1">
      <c r="A253" s="4" t="s">
        <v>1727</v>
      </c>
      <c r="B253" s="5" t="s">
        <v>1731</v>
      </c>
    </row>
    <row r="254" spans="1:2" ht="16.2" thickBot="1">
      <c r="A254" s="4" t="s">
        <v>1727</v>
      </c>
      <c r="B254" s="5" t="s">
        <v>1732</v>
      </c>
    </row>
    <row r="255" spans="1:2" ht="16.2" thickBot="1">
      <c r="A255" s="4" t="s">
        <v>1733</v>
      </c>
      <c r="B255" s="5" t="s">
        <v>1734</v>
      </c>
    </row>
    <row r="256" spans="1:2" ht="16.2" thickBot="1">
      <c r="A256" s="4" t="s">
        <v>1735</v>
      </c>
      <c r="B256" s="5" t="s">
        <v>1736</v>
      </c>
    </row>
    <row r="257" spans="1:2" ht="16.2" thickBot="1">
      <c r="A257" s="4" t="s">
        <v>1735</v>
      </c>
      <c r="B257" s="5" t="s">
        <v>1737</v>
      </c>
    </row>
    <row r="258" spans="1:2" ht="16.2" thickBot="1">
      <c r="A258" s="4" t="s">
        <v>1735</v>
      </c>
      <c r="B258" s="5" t="s">
        <v>1738</v>
      </c>
    </row>
    <row r="259" spans="1:2" ht="16.2" thickBot="1">
      <c r="A259" s="4" t="s">
        <v>1735</v>
      </c>
      <c r="B259" s="5" t="s">
        <v>1739</v>
      </c>
    </row>
    <row r="260" spans="1:2" ht="31.8" thickBot="1">
      <c r="A260" s="4" t="s">
        <v>1735</v>
      </c>
      <c r="B260" s="5" t="s">
        <v>1740</v>
      </c>
    </row>
    <row r="261" spans="1:2" ht="16.2" thickBot="1">
      <c r="A261" s="4" t="s">
        <v>1735</v>
      </c>
      <c r="B261" s="5" t="s">
        <v>1741</v>
      </c>
    </row>
    <row r="262" spans="1:2" ht="16.2" thickBot="1">
      <c r="A262" s="4" t="s">
        <v>1735</v>
      </c>
      <c r="B262" s="5" t="s">
        <v>1742</v>
      </c>
    </row>
    <row r="263" spans="1:2" ht="16.2" thickBot="1">
      <c r="A263" s="4" t="s">
        <v>1735</v>
      </c>
      <c r="B263" s="5" t="s">
        <v>1743</v>
      </c>
    </row>
    <row r="264" spans="1:2" ht="16.2" thickBot="1">
      <c r="A264" s="4" t="s">
        <v>1735</v>
      </c>
      <c r="B264" s="5" t="s">
        <v>1744</v>
      </c>
    </row>
    <row r="265" spans="1:2" ht="16.2" thickBot="1">
      <c r="A265" s="4" t="s">
        <v>1735</v>
      </c>
      <c r="B265" s="5" t="s">
        <v>1745</v>
      </c>
    </row>
    <row r="266" spans="1:2" ht="16.2" thickBot="1">
      <c r="A266" s="4" t="s">
        <v>1735</v>
      </c>
      <c r="B266" s="5" t="s">
        <v>1746</v>
      </c>
    </row>
    <row r="267" spans="1:2" ht="31.8" thickBot="1">
      <c r="A267" s="4" t="s">
        <v>1735</v>
      </c>
      <c r="B267" s="5" t="s">
        <v>1747</v>
      </c>
    </row>
    <row r="268" spans="1:2" ht="31.8" thickBot="1">
      <c r="A268" s="4" t="s">
        <v>1735</v>
      </c>
      <c r="B268" s="5" t="s">
        <v>1748</v>
      </c>
    </row>
    <row r="269" spans="1:2" ht="31.8" thickBot="1">
      <c r="A269" s="4" t="s">
        <v>1735</v>
      </c>
      <c r="B269" s="5" t="s">
        <v>1749</v>
      </c>
    </row>
    <row r="270" spans="1:2" ht="31.8" thickBot="1">
      <c r="A270" s="4" t="s">
        <v>1735</v>
      </c>
      <c r="B270" s="5" t="s">
        <v>1750</v>
      </c>
    </row>
    <row r="271" spans="1:2" ht="31.8" thickBot="1">
      <c r="A271" s="4" t="s">
        <v>1735</v>
      </c>
      <c r="B271" s="5" t="s">
        <v>1751</v>
      </c>
    </row>
    <row r="272" spans="1:2" ht="16.2" thickBot="1">
      <c r="A272" s="4" t="s">
        <v>1735</v>
      </c>
      <c r="B272" s="5" t="s">
        <v>1752</v>
      </c>
    </row>
    <row r="273" spans="1:2" ht="31.8" thickBot="1">
      <c r="A273" s="4" t="s">
        <v>1735</v>
      </c>
      <c r="B273" s="5" t="s">
        <v>1753</v>
      </c>
    </row>
    <row r="274" spans="1:2" ht="31.8" thickBot="1">
      <c r="A274" s="4" t="s">
        <v>1735</v>
      </c>
      <c r="B274" s="5" t="s">
        <v>1754</v>
      </c>
    </row>
    <row r="275" spans="1:2" ht="31.8" thickBot="1">
      <c r="A275" s="4" t="s">
        <v>1735</v>
      </c>
      <c r="B275" s="5" t="s">
        <v>1755</v>
      </c>
    </row>
    <row r="276" spans="1:2" ht="31.8" thickBot="1">
      <c r="A276" s="4" t="s">
        <v>1735</v>
      </c>
      <c r="B276" s="5" t="s">
        <v>1756</v>
      </c>
    </row>
    <row r="277" spans="1:2" ht="16.2" thickBot="1">
      <c r="A277" s="4" t="s">
        <v>1757</v>
      </c>
      <c r="B277" s="5" t="s">
        <v>1758</v>
      </c>
    </row>
    <row r="278" spans="1:2" ht="16.2" thickBot="1">
      <c r="A278" s="4" t="s">
        <v>1757</v>
      </c>
      <c r="B278" s="5" t="s">
        <v>1759</v>
      </c>
    </row>
    <row r="279" spans="1:2" ht="16.2" thickBot="1">
      <c r="A279" s="4" t="s">
        <v>1757</v>
      </c>
      <c r="B279" s="5" t="s">
        <v>1760</v>
      </c>
    </row>
    <row r="280" spans="1:2" ht="16.2" thickBot="1">
      <c r="A280" s="4" t="s">
        <v>1757</v>
      </c>
      <c r="B280" s="5" t="s">
        <v>1761</v>
      </c>
    </row>
    <row r="281" spans="1:2" ht="16.2" thickBot="1">
      <c r="A281" s="4" t="s">
        <v>1757</v>
      </c>
      <c r="B281" s="5" t="s">
        <v>1762</v>
      </c>
    </row>
    <row r="282" spans="1:2" ht="16.2" thickBot="1">
      <c r="A282" s="4" t="s">
        <v>1757</v>
      </c>
      <c r="B282" s="5" t="s">
        <v>1763</v>
      </c>
    </row>
    <row r="283" spans="1:2" ht="16.2" thickBot="1">
      <c r="A283" s="4" t="s">
        <v>1757</v>
      </c>
      <c r="B283" s="5" t="s">
        <v>1764</v>
      </c>
    </row>
    <row r="284" spans="1:2" ht="16.2" thickBot="1">
      <c r="A284" s="4" t="s">
        <v>1757</v>
      </c>
      <c r="B284" s="5" t="s">
        <v>1765</v>
      </c>
    </row>
    <row r="285" spans="1:2" ht="16.2" thickBot="1">
      <c r="A285" s="4" t="s">
        <v>1766</v>
      </c>
      <c r="B285" s="5" t="s">
        <v>1767</v>
      </c>
    </row>
    <row r="286" spans="1:2" ht="16.2" thickBot="1">
      <c r="A286" s="4" t="s">
        <v>1766</v>
      </c>
      <c r="B286" s="5" t="s">
        <v>1768</v>
      </c>
    </row>
    <row r="287" spans="1:2" ht="16.2" thickBot="1">
      <c r="A287" s="4" t="s">
        <v>1766</v>
      </c>
      <c r="B287" s="5" t="s">
        <v>637</v>
      </c>
    </row>
    <row r="288" spans="1:2" ht="16.2" thickBot="1">
      <c r="A288" s="4" t="s">
        <v>68</v>
      </c>
      <c r="B288" s="5" t="s">
        <v>1769</v>
      </c>
    </row>
    <row r="289" spans="1:2" ht="16.2" thickBot="1">
      <c r="A289" s="4" t="s">
        <v>68</v>
      </c>
      <c r="B289" s="5" t="s">
        <v>1770</v>
      </c>
    </row>
    <row r="290" spans="1:2" ht="16.2" thickBot="1">
      <c r="A290" s="4" t="s">
        <v>1771</v>
      </c>
      <c r="B290" s="5" t="s">
        <v>1772</v>
      </c>
    </row>
    <row r="291" spans="1:2" ht="16.2" thickBot="1">
      <c r="A291" s="4" t="s">
        <v>1771</v>
      </c>
      <c r="B291" s="5" t="s">
        <v>1773</v>
      </c>
    </row>
    <row r="292" spans="1:2" ht="16.2" thickBot="1">
      <c r="A292" s="4" t="s">
        <v>1771</v>
      </c>
      <c r="B292" s="5" t="s">
        <v>903</v>
      </c>
    </row>
    <row r="293" spans="1:2" ht="16.2" thickBot="1">
      <c r="A293" s="4" t="s">
        <v>1771</v>
      </c>
      <c r="B293" s="5" t="s">
        <v>1774</v>
      </c>
    </row>
    <row r="294" spans="1:2" ht="16.2" thickBot="1">
      <c r="A294" s="4" t="s">
        <v>1771</v>
      </c>
      <c r="B294" s="5" t="s">
        <v>1775</v>
      </c>
    </row>
    <row r="295" spans="1:2" ht="16.2" thickBot="1">
      <c r="A295" s="4" t="s">
        <v>1771</v>
      </c>
      <c r="B295" s="5" t="s">
        <v>1116</v>
      </c>
    </row>
    <row r="296" spans="1:2" ht="16.2" thickBot="1">
      <c r="A296" s="4" t="s">
        <v>1771</v>
      </c>
      <c r="B296" s="5" t="s">
        <v>1776</v>
      </c>
    </row>
    <row r="297" spans="1:2" ht="16.2" thickBot="1">
      <c r="A297" s="6" t="s">
        <v>1777</v>
      </c>
      <c r="B297" s="5" t="s">
        <v>1778</v>
      </c>
    </row>
    <row r="298" spans="1:2" ht="16.2" thickBot="1">
      <c r="A298" s="4" t="s">
        <v>904</v>
      </c>
      <c r="B298" s="5" t="s">
        <v>1779</v>
      </c>
    </row>
    <row r="299" spans="1:2" ht="16.2" thickBot="1">
      <c r="A299" s="4" t="s">
        <v>904</v>
      </c>
      <c r="B299" s="5" t="s">
        <v>1780</v>
      </c>
    </row>
    <row r="300" spans="1:2" ht="16.2" thickBot="1">
      <c r="A300" s="4" t="s">
        <v>904</v>
      </c>
      <c r="B300" s="5" t="s">
        <v>1781</v>
      </c>
    </row>
    <row r="301" spans="1:2" ht="16.2" thickBot="1">
      <c r="A301" s="4" t="s">
        <v>904</v>
      </c>
      <c r="B301" s="5" t="s">
        <v>1782</v>
      </c>
    </row>
    <row r="302" spans="1:2" ht="16.2" thickBot="1">
      <c r="A302" s="4" t="s">
        <v>1783</v>
      </c>
      <c r="B302" s="5" t="s">
        <v>1784</v>
      </c>
    </row>
    <row r="303" spans="1:2" ht="16.2" thickBot="1">
      <c r="A303" s="4" t="s">
        <v>1783</v>
      </c>
      <c r="B303" s="5" t="s">
        <v>1785</v>
      </c>
    </row>
    <row r="304" spans="1:2" ht="16.2" thickBot="1">
      <c r="A304" s="4" t="s">
        <v>1783</v>
      </c>
      <c r="B304" s="5" t="s">
        <v>1786</v>
      </c>
    </row>
    <row r="305" spans="1:2" ht="16.2" thickBot="1">
      <c r="A305" s="4" t="s">
        <v>1783</v>
      </c>
      <c r="B305" s="5" t="s">
        <v>1787</v>
      </c>
    </row>
    <row r="306" spans="1:2" ht="16.2" thickBot="1">
      <c r="A306" s="4" t="s">
        <v>1783</v>
      </c>
      <c r="B306" s="5" t="s">
        <v>1788</v>
      </c>
    </row>
    <row r="307" spans="1:2" ht="16.2" thickBot="1">
      <c r="A307" s="4" t="s">
        <v>323</v>
      </c>
      <c r="B307" s="5" t="s">
        <v>1789</v>
      </c>
    </row>
    <row r="308" spans="1:2" ht="16.2" thickBot="1">
      <c r="A308" s="4" t="s">
        <v>323</v>
      </c>
      <c r="B308" s="5" t="s">
        <v>1790</v>
      </c>
    </row>
    <row r="309" spans="1:2" ht="16.2" thickBot="1">
      <c r="A309" s="4" t="s">
        <v>323</v>
      </c>
      <c r="B309" s="5" t="s">
        <v>1791</v>
      </c>
    </row>
    <row r="310" spans="1:2" ht="16.2" thickBot="1">
      <c r="A310" s="4" t="s">
        <v>323</v>
      </c>
      <c r="B310" s="5" t="s">
        <v>1792</v>
      </c>
    </row>
    <row r="311" spans="1:2" ht="16.2" thickBot="1">
      <c r="A311" s="4" t="s">
        <v>323</v>
      </c>
      <c r="B311" s="5" t="s">
        <v>1793</v>
      </c>
    </row>
    <row r="312" spans="1:2" ht="16.2" thickBot="1">
      <c r="A312" s="4" t="s">
        <v>323</v>
      </c>
      <c r="B312" s="5" t="s">
        <v>1794</v>
      </c>
    </row>
    <row r="313" spans="1:2" ht="16.2" thickBot="1">
      <c r="A313" s="4" t="s">
        <v>1795</v>
      </c>
      <c r="B313" s="5" t="s">
        <v>1796</v>
      </c>
    </row>
    <row r="314" spans="1:2" ht="16.2" thickBot="1">
      <c r="A314" s="4" t="s">
        <v>1795</v>
      </c>
      <c r="B314" s="5" t="s">
        <v>1797</v>
      </c>
    </row>
    <row r="315" spans="1:2" ht="16.2" thickBot="1">
      <c r="A315" s="4" t="s">
        <v>1795</v>
      </c>
      <c r="B315" s="5" t="s">
        <v>1798</v>
      </c>
    </row>
    <row r="316" spans="1:2" ht="16.2" thickBot="1">
      <c r="A316" s="4" t="s">
        <v>1795</v>
      </c>
      <c r="B316" s="5" t="s">
        <v>1799</v>
      </c>
    </row>
    <row r="317" spans="1:2" ht="16.2" thickBot="1">
      <c r="A317" s="4" t="s">
        <v>1795</v>
      </c>
      <c r="B317" s="5" t="s">
        <v>1800</v>
      </c>
    </row>
    <row r="318" spans="1:2" ht="16.2" thickBot="1">
      <c r="A318" s="4" t="s">
        <v>1795</v>
      </c>
      <c r="B318" s="5" t="s">
        <v>1801</v>
      </c>
    </row>
    <row r="319" spans="1:2" ht="16.2" thickBot="1">
      <c r="A319" s="4" t="s">
        <v>1795</v>
      </c>
      <c r="B319" s="5" t="s">
        <v>1802</v>
      </c>
    </row>
    <row r="320" spans="1:2" ht="16.2" thickBot="1">
      <c r="A320" s="4" t="s">
        <v>1795</v>
      </c>
      <c r="B320" s="5" t="s">
        <v>1803</v>
      </c>
    </row>
    <row r="321" spans="1:2" ht="16.2" thickBot="1">
      <c r="A321" s="4" t="s">
        <v>328</v>
      </c>
      <c r="B321" s="5" t="s">
        <v>1804</v>
      </c>
    </row>
    <row r="322" spans="1:2" ht="16.2" thickBot="1">
      <c r="A322" s="4" t="s">
        <v>328</v>
      </c>
      <c r="B322" s="5" t="s">
        <v>1805</v>
      </c>
    </row>
    <row r="323" spans="1:2" ht="16.2" thickBot="1">
      <c r="A323" s="4" t="s">
        <v>328</v>
      </c>
      <c r="B323" s="5" t="s">
        <v>1806</v>
      </c>
    </row>
    <row r="324" spans="1:2" ht="16.2" thickBot="1">
      <c r="A324" s="4" t="s">
        <v>328</v>
      </c>
      <c r="B324" s="5" t="s">
        <v>1807</v>
      </c>
    </row>
    <row r="325" spans="1:2" ht="16.2" thickBot="1">
      <c r="A325" s="4" t="s">
        <v>328</v>
      </c>
      <c r="B325" s="5" t="s">
        <v>1808</v>
      </c>
    </row>
    <row r="326" spans="1:2" ht="16.2" thickBot="1">
      <c r="A326" s="4" t="s">
        <v>328</v>
      </c>
      <c r="B326" s="5" t="s">
        <v>1809</v>
      </c>
    </row>
    <row r="327" spans="1:2" ht="16.2" thickBot="1">
      <c r="A327" s="4" t="s">
        <v>328</v>
      </c>
      <c r="B327" s="5" t="s">
        <v>1810</v>
      </c>
    </row>
    <row r="328" spans="1:2" ht="16.2" thickBot="1">
      <c r="A328" s="4" t="s">
        <v>328</v>
      </c>
      <c r="B328" s="5" t="s">
        <v>1811</v>
      </c>
    </row>
    <row r="329" spans="1:2" ht="16.2" thickBot="1">
      <c r="A329" s="4" t="s">
        <v>925</v>
      </c>
      <c r="B329" s="5" t="s">
        <v>1812</v>
      </c>
    </row>
    <row r="330" spans="1:2" ht="16.2" thickBot="1">
      <c r="A330" s="4" t="s">
        <v>925</v>
      </c>
      <c r="B330" s="5" t="s">
        <v>1813</v>
      </c>
    </row>
    <row r="331" spans="1:2" ht="16.2" thickBot="1">
      <c r="A331" s="4" t="s">
        <v>925</v>
      </c>
      <c r="B331" s="5" t="s">
        <v>1814</v>
      </c>
    </row>
    <row r="332" spans="1:2" ht="16.2" thickBot="1">
      <c r="A332" s="4" t="s">
        <v>925</v>
      </c>
      <c r="B332" s="5" t="s">
        <v>1815</v>
      </c>
    </row>
    <row r="333" spans="1:2" ht="16.2" thickBot="1">
      <c r="A333" s="4" t="s">
        <v>925</v>
      </c>
      <c r="B333" s="5" t="s">
        <v>1816</v>
      </c>
    </row>
    <row r="334" spans="1:2" ht="16.2" thickBot="1">
      <c r="A334" s="4" t="s">
        <v>925</v>
      </c>
      <c r="B334" s="5" t="s">
        <v>1817</v>
      </c>
    </row>
    <row r="335" spans="1:2" ht="16.2" thickBot="1">
      <c r="A335" s="4" t="s">
        <v>925</v>
      </c>
      <c r="B335" s="5" t="s">
        <v>1818</v>
      </c>
    </row>
    <row r="336" spans="1:2" ht="16.2" thickBot="1">
      <c r="A336" s="4" t="s">
        <v>925</v>
      </c>
      <c r="B336" s="5" t="s">
        <v>1819</v>
      </c>
    </row>
    <row r="337" spans="1:2" ht="16.2" thickBot="1">
      <c r="A337" s="4" t="s">
        <v>925</v>
      </c>
      <c r="B337" s="5" t="s">
        <v>926</v>
      </c>
    </row>
    <row r="338" spans="1:2" ht="16.2" thickBot="1">
      <c r="A338" s="4" t="s">
        <v>925</v>
      </c>
      <c r="B338" s="5" t="s">
        <v>1820</v>
      </c>
    </row>
    <row r="339" spans="1:2" ht="16.2" thickBot="1">
      <c r="A339" s="4" t="s">
        <v>925</v>
      </c>
      <c r="B339" s="5" t="s">
        <v>1821</v>
      </c>
    </row>
    <row r="340" spans="1:2" ht="16.2" thickBot="1">
      <c r="A340" s="4" t="s">
        <v>1822</v>
      </c>
      <c r="B340" s="5" t="s">
        <v>1823</v>
      </c>
    </row>
    <row r="341" spans="1:2" ht="16.2" thickBot="1">
      <c r="A341" s="4" t="s">
        <v>1822</v>
      </c>
      <c r="B341" s="5" t="s">
        <v>1824</v>
      </c>
    </row>
    <row r="342" spans="1:2" ht="16.2" thickBot="1">
      <c r="A342" s="4" t="s">
        <v>1822</v>
      </c>
      <c r="B342" s="5" t="s">
        <v>1825</v>
      </c>
    </row>
    <row r="343" spans="1:2" ht="16.2" thickBot="1">
      <c r="A343" s="4" t="s">
        <v>1822</v>
      </c>
      <c r="B343" s="5" t="s">
        <v>1826</v>
      </c>
    </row>
    <row r="344" spans="1:2" ht="16.2" thickBot="1">
      <c r="A344" s="4" t="s">
        <v>1822</v>
      </c>
      <c r="B344" s="5" t="s">
        <v>1827</v>
      </c>
    </row>
    <row r="345" spans="1:2" ht="16.2" thickBot="1">
      <c r="A345" s="4" t="s">
        <v>1822</v>
      </c>
      <c r="B345" s="5" t="s">
        <v>1828</v>
      </c>
    </row>
    <row r="346" spans="1:2" ht="16.2" thickBot="1">
      <c r="A346" s="4" t="s">
        <v>1822</v>
      </c>
      <c r="B346" s="5" t="s">
        <v>1829</v>
      </c>
    </row>
    <row r="347" spans="1:2" ht="16.2" thickBot="1">
      <c r="A347" s="4" t="s">
        <v>1822</v>
      </c>
      <c r="B347" s="5" t="s">
        <v>1830</v>
      </c>
    </row>
    <row r="348" spans="1:2" ht="16.2" thickBot="1">
      <c r="A348" s="4" t="s">
        <v>1822</v>
      </c>
      <c r="B348" s="5" t="s">
        <v>1831</v>
      </c>
    </row>
    <row r="349" spans="1:2" ht="16.2" thickBot="1">
      <c r="A349" s="4" t="s">
        <v>1822</v>
      </c>
      <c r="B349" s="5" t="s">
        <v>1832</v>
      </c>
    </row>
    <row r="350" spans="1:2" ht="16.2" thickBot="1">
      <c r="A350" s="4" t="s">
        <v>1822</v>
      </c>
      <c r="B350" s="5" t="s">
        <v>1833</v>
      </c>
    </row>
    <row r="351" spans="1:2" ht="16.2" thickBot="1">
      <c r="A351" s="4" t="s">
        <v>1822</v>
      </c>
      <c r="B351" s="5" t="s">
        <v>1834</v>
      </c>
    </row>
    <row r="352" spans="1:2" ht="16.2" thickBot="1">
      <c r="A352" s="4" t="s">
        <v>1822</v>
      </c>
      <c r="B352" s="5" t="s">
        <v>1835</v>
      </c>
    </row>
    <row r="353" spans="1:2" ht="16.2" thickBot="1">
      <c r="A353" s="4" t="s">
        <v>1822</v>
      </c>
      <c r="B353" s="5" t="s">
        <v>1361</v>
      </c>
    </row>
    <row r="354" spans="1:2" ht="16.2" thickBot="1">
      <c r="A354" s="4" t="s">
        <v>1822</v>
      </c>
      <c r="B354" s="5" t="s">
        <v>287</v>
      </c>
    </row>
    <row r="355" spans="1:2" ht="16.2" thickBot="1">
      <c r="A355" s="4" t="s">
        <v>1822</v>
      </c>
      <c r="B355" s="5" t="s">
        <v>1836</v>
      </c>
    </row>
    <row r="356" spans="1:2" ht="16.2" thickBot="1">
      <c r="A356" s="4" t="s">
        <v>1822</v>
      </c>
      <c r="B356" s="5" t="s">
        <v>1837</v>
      </c>
    </row>
    <row r="357" spans="1:2" ht="16.2" thickBot="1">
      <c r="A357" s="4" t="s">
        <v>1822</v>
      </c>
      <c r="B357" s="5" t="s">
        <v>1838</v>
      </c>
    </row>
    <row r="358" spans="1:2" ht="16.2" thickBot="1">
      <c r="A358" s="4" t="s">
        <v>1822</v>
      </c>
      <c r="B358" s="5" t="s">
        <v>623</v>
      </c>
    </row>
    <row r="359" spans="1:2" ht="16.2" thickBot="1">
      <c r="A359" s="4" t="s">
        <v>1839</v>
      </c>
      <c r="B359" s="5" t="s">
        <v>1840</v>
      </c>
    </row>
    <row r="360" spans="1:2" ht="16.2" thickBot="1">
      <c r="A360" s="4" t="s">
        <v>1841</v>
      </c>
      <c r="B360" s="5" t="s">
        <v>1842</v>
      </c>
    </row>
    <row r="361" spans="1:2" ht="16.2" thickBot="1">
      <c r="A361" s="4" t="s">
        <v>1841</v>
      </c>
      <c r="B361" s="5" t="s">
        <v>1843</v>
      </c>
    </row>
    <row r="362" spans="1:2" ht="16.2" thickBot="1">
      <c r="A362" s="4" t="s">
        <v>73</v>
      </c>
      <c r="B362" s="5" t="s">
        <v>1844</v>
      </c>
    </row>
    <row r="363" spans="1:2" ht="16.2" thickBot="1">
      <c r="A363" s="4" t="s">
        <v>73</v>
      </c>
      <c r="B363" s="5" t="s">
        <v>1845</v>
      </c>
    </row>
    <row r="364" spans="1:2" ht="16.2" thickBot="1">
      <c r="A364" s="4" t="s">
        <v>73</v>
      </c>
      <c r="B364" s="5" t="s">
        <v>1846</v>
      </c>
    </row>
    <row r="365" spans="1:2" ht="16.2" thickBot="1">
      <c r="A365" s="4" t="s">
        <v>73</v>
      </c>
      <c r="B365" s="5" t="s">
        <v>1847</v>
      </c>
    </row>
    <row r="366" spans="1:2" ht="16.2" thickBot="1">
      <c r="A366" s="4" t="s">
        <v>73</v>
      </c>
      <c r="B366" s="5" t="s">
        <v>1848</v>
      </c>
    </row>
    <row r="367" spans="1:2" ht="16.2" thickBot="1">
      <c r="A367" s="4" t="s">
        <v>73</v>
      </c>
      <c r="B367" s="5" t="s">
        <v>1849</v>
      </c>
    </row>
    <row r="368" spans="1:2" ht="16.2" thickBot="1">
      <c r="A368" s="4" t="s">
        <v>73</v>
      </c>
      <c r="B368" s="5" t="s">
        <v>1850</v>
      </c>
    </row>
    <row r="369" spans="1:2" ht="16.2" thickBot="1">
      <c r="A369" s="4" t="s">
        <v>73</v>
      </c>
      <c r="B369" s="5" t="s">
        <v>1851</v>
      </c>
    </row>
    <row r="370" spans="1:2" ht="16.2" thickBot="1">
      <c r="A370" s="4" t="s">
        <v>73</v>
      </c>
      <c r="B370" s="5" t="s">
        <v>1852</v>
      </c>
    </row>
    <row r="371" spans="1:2" ht="16.2" thickBot="1">
      <c r="A371" s="4" t="s">
        <v>73</v>
      </c>
      <c r="B371" s="5" t="s">
        <v>1853</v>
      </c>
    </row>
    <row r="372" spans="1:2" ht="16.2" thickBot="1">
      <c r="A372" s="4" t="s">
        <v>73</v>
      </c>
      <c r="B372" s="5" t="s">
        <v>1854</v>
      </c>
    </row>
    <row r="373" spans="1:2" ht="16.2" thickBot="1">
      <c r="A373" s="4" t="s">
        <v>73</v>
      </c>
      <c r="B373" s="5" t="s">
        <v>932</v>
      </c>
    </row>
    <row r="374" spans="1:2" ht="16.2" thickBot="1">
      <c r="A374" s="4" t="s">
        <v>73</v>
      </c>
      <c r="B374" s="5" t="s">
        <v>1855</v>
      </c>
    </row>
    <row r="375" spans="1:2" ht="16.2" thickBot="1">
      <c r="A375" s="4" t="s">
        <v>73</v>
      </c>
      <c r="B375" s="5" t="s">
        <v>1856</v>
      </c>
    </row>
    <row r="376" spans="1:2" ht="16.2" thickBot="1">
      <c r="A376" s="4" t="s">
        <v>73</v>
      </c>
      <c r="B376" s="5" t="s">
        <v>74</v>
      </c>
    </row>
    <row r="377" spans="1:2" ht="16.2" thickBot="1">
      <c r="A377" s="4" t="s">
        <v>73</v>
      </c>
      <c r="B377" s="5" t="s">
        <v>1857</v>
      </c>
    </row>
    <row r="378" spans="1:2" ht="16.2" thickBot="1">
      <c r="A378" s="4" t="s">
        <v>73</v>
      </c>
      <c r="B378" s="5" t="s">
        <v>1858</v>
      </c>
    </row>
    <row r="379" spans="1:2" ht="16.2" thickBot="1">
      <c r="A379" s="4" t="s">
        <v>73</v>
      </c>
      <c r="B379" s="5" t="s">
        <v>1859</v>
      </c>
    </row>
    <row r="380" spans="1:2" ht="16.2" thickBot="1">
      <c r="A380" s="4" t="s">
        <v>73</v>
      </c>
      <c r="B380" s="5" t="s">
        <v>1860</v>
      </c>
    </row>
    <row r="381" spans="1:2" ht="16.2" thickBot="1">
      <c r="A381" s="4" t="s">
        <v>73</v>
      </c>
      <c r="B381" s="5" t="s">
        <v>1861</v>
      </c>
    </row>
    <row r="382" spans="1:2" ht="16.2" thickBot="1">
      <c r="A382" s="4" t="s">
        <v>73</v>
      </c>
      <c r="B382" s="5" t="s">
        <v>1862</v>
      </c>
    </row>
    <row r="383" spans="1:2" ht="16.2" thickBot="1">
      <c r="A383" s="4" t="s">
        <v>73</v>
      </c>
      <c r="B383" s="5" t="s">
        <v>1863</v>
      </c>
    </row>
    <row r="384" spans="1:2" ht="16.2" thickBot="1">
      <c r="A384" s="4" t="s">
        <v>73</v>
      </c>
      <c r="B384" s="5" t="s">
        <v>1864</v>
      </c>
    </row>
    <row r="385" spans="1:2" ht="16.2" thickBot="1">
      <c r="A385" s="4" t="s">
        <v>73</v>
      </c>
      <c r="B385" s="5" t="s">
        <v>1865</v>
      </c>
    </row>
    <row r="386" spans="1:2" ht="16.2" thickBot="1">
      <c r="A386" s="4" t="s">
        <v>73</v>
      </c>
      <c r="B386" s="5" t="s">
        <v>1866</v>
      </c>
    </row>
    <row r="387" spans="1:2" ht="16.2" thickBot="1">
      <c r="A387" s="4" t="s">
        <v>73</v>
      </c>
      <c r="B387" s="5" t="s">
        <v>1867</v>
      </c>
    </row>
    <row r="388" spans="1:2" ht="31.8" thickBot="1">
      <c r="A388" s="4" t="s">
        <v>73</v>
      </c>
      <c r="B388" s="5" t="s">
        <v>1868</v>
      </c>
    </row>
    <row r="389" spans="1:2" ht="16.2" thickBot="1">
      <c r="A389" s="4" t="s">
        <v>73</v>
      </c>
      <c r="B389" s="5" t="s">
        <v>1869</v>
      </c>
    </row>
    <row r="390" spans="1:2" ht="16.2" thickBot="1">
      <c r="A390" s="4" t="s">
        <v>73</v>
      </c>
      <c r="B390" s="5" t="s">
        <v>1870</v>
      </c>
    </row>
    <row r="391" spans="1:2" ht="16.2" thickBot="1">
      <c r="A391" s="4" t="s">
        <v>73</v>
      </c>
      <c r="B391" s="5" t="s">
        <v>1871</v>
      </c>
    </row>
    <row r="392" spans="1:2" ht="16.2" thickBot="1">
      <c r="A392" s="4" t="s">
        <v>1872</v>
      </c>
      <c r="B392" s="5" t="s">
        <v>1873</v>
      </c>
    </row>
    <row r="393" spans="1:2" ht="16.2" thickBot="1">
      <c r="A393" s="4" t="s">
        <v>1872</v>
      </c>
      <c r="B393" s="5" t="s">
        <v>1874</v>
      </c>
    </row>
    <row r="394" spans="1:2" ht="16.2" thickBot="1">
      <c r="A394" s="4" t="s">
        <v>1875</v>
      </c>
      <c r="B394" s="5" t="s">
        <v>1876</v>
      </c>
    </row>
    <row r="395" spans="1:2" ht="16.2" thickBot="1">
      <c r="A395" s="4" t="s">
        <v>1875</v>
      </c>
      <c r="B395" s="5" t="s">
        <v>1877</v>
      </c>
    </row>
    <row r="396" spans="1:2" ht="16.2" thickBot="1">
      <c r="A396" s="4" t="s">
        <v>1875</v>
      </c>
      <c r="B396" s="5" t="s">
        <v>1878</v>
      </c>
    </row>
    <row r="397" spans="1:2" ht="16.2" thickBot="1">
      <c r="A397" s="4" t="s">
        <v>1875</v>
      </c>
      <c r="B397" s="5" t="s">
        <v>1879</v>
      </c>
    </row>
    <row r="398" spans="1:2" ht="16.2" thickBot="1">
      <c r="A398" s="4" t="s">
        <v>1875</v>
      </c>
      <c r="B398" s="5" t="s">
        <v>1880</v>
      </c>
    </row>
    <row r="399" spans="1:2" ht="16.2" thickBot="1">
      <c r="A399" s="4" t="s">
        <v>1875</v>
      </c>
      <c r="B399" s="5" t="s">
        <v>1155</v>
      </c>
    </row>
    <row r="400" spans="1:2" ht="16.2" thickBot="1">
      <c r="A400" s="4" t="s">
        <v>1875</v>
      </c>
      <c r="B400" s="5" t="s">
        <v>367</v>
      </c>
    </row>
    <row r="401" spans="1:2" ht="16.2" thickBot="1">
      <c r="A401" s="4" t="s">
        <v>1875</v>
      </c>
      <c r="B401" s="5" t="s">
        <v>1881</v>
      </c>
    </row>
    <row r="402" spans="1:2" ht="16.2" thickBot="1">
      <c r="A402" s="4" t="s">
        <v>1875</v>
      </c>
      <c r="B402" s="5" t="s">
        <v>1882</v>
      </c>
    </row>
    <row r="403" spans="1:2" ht="16.2" thickBot="1">
      <c r="A403" s="4" t="s">
        <v>1883</v>
      </c>
      <c r="B403" s="5">
        <v>500</v>
      </c>
    </row>
    <row r="404" spans="1:2" ht="16.2" thickBot="1">
      <c r="A404" s="4" t="s">
        <v>1883</v>
      </c>
      <c r="B404" s="5" t="s">
        <v>1884</v>
      </c>
    </row>
    <row r="405" spans="1:2" ht="16.2" thickBot="1">
      <c r="A405" s="4" t="s">
        <v>1883</v>
      </c>
      <c r="B405" s="5" t="s">
        <v>1282</v>
      </c>
    </row>
    <row r="406" spans="1:2" ht="16.2" thickBot="1">
      <c r="A406" s="4" t="s">
        <v>1883</v>
      </c>
      <c r="B406" s="5" t="s">
        <v>1885</v>
      </c>
    </row>
    <row r="407" spans="1:2" ht="16.2" thickBot="1">
      <c r="A407" s="4" t="s">
        <v>1883</v>
      </c>
      <c r="B407" s="5" t="s">
        <v>1886</v>
      </c>
    </row>
    <row r="408" spans="1:2" ht="16.2" thickBot="1">
      <c r="A408" s="4" t="s">
        <v>1887</v>
      </c>
      <c r="B408" s="5" t="s">
        <v>1888</v>
      </c>
    </row>
    <row r="409" spans="1:2" ht="16.2" thickBot="1">
      <c r="A409" s="4" t="s">
        <v>1887</v>
      </c>
      <c r="B409" s="5" t="s">
        <v>1889</v>
      </c>
    </row>
    <row r="410" spans="1:2" ht="16.2" thickBot="1">
      <c r="A410" s="4" t="s">
        <v>1887</v>
      </c>
      <c r="B410" s="5" t="s">
        <v>1890</v>
      </c>
    </row>
    <row r="411" spans="1:2" ht="16.2" thickBot="1">
      <c r="A411" s="4" t="s">
        <v>1887</v>
      </c>
      <c r="B411" s="5" t="s">
        <v>1891</v>
      </c>
    </row>
    <row r="412" spans="1:2" ht="16.2" thickBot="1">
      <c r="A412" s="4" t="s">
        <v>1887</v>
      </c>
      <c r="B412" s="5" t="s">
        <v>1892</v>
      </c>
    </row>
    <row r="413" spans="1:2" ht="16.2" thickBot="1">
      <c r="A413" s="4" t="s">
        <v>1887</v>
      </c>
      <c r="B413" s="5" t="s">
        <v>1893</v>
      </c>
    </row>
    <row r="414" spans="1:2" ht="16.2" thickBot="1">
      <c r="A414" s="4" t="s">
        <v>1887</v>
      </c>
      <c r="B414" s="5" t="s">
        <v>1894</v>
      </c>
    </row>
    <row r="415" spans="1:2" ht="16.2" thickBot="1">
      <c r="A415" s="4" t="s">
        <v>1887</v>
      </c>
      <c r="B415" s="5" t="s">
        <v>1895</v>
      </c>
    </row>
    <row r="416" spans="1:2" ht="16.2" thickBot="1">
      <c r="A416" s="4" t="s">
        <v>1887</v>
      </c>
      <c r="B416" s="5" t="s">
        <v>1896</v>
      </c>
    </row>
    <row r="417" spans="1:2" ht="16.2" thickBot="1">
      <c r="A417" s="4" t="s">
        <v>54</v>
      </c>
      <c r="B417" s="5" t="s">
        <v>1897</v>
      </c>
    </row>
    <row r="418" spans="1:2" ht="16.2" thickBot="1">
      <c r="A418" s="4" t="s">
        <v>54</v>
      </c>
      <c r="B418" s="5" t="s">
        <v>1898</v>
      </c>
    </row>
    <row r="419" spans="1:2" ht="16.2" thickBot="1">
      <c r="A419" s="4" t="s">
        <v>54</v>
      </c>
      <c r="B419" s="5" t="s">
        <v>1899</v>
      </c>
    </row>
    <row r="420" spans="1:2" ht="16.2" thickBot="1">
      <c r="A420" s="4" t="s">
        <v>54</v>
      </c>
      <c r="B420" s="5" t="s">
        <v>1900</v>
      </c>
    </row>
    <row r="421" spans="1:2" ht="16.2" thickBot="1">
      <c r="A421" s="4" t="s">
        <v>54</v>
      </c>
      <c r="B421" s="5" t="s">
        <v>1901</v>
      </c>
    </row>
    <row r="422" spans="1:2" ht="16.2" thickBot="1">
      <c r="A422" s="4" t="s">
        <v>54</v>
      </c>
      <c r="B422" s="5" t="s">
        <v>1902</v>
      </c>
    </row>
    <row r="423" spans="1:2" ht="16.2" thickBot="1">
      <c r="A423" s="4" t="s">
        <v>54</v>
      </c>
      <c r="B423" s="5" t="s">
        <v>1903</v>
      </c>
    </row>
    <row r="424" spans="1:2" ht="16.2" thickBot="1">
      <c r="A424" s="4" t="s">
        <v>54</v>
      </c>
      <c r="B424" s="5" t="s">
        <v>1904</v>
      </c>
    </row>
    <row r="425" spans="1:2" ht="16.2" thickBot="1">
      <c r="A425" s="4" t="s">
        <v>439</v>
      </c>
      <c r="B425" s="5" t="s">
        <v>1905</v>
      </c>
    </row>
    <row r="426" spans="1:2" ht="16.2" thickBot="1">
      <c r="A426" s="4" t="s">
        <v>439</v>
      </c>
      <c r="B426" s="5" t="s">
        <v>1906</v>
      </c>
    </row>
    <row r="427" spans="1:2" ht="16.2" thickBot="1">
      <c r="A427" s="4" t="s">
        <v>439</v>
      </c>
      <c r="B427" s="5" t="s">
        <v>1907</v>
      </c>
    </row>
    <row r="428" spans="1:2" ht="16.2" thickBot="1">
      <c r="A428" s="4" t="s">
        <v>439</v>
      </c>
      <c r="B428" s="5" t="s">
        <v>1908</v>
      </c>
    </row>
    <row r="429" spans="1:2" ht="16.2" thickBot="1">
      <c r="A429" s="4" t="s">
        <v>387</v>
      </c>
      <c r="B429" s="5" t="s">
        <v>1909</v>
      </c>
    </row>
    <row r="430" spans="1:2" ht="16.2" thickBot="1">
      <c r="A430" s="4" t="s">
        <v>387</v>
      </c>
      <c r="B430" s="5" t="s">
        <v>1910</v>
      </c>
    </row>
    <row r="431" spans="1:2" ht="16.2" thickBot="1">
      <c r="A431" s="4" t="s">
        <v>387</v>
      </c>
      <c r="B431" s="5" t="s">
        <v>1911</v>
      </c>
    </row>
    <row r="432" spans="1:2" ht="16.2" thickBot="1">
      <c r="A432" s="4" t="s">
        <v>387</v>
      </c>
      <c r="B432" s="5" t="s">
        <v>1912</v>
      </c>
    </row>
    <row r="433" spans="1:2" ht="16.2" thickBot="1">
      <c r="A433" s="4" t="s">
        <v>387</v>
      </c>
      <c r="B433" s="5" t="s">
        <v>1913</v>
      </c>
    </row>
    <row r="434" spans="1:2" ht="16.2" thickBot="1">
      <c r="A434" s="4" t="s">
        <v>387</v>
      </c>
      <c r="B434" s="5" t="s">
        <v>1914</v>
      </c>
    </row>
    <row r="435" spans="1:2" ht="16.2" thickBot="1">
      <c r="A435" s="4" t="s">
        <v>387</v>
      </c>
      <c r="B435" s="5" t="s">
        <v>1915</v>
      </c>
    </row>
    <row r="436" spans="1:2" ht="16.2" thickBot="1">
      <c r="A436" s="4" t="s">
        <v>387</v>
      </c>
      <c r="B436" s="5" t="s">
        <v>959</v>
      </c>
    </row>
    <row r="437" spans="1:2" ht="16.2" thickBot="1">
      <c r="A437" s="4" t="s">
        <v>387</v>
      </c>
      <c r="B437" s="5" t="s">
        <v>1916</v>
      </c>
    </row>
    <row r="438" spans="1:2" ht="16.2" thickBot="1">
      <c r="A438" s="4" t="s">
        <v>387</v>
      </c>
      <c r="B438" s="5" t="s">
        <v>390</v>
      </c>
    </row>
    <row r="439" spans="1:2" ht="16.2" thickBot="1">
      <c r="A439" s="4" t="s">
        <v>387</v>
      </c>
      <c r="B439" s="5" t="s">
        <v>1917</v>
      </c>
    </row>
    <row r="440" spans="1:2" ht="16.2" thickBot="1">
      <c r="A440" s="4" t="s">
        <v>387</v>
      </c>
      <c r="B440" s="5" t="s">
        <v>1918</v>
      </c>
    </row>
    <row r="441" spans="1:2" ht="16.2" thickBot="1">
      <c r="A441" s="4" t="s">
        <v>387</v>
      </c>
      <c r="B441" s="5" t="s">
        <v>961</v>
      </c>
    </row>
    <row r="442" spans="1:2" ht="16.2" thickBot="1">
      <c r="A442" s="4" t="s">
        <v>387</v>
      </c>
      <c r="B442" s="5" t="s">
        <v>1919</v>
      </c>
    </row>
    <row r="443" spans="1:2" ht="16.2" thickBot="1">
      <c r="A443" s="4" t="s">
        <v>387</v>
      </c>
      <c r="B443" s="5" t="s">
        <v>1920</v>
      </c>
    </row>
    <row r="444" spans="1:2" ht="16.2" thickBot="1">
      <c r="A444" s="4" t="s">
        <v>387</v>
      </c>
      <c r="B444" s="5" t="s">
        <v>1921</v>
      </c>
    </row>
    <row r="445" spans="1:2" ht="16.2" thickBot="1">
      <c r="A445" s="4" t="s">
        <v>387</v>
      </c>
      <c r="B445" s="5" t="s">
        <v>394</v>
      </c>
    </row>
    <row r="446" spans="1:2" ht="16.2" thickBot="1">
      <c r="A446" s="4" t="s">
        <v>387</v>
      </c>
      <c r="B446" s="5" t="s">
        <v>1922</v>
      </c>
    </row>
    <row r="447" spans="1:2" ht="31.8" thickBot="1">
      <c r="A447" s="4" t="s">
        <v>1923</v>
      </c>
      <c r="B447" s="5" t="s">
        <v>1924</v>
      </c>
    </row>
    <row r="448" spans="1:2" ht="16.2" thickBot="1">
      <c r="A448" s="4" t="s">
        <v>1923</v>
      </c>
      <c r="B448" s="5" t="s">
        <v>1925</v>
      </c>
    </row>
    <row r="449" spans="1:2" ht="16.2" thickBot="1">
      <c r="A449" s="4" t="s">
        <v>1923</v>
      </c>
      <c r="B449" s="5" t="s">
        <v>1926</v>
      </c>
    </row>
    <row r="450" spans="1:2" ht="16.2" thickBot="1">
      <c r="A450" s="4" t="s">
        <v>1923</v>
      </c>
      <c r="B450" s="5" t="s">
        <v>1927</v>
      </c>
    </row>
    <row r="451" spans="1:2" ht="16.2" thickBot="1">
      <c r="A451" s="4" t="s">
        <v>1923</v>
      </c>
      <c r="B451" s="5" t="s">
        <v>1928</v>
      </c>
    </row>
    <row r="452" spans="1:2" ht="16.2" thickBot="1">
      <c r="A452" s="4" t="s">
        <v>1923</v>
      </c>
      <c r="B452" s="5" t="s">
        <v>1929</v>
      </c>
    </row>
    <row r="453" spans="1:2" ht="16.2" thickBot="1">
      <c r="A453" s="4" t="s">
        <v>1923</v>
      </c>
      <c r="B453" s="5" t="s">
        <v>1930</v>
      </c>
    </row>
    <row r="454" spans="1:2" ht="16.2" thickBot="1">
      <c r="A454" s="4" t="s">
        <v>1923</v>
      </c>
      <c r="B454" s="5" t="s">
        <v>1931</v>
      </c>
    </row>
    <row r="455" spans="1:2" ht="16.2" thickBot="1">
      <c r="A455" s="4" t="s">
        <v>1923</v>
      </c>
      <c r="B455" s="5" t="s">
        <v>1932</v>
      </c>
    </row>
    <row r="456" spans="1:2" ht="16.2" thickBot="1">
      <c r="A456" s="4" t="s">
        <v>1923</v>
      </c>
      <c r="B456" s="5" t="s">
        <v>1933</v>
      </c>
    </row>
    <row r="457" spans="1:2" ht="16.2" thickBot="1">
      <c r="A457" s="4" t="s">
        <v>1923</v>
      </c>
      <c r="B457" s="5" t="s">
        <v>1934</v>
      </c>
    </row>
    <row r="458" spans="1:2" ht="31.8" thickBot="1">
      <c r="A458" s="4" t="s">
        <v>1923</v>
      </c>
      <c r="B458" s="5" t="s">
        <v>1935</v>
      </c>
    </row>
    <row r="459" spans="1:2" ht="31.8" thickBot="1">
      <c r="A459" s="4" t="s">
        <v>1923</v>
      </c>
      <c r="B459" s="5" t="s">
        <v>1936</v>
      </c>
    </row>
    <row r="460" spans="1:2" ht="16.2" thickBot="1">
      <c r="A460" s="4" t="s">
        <v>40</v>
      </c>
      <c r="B460" s="5" t="s">
        <v>1937</v>
      </c>
    </row>
    <row r="461" spans="1:2" ht="16.2" thickBot="1">
      <c r="A461" s="4" t="s">
        <v>40</v>
      </c>
      <c r="B461" s="5" t="s">
        <v>1938</v>
      </c>
    </row>
    <row r="462" spans="1:2" ht="16.2" thickBot="1">
      <c r="A462" s="4" t="s">
        <v>40</v>
      </c>
      <c r="B462" s="5" t="s">
        <v>1939</v>
      </c>
    </row>
    <row r="463" spans="1:2" ht="16.2" thickBot="1">
      <c r="A463" s="4" t="s">
        <v>40</v>
      </c>
      <c r="B463" s="5" t="s">
        <v>1940</v>
      </c>
    </row>
    <row r="464" spans="1:2" ht="16.2" thickBot="1">
      <c r="A464" s="4" t="s">
        <v>40</v>
      </c>
      <c r="B464" s="5" t="s">
        <v>1941</v>
      </c>
    </row>
    <row r="465" spans="1:2" ht="16.2" thickBot="1">
      <c r="A465" s="4" t="s">
        <v>40</v>
      </c>
      <c r="B465" s="5" t="s">
        <v>1942</v>
      </c>
    </row>
    <row r="466" spans="1:2" ht="16.2" thickBot="1">
      <c r="A466" s="4" t="s">
        <v>40</v>
      </c>
      <c r="B466" s="5" t="s">
        <v>1943</v>
      </c>
    </row>
    <row r="467" spans="1:2" ht="16.2" thickBot="1">
      <c r="A467" s="4" t="s">
        <v>40</v>
      </c>
      <c r="B467" s="5" t="s">
        <v>1944</v>
      </c>
    </row>
    <row r="468" spans="1:2" ht="16.2" thickBot="1">
      <c r="A468" s="4" t="s">
        <v>40</v>
      </c>
      <c r="B468" s="5" t="s">
        <v>1945</v>
      </c>
    </row>
    <row r="469" spans="1:2" ht="16.2" thickBot="1">
      <c r="A469" s="4" t="s">
        <v>40</v>
      </c>
      <c r="B469" s="5" t="s">
        <v>1946</v>
      </c>
    </row>
    <row r="470" spans="1:2" ht="16.2" thickBot="1">
      <c r="A470" s="4" t="s">
        <v>40</v>
      </c>
      <c r="B470" s="5" t="s">
        <v>1947</v>
      </c>
    </row>
    <row r="471" spans="1:2" ht="16.2" thickBot="1">
      <c r="A471" s="4" t="s">
        <v>40</v>
      </c>
      <c r="B471" s="5" t="s">
        <v>1948</v>
      </c>
    </row>
    <row r="472" spans="1:2" ht="16.2" thickBot="1">
      <c r="A472" s="4" t="s">
        <v>40</v>
      </c>
      <c r="B472" s="5" t="s">
        <v>1949</v>
      </c>
    </row>
    <row r="473" spans="1:2" ht="16.2" thickBot="1">
      <c r="A473" s="4" t="s">
        <v>40</v>
      </c>
      <c r="B473" s="5" t="s">
        <v>1950</v>
      </c>
    </row>
    <row r="474" spans="1:2" ht="16.2" thickBot="1">
      <c r="A474" s="4" t="s">
        <v>40</v>
      </c>
      <c r="B474" s="5" t="s">
        <v>1951</v>
      </c>
    </row>
    <row r="475" spans="1:2" ht="16.2" thickBot="1">
      <c r="A475" s="4" t="s">
        <v>40</v>
      </c>
      <c r="B475" s="5" t="s">
        <v>1952</v>
      </c>
    </row>
    <row r="476" spans="1:2" ht="16.2" thickBot="1">
      <c r="A476" s="4" t="s">
        <v>40</v>
      </c>
      <c r="B476" s="5" t="s">
        <v>1953</v>
      </c>
    </row>
    <row r="477" spans="1:2" ht="16.2" thickBot="1">
      <c r="A477" s="4" t="s">
        <v>40</v>
      </c>
      <c r="B477" s="5" t="s">
        <v>1954</v>
      </c>
    </row>
    <row r="478" spans="1:2" ht="16.2" thickBot="1">
      <c r="A478" s="4" t="s">
        <v>40</v>
      </c>
      <c r="B478" s="5" t="s">
        <v>1955</v>
      </c>
    </row>
    <row r="479" spans="1:2" ht="16.2" thickBot="1">
      <c r="A479" s="4" t="s">
        <v>40</v>
      </c>
      <c r="B479" s="5" t="s">
        <v>1956</v>
      </c>
    </row>
    <row r="480" spans="1:2" ht="16.2" thickBot="1">
      <c r="A480" s="4" t="s">
        <v>40</v>
      </c>
      <c r="B480" s="5" t="s">
        <v>1957</v>
      </c>
    </row>
    <row r="481" spans="1:2" ht="16.2" thickBot="1">
      <c r="A481" s="4" t="s">
        <v>40</v>
      </c>
      <c r="B481" s="5" t="s">
        <v>1958</v>
      </c>
    </row>
    <row r="482" spans="1:2" ht="16.2" thickBot="1">
      <c r="A482" s="4" t="s">
        <v>40</v>
      </c>
      <c r="B482" s="5" t="s">
        <v>1959</v>
      </c>
    </row>
    <row r="483" spans="1:2" ht="16.2" thickBot="1">
      <c r="A483" s="4" t="s">
        <v>40</v>
      </c>
      <c r="B483" s="5" t="s">
        <v>1960</v>
      </c>
    </row>
    <row r="484" spans="1:2" ht="16.2" thickBot="1">
      <c r="A484" s="6" t="s">
        <v>1961</v>
      </c>
      <c r="B484" s="5" t="s">
        <v>1962</v>
      </c>
    </row>
    <row r="485" spans="1:2" ht="16.2" thickBot="1">
      <c r="A485" s="4" t="s">
        <v>670</v>
      </c>
      <c r="B485" s="5" t="s">
        <v>1963</v>
      </c>
    </row>
    <row r="486" spans="1:2" ht="16.2" thickBot="1">
      <c r="A486" s="4" t="s">
        <v>670</v>
      </c>
      <c r="B486" s="5" t="s">
        <v>1964</v>
      </c>
    </row>
    <row r="487" spans="1:2" ht="16.2" thickBot="1">
      <c r="A487" s="4" t="s">
        <v>670</v>
      </c>
      <c r="B487" s="5" t="s">
        <v>1965</v>
      </c>
    </row>
    <row r="488" spans="1:2" ht="16.2" thickBot="1">
      <c r="A488" s="4" t="s">
        <v>670</v>
      </c>
      <c r="B488" s="5" t="s">
        <v>1966</v>
      </c>
    </row>
    <row r="489" spans="1:2" ht="16.2" thickBot="1">
      <c r="A489" s="4" t="s">
        <v>670</v>
      </c>
      <c r="B489" s="5" t="s">
        <v>1967</v>
      </c>
    </row>
    <row r="490" spans="1:2" ht="16.2" thickBot="1">
      <c r="A490" s="4" t="s">
        <v>670</v>
      </c>
      <c r="B490" s="5" t="s">
        <v>1151</v>
      </c>
    </row>
    <row r="491" spans="1:2" ht="16.2" thickBot="1">
      <c r="A491" s="4" t="s">
        <v>409</v>
      </c>
      <c r="B491" s="5">
        <v>2</v>
      </c>
    </row>
    <row r="492" spans="1:2" ht="16.2" thickBot="1">
      <c r="A492" s="4" t="s">
        <v>409</v>
      </c>
      <c r="B492" s="5">
        <v>6</v>
      </c>
    </row>
    <row r="493" spans="1:2" ht="16.2" thickBot="1">
      <c r="A493" s="4" t="s">
        <v>409</v>
      </c>
      <c r="B493" s="5" t="s">
        <v>1968</v>
      </c>
    </row>
    <row r="494" spans="1:2" ht="16.2" thickBot="1">
      <c r="A494" s="4" t="s">
        <v>409</v>
      </c>
      <c r="B494" s="5" t="s">
        <v>1969</v>
      </c>
    </row>
    <row r="495" spans="1:2" ht="16.2" thickBot="1">
      <c r="A495" s="4" t="s">
        <v>409</v>
      </c>
      <c r="B495" s="5" t="s">
        <v>1970</v>
      </c>
    </row>
    <row r="496" spans="1:2" ht="16.2" thickBot="1">
      <c r="A496" s="4" t="s">
        <v>409</v>
      </c>
      <c r="B496" s="5" t="s">
        <v>1971</v>
      </c>
    </row>
    <row r="497" spans="1:2" ht="16.2" thickBot="1">
      <c r="A497" s="4" t="s">
        <v>409</v>
      </c>
      <c r="B497" s="5" t="s">
        <v>1972</v>
      </c>
    </row>
    <row r="498" spans="1:2" ht="16.2" thickBot="1">
      <c r="A498" s="4" t="s">
        <v>409</v>
      </c>
      <c r="B498" s="5" t="s">
        <v>1973</v>
      </c>
    </row>
    <row r="499" spans="1:2" ht="16.2" thickBot="1">
      <c r="A499" s="4" t="s">
        <v>409</v>
      </c>
      <c r="B499" s="5" t="s">
        <v>1974</v>
      </c>
    </row>
    <row r="500" spans="1:2" ht="16.2" thickBot="1">
      <c r="A500" s="4" t="s">
        <v>409</v>
      </c>
      <c r="B500" s="5" t="s">
        <v>1975</v>
      </c>
    </row>
    <row r="501" spans="1:2" ht="16.2" thickBot="1">
      <c r="A501" s="4" t="s">
        <v>409</v>
      </c>
      <c r="B501" s="5" t="s">
        <v>1976</v>
      </c>
    </row>
    <row r="502" spans="1:2" ht="16.2" thickBot="1">
      <c r="A502" s="4" t="s">
        <v>1977</v>
      </c>
      <c r="B502" s="5" t="s">
        <v>1978</v>
      </c>
    </row>
    <row r="503" spans="1:2" ht="16.2" thickBot="1">
      <c r="A503" s="4" t="s">
        <v>1977</v>
      </c>
      <c r="B503" s="5" t="s">
        <v>1979</v>
      </c>
    </row>
    <row r="504" spans="1:2" ht="16.2" thickBot="1">
      <c r="A504" s="4" t="s">
        <v>1977</v>
      </c>
      <c r="B504" s="5" t="s">
        <v>1980</v>
      </c>
    </row>
    <row r="505" spans="1:2" ht="16.2" thickBot="1">
      <c r="A505" s="4" t="s">
        <v>1977</v>
      </c>
      <c r="B505" s="5" t="s">
        <v>1981</v>
      </c>
    </row>
    <row r="506" spans="1:2" ht="16.2" thickBot="1">
      <c r="A506" s="4" t="s">
        <v>1977</v>
      </c>
      <c r="B506" s="5" t="s">
        <v>1982</v>
      </c>
    </row>
    <row r="507" spans="1:2" ht="16.2" thickBot="1">
      <c r="A507" s="4" t="s">
        <v>1977</v>
      </c>
      <c r="B507" s="5" t="s">
        <v>1983</v>
      </c>
    </row>
    <row r="508" spans="1:2" ht="16.2" thickBot="1">
      <c r="A508" s="4" t="s">
        <v>1977</v>
      </c>
      <c r="B508" s="5" t="s">
        <v>1984</v>
      </c>
    </row>
    <row r="509" spans="1:2" ht="16.2" thickBot="1">
      <c r="A509" s="4" t="s">
        <v>1977</v>
      </c>
      <c r="B509" s="5" t="s">
        <v>1985</v>
      </c>
    </row>
    <row r="510" spans="1:2" ht="16.2" thickBot="1">
      <c r="A510" s="4" t="s">
        <v>1977</v>
      </c>
      <c r="B510" s="5" t="s">
        <v>1986</v>
      </c>
    </row>
    <row r="511" spans="1:2" ht="16.2" thickBot="1">
      <c r="A511" s="4" t="s">
        <v>1977</v>
      </c>
      <c r="B511" s="5" t="s">
        <v>1987</v>
      </c>
    </row>
    <row r="512" spans="1:2" ht="31.8" thickBot="1">
      <c r="A512" s="4" t="s">
        <v>1977</v>
      </c>
      <c r="B512" s="5" t="s">
        <v>1988</v>
      </c>
    </row>
    <row r="513" spans="1:2" ht="16.2" thickBot="1">
      <c r="A513" s="4" t="s">
        <v>1977</v>
      </c>
      <c r="B513" s="5" t="s">
        <v>1989</v>
      </c>
    </row>
    <row r="514" spans="1:2" ht="16.2" thickBot="1">
      <c r="A514" s="4" t="s">
        <v>1990</v>
      </c>
      <c r="B514" s="5" t="s">
        <v>1991</v>
      </c>
    </row>
    <row r="515" spans="1:2" ht="16.2" thickBot="1">
      <c r="A515" s="4" t="s">
        <v>1990</v>
      </c>
      <c r="B515" s="5" t="s">
        <v>1992</v>
      </c>
    </row>
    <row r="516" spans="1:2" ht="16.2" thickBot="1">
      <c r="A516" s="4" t="s">
        <v>1993</v>
      </c>
      <c r="B516" s="5" t="s">
        <v>1994</v>
      </c>
    </row>
    <row r="517" spans="1:2" ht="16.2" thickBot="1">
      <c r="A517" s="4" t="s">
        <v>104</v>
      </c>
      <c r="B517" s="5" t="s">
        <v>1995</v>
      </c>
    </row>
    <row r="518" spans="1:2" ht="16.2" thickBot="1">
      <c r="A518" s="4" t="s">
        <v>104</v>
      </c>
      <c r="B518" s="5" t="s">
        <v>1996</v>
      </c>
    </row>
    <row r="519" spans="1:2" ht="16.2" thickBot="1">
      <c r="A519" s="4" t="s">
        <v>104</v>
      </c>
      <c r="B519" s="5" t="s">
        <v>1997</v>
      </c>
    </row>
    <row r="520" spans="1:2" ht="16.2" thickBot="1">
      <c r="A520" s="4" t="s">
        <v>104</v>
      </c>
      <c r="B520" s="5" t="s">
        <v>1998</v>
      </c>
    </row>
    <row r="521" spans="1:2" ht="16.2" thickBot="1">
      <c r="A521" s="4" t="s">
        <v>104</v>
      </c>
      <c r="B521" s="5" t="s">
        <v>1999</v>
      </c>
    </row>
    <row r="522" spans="1:2" ht="16.2" thickBot="1">
      <c r="A522" s="4" t="s">
        <v>104</v>
      </c>
      <c r="B522" s="5" t="s">
        <v>2000</v>
      </c>
    </row>
    <row r="523" spans="1:2" ht="16.2" thickBot="1">
      <c r="A523" s="4" t="s">
        <v>104</v>
      </c>
      <c r="B523" s="5" t="s">
        <v>2001</v>
      </c>
    </row>
    <row r="524" spans="1:2" ht="16.2" thickBot="1">
      <c r="A524" s="4" t="s">
        <v>104</v>
      </c>
      <c r="B524" s="5" t="s">
        <v>2002</v>
      </c>
    </row>
    <row r="525" spans="1:2" ht="16.2" thickBot="1">
      <c r="A525" s="4" t="s">
        <v>104</v>
      </c>
      <c r="B525" s="5" t="s">
        <v>2003</v>
      </c>
    </row>
    <row r="526" spans="1:2" ht="16.2" thickBot="1">
      <c r="A526" s="4" t="s">
        <v>104</v>
      </c>
      <c r="B526" s="5" t="s">
        <v>2004</v>
      </c>
    </row>
    <row r="527" spans="1:2" ht="16.2" thickBot="1">
      <c r="A527" s="4" t="s">
        <v>104</v>
      </c>
      <c r="B527" s="5" t="s">
        <v>2005</v>
      </c>
    </row>
    <row r="528" spans="1:2" ht="16.2" thickBot="1">
      <c r="A528" s="4" t="s">
        <v>104</v>
      </c>
      <c r="B528" s="5" t="s">
        <v>2006</v>
      </c>
    </row>
    <row r="529" spans="1:2" ht="16.2" thickBot="1">
      <c r="A529" s="4" t="s">
        <v>104</v>
      </c>
      <c r="B529" s="5" t="s">
        <v>2007</v>
      </c>
    </row>
    <row r="530" spans="1:2" ht="16.2" thickBot="1">
      <c r="A530" s="4" t="s">
        <v>104</v>
      </c>
      <c r="B530" s="5" t="s">
        <v>2008</v>
      </c>
    </row>
    <row r="531" spans="1:2" ht="16.2" thickBot="1">
      <c r="A531" s="4" t="s">
        <v>104</v>
      </c>
      <c r="B531" s="5" t="s">
        <v>2009</v>
      </c>
    </row>
    <row r="532" spans="1:2" ht="16.2" thickBot="1">
      <c r="A532" s="4" t="s">
        <v>104</v>
      </c>
      <c r="B532" s="5" t="s">
        <v>2010</v>
      </c>
    </row>
    <row r="533" spans="1:2" ht="16.2" thickBot="1">
      <c r="A533" s="4" t="s">
        <v>104</v>
      </c>
      <c r="B533" s="5" t="s">
        <v>2011</v>
      </c>
    </row>
    <row r="534" spans="1:2" ht="16.2" thickBot="1">
      <c r="A534" s="4" t="s">
        <v>104</v>
      </c>
      <c r="B534" s="5" t="s">
        <v>2012</v>
      </c>
    </row>
    <row r="535" spans="1:2" ht="16.2" thickBot="1">
      <c r="A535" s="4" t="s">
        <v>104</v>
      </c>
      <c r="B535" s="5" t="s">
        <v>2013</v>
      </c>
    </row>
    <row r="536" spans="1:2" ht="16.2" thickBot="1">
      <c r="A536" s="4" t="s">
        <v>104</v>
      </c>
      <c r="B536" s="5" t="s">
        <v>2014</v>
      </c>
    </row>
    <row r="537" spans="1:2" ht="16.2" thickBot="1">
      <c r="A537" s="4" t="s">
        <v>104</v>
      </c>
      <c r="B537" s="5" t="s">
        <v>2015</v>
      </c>
    </row>
    <row r="538" spans="1:2" ht="16.2" thickBot="1">
      <c r="A538" s="4" t="s">
        <v>104</v>
      </c>
      <c r="B538" s="5" t="s">
        <v>2016</v>
      </c>
    </row>
    <row r="539" spans="1:2" ht="16.2" thickBot="1">
      <c r="A539" s="4" t="s">
        <v>104</v>
      </c>
      <c r="B539" s="5" t="s">
        <v>2017</v>
      </c>
    </row>
    <row r="540" spans="1:2" ht="16.2" thickBot="1">
      <c r="A540" s="4" t="s">
        <v>104</v>
      </c>
      <c r="B540" s="5" t="s">
        <v>2018</v>
      </c>
    </row>
    <row r="541" spans="1:2" ht="16.2" thickBot="1">
      <c r="A541" s="4" t="s">
        <v>104</v>
      </c>
      <c r="B541" s="5" t="s">
        <v>2019</v>
      </c>
    </row>
    <row r="542" spans="1:2" ht="16.2" thickBot="1">
      <c r="A542" s="4" t="s">
        <v>104</v>
      </c>
      <c r="B542" s="5" t="s">
        <v>2020</v>
      </c>
    </row>
    <row r="543" spans="1:2" ht="16.2" thickBot="1">
      <c r="A543" s="4" t="s">
        <v>104</v>
      </c>
      <c r="B543" s="5" t="s">
        <v>2021</v>
      </c>
    </row>
    <row r="544" spans="1:2" ht="16.2" thickBot="1">
      <c r="A544" s="4" t="s">
        <v>104</v>
      </c>
      <c r="B544" s="5" t="s">
        <v>2022</v>
      </c>
    </row>
    <row r="545" spans="1:2" ht="16.2" thickBot="1">
      <c r="A545" s="4" t="s">
        <v>104</v>
      </c>
      <c r="B545" s="5" t="s">
        <v>2023</v>
      </c>
    </row>
    <row r="546" spans="1:2" ht="16.2" thickBot="1">
      <c r="A546" s="4" t="s">
        <v>104</v>
      </c>
      <c r="B546" s="5" t="s">
        <v>2024</v>
      </c>
    </row>
    <row r="547" spans="1:2" ht="16.2" thickBot="1">
      <c r="A547" s="4" t="s">
        <v>104</v>
      </c>
      <c r="B547" s="5" t="s">
        <v>2025</v>
      </c>
    </row>
    <row r="548" spans="1:2" ht="16.2" thickBot="1">
      <c r="A548" s="4" t="s">
        <v>104</v>
      </c>
      <c r="B548" s="5" t="s">
        <v>2026</v>
      </c>
    </row>
    <row r="549" spans="1:2" ht="16.2" thickBot="1">
      <c r="A549" s="4" t="s">
        <v>104</v>
      </c>
      <c r="B549" s="5" t="s">
        <v>2027</v>
      </c>
    </row>
    <row r="550" spans="1:2" ht="16.2" thickBot="1">
      <c r="A550" s="4" t="s">
        <v>104</v>
      </c>
      <c r="B550" s="5" t="s">
        <v>2028</v>
      </c>
    </row>
    <row r="551" spans="1:2" ht="16.2" thickBot="1">
      <c r="A551" s="4" t="s">
        <v>104</v>
      </c>
      <c r="B551" s="5" t="s">
        <v>2029</v>
      </c>
    </row>
    <row r="552" spans="1:2" ht="16.2" thickBot="1">
      <c r="A552" s="4" t="s">
        <v>104</v>
      </c>
      <c r="B552" s="5" t="s">
        <v>2030</v>
      </c>
    </row>
    <row r="553" spans="1:2" ht="16.2" thickBot="1">
      <c r="A553" s="4" t="s">
        <v>104</v>
      </c>
      <c r="B553" s="5" t="s">
        <v>2031</v>
      </c>
    </row>
    <row r="554" spans="1:2" ht="16.2" thickBot="1">
      <c r="A554" s="4" t="s">
        <v>104</v>
      </c>
      <c r="B554" s="5" t="s">
        <v>2032</v>
      </c>
    </row>
    <row r="555" spans="1:2" ht="16.2" thickBot="1">
      <c r="A555" s="4" t="s">
        <v>104</v>
      </c>
      <c r="B555" s="5" t="s">
        <v>2033</v>
      </c>
    </row>
    <row r="556" spans="1:2" ht="16.2" thickBot="1">
      <c r="A556" s="4" t="s">
        <v>104</v>
      </c>
      <c r="B556" s="5" t="s">
        <v>2034</v>
      </c>
    </row>
    <row r="557" spans="1:2" ht="16.2" thickBot="1">
      <c r="A557" s="4" t="s">
        <v>104</v>
      </c>
      <c r="B557" s="5" t="s">
        <v>2035</v>
      </c>
    </row>
    <row r="558" spans="1:2" ht="16.2" thickBot="1">
      <c r="A558" s="4" t="s">
        <v>104</v>
      </c>
      <c r="B558" s="5" t="s">
        <v>2036</v>
      </c>
    </row>
    <row r="559" spans="1:2" ht="16.2" thickBot="1">
      <c r="A559" s="4" t="s">
        <v>104</v>
      </c>
      <c r="B559" s="5" t="s">
        <v>2037</v>
      </c>
    </row>
    <row r="560" spans="1:2" ht="16.2" thickBot="1">
      <c r="A560" s="4" t="s">
        <v>104</v>
      </c>
      <c r="B560" s="5" t="s">
        <v>2038</v>
      </c>
    </row>
    <row r="561" spans="1:2" ht="16.2" thickBot="1">
      <c r="A561" s="4" t="s">
        <v>104</v>
      </c>
      <c r="B561" s="5" t="s">
        <v>2039</v>
      </c>
    </row>
    <row r="562" spans="1:2" ht="16.2" thickBot="1">
      <c r="A562" s="4" t="s">
        <v>104</v>
      </c>
      <c r="B562" s="5" t="s">
        <v>2040</v>
      </c>
    </row>
    <row r="563" spans="1:2" ht="16.2" thickBot="1">
      <c r="A563" s="4" t="s">
        <v>104</v>
      </c>
      <c r="B563" s="5" t="s">
        <v>2041</v>
      </c>
    </row>
    <row r="564" spans="1:2" ht="16.2" thickBot="1">
      <c r="A564" s="4" t="s">
        <v>104</v>
      </c>
      <c r="B564" s="5" t="s">
        <v>2042</v>
      </c>
    </row>
    <row r="565" spans="1:2" ht="16.2" thickBot="1">
      <c r="A565" s="4" t="s">
        <v>104</v>
      </c>
      <c r="B565" s="5" t="s">
        <v>2043</v>
      </c>
    </row>
    <row r="566" spans="1:2" ht="16.2" thickBot="1">
      <c r="A566" s="4" t="s">
        <v>104</v>
      </c>
      <c r="B566" s="5" t="s">
        <v>2044</v>
      </c>
    </row>
    <row r="567" spans="1:2" ht="16.2" thickBot="1">
      <c r="A567" s="4" t="s">
        <v>104</v>
      </c>
      <c r="B567" s="5" t="s">
        <v>2045</v>
      </c>
    </row>
    <row r="568" spans="1:2" ht="16.2" thickBot="1">
      <c r="A568" s="4" t="s">
        <v>104</v>
      </c>
      <c r="B568" s="5" t="s">
        <v>2046</v>
      </c>
    </row>
    <row r="569" spans="1:2" ht="16.2" thickBot="1">
      <c r="A569" s="4" t="s">
        <v>104</v>
      </c>
      <c r="B569" s="5" t="s">
        <v>2047</v>
      </c>
    </row>
    <row r="570" spans="1:2" ht="16.2" thickBot="1">
      <c r="A570" s="4" t="s">
        <v>104</v>
      </c>
      <c r="B570" s="5" t="s">
        <v>2048</v>
      </c>
    </row>
    <row r="571" spans="1:2" ht="16.2" thickBot="1">
      <c r="A571" s="4" t="s">
        <v>104</v>
      </c>
      <c r="B571" s="5" t="s">
        <v>2049</v>
      </c>
    </row>
    <row r="572" spans="1:2" ht="16.2" thickBot="1">
      <c r="A572" s="4" t="s">
        <v>104</v>
      </c>
      <c r="B572" s="5" t="s">
        <v>2050</v>
      </c>
    </row>
    <row r="573" spans="1:2" ht="16.2" thickBot="1">
      <c r="A573" s="4" t="s">
        <v>104</v>
      </c>
      <c r="B573" s="5" t="s">
        <v>2051</v>
      </c>
    </row>
    <row r="574" spans="1:2" ht="16.2" thickBot="1">
      <c r="A574" s="4" t="s">
        <v>104</v>
      </c>
      <c r="B574" s="5" t="s">
        <v>2052</v>
      </c>
    </row>
    <row r="575" spans="1:2" ht="16.2" thickBot="1">
      <c r="A575" s="4" t="s">
        <v>104</v>
      </c>
      <c r="B575" s="5" t="s">
        <v>2053</v>
      </c>
    </row>
    <row r="576" spans="1:2" ht="16.2" thickBot="1">
      <c r="A576" s="4" t="s">
        <v>104</v>
      </c>
      <c r="B576" s="5" t="s">
        <v>2054</v>
      </c>
    </row>
    <row r="577" spans="1:2" ht="16.2" thickBot="1">
      <c r="A577" s="4" t="s">
        <v>104</v>
      </c>
      <c r="B577" s="5" t="s">
        <v>2055</v>
      </c>
    </row>
    <row r="578" spans="1:2" ht="16.2" thickBot="1">
      <c r="A578" s="4" t="s">
        <v>104</v>
      </c>
      <c r="B578" s="5" t="s">
        <v>2056</v>
      </c>
    </row>
    <row r="579" spans="1:2" ht="16.2" thickBot="1">
      <c r="A579" s="4" t="s">
        <v>104</v>
      </c>
      <c r="B579" s="5" t="s">
        <v>2057</v>
      </c>
    </row>
    <row r="580" spans="1:2" ht="16.2" thickBot="1">
      <c r="A580" s="4" t="s">
        <v>104</v>
      </c>
      <c r="B580" s="5" t="s">
        <v>2058</v>
      </c>
    </row>
    <row r="581" spans="1:2" ht="16.2" thickBot="1">
      <c r="A581" s="4" t="s">
        <v>104</v>
      </c>
      <c r="B581" s="5" t="s">
        <v>2059</v>
      </c>
    </row>
    <row r="582" spans="1:2" ht="16.2" thickBot="1">
      <c r="A582" s="4" t="s">
        <v>104</v>
      </c>
      <c r="B582" s="5" t="s">
        <v>2060</v>
      </c>
    </row>
    <row r="583" spans="1:2" ht="16.2" thickBot="1">
      <c r="A583" s="4" t="s">
        <v>104</v>
      </c>
      <c r="B583" s="5" t="s">
        <v>2061</v>
      </c>
    </row>
    <row r="584" spans="1:2" ht="16.2" thickBot="1">
      <c r="A584" s="4" t="s">
        <v>104</v>
      </c>
      <c r="B584" s="5" t="s">
        <v>2062</v>
      </c>
    </row>
    <row r="585" spans="1:2" ht="16.2" thickBot="1">
      <c r="A585" s="4" t="s">
        <v>104</v>
      </c>
      <c r="B585" s="5" t="s">
        <v>2063</v>
      </c>
    </row>
    <row r="586" spans="1:2" ht="16.2" thickBot="1">
      <c r="A586" s="4" t="s">
        <v>104</v>
      </c>
      <c r="B586" s="5" t="s">
        <v>2064</v>
      </c>
    </row>
    <row r="587" spans="1:2" ht="16.2" thickBot="1">
      <c r="A587" s="4" t="s">
        <v>104</v>
      </c>
      <c r="B587" s="5" t="s">
        <v>2065</v>
      </c>
    </row>
    <row r="588" spans="1:2" ht="16.2" thickBot="1">
      <c r="A588" s="4" t="s">
        <v>104</v>
      </c>
      <c r="B588" s="5" t="s">
        <v>2066</v>
      </c>
    </row>
    <row r="589" spans="1:2" ht="16.2" thickBot="1">
      <c r="A589" s="4" t="s">
        <v>104</v>
      </c>
      <c r="B589" s="5" t="s">
        <v>2067</v>
      </c>
    </row>
    <row r="590" spans="1:2" ht="16.2" thickBot="1">
      <c r="A590" s="4" t="s">
        <v>104</v>
      </c>
      <c r="B590" s="5" t="s">
        <v>2068</v>
      </c>
    </row>
    <row r="591" spans="1:2" ht="16.2" thickBot="1">
      <c r="A591" s="4" t="s">
        <v>104</v>
      </c>
      <c r="B591" s="5" t="s">
        <v>2069</v>
      </c>
    </row>
    <row r="592" spans="1:2" ht="16.2" thickBot="1">
      <c r="A592" s="4" t="s">
        <v>104</v>
      </c>
      <c r="B592" s="5" t="s">
        <v>2070</v>
      </c>
    </row>
    <row r="593" spans="1:2" ht="16.2" thickBot="1">
      <c r="A593" s="4" t="s">
        <v>104</v>
      </c>
      <c r="B593" s="5" t="s">
        <v>2071</v>
      </c>
    </row>
    <row r="594" spans="1:2" ht="16.2" thickBot="1">
      <c r="A594" s="4" t="s">
        <v>104</v>
      </c>
      <c r="B594" s="5" t="s">
        <v>2072</v>
      </c>
    </row>
    <row r="595" spans="1:2" ht="16.2" thickBot="1">
      <c r="A595" s="4" t="s">
        <v>104</v>
      </c>
      <c r="B595" s="5" t="s">
        <v>2073</v>
      </c>
    </row>
    <row r="596" spans="1:2" ht="16.2" thickBot="1">
      <c r="A596" s="4" t="s">
        <v>2074</v>
      </c>
      <c r="B596" s="5" t="s">
        <v>2075</v>
      </c>
    </row>
    <row r="597" spans="1:2" ht="16.2" thickBot="1">
      <c r="A597" s="4" t="s">
        <v>2074</v>
      </c>
      <c r="B597" s="5" t="s">
        <v>2076</v>
      </c>
    </row>
    <row r="598" spans="1:2" ht="16.2" thickBot="1">
      <c r="A598" s="4" t="s">
        <v>2077</v>
      </c>
      <c r="B598" s="5" t="s">
        <v>2078</v>
      </c>
    </row>
    <row r="599" spans="1:2" ht="16.2" thickBot="1">
      <c r="A599" s="4" t="s">
        <v>2077</v>
      </c>
      <c r="B599" s="5" t="s">
        <v>2079</v>
      </c>
    </row>
    <row r="600" spans="1:2" ht="16.2" thickBot="1">
      <c r="A600" s="4" t="s">
        <v>2077</v>
      </c>
      <c r="B600" s="5" t="s">
        <v>2080</v>
      </c>
    </row>
    <row r="601" spans="1:2" ht="16.2" thickBot="1">
      <c r="A601" s="4" t="s">
        <v>2077</v>
      </c>
      <c r="B601" s="5" t="s">
        <v>2081</v>
      </c>
    </row>
    <row r="602" spans="1:2" ht="16.2" thickBot="1">
      <c r="A602" s="4" t="s">
        <v>2077</v>
      </c>
      <c r="B602" s="5" t="s">
        <v>2082</v>
      </c>
    </row>
    <row r="603" spans="1:2" ht="16.2" thickBot="1">
      <c r="A603" s="4" t="s">
        <v>2077</v>
      </c>
      <c r="B603" s="5" t="s">
        <v>2083</v>
      </c>
    </row>
    <row r="604" spans="1:2" ht="16.2" thickBot="1">
      <c r="A604" s="4" t="s">
        <v>2077</v>
      </c>
      <c r="B604" s="5" t="s">
        <v>2084</v>
      </c>
    </row>
    <row r="605" spans="1:2" ht="16.2" thickBot="1">
      <c r="A605" s="4" t="s">
        <v>2077</v>
      </c>
      <c r="B605" s="5" t="s">
        <v>474</v>
      </c>
    </row>
    <row r="606" spans="1:2" ht="16.2" thickBot="1">
      <c r="A606" s="4" t="s">
        <v>2077</v>
      </c>
      <c r="B606" s="5" t="s">
        <v>754</v>
      </c>
    </row>
    <row r="607" spans="1:2" ht="16.2" thickBot="1">
      <c r="A607" s="4" t="s">
        <v>2077</v>
      </c>
      <c r="B607" s="5" t="s">
        <v>112</v>
      </c>
    </row>
    <row r="608" spans="1:2" ht="16.2" thickBot="1">
      <c r="A608" s="4" t="s">
        <v>2077</v>
      </c>
      <c r="B608" s="5" t="s">
        <v>2085</v>
      </c>
    </row>
    <row r="609" spans="1:7" ht="16.2" thickBot="1">
      <c r="A609" s="4" t="s">
        <v>2077</v>
      </c>
      <c r="B609" s="5" t="s">
        <v>2086</v>
      </c>
      <c r="D609" s="7"/>
      <c r="E609" s="7"/>
      <c r="F609" s="7"/>
      <c r="G609" s="7"/>
    </row>
    <row r="610" spans="1:7" ht="16.2" thickBot="1">
      <c r="A610" s="4" t="s">
        <v>2077</v>
      </c>
      <c r="B610" s="5" t="s">
        <v>2087</v>
      </c>
    </row>
    <row r="611" spans="1:7" ht="16.2" thickBot="1">
      <c r="A611" s="4" t="s">
        <v>2077</v>
      </c>
      <c r="B611" s="5" t="s">
        <v>2088</v>
      </c>
    </row>
    <row r="612" spans="1:7" ht="16.2" thickBot="1">
      <c r="A612" s="4" t="s">
        <v>120</v>
      </c>
      <c r="B612" s="5" t="s">
        <v>2089</v>
      </c>
    </row>
    <row r="613" spans="1:7" ht="16.2" thickBot="1">
      <c r="A613" s="4" t="s">
        <v>120</v>
      </c>
      <c r="B613" s="5" t="s">
        <v>2090</v>
      </c>
    </row>
    <row r="614" spans="1:7" ht="16.2" thickBot="1">
      <c r="A614" s="4" t="s">
        <v>120</v>
      </c>
      <c r="B614" s="5" t="s">
        <v>2091</v>
      </c>
    </row>
    <row r="615" spans="1:7" ht="16.2" thickBot="1">
      <c r="A615" s="4" t="s">
        <v>120</v>
      </c>
      <c r="B615" s="5" t="s">
        <v>2092</v>
      </c>
    </row>
    <row r="616" spans="1:7" ht="16.2" thickBot="1">
      <c r="A616" s="4" t="s">
        <v>120</v>
      </c>
      <c r="B616" s="5" t="s">
        <v>2093</v>
      </c>
    </row>
    <row r="617" spans="1:7" ht="16.2" thickBot="1">
      <c r="A617" s="4" t="s">
        <v>120</v>
      </c>
      <c r="B617" s="5" t="s">
        <v>2094</v>
      </c>
    </row>
    <row r="618" spans="1:7" ht="16.2" thickBot="1">
      <c r="A618" s="4" t="s">
        <v>120</v>
      </c>
      <c r="B618" s="5" t="s">
        <v>2095</v>
      </c>
    </row>
    <row r="619" spans="1:7" ht="16.2" thickBot="1">
      <c r="A619" s="4" t="s">
        <v>120</v>
      </c>
      <c r="B619" s="5" t="s">
        <v>2096</v>
      </c>
    </row>
    <row r="620" spans="1:7" ht="16.2" thickBot="1">
      <c r="A620" s="4" t="s">
        <v>120</v>
      </c>
      <c r="B620" s="5" t="s">
        <v>2097</v>
      </c>
    </row>
    <row r="621" spans="1:7" ht="16.2" thickBot="1">
      <c r="A621" s="4" t="s">
        <v>120</v>
      </c>
      <c r="B621" s="5" t="s">
        <v>2098</v>
      </c>
    </row>
    <row r="622" spans="1:7" ht="16.2" thickBot="1">
      <c r="A622" s="4" t="s">
        <v>120</v>
      </c>
      <c r="B622" s="5" t="s">
        <v>2099</v>
      </c>
    </row>
    <row r="623" spans="1:7" ht="16.2" thickBot="1">
      <c r="A623" s="4" t="s">
        <v>120</v>
      </c>
      <c r="B623" s="5" t="s">
        <v>2100</v>
      </c>
    </row>
    <row r="624" spans="1:7" ht="16.2" thickBot="1">
      <c r="A624" s="4" t="s">
        <v>120</v>
      </c>
      <c r="B624" s="5" t="s">
        <v>2063</v>
      </c>
    </row>
    <row r="625" spans="1:2" ht="16.2" thickBot="1">
      <c r="A625" s="4" t="s">
        <v>120</v>
      </c>
      <c r="B625" s="5" t="s">
        <v>2101</v>
      </c>
    </row>
    <row r="626" spans="1:2" ht="16.2" thickBot="1">
      <c r="A626" s="4" t="s">
        <v>120</v>
      </c>
      <c r="B626" s="5" t="s">
        <v>490</v>
      </c>
    </row>
    <row r="627" spans="1:2" ht="16.2" thickBot="1">
      <c r="A627" s="4" t="s">
        <v>120</v>
      </c>
      <c r="B627" s="5" t="s">
        <v>507</v>
      </c>
    </row>
    <row r="628" spans="1:2" ht="16.2" thickBot="1">
      <c r="A628" s="4" t="s">
        <v>2102</v>
      </c>
      <c r="B628" s="5" t="s">
        <v>2103</v>
      </c>
    </row>
    <row r="629" spans="1:2" ht="16.2" thickBot="1">
      <c r="A629" s="4" t="s">
        <v>2102</v>
      </c>
      <c r="B629" s="5" t="s">
        <v>2104</v>
      </c>
    </row>
    <row r="630" spans="1:2" ht="16.2" thickBot="1">
      <c r="A630" s="4" t="s">
        <v>508</v>
      </c>
      <c r="B630" s="5" t="s">
        <v>2105</v>
      </c>
    </row>
    <row r="631" spans="1:2" ht="16.2" thickBot="1">
      <c r="A631" s="4" t="s">
        <v>508</v>
      </c>
      <c r="B631" s="5" t="s">
        <v>2106</v>
      </c>
    </row>
    <row r="632" spans="1:2" ht="16.2" thickBot="1">
      <c r="A632" s="4" t="s">
        <v>508</v>
      </c>
      <c r="B632" s="5" t="s">
        <v>2107</v>
      </c>
    </row>
    <row r="633" spans="1:2" ht="16.2" thickBot="1">
      <c r="A633" s="4" t="s">
        <v>508</v>
      </c>
      <c r="B633" s="5" t="s">
        <v>2108</v>
      </c>
    </row>
    <row r="634" spans="1:2" ht="16.2" thickBot="1">
      <c r="A634" s="4" t="s">
        <v>508</v>
      </c>
      <c r="B634" s="5" t="s">
        <v>2109</v>
      </c>
    </row>
    <row r="635" spans="1:2" ht="16.2" thickBot="1">
      <c r="A635" s="4" t="s">
        <v>508</v>
      </c>
      <c r="B635" s="5" t="s">
        <v>2110</v>
      </c>
    </row>
    <row r="636" spans="1:2" ht="16.2" thickBot="1">
      <c r="A636" s="4" t="s">
        <v>508</v>
      </c>
      <c r="B636" s="5" t="s">
        <v>2111</v>
      </c>
    </row>
    <row r="637" spans="1:2" ht="16.2" thickBot="1">
      <c r="A637" s="4" t="s">
        <v>2112</v>
      </c>
      <c r="B637" s="5" t="s">
        <v>2113</v>
      </c>
    </row>
    <row r="638" spans="1:2" ht="16.2" thickBot="1">
      <c r="A638" s="4" t="s">
        <v>2112</v>
      </c>
      <c r="B638" s="5" t="s">
        <v>2114</v>
      </c>
    </row>
    <row r="639" spans="1:2" ht="16.2" thickBot="1">
      <c r="A639" s="4" t="s">
        <v>2112</v>
      </c>
      <c r="B639" s="5" t="s">
        <v>2115</v>
      </c>
    </row>
    <row r="640" spans="1:2" ht="16.2" thickBot="1">
      <c r="A640" s="4" t="s">
        <v>2112</v>
      </c>
      <c r="B640" s="5" t="s">
        <v>2116</v>
      </c>
    </row>
    <row r="641" spans="1:2" ht="16.2" thickBot="1">
      <c r="A641" s="4" t="s">
        <v>2117</v>
      </c>
      <c r="B641" s="5" t="s">
        <v>2118</v>
      </c>
    </row>
    <row r="642" spans="1:2" ht="16.2" thickBot="1">
      <c r="A642" s="4" t="s">
        <v>2117</v>
      </c>
      <c r="B642" s="5" t="s">
        <v>2119</v>
      </c>
    </row>
    <row r="643" spans="1:2" ht="16.2" thickBot="1">
      <c r="A643" s="4" t="s">
        <v>2117</v>
      </c>
      <c r="B643" s="5" t="s">
        <v>2120</v>
      </c>
    </row>
    <row r="644" spans="1:2" ht="16.2" thickBot="1">
      <c r="A644" s="4" t="s">
        <v>2117</v>
      </c>
      <c r="B644" s="5" t="s">
        <v>2121</v>
      </c>
    </row>
    <row r="645" spans="1:2" ht="16.2" thickBot="1">
      <c r="A645" s="4" t="s">
        <v>2117</v>
      </c>
      <c r="B645" s="5" t="s">
        <v>2122</v>
      </c>
    </row>
    <row r="646" spans="1:2" ht="16.2" thickBot="1">
      <c r="A646" s="4" t="s">
        <v>2117</v>
      </c>
      <c r="B646" s="5" t="s">
        <v>2123</v>
      </c>
    </row>
    <row r="647" spans="1:2" ht="16.2" thickBot="1">
      <c r="A647" s="4" t="s">
        <v>2117</v>
      </c>
      <c r="B647" s="5" t="s">
        <v>2124</v>
      </c>
    </row>
    <row r="648" spans="1:2" ht="16.2" thickBot="1">
      <c r="A648" s="4" t="s">
        <v>2117</v>
      </c>
      <c r="B648" s="5" t="s">
        <v>2125</v>
      </c>
    </row>
    <row r="649" spans="1:2" ht="16.2" thickBot="1">
      <c r="A649" s="4" t="s">
        <v>2117</v>
      </c>
      <c r="B649" s="5" t="s">
        <v>2126</v>
      </c>
    </row>
    <row r="650" spans="1:2" ht="16.2" thickBot="1">
      <c r="A650" s="4" t="s">
        <v>2117</v>
      </c>
      <c r="B650" s="5" t="s">
        <v>2127</v>
      </c>
    </row>
    <row r="651" spans="1:2" ht="16.2" thickBot="1">
      <c r="A651" s="4" t="s">
        <v>2117</v>
      </c>
      <c r="B651" s="5" t="s">
        <v>2128</v>
      </c>
    </row>
    <row r="652" spans="1:2" ht="16.2" thickBot="1">
      <c r="A652" s="4" t="s">
        <v>2117</v>
      </c>
      <c r="B652" s="5" t="s">
        <v>2129</v>
      </c>
    </row>
    <row r="653" spans="1:2" ht="16.2" thickBot="1">
      <c r="A653" s="4" t="s">
        <v>2117</v>
      </c>
      <c r="B653" s="5" t="s">
        <v>1467</v>
      </c>
    </row>
    <row r="654" spans="1:2" ht="16.2" thickBot="1">
      <c r="A654" s="4" t="s">
        <v>2117</v>
      </c>
      <c r="B654" s="5" t="s">
        <v>2130</v>
      </c>
    </row>
    <row r="655" spans="1:2" ht="16.2" thickBot="1">
      <c r="A655" s="4" t="s">
        <v>2117</v>
      </c>
      <c r="B655" s="5" t="s">
        <v>2131</v>
      </c>
    </row>
    <row r="656" spans="1:2" ht="16.2" thickBot="1">
      <c r="A656" s="4" t="s">
        <v>2117</v>
      </c>
      <c r="B656" s="5" t="s">
        <v>2132</v>
      </c>
    </row>
    <row r="657" spans="1:2" ht="16.2" thickBot="1">
      <c r="A657" s="4" t="s">
        <v>2117</v>
      </c>
      <c r="B657" s="5" t="s">
        <v>2133</v>
      </c>
    </row>
    <row r="658" spans="1:2" ht="16.2" thickBot="1">
      <c r="A658" s="4" t="s">
        <v>2117</v>
      </c>
      <c r="B658" s="5" t="s">
        <v>2134</v>
      </c>
    </row>
    <row r="659" spans="1:2" ht="16.2" thickBot="1">
      <c r="A659" s="4" t="s">
        <v>2117</v>
      </c>
      <c r="B659" s="5" t="s">
        <v>2135</v>
      </c>
    </row>
    <row r="660" spans="1:2" ht="16.2" thickBot="1">
      <c r="A660" s="4" t="s">
        <v>2117</v>
      </c>
      <c r="B660" s="5" t="s">
        <v>798</v>
      </c>
    </row>
    <row r="661" spans="1:2" ht="16.2" thickBot="1">
      <c r="A661" s="4" t="s">
        <v>2117</v>
      </c>
      <c r="B661" s="5" t="s">
        <v>802</v>
      </c>
    </row>
  </sheetData>
  <autoFilter ref="A1:B66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2"/>
  <sheetViews>
    <sheetView workbookViewId="0">
      <pane ySplit="200" topLeftCell="A201" activePane="bottomLeft" state="frozen"/>
      <selection pane="bottomLeft" activeCell="F23" sqref="F23"/>
    </sheetView>
  </sheetViews>
  <sheetFormatPr defaultRowHeight="13.2"/>
  <cols>
    <col min="1" max="1" width="23.88671875" customWidth="1"/>
    <col min="2" max="2" width="21.33203125" bestFit="1" customWidth="1"/>
    <col min="3" max="3" width="25.7773437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1" t="s">
        <v>123</v>
      </c>
      <c r="B2" s="1" t="s">
        <v>8</v>
      </c>
      <c r="C2" s="1" t="s">
        <v>535</v>
      </c>
    </row>
    <row r="3" spans="1:3">
      <c r="A3" s="1" t="s">
        <v>104</v>
      </c>
      <c r="B3" s="1" t="s">
        <v>107</v>
      </c>
      <c r="C3" s="1" t="s">
        <v>471</v>
      </c>
    </row>
    <row r="4" spans="1:3">
      <c r="A4" s="1" t="s">
        <v>53</v>
      </c>
      <c r="B4" s="1" t="s">
        <v>276</v>
      </c>
      <c r="C4" s="1" t="s">
        <v>284</v>
      </c>
    </row>
    <row r="5" spans="1:3">
      <c r="A5" s="1" t="s">
        <v>53</v>
      </c>
      <c r="B5" s="1" t="s">
        <v>276</v>
      </c>
      <c r="C5" s="1" t="s">
        <v>283</v>
      </c>
    </row>
    <row r="6" spans="1:3">
      <c r="A6" s="1" t="s">
        <v>53</v>
      </c>
      <c r="B6" s="1" t="s">
        <v>276</v>
      </c>
      <c r="C6" s="1" t="s">
        <v>616</v>
      </c>
    </row>
    <row r="7" spans="1:3">
      <c r="A7" s="1" t="s">
        <v>123</v>
      </c>
      <c r="B7" s="1" t="s">
        <v>123</v>
      </c>
      <c r="C7" s="1" t="s">
        <v>802</v>
      </c>
    </row>
    <row r="8" spans="1:3">
      <c r="A8" s="1" t="s">
        <v>27</v>
      </c>
      <c r="B8" s="1" t="s">
        <v>27</v>
      </c>
      <c r="C8" s="1" t="s">
        <v>184</v>
      </c>
    </row>
    <row r="9" spans="1:3">
      <c r="A9" s="1" t="s">
        <v>24</v>
      </c>
      <c r="B9" s="1" t="s">
        <v>24</v>
      </c>
      <c r="C9" s="1" t="s">
        <v>838</v>
      </c>
    </row>
    <row r="10" spans="1:3">
      <c r="A10" s="1" t="s">
        <v>123</v>
      </c>
      <c r="B10" s="1" t="s">
        <v>123</v>
      </c>
      <c r="C10" s="1" t="s">
        <v>533</v>
      </c>
    </row>
    <row r="11" spans="1:3">
      <c r="A11" s="1" t="s">
        <v>27</v>
      </c>
      <c r="B11" s="1" t="s">
        <v>27</v>
      </c>
      <c r="C11" s="1" t="s">
        <v>185</v>
      </c>
    </row>
    <row r="12" spans="1:3">
      <c r="A12" s="1" t="s">
        <v>53</v>
      </c>
      <c r="B12" s="1" t="s">
        <v>57</v>
      </c>
      <c r="C12" s="1" t="s">
        <v>272</v>
      </c>
    </row>
    <row r="13" spans="1:3">
      <c r="A13" s="1" t="s">
        <v>123</v>
      </c>
      <c r="B13" s="1" t="s">
        <v>544</v>
      </c>
      <c r="C13" s="1" t="s">
        <v>546</v>
      </c>
    </row>
    <row r="14" spans="1:3">
      <c r="A14" s="1" t="s">
        <v>53</v>
      </c>
      <c r="B14" s="1" t="s">
        <v>276</v>
      </c>
      <c r="C14" s="1" t="s">
        <v>1103</v>
      </c>
    </row>
    <row r="15" spans="1:3">
      <c r="A15" s="1" t="s">
        <v>27</v>
      </c>
      <c r="B15" s="1" t="s">
        <v>27</v>
      </c>
      <c r="C15" s="1" t="s">
        <v>1077</v>
      </c>
    </row>
    <row r="16" spans="1:3">
      <c r="A16" s="1" t="s">
        <v>123</v>
      </c>
      <c r="B16" s="1" t="s">
        <v>123</v>
      </c>
      <c r="C16" s="1" t="s">
        <v>540</v>
      </c>
    </row>
    <row r="17" spans="1:3">
      <c r="A17" s="1" t="s">
        <v>53</v>
      </c>
      <c r="B17" s="1" t="s">
        <v>276</v>
      </c>
      <c r="C17" s="1" t="s">
        <v>288</v>
      </c>
    </row>
    <row r="18" spans="1:3">
      <c r="A18" s="1" t="s">
        <v>27</v>
      </c>
      <c r="B18" s="1" t="s">
        <v>40</v>
      </c>
      <c r="C18" s="1" t="s">
        <v>220</v>
      </c>
    </row>
    <row r="19" spans="1:3">
      <c r="A19" s="1" t="s">
        <v>123</v>
      </c>
      <c r="B19" s="1" t="s">
        <v>123</v>
      </c>
      <c r="C19" s="1" t="s">
        <v>1471</v>
      </c>
    </row>
    <row r="20" spans="1:3">
      <c r="A20" s="1" t="s">
        <v>27</v>
      </c>
      <c r="B20" s="1" t="s">
        <v>27</v>
      </c>
      <c r="C20" s="1" t="s">
        <v>865</v>
      </c>
    </row>
    <row r="21" spans="1:3">
      <c r="A21" s="1" t="s">
        <v>27</v>
      </c>
      <c r="B21" s="1" t="s">
        <v>48</v>
      </c>
      <c r="C21" s="1" t="s">
        <v>253</v>
      </c>
    </row>
    <row r="22" spans="1:3">
      <c r="A22" s="1" t="s">
        <v>27</v>
      </c>
      <c r="B22" s="1" t="s">
        <v>27</v>
      </c>
      <c r="C22" s="1" t="s">
        <v>1327</v>
      </c>
    </row>
    <row r="23" spans="1:3">
      <c r="A23" s="1" t="s">
        <v>123</v>
      </c>
      <c r="B23" s="1" t="s">
        <v>8</v>
      </c>
      <c r="C23" s="1" t="s">
        <v>528</v>
      </c>
    </row>
    <row r="24" spans="1:3">
      <c r="A24" s="1" t="s">
        <v>53</v>
      </c>
      <c r="B24" s="1" t="s">
        <v>57</v>
      </c>
      <c r="C24" s="1" t="s">
        <v>610</v>
      </c>
    </row>
    <row r="25" spans="1:3">
      <c r="A25" s="1" t="s">
        <v>7</v>
      </c>
      <c r="B25" s="1" t="s">
        <v>8</v>
      </c>
      <c r="C25" s="1" t="s">
        <v>13</v>
      </c>
    </row>
    <row r="26" spans="1:3">
      <c r="A26" s="1" t="s">
        <v>53</v>
      </c>
      <c r="B26" s="1" t="s">
        <v>276</v>
      </c>
      <c r="C26" s="1" t="s">
        <v>1102</v>
      </c>
    </row>
    <row r="27" spans="1:3">
      <c r="A27" s="1" t="s">
        <v>123</v>
      </c>
      <c r="B27" s="1" t="s">
        <v>8</v>
      </c>
      <c r="C27" s="1" t="s">
        <v>798</v>
      </c>
    </row>
    <row r="28" spans="1:3">
      <c r="A28" s="1" t="s">
        <v>24</v>
      </c>
      <c r="B28" s="1" t="s">
        <v>24</v>
      </c>
      <c r="C28" s="1" t="s">
        <v>157</v>
      </c>
    </row>
    <row r="29" spans="1:3">
      <c r="A29" s="1" t="s">
        <v>27</v>
      </c>
      <c r="B29" s="1" t="s">
        <v>27</v>
      </c>
      <c r="C29" s="1" t="s">
        <v>870</v>
      </c>
    </row>
    <row r="30" spans="1:3">
      <c r="A30" s="1" t="s">
        <v>409</v>
      </c>
      <c r="B30" s="1" t="s">
        <v>409</v>
      </c>
      <c r="C30" s="1" t="s">
        <v>411</v>
      </c>
    </row>
    <row r="31" spans="1:3">
      <c r="A31" s="1" t="s">
        <v>53</v>
      </c>
      <c r="B31" s="1" t="s">
        <v>57</v>
      </c>
      <c r="C31" s="1" t="s">
        <v>273</v>
      </c>
    </row>
    <row r="32" spans="1:3">
      <c r="A32" s="1" t="s">
        <v>27</v>
      </c>
      <c r="B32" s="1" t="s">
        <v>40</v>
      </c>
      <c r="C32" s="1" t="s">
        <v>594</v>
      </c>
    </row>
    <row r="33" spans="1:3">
      <c r="A33" s="1" t="s">
        <v>27</v>
      </c>
      <c r="B33" s="1" t="s">
        <v>40</v>
      </c>
      <c r="C33" s="1" t="s">
        <v>227</v>
      </c>
    </row>
    <row r="34" spans="1:3">
      <c r="A34" s="1" t="s">
        <v>3</v>
      </c>
      <c r="B34" s="1" t="s">
        <v>3</v>
      </c>
      <c r="C34" s="1" t="s">
        <v>6</v>
      </c>
    </row>
    <row r="35" spans="1:3">
      <c r="A35" s="1" t="s">
        <v>85</v>
      </c>
      <c r="B35" s="1" t="s">
        <v>43</v>
      </c>
      <c r="C35" s="1" t="s">
        <v>952</v>
      </c>
    </row>
    <row r="36" spans="1:3">
      <c r="A36" s="1" t="s">
        <v>27</v>
      </c>
      <c r="B36" s="1" t="s">
        <v>40</v>
      </c>
      <c r="C36" s="1" t="s">
        <v>231</v>
      </c>
    </row>
    <row r="37" spans="1:3">
      <c r="A37" s="1" t="s">
        <v>27</v>
      </c>
      <c r="B37" s="1" t="s">
        <v>40</v>
      </c>
      <c r="C37" s="1" t="s">
        <v>228</v>
      </c>
    </row>
    <row r="38" spans="1:3">
      <c r="A38" s="1" t="s">
        <v>53</v>
      </c>
      <c r="B38" s="1" t="s">
        <v>57</v>
      </c>
      <c r="C38" s="1" t="s">
        <v>271</v>
      </c>
    </row>
    <row r="39" spans="1:3">
      <c r="A39" s="1" t="s">
        <v>123</v>
      </c>
      <c r="B39" s="1" t="s">
        <v>123</v>
      </c>
      <c r="C39" s="1" t="s">
        <v>532</v>
      </c>
    </row>
    <row r="40" spans="1:3">
      <c r="A40" s="1" t="s">
        <v>27</v>
      </c>
      <c r="B40" s="1" t="s">
        <v>27</v>
      </c>
      <c r="C40" s="1" t="s">
        <v>586</v>
      </c>
    </row>
    <row r="41" spans="1:3">
      <c r="A41" s="1" t="s">
        <v>85</v>
      </c>
      <c r="B41" s="1" t="s">
        <v>66</v>
      </c>
      <c r="C41" s="1" t="s">
        <v>87</v>
      </c>
    </row>
    <row r="42" spans="1:3">
      <c r="A42" s="1" t="s">
        <v>123</v>
      </c>
      <c r="B42" s="1" t="s">
        <v>123</v>
      </c>
      <c r="C42" s="1" t="s">
        <v>1254</v>
      </c>
    </row>
    <row r="43" spans="1:3">
      <c r="A43" s="1" t="s">
        <v>85</v>
      </c>
      <c r="B43" s="1" t="s">
        <v>43</v>
      </c>
      <c r="C43" s="1" t="s">
        <v>92</v>
      </c>
    </row>
    <row r="44" spans="1:3">
      <c r="A44" s="1" t="s">
        <v>27</v>
      </c>
      <c r="B44" s="1" t="s">
        <v>27</v>
      </c>
      <c r="C44" s="1" t="s">
        <v>1085</v>
      </c>
    </row>
    <row r="45" spans="1:3">
      <c r="A45" s="1" t="s">
        <v>123</v>
      </c>
      <c r="B45" s="1" t="s">
        <v>123</v>
      </c>
      <c r="C45" s="1" t="s">
        <v>1464</v>
      </c>
    </row>
    <row r="46" spans="1:3">
      <c r="A46" s="1" t="s">
        <v>53</v>
      </c>
      <c r="B46" s="1" t="s">
        <v>54</v>
      </c>
      <c r="C46" s="1" t="s">
        <v>295</v>
      </c>
    </row>
    <row r="47" spans="1:3">
      <c r="A47" s="1" t="s">
        <v>27</v>
      </c>
      <c r="B47" s="1" t="s">
        <v>27</v>
      </c>
      <c r="C47" s="1" t="s">
        <v>1325</v>
      </c>
    </row>
    <row r="48" spans="1:3">
      <c r="A48" s="1" t="s">
        <v>27</v>
      </c>
      <c r="B48" s="1" t="s">
        <v>27</v>
      </c>
      <c r="C48" s="1" t="s">
        <v>36</v>
      </c>
    </row>
    <row r="49" spans="1:3">
      <c r="A49" s="1" t="s">
        <v>53</v>
      </c>
      <c r="B49" s="1" t="s">
        <v>57</v>
      </c>
      <c r="C49" s="1" t="s">
        <v>1093</v>
      </c>
    </row>
    <row r="50" spans="1:3">
      <c r="A50" s="1" t="s">
        <v>53</v>
      </c>
      <c r="B50" s="1" t="s">
        <v>57</v>
      </c>
      <c r="C50" s="1" t="s">
        <v>612</v>
      </c>
    </row>
    <row r="51" spans="1:3">
      <c r="A51" s="1" t="s">
        <v>53</v>
      </c>
      <c r="B51" s="1" t="s">
        <v>276</v>
      </c>
      <c r="C51" s="1" t="s">
        <v>620</v>
      </c>
    </row>
    <row r="52" spans="1:3">
      <c r="A52" s="1" t="s">
        <v>53</v>
      </c>
      <c r="B52" s="1" t="s">
        <v>276</v>
      </c>
      <c r="C52" s="1" t="s">
        <v>886</v>
      </c>
    </row>
    <row r="53" spans="1:3">
      <c r="A53" s="1" t="s">
        <v>409</v>
      </c>
      <c r="B53" s="1" t="s">
        <v>409</v>
      </c>
      <c r="C53" s="1" t="s">
        <v>412</v>
      </c>
    </row>
    <row r="54" spans="1:3">
      <c r="A54" s="1" t="s">
        <v>27</v>
      </c>
      <c r="B54" s="1" t="s">
        <v>27</v>
      </c>
      <c r="C54" s="1" t="s">
        <v>589</v>
      </c>
    </row>
    <row r="55" spans="1:3">
      <c r="A55" s="1" t="s">
        <v>27</v>
      </c>
      <c r="B55" s="1" t="s">
        <v>27</v>
      </c>
      <c r="C55" s="1" t="s">
        <v>587</v>
      </c>
    </row>
    <row r="56" spans="1:3">
      <c r="A56" s="1" t="s">
        <v>53</v>
      </c>
      <c r="B56" s="1" t="s">
        <v>57</v>
      </c>
      <c r="C56" s="1" t="s">
        <v>611</v>
      </c>
    </row>
    <row r="57" spans="1:3">
      <c r="A57" s="1" t="s">
        <v>123</v>
      </c>
      <c r="B57" s="1" t="s">
        <v>8</v>
      </c>
      <c r="C57" s="1" t="s">
        <v>530</v>
      </c>
    </row>
    <row r="58" spans="1:3">
      <c r="A58" s="1" t="s">
        <v>53</v>
      </c>
      <c r="B58" s="1" t="s">
        <v>276</v>
      </c>
      <c r="C58" s="1" t="s">
        <v>286</v>
      </c>
    </row>
    <row r="59" spans="1:3">
      <c r="A59" s="1" t="s">
        <v>120</v>
      </c>
      <c r="B59" s="1" t="s">
        <v>120</v>
      </c>
      <c r="C59" s="1" t="s">
        <v>1010</v>
      </c>
    </row>
    <row r="60" spans="1:3">
      <c r="A60" s="1" t="s">
        <v>53</v>
      </c>
      <c r="B60" s="1" t="s">
        <v>276</v>
      </c>
      <c r="C60" s="1" t="s">
        <v>285</v>
      </c>
    </row>
    <row r="61" spans="1:3">
      <c r="A61" s="1" t="s">
        <v>53</v>
      </c>
      <c r="B61" s="1" t="s">
        <v>276</v>
      </c>
      <c r="C61" s="1" t="s">
        <v>289</v>
      </c>
    </row>
    <row r="62" spans="1:3">
      <c r="A62" s="1" t="s">
        <v>120</v>
      </c>
      <c r="B62" s="1" t="s">
        <v>120</v>
      </c>
      <c r="C62" s="1" t="s">
        <v>1226</v>
      </c>
    </row>
    <row r="63" spans="1:3">
      <c r="A63" s="1" t="s">
        <v>53</v>
      </c>
      <c r="B63" s="1" t="s">
        <v>276</v>
      </c>
      <c r="C63" s="1" t="s">
        <v>1104</v>
      </c>
    </row>
    <row r="64" spans="1:3">
      <c r="A64" s="1" t="s">
        <v>27</v>
      </c>
      <c r="B64" s="1" t="s">
        <v>27</v>
      </c>
      <c r="C64" s="1" t="s">
        <v>181</v>
      </c>
    </row>
    <row r="65" spans="1:3">
      <c r="A65" s="1" t="s">
        <v>85</v>
      </c>
      <c r="B65" s="1" t="s">
        <v>43</v>
      </c>
      <c r="C65" s="1" t="s">
        <v>1163</v>
      </c>
    </row>
    <row r="66" spans="1:3">
      <c r="A66" s="1" t="s">
        <v>53</v>
      </c>
      <c r="B66" s="1" t="s">
        <v>276</v>
      </c>
      <c r="C66" s="1" t="s">
        <v>623</v>
      </c>
    </row>
    <row r="67" spans="1:3">
      <c r="A67" s="1" t="s">
        <v>85</v>
      </c>
      <c r="B67" s="1" t="s">
        <v>43</v>
      </c>
      <c r="C67" s="1" t="s">
        <v>689</v>
      </c>
    </row>
    <row r="68" spans="1:3">
      <c r="A68" s="1" t="s">
        <v>27</v>
      </c>
      <c r="B68" s="1" t="s">
        <v>192</v>
      </c>
      <c r="C68" s="1" t="s">
        <v>193</v>
      </c>
    </row>
    <row r="69" spans="1:3">
      <c r="A69" s="1" t="s">
        <v>27</v>
      </c>
      <c r="B69" s="1" t="s">
        <v>27</v>
      </c>
      <c r="C69" s="1" t="s">
        <v>186</v>
      </c>
    </row>
    <row r="70" spans="1:3">
      <c r="A70" s="1" t="s">
        <v>53</v>
      </c>
      <c r="B70" s="1" t="s">
        <v>57</v>
      </c>
      <c r="C70" s="1" t="s">
        <v>1094</v>
      </c>
    </row>
    <row r="71" spans="1:3">
      <c r="A71" s="1" t="s">
        <v>53</v>
      </c>
      <c r="B71" s="1" t="s">
        <v>276</v>
      </c>
      <c r="C71" s="1" t="s">
        <v>293</v>
      </c>
    </row>
    <row r="72" spans="1:3">
      <c r="A72" s="1" t="s">
        <v>27</v>
      </c>
      <c r="B72" s="1" t="s">
        <v>27</v>
      </c>
      <c r="C72" s="1" t="s">
        <v>1324</v>
      </c>
    </row>
    <row r="73" spans="1:3">
      <c r="A73" s="1" t="s">
        <v>123</v>
      </c>
      <c r="B73" s="1" t="s">
        <v>8</v>
      </c>
      <c r="C73" s="1" t="s">
        <v>540</v>
      </c>
    </row>
    <row r="74" spans="1:3">
      <c r="A74" s="1" t="s">
        <v>53</v>
      </c>
      <c r="B74" s="1" t="s">
        <v>276</v>
      </c>
      <c r="C74" s="1" t="s">
        <v>278</v>
      </c>
    </row>
    <row r="75" spans="1:3">
      <c r="A75" s="1" t="s">
        <v>104</v>
      </c>
      <c r="B75" s="1" t="s">
        <v>107</v>
      </c>
      <c r="C75" s="1" t="s">
        <v>1190</v>
      </c>
    </row>
    <row r="76" spans="1:3">
      <c r="A76" s="1" t="s">
        <v>53</v>
      </c>
      <c r="B76" s="1" t="s">
        <v>276</v>
      </c>
      <c r="C76" s="1" t="s">
        <v>281</v>
      </c>
    </row>
    <row r="77" spans="1:3">
      <c r="A77" s="1" t="s">
        <v>73</v>
      </c>
      <c r="B77" s="1" t="s">
        <v>74</v>
      </c>
      <c r="C77" s="1" t="s">
        <v>77</v>
      </c>
    </row>
    <row r="78" spans="1:3">
      <c r="A78" s="1" t="s">
        <v>53</v>
      </c>
      <c r="B78" s="1" t="s">
        <v>276</v>
      </c>
      <c r="C78" s="1" t="s">
        <v>887</v>
      </c>
    </row>
    <row r="79" spans="1:3">
      <c r="A79" s="1" t="s">
        <v>120</v>
      </c>
      <c r="B79" s="1" t="s">
        <v>120</v>
      </c>
      <c r="C79" s="1" t="s">
        <v>507</v>
      </c>
    </row>
    <row r="80" spans="1:3">
      <c r="A80" s="1" t="s">
        <v>53</v>
      </c>
      <c r="B80" s="1" t="s">
        <v>57</v>
      </c>
      <c r="C80" s="1" t="s">
        <v>609</v>
      </c>
    </row>
    <row r="81" spans="1:3">
      <c r="A81" s="1" t="s">
        <v>27</v>
      </c>
      <c r="B81" s="1" t="s">
        <v>27</v>
      </c>
      <c r="C81" s="1" t="s">
        <v>1078</v>
      </c>
    </row>
    <row r="82" spans="1:3">
      <c r="A82" s="1" t="s">
        <v>104</v>
      </c>
      <c r="B82" s="1" t="s">
        <v>107</v>
      </c>
      <c r="C82" s="1" t="s">
        <v>1191</v>
      </c>
    </row>
    <row r="83" spans="1:3">
      <c r="A83" s="1" t="s">
        <v>24</v>
      </c>
      <c r="B83" s="1" t="s">
        <v>24</v>
      </c>
      <c r="C83" s="1" t="s">
        <v>156</v>
      </c>
    </row>
    <row r="84" spans="1:3">
      <c r="A84" s="1" t="s">
        <v>27</v>
      </c>
      <c r="B84" s="1" t="s">
        <v>188</v>
      </c>
      <c r="C84" s="1" t="s">
        <v>217</v>
      </c>
    </row>
    <row r="85" spans="1:3">
      <c r="A85" s="1" t="s">
        <v>27</v>
      </c>
      <c r="B85" s="1" t="s">
        <v>27</v>
      </c>
      <c r="C85" s="1" t="s">
        <v>1330</v>
      </c>
    </row>
    <row r="86" spans="1:3">
      <c r="A86" s="1" t="s">
        <v>123</v>
      </c>
      <c r="B86" s="1" t="s">
        <v>123</v>
      </c>
      <c r="C86" s="1" t="s">
        <v>538</v>
      </c>
    </row>
    <row r="87" spans="1:3">
      <c r="A87" s="1" t="s">
        <v>27</v>
      </c>
      <c r="B87" s="1" t="s">
        <v>27</v>
      </c>
      <c r="C87" s="1" t="s">
        <v>1086</v>
      </c>
    </row>
    <row r="88" spans="1:3">
      <c r="A88" s="1" t="s">
        <v>104</v>
      </c>
      <c r="B88" s="1" t="s">
        <v>107</v>
      </c>
      <c r="C88" s="1" t="s">
        <v>737</v>
      </c>
    </row>
    <row r="89" spans="1:3">
      <c r="A89" s="1" t="s">
        <v>27</v>
      </c>
      <c r="B89" s="1" t="s">
        <v>27</v>
      </c>
      <c r="C89" s="1" t="s">
        <v>1319</v>
      </c>
    </row>
    <row r="90" spans="1:3">
      <c r="A90" s="1" t="s">
        <v>27</v>
      </c>
      <c r="B90" s="1" t="s">
        <v>27</v>
      </c>
      <c r="C90" s="1" t="s">
        <v>1341</v>
      </c>
    </row>
    <row r="91" spans="1:3">
      <c r="A91" s="1" t="s">
        <v>104</v>
      </c>
      <c r="B91" s="1" t="s">
        <v>107</v>
      </c>
      <c r="C91" s="1" t="s">
        <v>451</v>
      </c>
    </row>
    <row r="92" spans="1:3">
      <c r="A92" s="1" t="s">
        <v>27</v>
      </c>
      <c r="B92" s="1" t="s">
        <v>27</v>
      </c>
      <c r="C92" s="1" t="s">
        <v>35</v>
      </c>
    </row>
    <row r="93" spans="1:3">
      <c r="A93" s="1" t="s">
        <v>53</v>
      </c>
      <c r="B93" s="1" t="s">
        <v>276</v>
      </c>
      <c r="C93" s="1" t="s">
        <v>292</v>
      </c>
    </row>
    <row r="94" spans="1:3">
      <c r="A94" s="1" t="s">
        <v>53</v>
      </c>
      <c r="B94" s="1" t="s">
        <v>57</v>
      </c>
      <c r="C94" s="1" t="s">
        <v>1090</v>
      </c>
    </row>
    <row r="95" spans="1:3">
      <c r="A95" s="1" t="s">
        <v>120</v>
      </c>
      <c r="B95" s="1" t="s">
        <v>487</v>
      </c>
      <c r="C95" s="1" t="s">
        <v>489</v>
      </c>
    </row>
    <row r="96" spans="1:3">
      <c r="A96" s="1" t="s">
        <v>123</v>
      </c>
      <c r="B96" s="1" t="s">
        <v>544</v>
      </c>
      <c r="C96" s="1" t="s">
        <v>8</v>
      </c>
    </row>
    <row r="97" spans="1:3">
      <c r="A97" s="1" t="s">
        <v>27</v>
      </c>
      <c r="B97" s="1" t="s">
        <v>27</v>
      </c>
      <c r="C97" s="1" t="s">
        <v>584</v>
      </c>
    </row>
    <row r="98" spans="1:3">
      <c r="A98" s="1" t="s">
        <v>120</v>
      </c>
      <c r="B98" s="1" t="s">
        <v>120</v>
      </c>
      <c r="C98" s="1" t="s">
        <v>1015</v>
      </c>
    </row>
    <row r="99" spans="1:3">
      <c r="A99" s="1" t="s">
        <v>409</v>
      </c>
      <c r="B99" s="1" t="s">
        <v>409</v>
      </c>
      <c r="C99" s="1" t="s">
        <v>413</v>
      </c>
    </row>
    <row r="100" spans="1:3">
      <c r="A100" s="1" t="s">
        <v>123</v>
      </c>
      <c r="B100" s="1" t="s">
        <v>123</v>
      </c>
      <c r="C100" s="1" t="s">
        <v>1020</v>
      </c>
    </row>
    <row r="101" spans="1:3">
      <c r="A101" s="1" t="s">
        <v>53</v>
      </c>
      <c r="B101" s="1" t="s">
        <v>57</v>
      </c>
      <c r="C101" s="1" t="s">
        <v>265</v>
      </c>
    </row>
    <row r="102" spans="1:3">
      <c r="A102" s="1" t="s">
        <v>104</v>
      </c>
      <c r="B102" s="1" t="s">
        <v>107</v>
      </c>
      <c r="C102" s="1" t="s">
        <v>736</v>
      </c>
    </row>
    <row r="103" spans="1:3">
      <c r="A103" s="1" t="s">
        <v>384</v>
      </c>
      <c r="B103" s="1" t="s">
        <v>387</v>
      </c>
      <c r="C103" s="1" t="s">
        <v>1182</v>
      </c>
    </row>
    <row r="104" spans="1:3">
      <c r="A104" s="1" t="s">
        <v>104</v>
      </c>
      <c r="B104" s="1" t="s">
        <v>107</v>
      </c>
      <c r="C104" s="1" t="s">
        <v>981</v>
      </c>
    </row>
    <row r="105" spans="1:3">
      <c r="A105" s="1" t="s">
        <v>123</v>
      </c>
      <c r="B105" s="1" t="s">
        <v>123</v>
      </c>
      <c r="C105" s="1" t="s">
        <v>1252</v>
      </c>
    </row>
    <row r="106" spans="1:3">
      <c r="A106" s="1" t="s">
        <v>27</v>
      </c>
      <c r="B106" s="1" t="s">
        <v>27</v>
      </c>
      <c r="C106" s="1" t="s">
        <v>189</v>
      </c>
    </row>
    <row r="107" spans="1:3">
      <c r="A107" s="1" t="s">
        <v>53</v>
      </c>
      <c r="B107" s="1" t="s">
        <v>57</v>
      </c>
      <c r="C107" s="1" t="s">
        <v>1091</v>
      </c>
    </row>
    <row r="108" spans="1:3">
      <c r="A108" s="1" t="s">
        <v>123</v>
      </c>
      <c r="B108" s="1" t="s">
        <v>8</v>
      </c>
      <c r="C108" s="1" t="s">
        <v>537</v>
      </c>
    </row>
    <row r="109" spans="1:3">
      <c r="A109" s="1" t="s">
        <v>27</v>
      </c>
      <c r="B109" s="1" t="s">
        <v>27</v>
      </c>
      <c r="C109" s="1" t="s">
        <v>1326</v>
      </c>
    </row>
    <row r="110" spans="1:3">
      <c r="A110" s="1" t="s">
        <v>123</v>
      </c>
      <c r="B110" s="1" t="s">
        <v>544</v>
      </c>
      <c r="C110" s="1" t="s">
        <v>545</v>
      </c>
    </row>
    <row r="111" spans="1:3">
      <c r="A111" s="1" t="s">
        <v>27</v>
      </c>
      <c r="B111" s="1" t="s">
        <v>27</v>
      </c>
      <c r="C111" s="1" t="s">
        <v>182</v>
      </c>
    </row>
    <row r="112" spans="1:3">
      <c r="A112" s="1" t="s">
        <v>104</v>
      </c>
      <c r="B112" s="1" t="s">
        <v>107</v>
      </c>
      <c r="C112" s="1" t="s">
        <v>743</v>
      </c>
    </row>
    <row r="113" spans="1:3">
      <c r="A113" s="1" t="s">
        <v>27</v>
      </c>
      <c r="B113" s="1" t="s">
        <v>188</v>
      </c>
      <c r="C113" s="1" t="s">
        <v>216</v>
      </c>
    </row>
    <row r="114" spans="1:3">
      <c r="A114" s="1" t="s">
        <v>27</v>
      </c>
      <c r="B114" s="1" t="s">
        <v>188</v>
      </c>
      <c r="C114" s="1" t="s">
        <v>215</v>
      </c>
    </row>
    <row r="115" spans="1:3">
      <c r="A115" s="1" t="s">
        <v>3</v>
      </c>
      <c r="B115" s="1" t="s">
        <v>3</v>
      </c>
      <c r="C115" s="1" t="s">
        <v>562</v>
      </c>
    </row>
    <row r="116" spans="1:3">
      <c r="A116" s="1" t="s">
        <v>27</v>
      </c>
      <c r="B116" s="1" t="s">
        <v>182</v>
      </c>
      <c r="C116" s="1" t="s">
        <v>200</v>
      </c>
    </row>
    <row r="117" spans="1:3">
      <c r="A117" s="1" t="s">
        <v>123</v>
      </c>
      <c r="B117" s="1" t="s">
        <v>8</v>
      </c>
      <c r="C117" s="1" t="s">
        <v>541</v>
      </c>
    </row>
    <row r="118" spans="1:3">
      <c r="A118" s="1" t="s">
        <v>27</v>
      </c>
      <c r="B118" s="1" t="s">
        <v>40</v>
      </c>
      <c r="C118" s="1" t="s">
        <v>41</v>
      </c>
    </row>
    <row r="119" spans="1:3">
      <c r="A119" s="1" t="s">
        <v>27</v>
      </c>
      <c r="B119" s="1" t="s">
        <v>27</v>
      </c>
      <c r="C119" s="1" t="s">
        <v>868</v>
      </c>
    </row>
    <row r="120" spans="1:3">
      <c r="A120" s="1" t="s">
        <v>53</v>
      </c>
      <c r="B120" s="1" t="s">
        <v>57</v>
      </c>
      <c r="C120" s="1" t="s">
        <v>604</v>
      </c>
    </row>
    <row r="121" spans="1:3">
      <c r="A121" s="1" t="s">
        <v>104</v>
      </c>
      <c r="B121" s="1" t="s">
        <v>107</v>
      </c>
      <c r="C121" s="1" t="s">
        <v>467</v>
      </c>
    </row>
    <row r="122" spans="1:3">
      <c r="A122" s="1" t="s">
        <v>123</v>
      </c>
      <c r="B122" s="1" t="s">
        <v>8</v>
      </c>
      <c r="C122" s="1" t="s">
        <v>527</v>
      </c>
    </row>
    <row r="123" spans="1:3">
      <c r="A123" s="1" t="s">
        <v>27</v>
      </c>
      <c r="B123" s="1" t="s">
        <v>27</v>
      </c>
      <c r="C123" s="1" t="s">
        <v>1321</v>
      </c>
    </row>
    <row r="124" spans="1:3">
      <c r="A124" s="1" t="s">
        <v>27</v>
      </c>
      <c r="B124" s="1" t="s">
        <v>27</v>
      </c>
      <c r="C124" s="1" t="s">
        <v>1323</v>
      </c>
    </row>
    <row r="125" spans="1:3">
      <c r="A125" s="1" t="s">
        <v>73</v>
      </c>
      <c r="B125" s="1" t="s">
        <v>74</v>
      </c>
      <c r="C125" s="1" t="s">
        <v>79</v>
      </c>
    </row>
    <row r="126" spans="1:3">
      <c r="A126" s="1" t="s">
        <v>27</v>
      </c>
      <c r="B126" s="1" t="s">
        <v>27</v>
      </c>
      <c r="C126" s="1" t="s">
        <v>1322</v>
      </c>
    </row>
    <row r="127" spans="1:3">
      <c r="A127" s="1" t="s">
        <v>27</v>
      </c>
      <c r="B127" s="1" t="s">
        <v>27</v>
      </c>
      <c r="C127" s="1" t="s">
        <v>183</v>
      </c>
    </row>
    <row r="128" spans="1:3">
      <c r="A128" s="1" t="s">
        <v>123</v>
      </c>
      <c r="B128" s="1" t="s">
        <v>123</v>
      </c>
      <c r="C128" s="1" t="s">
        <v>1251</v>
      </c>
    </row>
    <row r="129" spans="1:3">
      <c r="A129" s="1" t="s">
        <v>27</v>
      </c>
      <c r="B129" s="1" t="s">
        <v>27</v>
      </c>
      <c r="C129" s="1" t="s">
        <v>1332</v>
      </c>
    </row>
    <row r="130" spans="1:3">
      <c r="A130" s="1" t="s">
        <v>27</v>
      </c>
      <c r="B130" s="1" t="s">
        <v>182</v>
      </c>
      <c r="C130" s="1" t="s">
        <v>197</v>
      </c>
    </row>
    <row r="131" spans="1:3">
      <c r="A131" s="1" t="s">
        <v>27</v>
      </c>
      <c r="B131" s="1" t="s">
        <v>27</v>
      </c>
      <c r="C131" s="1" t="s">
        <v>591</v>
      </c>
    </row>
    <row r="132" spans="1:3">
      <c r="A132" s="1" t="s">
        <v>53</v>
      </c>
      <c r="B132" s="1" t="s">
        <v>57</v>
      </c>
      <c r="C132" s="1" t="s">
        <v>263</v>
      </c>
    </row>
    <row r="133" spans="1:3">
      <c r="A133" s="1" t="s">
        <v>104</v>
      </c>
      <c r="B133" s="1" t="s">
        <v>107</v>
      </c>
      <c r="C133" s="1" t="s">
        <v>1196</v>
      </c>
    </row>
    <row r="134" spans="1:3">
      <c r="A134" s="1" t="s">
        <v>27</v>
      </c>
      <c r="B134" s="1" t="s">
        <v>40</v>
      </c>
      <c r="C134" s="1" t="s">
        <v>1344</v>
      </c>
    </row>
    <row r="135" spans="1:3">
      <c r="A135" s="1" t="s">
        <v>321</v>
      </c>
      <c r="B135" s="1" t="s">
        <v>321</v>
      </c>
      <c r="C135" s="1" t="s">
        <v>916</v>
      </c>
    </row>
    <row r="136" spans="1:3">
      <c r="A136" s="1" t="s">
        <v>27</v>
      </c>
      <c r="B136" s="1" t="s">
        <v>40</v>
      </c>
      <c r="C136" s="1" t="s">
        <v>595</v>
      </c>
    </row>
    <row r="137" spans="1:3">
      <c r="A137" s="1" t="s">
        <v>53</v>
      </c>
      <c r="B137" s="1" t="s">
        <v>276</v>
      </c>
      <c r="C137" s="1" t="s">
        <v>1105</v>
      </c>
    </row>
    <row r="138" spans="1:3">
      <c r="A138" s="1" t="s">
        <v>123</v>
      </c>
      <c r="B138" s="1" t="s">
        <v>547</v>
      </c>
      <c r="C138" s="1" t="s">
        <v>548</v>
      </c>
    </row>
    <row r="139" spans="1:3">
      <c r="A139" s="1" t="s">
        <v>120</v>
      </c>
      <c r="B139" s="1" t="s">
        <v>120</v>
      </c>
      <c r="C139" s="1" t="s">
        <v>506</v>
      </c>
    </row>
    <row r="140" spans="1:3">
      <c r="A140" s="1" t="s">
        <v>73</v>
      </c>
      <c r="B140" s="1" t="s">
        <v>338</v>
      </c>
      <c r="C140" s="1" t="s">
        <v>339</v>
      </c>
    </row>
    <row r="141" spans="1:3">
      <c r="A141" s="1" t="s">
        <v>27</v>
      </c>
      <c r="B141" s="1" t="s">
        <v>40</v>
      </c>
      <c r="C141" s="1" t="s">
        <v>222</v>
      </c>
    </row>
    <row r="142" spans="1:3">
      <c r="A142" s="1" t="s">
        <v>27</v>
      </c>
      <c r="B142" s="1" t="s">
        <v>188</v>
      </c>
      <c r="C142" s="1" t="s">
        <v>219</v>
      </c>
    </row>
    <row r="143" spans="1:3">
      <c r="A143" s="1" t="s">
        <v>27</v>
      </c>
      <c r="B143" s="1" t="s">
        <v>239</v>
      </c>
      <c r="C143" s="1" t="s">
        <v>248</v>
      </c>
    </row>
    <row r="144" spans="1:3">
      <c r="A144" s="1" t="s">
        <v>123</v>
      </c>
      <c r="B144" s="1" t="s">
        <v>123</v>
      </c>
      <c r="C144" s="1" t="s">
        <v>1463</v>
      </c>
    </row>
    <row r="145" spans="1:3">
      <c r="A145" s="1" t="s">
        <v>53</v>
      </c>
      <c r="B145" s="1" t="s">
        <v>276</v>
      </c>
      <c r="C145" s="1" t="s">
        <v>280</v>
      </c>
    </row>
    <row r="146" spans="1:3">
      <c r="A146" s="1" t="s">
        <v>53</v>
      </c>
      <c r="B146" s="1" t="s">
        <v>276</v>
      </c>
      <c r="C146" s="1" t="s">
        <v>290</v>
      </c>
    </row>
    <row r="147" spans="1:3">
      <c r="A147" s="1" t="s">
        <v>384</v>
      </c>
      <c r="B147" s="1" t="s">
        <v>387</v>
      </c>
      <c r="C147" s="1" t="s">
        <v>388</v>
      </c>
    </row>
    <row r="148" spans="1:3">
      <c r="A148" s="1" t="s">
        <v>27</v>
      </c>
      <c r="B148" s="1" t="s">
        <v>27</v>
      </c>
      <c r="C148" s="1" t="s">
        <v>1083</v>
      </c>
    </row>
    <row r="149" spans="1:3">
      <c r="A149" s="1" t="s">
        <v>27</v>
      </c>
      <c r="B149" s="1" t="s">
        <v>27</v>
      </c>
      <c r="C149" s="1" t="s">
        <v>869</v>
      </c>
    </row>
    <row r="150" spans="1:3">
      <c r="A150" s="1" t="s">
        <v>27</v>
      </c>
      <c r="B150" s="1" t="s">
        <v>188</v>
      </c>
      <c r="C150" s="1" t="s">
        <v>209</v>
      </c>
    </row>
    <row r="151" spans="1:3">
      <c r="A151" s="1" t="s">
        <v>27</v>
      </c>
      <c r="B151" s="1" t="s">
        <v>239</v>
      </c>
      <c r="C151" s="1" t="s">
        <v>241</v>
      </c>
    </row>
    <row r="152" spans="1:3">
      <c r="A152" s="1" t="s">
        <v>27</v>
      </c>
      <c r="B152" s="1" t="s">
        <v>48</v>
      </c>
      <c r="C152" s="1" t="s">
        <v>50</v>
      </c>
    </row>
    <row r="153" spans="1:3">
      <c r="A153" s="1" t="s">
        <v>53</v>
      </c>
      <c r="B153" s="1" t="s">
        <v>57</v>
      </c>
      <c r="C153" s="1" t="s">
        <v>262</v>
      </c>
    </row>
    <row r="154" spans="1:3">
      <c r="A154" s="1" t="s">
        <v>53</v>
      </c>
      <c r="B154" s="1" t="s">
        <v>276</v>
      </c>
      <c r="C154" s="1" t="s">
        <v>618</v>
      </c>
    </row>
    <row r="155" spans="1:3">
      <c r="A155" s="1" t="s">
        <v>27</v>
      </c>
      <c r="B155" s="1" t="s">
        <v>48</v>
      </c>
      <c r="C155" s="1" t="s">
        <v>255</v>
      </c>
    </row>
    <row r="156" spans="1:3">
      <c r="A156" s="1" t="s">
        <v>53</v>
      </c>
      <c r="B156" s="1" t="s">
        <v>57</v>
      </c>
      <c r="C156" s="1" t="s">
        <v>608</v>
      </c>
    </row>
    <row r="157" spans="1:3">
      <c r="A157" s="1" t="s">
        <v>313</v>
      </c>
      <c r="B157" s="1" t="s">
        <v>314</v>
      </c>
      <c r="C157" s="1" t="s">
        <v>638</v>
      </c>
    </row>
    <row r="158" spans="1:3">
      <c r="A158" s="1" t="s">
        <v>53</v>
      </c>
      <c r="B158" s="1" t="s">
        <v>276</v>
      </c>
      <c r="C158" s="1" t="s">
        <v>621</v>
      </c>
    </row>
    <row r="159" spans="1:3">
      <c r="A159" s="1" t="s">
        <v>321</v>
      </c>
      <c r="B159" s="1" t="s">
        <v>321</v>
      </c>
      <c r="C159" s="1" t="s">
        <v>911</v>
      </c>
    </row>
    <row r="160" spans="1:3">
      <c r="A160" s="1" t="s">
        <v>73</v>
      </c>
      <c r="B160" s="1" t="s">
        <v>73</v>
      </c>
      <c r="C160" s="1" t="s">
        <v>1133</v>
      </c>
    </row>
    <row r="161" spans="1:3">
      <c r="A161" s="1" t="s">
        <v>508</v>
      </c>
      <c r="B161" s="1" t="s">
        <v>508</v>
      </c>
      <c r="C161" s="1" t="s">
        <v>1243</v>
      </c>
    </row>
    <row r="162" spans="1:3">
      <c r="A162" s="1" t="s">
        <v>27</v>
      </c>
      <c r="B162" s="1" t="s">
        <v>27</v>
      </c>
      <c r="C162" s="1" t="s">
        <v>874</v>
      </c>
    </row>
    <row r="163" spans="1:3">
      <c r="A163" s="1" t="s">
        <v>53</v>
      </c>
      <c r="B163" s="1" t="s">
        <v>54</v>
      </c>
      <c r="C163" s="1" t="s">
        <v>298</v>
      </c>
    </row>
    <row r="164" spans="1:3">
      <c r="A164" s="1" t="s">
        <v>3</v>
      </c>
      <c r="B164" s="1" t="s">
        <v>3</v>
      </c>
      <c r="C164" s="1" t="s">
        <v>4</v>
      </c>
    </row>
    <row r="165" spans="1:3">
      <c r="A165" s="1" t="s">
        <v>73</v>
      </c>
      <c r="B165" s="1" t="s">
        <v>73</v>
      </c>
      <c r="C165" s="1" t="s">
        <v>1130</v>
      </c>
    </row>
    <row r="166" spans="1:3">
      <c r="A166" s="1" t="s">
        <v>104</v>
      </c>
      <c r="B166" s="1" t="s">
        <v>107</v>
      </c>
      <c r="C166" s="1" t="s">
        <v>449</v>
      </c>
    </row>
    <row r="167" spans="1:3">
      <c r="A167" s="1" t="s">
        <v>27</v>
      </c>
      <c r="B167" s="1" t="s">
        <v>182</v>
      </c>
      <c r="C167" s="1" t="s">
        <v>1087</v>
      </c>
    </row>
    <row r="168" spans="1:3">
      <c r="A168" s="1" t="s">
        <v>53</v>
      </c>
      <c r="B168" s="1" t="s">
        <v>54</v>
      </c>
      <c r="C168" s="1" t="s">
        <v>1367</v>
      </c>
    </row>
    <row r="169" spans="1:3">
      <c r="A169" s="1" t="s">
        <v>120</v>
      </c>
      <c r="B169" s="1" t="s">
        <v>120</v>
      </c>
      <c r="C169" s="1" t="s">
        <v>774</v>
      </c>
    </row>
    <row r="170" spans="1:3">
      <c r="A170" s="1" t="s">
        <v>93</v>
      </c>
      <c r="B170" s="1" t="s">
        <v>397</v>
      </c>
      <c r="C170" s="1" t="s">
        <v>963</v>
      </c>
    </row>
    <row r="171" spans="1:3">
      <c r="A171" s="1" t="s">
        <v>104</v>
      </c>
      <c r="B171" s="1" t="s">
        <v>107</v>
      </c>
      <c r="C171" s="1" t="s">
        <v>978</v>
      </c>
    </row>
    <row r="172" spans="1:3">
      <c r="A172" s="1" t="s">
        <v>53</v>
      </c>
      <c r="B172" s="1" t="s">
        <v>57</v>
      </c>
      <c r="C172" s="1" t="s">
        <v>601</v>
      </c>
    </row>
    <row r="173" spans="1:3">
      <c r="A173" s="1" t="s">
        <v>123</v>
      </c>
      <c r="B173" s="1" t="s">
        <v>547</v>
      </c>
      <c r="C173" s="1" t="s">
        <v>549</v>
      </c>
    </row>
    <row r="174" spans="1:3">
      <c r="A174" s="1" t="s">
        <v>27</v>
      </c>
      <c r="B174" s="1" t="s">
        <v>239</v>
      </c>
      <c r="C174" s="1" t="s">
        <v>250</v>
      </c>
    </row>
    <row r="175" spans="1:3">
      <c r="A175" s="1" t="s">
        <v>120</v>
      </c>
      <c r="B175" s="1" t="s">
        <v>120</v>
      </c>
      <c r="C175" s="1" t="s">
        <v>769</v>
      </c>
    </row>
    <row r="176" spans="1:3">
      <c r="A176" s="1" t="s">
        <v>27</v>
      </c>
      <c r="B176" s="1" t="s">
        <v>27</v>
      </c>
      <c r="C176" s="1" t="s">
        <v>187</v>
      </c>
    </row>
    <row r="177" spans="1:3">
      <c r="A177" s="1" t="s">
        <v>53</v>
      </c>
      <c r="B177" s="1" t="s">
        <v>276</v>
      </c>
      <c r="C177" s="1" t="s">
        <v>619</v>
      </c>
    </row>
    <row r="178" spans="1:3">
      <c r="A178" s="1" t="s">
        <v>27</v>
      </c>
      <c r="B178" s="1" t="s">
        <v>40</v>
      </c>
      <c r="C178" s="1" t="s">
        <v>224</v>
      </c>
    </row>
    <row r="179" spans="1:3">
      <c r="A179" s="1" t="s">
        <v>384</v>
      </c>
      <c r="B179" s="1" t="s">
        <v>387</v>
      </c>
      <c r="C179" s="1" t="s">
        <v>701</v>
      </c>
    </row>
    <row r="180" spans="1:3">
      <c r="A180" s="1" t="s">
        <v>93</v>
      </c>
      <c r="B180" s="1" t="s">
        <v>397</v>
      </c>
      <c r="C180" s="1" t="s">
        <v>964</v>
      </c>
    </row>
    <row r="181" spans="1:3">
      <c r="A181" s="1" t="s">
        <v>53</v>
      </c>
      <c r="B181" s="1" t="s">
        <v>57</v>
      </c>
      <c r="C181" s="1" t="s">
        <v>266</v>
      </c>
    </row>
    <row r="182" spans="1:3">
      <c r="A182" s="1" t="s">
        <v>104</v>
      </c>
      <c r="B182" s="1" t="s">
        <v>107</v>
      </c>
      <c r="C182" s="1" t="s">
        <v>982</v>
      </c>
    </row>
    <row r="183" spans="1:3">
      <c r="A183" s="1" t="s">
        <v>120</v>
      </c>
      <c r="B183" s="1" t="s">
        <v>120</v>
      </c>
      <c r="C183" s="1" t="s">
        <v>781</v>
      </c>
    </row>
    <row r="184" spans="1:3">
      <c r="A184" s="1" t="s">
        <v>27</v>
      </c>
      <c r="B184" s="1" t="s">
        <v>27</v>
      </c>
      <c r="C184" s="1" t="s">
        <v>1315</v>
      </c>
    </row>
    <row r="185" spans="1:3">
      <c r="A185" s="1" t="s">
        <v>73</v>
      </c>
      <c r="B185" s="1" t="s">
        <v>338</v>
      </c>
      <c r="C185" s="1" t="s">
        <v>340</v>
      </c>
    </row>
    <row r="186" spans="1:3">
      <c r="A186" s="1" t="s">
        <v>384</v>
      </c>
      <c r="B186" s="1" t="s">
        <v>385</v>
      </c>
      <c r="C186" s="1" t="s">
        <v>386</v>
      </c>
    </row>
    <row r="187" spans="1:3">
      <c r="A187" s="1" t="s">
        <v>395</v>
      </c>
      <c r="B187" s="1" t="s">
        <v>43</v>
      </c>
      <c r="C187" s="1" t="s">
        <v>396</v>
      </c>
    </row>
    <row r="188" spans="1:3">
      <c r="A188" s="1" t="s">
        <v>123</v>
      </c>
      <c r="B188" s="1" t="s">
        <v>123</v>
      </c>
      <c r="C188" s="1" t="s">
        <v>1472</v>
      </c>
    </row>
    <row r="189" spans="1:3">
      <c r="A189" s="1" t="s">
        <v>104</v>
      </c>
      <c r="B189" s="1" t="s">
        <v>107</v>
      </c>
      <c r="C189" s="1" t="s">
        <v>750</v>
      </c>
    </row>
    <row r="190" spans="1:3">
      <c r="A190" s="1" t="s">
        <v>27</v>
      </c>
      <c r="B190" s="1" t="s">
        <v>27</v>
      </c>
      <c r="C190" s="1" t="s">
        <v>1339</v>
      </c>
    </row>
    <row r="191" spans="1:3">
      <c r="A191" s="1" t="s">
        <v>321</v>
      </c>
      <c r="B191" s="1" t="s">
        <v>321</v>
      </c>
      <c r="C191" s="1" t="s">
        <v>1374</v>
      </c>
    </row>
    <row r="192" spans="1:3">
      <c r="A192" s="1" t="s">
        <v>73</v>
      </c>
      <c r="B192" s="1" t="s">
        <v>73</v>
      </c>
      <c r="C192" s="1" t="s">
        <v>930</v>
      </c>
    </row>
    <row r="193" spans="1:3">
      <c r="A193" s="1" t="s">
        <v>384</v>
      </c>
      <c r="B193" s="1" t="s">
        <v>387</v>
      </c>
      <c r="C193" s="1" t="s">
        <v>389</v>
      </c>
    </row>
    <row r="194" spans="1:3">
      <c r="A194" s="1" t="s">
        <v>53</v>
      </c>
      <c r="B194" s="1" t="s">
        <v>276</v>
      </c>
      <c r="C194" s="1" t="s">
        <v>279</v>
      </c>
    </row>
    <row r="195" spans="1:3">
      <c r="A195" s="1" t="s">
        <v>120</v>
      </c>
      <c r="B195" s="1" t="s">
        <v>120</v>
      </c>
      <c r="C195" s="1" t="s">
        <v>782</v>
      </c>
    </row>
    <row r="196" spans="1:3">
      <c r="A196" s="1" t="s">
        <v>27</v>
      </c>
      <c r="B196" s="1" t="s">
        <v>188</v>
      </c>
      <c r="C196" s="1" t="s">
        <v>214</v>
      </c>
    </row>
    <row r="197" spans="1:3">
      <c r="A197" s="1" t="s">
        <v>53</v>
      </c>
      <c r="B197" s="1" t="s">
        <v>57</v>
      </c>
      <c r="C197" s="1" t="s">
        <v>270</v>
      </c>
    </row>
    <row r="198" spans="1:3">
      <c r="A198" s="1" t="s">
        <v>53</v>
      </c>
      <c r="B198" s="1" t="s">
        <v>276</v>
      </c>
      <c r="C198" s="1" t="s">
        <v>287</v>
      </c>
    </row>
    <row r="199" spans="1:3">
      <c r="A199" s="1" t="s">
        <v>327</v>
      </c>
      <c r="B199" s="1" t="s">
        <v>328</v>
      </c>
      <c r="C199" s="1" t="s">
        <v>646</v>
      </c>
    </row>
    <row r="200" spans="1:3">
      <c r="A200" s="1" t="s">
        <v>27</v>
      </c>
      <c r="B200" s="1" t="s">
        <v>27</v>
      </c>
      <c r="C200" s="1" t="s">
        <v>1320</v>
      </c>
    </row>
    <row r="201" spans="1:3">
      <c r="A201" s="1" t="s">
        <v>53</v>
      </c>
      <c r="B201" s="1" t="s">
        <v>54</v>
      </c>
      <c r="C201" s="1" t="s">
        <v>297</v>
      </c>
    </row>
    <row r="202" spans="1:3">
      <c r="A202" s="1" t="s">
        <v>53</v>
      </c>
      <c r="B202" s="1" t="s">
        <v>57</v>
      </c>
      <c r="C202" s="1" t="s">
        <v>264</v>
      </c>
    </row>
    <row r="203" spans="1:3">
      <c r="A203" s="1" t="s">
        <v>73</v>
      </c>
      <c r="B203" s="1" t="s">
        <v>73</v>
      </c>
      <c r="C203" s="1" t="s">
        <v>660</v>
      </c>
    </row>
    <row r="204" spans="1:3">
      <c r="A204" s="1" t="s">
        <v>508</v>
      </c>
      <c r="B204" s="1" t="s">
        <v>508</v>
      </c>
      <c r="C204" s="1" t="s">
        <v>524</v>
      </c>
    </row>
    <row r="205" spans="1:3">
      <c r="A205" s="1" t="s">
        <v>123</v>
      </c>
      <c r="B205" s="1" t="s">
        <v>123</v>
      </c>
      <c r="C205" s="1" t="s">
        <v>1467</v>
      </c>
    </row>
    <row r="206" spans="1:3">
      <c r="A206" s="1" t="s">
        <v>321</v>
      </c>
      <c r="B206" s="1" t="s">
        <v>321</v>
      </c>
      <c r="C206" s="1" t="s">
        <v>645</v>
      </c>
    </row>
    <row r="207" spans="1:3">
      <c r="A207" s="1" t="s">
        <v>120</v>
      </c>
      <c r="B207" s="1" t="s">
        <v>120</v>
      </c>
      <c r="C207" s="1" t="s">
        <v>497</v>
      </c>
    </row>
    <row r="208" spans="1:3">
      <c r="A208" s="1" t="s">
        <v>85</v>
      </c>
      <c r="B208" s="1" t="s">
        <v>43</v>
      </c>
      <c r="C208" s="1" t="s">
        <v>381</v>
      </c>
    </row>
    <row r="209" spans="1:3">
      <c r="A209" s="1" t="s">
        <v>384</v>
      </c>
      <c r="B209" s="1" t="s">
        <v>387</v>
      </c>
      <c r="C209" s="1" t="s">
        <v>1410</v>
      </c>
    </row>
    <row r="210" spans="1:3">
      <c r="A210" s="1" t="s">
        <v>120</v>
      </c>
      <c r="B210" s="1" t="s">
        <v>120</v>
      </c>
      <c r="C210" s="1" t="s">
        <v>1223</v>
      </c>
    </row>
    <row r="211" spans="1:3">
      <c r="A211" s="1" t="s">
        <v>7</v>
      </c>
      <c r="B211" s="1" t="s">
        <v>8</v>
      </c>
      <c r="C211" s="1" t="s">
        <v>141</v>
      </c>
    </row>
    <row r="212" spans="1:3">
      <c r="A212" s="1" t="s">
        <v>3</v>
      </c>
      <c r="B212" s="1" t="s">
        <v>5</v>
      </c>
      <c r="C212" s="1" t="s">
        <v>6</v>
      </c>
    </row>
    <row r="213" spans="1:3">
      <c r="A213" s="1" t="s">
        <v>27</v>
      </c>
      <c r="B213" s="1" t="s">
        <v>239</v>
      </c>
      <c r="C213" s="1" t="s">
        <v>249</v>
      </c>
    </row>
    <row r="214" spans="1:3">
      <c r="A214" s="1" t="s">
        <v>861</v>
      </c>
      <c r="B214" s="1" t="s">
        <v>8</v>
      </c>
      <c r="C214" s="1" t="s">
        <v>1071</v>
      </c>
    </row>
    <row r="215" spans="1:3">
      <c r="A215" s="1" t="s">
        <v>27</v>
      </c>
      <c r="B215" s="1" t="s">
        <v>45</v>
      </c>
      <c r="C215" s="1" t="s">
        <v>47</v>
      </c>
    </row>
    <row r="216" spans="1:3">
      <c r="A216" s="1" t="s">
        <v>27</v>
      </c>
      <c r="B216" s="1" t="s">
        <v>31</v>
      </c>
      <c r="C216" s="1" t="s">
        <v>32</v>
      </c>
    </row>
    <row r="217" spans="1:3">
      <c r="A217" s="1" t="s">
        <v>27</v>
      </c>
      <c r="B217" s="1" t="s">
        <v>40</v>
      </c>
      <c r="C217" s="1" t="s">
        <v>226</v>
      </c>
    </row>
    <row r="218" spans="1:3">
      <c r="A218" s="1" t="s">
        <v>27</v>
      </c>
      <c r="B218" s="1" t="s">
        <v>202</v>
      </c>
      <c r="C218" s="1" t="s">
        <v>203</v>
      </c>
    </row>
    <row r="219" spans="1:3">
      <c r="A219" s="1" t="s">
        <v>53</v>
      </c>
      <c r="B219" s="1" t="s">
        <v>276</v>
      </c>
      <c r="C219" s="1" t="s">
        <v>1107</v>
      </c>
    </row>
    <row r="220" spans="1:3">
      <c r="A220" s="1" t="s">
        <v>101</v>
      </c>
      <c r="B220" s="1" t="s">
        <v>62</v>
      </c>
      <c r="C220" s="1" t="s">
        <v>724</v>
      </c>
    </row>
    <row r="221" spans="1:3">
      <c r="A221" s="1" t="s">
        <v>2136</v>
      </c>
      <c r="B221" s="1" t="s">
        <v>127</v>
      </c>
      <c r="C221" s="1" t="s">
        <v>135</v>
      </c>
    </row>
    <row r="222" spans="1:3">
      <c r="A222" s="1" t="s">
        <v>174</v>
      </c>
      <c r="B222" s="1" t="s">
        <v>174</v>
      </c>
      <c r="C222" s="1" t="s">
        <v>859</v>
      </c>
    </row>
    <row r="223" spans="1:3">
      <c r="A223" s="1" t="s">
        <v>27</v>
      </c>
      <c r="B223" s="1" t="s">
        <v>40</v>
      </c>
      <c r="C223" s="1" t="s">
        <v>234</v>
      </c>
    </row>
    <row r="224" spans="1:3">
      <c r="A224" s="1" t="s">
        <v>85</v>
      </c>
      <c r="B224" s="1" t="s">
        <v>43</v>
      </c>
      <c r="C224" s="1" t="s">
        <v>379</v>
      </c>
    </row>
    <row r="225" spans="1:3">
      <c r="A225" s="1" t="s">
        <v>85</v>
      </c>
      <c r="B225" s="1" t="s">
        <v>43</v>
      </c>
      <c r="C225" s="1" t="s">
        <v>691</v>
      </c>
    </row>
    <row r="226" spans="1:3">
      <c r="A226" s="1" t="s">
        <v>53</v>
      </c>
      <c r="B226" s="1" t="s">
        <v>57</v>
      </c>
      <c r="C226" s="1" t="s">
        <v>613</v>
      </c>
    </row>
    <row r="227" spans="1:3">
      <c r="A227" s="1" t="s">
        <v>409</v>
      </c>
      <c r="B227" s="1" t="s">
        <v>409</v>
      </c>
      <c r="C227" s="1" t="s">
        <v>410</v>
      </c>
    </row>
    <row r="228" spans="1:3">
      <c r="A228" s="1" t="s">
        <v>104</v>
      </c>
      <c r="B228" s="1" t="s">
        <v>107</v>
      </c>
      <c r="C228" s="1" t="s">
        <v>469</v>
      </c>
    </row>
    <row r="229" spans="1:3">
      <c r="A229" s="1" t="s">
        <v>27</v>
      </c>
      <c r="B229" s="1" t="s">
        <v>188</v>
      </c>
      <c r="C229" s="1" t="s">
        <v>212</v>
      </c>
    </row>
    <row r="230" spans="1:3">
      <c r="A230" s="1" t="s">
        <v>53</v>
      </c>
      <c r="B230" s="1" t="s">
        <v>57</v>
      </c>
      <c r="C230" s="1" t="s">
        <v>275</v>
      </c>
    </row>
    <row r="231" spans="1:3">
      <c r="A231" s="1" t="s">
        <v>123</v>
      </c>
      <c r="B231" s="1" t="s">
        <v>8</v>
      </c>
      <c r="C231" s="1" t="s">
        <v>1020</v>
      </c>
    </row>
    <row r="232" spans="1:3">
      <c r="A232" s="1" t="s">
        <v>27</v>
      </c>
      <c r="B232" s="1" t="s">
        <v>182</v>
      </c>
      <c r="C232" s="1" t="s">
        <v>196</v>
      </c>
    </row>
    <row r="233" spans="1:3">
      <c r="A233" s="1" t="s">
        <v>508</v>
      </c>
      <c r="B233" s="1" t="s">
        <v>508</v>
      </c>
      <c r="C233" s="1" t="s">
        <v>523</v>
      </c>
    </row>
    <row r="234" spans="1:3">
      <c r="A234" s="1" t="s">
        <v>85</v>
      </c>
      <c r="B234" s="1" t="s">
        <v>43</v>
      </c>
      <c r="C234" s="1" t="s">
        <v>688</v>
      </c>
    </row>
    <row r="235" spans="1:3">
      <c r="A235" s="1" t="s">
        <v>27</v>
      </c>
      <c r="B235" s="1" t="s">
        <v>40</v>
      </c>
      <c r="C235" s="1" t="s">
        <v>1345</v>
      </c>
    </row>
    <row r="236" spans="1:3">
      <c r="A236" s="1" t="s">
        <v>27</v>
      </c>
      <c r="B236" s="1" t="s">
        <v>40</v>
      </c>
      <c r="C236" s="1" t="s">
        <v>42</v>
      </c>
    </row>
    <row r="237" spans="1:3">
      <c r="A237" s="1" t="s">
        <v>27</v>
      </c>
      <c r="B237" s="1" t="s">
        <v>27</v>
      </c>
      <c r="C237" s="1" t="s">
        <v>585</v>
      </c>
    </row>
    <row r="238" spans="1:3">
      <c r="A238" s="1" t="s">
        <v>158</v>
      </c>
      <c r="B238" s="1" t="s">
        <v>158</v>
      </c>
      <c r="C238" s="1" t="s">
        <v>162</v>
      </c>
    </row>
    <row r="239" spans="1:3">
      <c r="A239" s="1" t="s">
        <v>123</v>
      </c>
      <c r="B239" s="1" t="s">
        <v>8</v>
      </c>
      <c r="C239" s="1" t="s">
        <v>532</v>
      </c>
    </row>
    <row r="240" spans="1:3">
      <c r="A240" s="1" t="s">
        <v>85</v>
      </c>
      <c r="B240" s="1" t="s">
        <v>43</v>
      </c>
      <c r="C240" s="1" t="s">
        <v>375</v>
      </c>
    </row>
    <row r="241" spans="1:3">
      <c r="A241" s="1" t="s">
        <v>27</v>
      </c>
      <c r="B241" s="1" t="s">
        <v>40</v>
      </c>
      <c r="C241" s="1" t="s">
        <v>229</v>
      </c>
    </row>
    <row r="242" spans="1:3">
      <c r="A242" s="1" t="s">
        <v>93</v>
      </c>
      <c r="B242" s="1" t="s">
        <v>397</v>
      </c>
      <c r="C242" s="1" t="s">
        <v>399</v>
      </c>
    </row>
    <row r="243" spans="1:3">
      <c r="A243" s="1" t="s">
        <v>508</v>
      </c>
      <c r="B243" s="1" t="s">
        <v>509</v>
      </c>
      <c r="C243" s="1" t="s">
        <v>787</v>
      </c>
    </row>
    <row r="244" spans="1:3">
      <c r="A244" s="1" t="s">
        <v>158</v>
      </c>
      <c r="B244" s="1" t="s">
        <v>158</v>
      </c>
      <c r="C244" s="1" t="s">
        <v>578</v>
      </c>
    </row>
    <row r="245" spans="1:3">
      <c r="A245" s="1" t="s">
        <v>27</v>
      </c>
      <c r="B245" s="1" t="s">
        <v>188</v>
      </c>
      <c r="C245" s="1" t="s">
        <v>218</v>
      </c>
    </row>
    <row r="246" spans="1:3">
      <c r="A246" s="1" t="s">
        <v>384</v>
      </c>
      <c r="B246" s="1" t="s">
        <v>387</v>
      </c>
      <c r="C246" s="1" t="s">
        <v>1178</v>
      </c>
    </row>
    <row r="247" spans="1:3">
      <c r="A247" s="1" t="s">
        <v>104</v>
      </c>
      <c r="B247" s="1" t="s">
        <v>107</v>
      </c>
      <c r="C247" s="1" t="s">
        <v>984</v>
      </c>
    </row>
    <row r="248" spans="1:3">
      <c r="A248" s="1" t="s">
        <v>27</v>
      </c>
      <c r="B248" s="1" t="s">
        <v>27</v>
      </c>
      <c r="C248" s="1" t="s">
        <v>1331</v>
      </c>
    </row>
    <row r="249" spans="1:3">
      <c r="A249" s="1" t="s">
        <v>27</v>
      </c>
      <c r="B249" s="1" t="s">
        <v>27</v>
      </c>
      <c r="C249" s="1" t="s">
        <v>1316</v>
      </c>
    </row>
    <row r="250" spans="1:3">
      <c r="A250" s="1" t="s">
        <v>53</v>
      </c>
      <c r="B250" s="1" t="s">
        <v>54</v>
      </c>
      <c r="C250" s="1" t="s">
        <v>296</v>
      </c>
    </row>
    <row r="251" spans="1:3">
      <c r="A251" s="1" t="s">
        <v>85</v>
      </c>
      <c r="B251" s="1" t="s">
        <v>43</v>
      </c>
      <c r="C251" s="1" t="s">
        <v>380</v>
      </c>
    </row>
    <row r="252" spans="1:3">
      <c r="A252" s="1" t="s">
        <v>384</v>
      </c>
      <c r="B252" s="1" t="s">
        <v>387</v>
      </c>
      <c r="C252" s="1" t="s">
        <v>959</v>
      </c>
    </row>
    <row r="253" spans="1:3">
      <c r="A253" s="1" t="s">
        <v>111</v>
      </c>
      <c r="B253" s="1" t="s">
        <v>111</v>
      </c>
      <c r="C253" s="1" t="s">
        <v>474</v>
      </c>
    </row>
    <row r="254" spans="1:3">
      <c r="A254" s="1" t="s">
        <v>1255</v>
      </c>
      <c r="B254" s="1" t="s">
        <v>1256</v>
      </c>
      <c r="C254" s="1" t="s">
        <v>1257</v>
      </c>
    </row>
    <row r="255" spans="1:3">
      <c r="A255" s="1" t="s">
        <v>313</v>
      </c>
      <c r="B255" s="1" t="s">
        <v>314</v>
      </c>
      <c r="C255" s="1" t="s">
        <v>639</v>
      </c>
    </row>
    <row r="256" spans="1:3">
      <c r="A256" s="1" t="s">
        <v>120</v>
      </c>
      <c r="B256" s="1" t="s">
        <v>120</v>
      </c>
      <c r="C256" s="1" t="s">
        <v>1228</v>
      </c>
    </row>
    <row r="257" spans="1:3">
      <c r="A257" s="1" t="s">
        <v>7</v>
      </c>
      <c r="B257" s="1" t="s">
        <v>7</v>
      </c>
      <c r="C257" s="1" t="s">
        <v>142</v>
      </c>
    </row>
    <row r="258" spans="1:3">
      <c r="A258" s="1" t="s">
        <v>53</v>
      </c>
      <c r="B258" s="1" t="s">
        <v>54</v>
      </c>
      <c r="C258" s="1" t="s">
        <v>624</v>
      </c>
    </row>
    <row r="259" spans="1:3">
      <c r="A259" s="1" t="s">
        <v>85</v>
      </c>
      <c r="B259" s="1" t="s">
        <v>43</v>
      </c>
      <c r="C259" s="1" t="s">
        <v>694</v>
      </c>
    </row>
    <row r="260" spans="1:3">
      <c r="A260" s="1" t="s">
        <v>409</v>
      </c>
      <c r="B260" s="1" t="s">
        <v>409</v>
      </c>
      <c r="C260" s="1" t="s">
        <v>969</v>
      </c>
    </row>
    <row r="261" spans="1:3">
      <c r="A261" s="1" t="s">
        <v>101</v>
      </c>
      <c r="B261" s="1" t="s">
        <v>62</v>
      </c>
      <c r="C261" s="1" t="s">
        <v>431</v>
      </c>
    </row>
    <row r="262" spans="1:3">
      <c r="A262" s="1" t="s">
        <v>104</v>
      </c>
      <c r="B262" s="1" t="s">
        <v>107</v>
      </c>
      <c r="C262" s="1" t="s">
        <v>1420</v>
      </c>
    </row>
    <row r="263" spans="1:3">
      <c r="A263" s="1" t="s">
        <v>104</v>
      </c>
      <c r="B263" s="1" t="s">
        <v>107</v>
      </c>
      <c r="C263" s="1" t="s">
        <v>747</v>
      </c>
    </row>
    <row r="264" spans="1:3">
      <c r="A264" s="1" t="s">
        <v>104</v>
      </c>
      <c r="B264" s="1" t="s">
        <v>107</v>
      </c>
      <c r="C264" s="1" t="s">
        <v>986</v>
      </c>
    </row>
    <row r="265" spans="1:3">
      <c r="A265" s="1" t="s">
        <v>508</v>
      </c>
      <c r="B265" s="1" t="s">
        <v>508</v>
      </c>
      <c r="C265" s="1" t="s">
        <v>522</v>
      </c>
    </row>
    <row r="266" spans="1:3">
      <c r="A266" s="1" t="s">
        <v>7</v>
      </c>
      <c r="B266" s="1" t="s">
        <v>7</v>
      </c>
      <c r="C266" s="1" t="s">
        <v>822</v>
      </c>
    </row>
    <row r="267" spans="1:3">
      <c r="A267" s="1" t="s">
        <v>313</v>
      </c>
      <c r="B267" s="1" t="s">
        <v>314</v>
      </c>
      <c r="C267" s="1" t="s">
        <v>315</v>
      </c>
    </row>
    <row r="268" spans="1:3">
      <c r="A268" s="1" t="s">
        <v>73</v>
      </c>
      <c r="B268" s="1" t="s">
        <v>73</v>
      </c>
      <c r="C268" s="1" t="s">
        <v>352</v>
      </c>
    </row>
    <row r="269" spans="1:3">
      <c r="A269" s="1" t="s">
        <v>384</v>
      </c>
      <c r="B269" s="1" t="s">
        <v>387</v>
      </c>
      <c r="C269" s="1" t="s">
        <v>957</v>
      </c>
    </row>
    <row r="270" spans="1:3">
      <c r="A270" s="1" t="s">
        <v>104</v>
      </c>
      <c r="B270" s="1" t="s">
        <v>107</v>
      </c>
      <c r="C270" s="1" t="s">
        <v>450</v>
      </c>
    </row>
    <row r="271" spans="1:3">
      <c r="A271" s="1" t="s">
        <v>111</v>
      </c>
      <c r="B271" s="1" t="s">
        <v>111</v>
      </c>
      <c r="C271" s="1" t="s">
        <v>1447</v>
      </c>
    </row>
    <row r="272" spans="1:3">
      <c r="A272" s="1" t="s">
        <v>53</v>
      </c>
      <c r="B272" s="1" t="s">
        <v>276</v>
      </c>
      <c r="C272" s="1" t="s">
        <v>885</v>
      </c>
    </row>
    <row r="273" spans="1:3">
      <c r="A273" s="1" t="s">
        <v>407</v>
      </c>
      <c r="B273" s="1" t="s">
        <v>407</v>
      </c>
      <c r="C273" s="1" t="s">
        <v>709</v>
      </c>
    </row>
    <row r="274" spans="1:3">
      <c r="A274" s="1" t="s">
        <v>120</v>
      </c>
      <c r="B274" s="1" t="s">
        <v>120</v>
      </c>
      <c r="C274" s="1" t="s">
        <v>1224</v>
      </c>
    </row>
    <row r="275" spans="1:3">
      <c r="A275" s="1" t="s">
        <v>2136</v>
      </c>
      <c r="B275" s="1" t="s">
        <v>127</v>
      </c>
      <c r="C275" s="1" t="s">
        <v>565</v>
      </c>
    </row>
    <row r="276" spans="1:3">
      <c r="A276" s="1" t="s">
        <v>27</v>
      </c>
      <c r="B276" s="1" t="s">
        <v>239</v>
      </c>
      <c r="C276" s="1" t="s">
        <v>251</v>
      </c>
    </row>
    <row r="277" spans="1:3">
      <c r="A277" s="1" t="s">
        <v>53</v>
      </c>
      <c r="B277" s="1" t="s">
        <v>276</v>
      </c>
      <c r="C277" s="1" t="s">
        <v>294</v>
      </c>
    </row>
    <row r="278" spans="1:3">
      <c r="A278" s="1" t="s">
        <v>53</v>
      </c>
      <c r="B278" s="1" t="s">
        <v>276</v>
      </c>
      <c r="C278" s="1" t="s">
        <v>1106</v>
      </c>
    </row>
    <row r="279" spans="1:3">
      <c r="A279" s="1" t="s">
        <v>73</v>
      </c>
      <c r="B279" s="1" t="s">
        <v>74</v>
      </c>
      <c r="C279" s="1" t="s">
        <v>78</v>
      </c>
    </row>
    <row r="280" spans="1:3">
      <c r="A280" s="1" t="s">
        <v>2136</v>
      </c>
      <c r="B280" s="1" t="s">
        <v>127</v>
      </c>
      <c r="C280" s="1" t="s">
        <v>132</v>
      </c>
    </row>
    <row r="281" spans="1:3">
      <c r="A281" s="1" t="s">
        <v>27</v>
      </c>
      <c r="B281" s="1" t="s">
        <v>27</v>
      </c>
      <c r="C281" s="1" t="s">
        <v>1342</v>
      </c>
    </row>
    <row r="282" spans="1:3">
      <c r="A282" s="1" t="s">
        <v>599</v>
      </c>
      <c r="B282" s="1" t="s">
        <v>8</v>
      </c>
      <c r="C282" s="1" t="s">
        <v>1089</v>
      </c>
    </row>
    <row r="283" spans="1:3">
      <c r="A283" s="1" t="s">
        <v>53</v>
      </c>
      <c r="B283" s="1" t="s">
        <v>276</v>
      </c>
      <c r="C283" s="1" t="s">
        <v>282</v>
      </c>
    </row>
    <row r="284" spans="1:3">
      <c r="A284" s="1" t="s">
        <v>85</v>
      </c>
      <c r="B284" s="1" t="s">
        <v>43</v>
      </c>
      <c r="C284" s="1" t="s">
        <v>1167</v>
      </c>
    </row>
    <row r="285" spans="1:3">
      <c r="A285" s="1" t="s">
        <v>120</v>
      </c>
      <c r="B285" s="1" t="s">
        <v>120</v>
      </c>
      <c r="C285" s="1" t="s">
        <v>1238</v>
      </c>
    </row>
    <row r="286" spans="1:3">
      <c r="A286" s="1" t="s">
        <v>27</v>
      </c>
      <c r="B286" s="1" t="s">
        <v>239</v>
      </c>
      <c r="C286" s="1" t="s">
        <v>242</v>
      </c>
    </row>
    <row r="287" spans="1:3">
      <c r="A287" s="1" t="s">
        <v>321</v>
      </c>
      <c r="B287" s="1" t="s">
        <v>321</v>
      </c>
      <c r="C287" s="1" t="s">
        <v>914</v>
      </c>
    </row>
    <row r="288" spans="1:3">
      <c r="A288" s="1" t="s">
        <v>104</v>
      </c>
      <c r="B288" s="1" t="s">
        <v>107</v>
      </c>
      <c r="C288" s="1" t="s">
        <v>466</v>
      </c>
    </row>
    <row r="289" spans="1:3">
      <c r="A289" s="1" t="s">
        <v>120</v>
      </c>
      <c r="B289" s="1" t="s">
        <v>120</v>
      </c>
      <c r="C289" s="1" t="s">
        <v>780</v>
      </c>
    </row>
    <row r="290" spans="1:3">
      <c r="A290" s="1" t="s">
        <v>327</v>
      </c>
      <c r="B290" s="1" t="s">
        <v>328</v>
      </c>
      <c r="C290" s="1" t="s">
        <v>920</v>
      </c>
    </row>
    <row r="291" spans="1:3">
      <c r="A291" s="1" t="s">
        <v>104</v>
      </c>
      <c r="B291" s="1" t="s">
        <v>107</v>
      </c>
      <c r="C291" s="1" t="s">
        <v>464</v>
      </c>
    </row>
    <row r="292" spans="1:3">
      <c r="A292" s="1" t="s">
        <v>158</v>
      </c>
      <c r="B292" s="1" t="s">
        <v>158</v>
      </c>
      <c r="C292" s="1" t="s">
        <v>582</v>
      </c>
    </row>
    <row r="293" spans="1:3">
      <c r="A293" s="1" t="s">
        <v>384</v>
      </c>
      <c r="B293" s="1" t="s">
        <v>387</v>
      </c>
      <c r="C293" s="1" t="s">
        <v>391</v>
      </c>
    </row>
    <row r="294" spans="1:3">
      <c r="A294" s="1" t="s">
        <v>104</v>
      </c>
      <c r="B294" s="1" t="s">
        <v>107</v>
      </c>
      <c r="C294" s="1" t="s">
        <v>452</v>
      </c>
    </row>
    <row r="295" spans="1:3">
      <c r="A295" s="1" t="s">
        <v>111</v>
      </c>
      <c r="B295" s="1" t="s">
        <v>117</v>
      </c>
      <c r="C295" s="1" t="s">
        <v>995</v>
      </c>
    </row>
    <row r="296" spans="1:3">
      <c r="A296" s="1" t="s">
        <v>508</v>
      </c>
      <c r="B296" s="1" t="s">
        <v>508</v>
      </c>
      <c r="C296" s="1" t="s">
        <v>521</v>
      </c>
    </row>
    <row r="297" spans="1:3">
      <c r="A297" s="1" t="s">
        <v>3</v>
      </c>
      <c r="B297" s="1" t="s">
        <v>3</v>
      </c>
      <c r="C297" s="1" t="s">
        <v>1032</v>
      </c>
    </row>
    <row r="298" spans="1:3">
      <c r="A298" s="1" t="s">
        <v>104</v>
      </c>
      <c r="B298" s="1" t="s">
        <v>107</v>
      </c>
      <c r="C298" s="1" t="s">
        <v>461</v>
      </c>
    </row>
    <row r="299" spans="1:3">
      <c r="A299" s="1" t="s">
        <v>120</v>
      </c>
      <c r="B299" s="1" t="s">
        <v>120</v>
      </c>
      <c r="C299" s="1" t="s">
        <v>773</v>
      </c>
    </row>
    <row r="300" spans="1:3">
      <c r="A300" s="1" t="s">
        <v>508</v>
      </c>
      <c r="B300" s="1" t="s">
        <v>508</v>
      </c>
      <c r="C300" s="1" t="s">
        <v>791</v>
      </c>
    </row>
    <row r="301" spans="1:3">
      <c r="A301" s="1" t="s">
        <v>27</v>
      </c>
      <c r="B301" s="1" t="s">
        <v>188</v>
      </c>
      <c r="C301" s="1" t="s">
        <v>208</v>
      </c>
    </row>
    <row r="302" spans="1:3">
      <c r="A302" s="1" t="s">
        <v>27</v>
      </c>
      <c r="B302" s="1" t="s">
        <v>27</v>
      </c>
      <c r="C302" s="1" t="s">
        <v>1084</v>
      </c>
    </row>
    <row r="303" spans="1:3">
      <c r="A303" s="1" t="s">
        <v>53</v>
      </c>
      <c r="B303" s="1" t="s">
        <v>276</v>
      </c>
      <c r="C303" s="1" t="s">
        <v>1355</v>
      </c>
    </row>
    <row r="304" spans="1:3">
      <c r="A304" s="1" t="s">
        <v>53</v>
      </c>
      <c r="B304" s="1" t="s">
        <v>57</v>
      </c>
      <c r="C304" s="1" t="s">
        <v>602</v>
      </c>
    </row>
    <row r="305" spans="1:3">
      <c r="A305" s="1" t="s">
        <v>53</v>
      </c>
      <c r="B305" s="1" t="s">
        <v>54</v>
      </c>
      <c r="C305" s="1" t="s">
        <v>299</v>
      </c>
    </row>
    <row r="306" spans="1:3">
      <c r="A306" s="1" t="s">
        <v>73</v>
      </c>
      <c r="B306" s="1" t="s">
        <v>73</v>
      </c>
      <c r="C306" s="1" t="s">
        <v>1139</v>
      </c>
    </row>
    <row r="307" spans="1:3">
      <c r="A307" s="1" t="s">
        <v>384</v>
      </c>
      <c r="B307" s="1" t="s">
        <v>387</v>
      </c>
      <c r="C307" s="1" t="s">
        <v>961</v>
      </c>
    </row>
    <row r="308" spans="1:3">
      <c r="A308" s="1" t="s">
        <v>111</v>
      </c>
      <c r="B308" s="1" t="s">
        <v>111</v>
      </c>
      <c r="C308" s="1" t="s">
        <v>483</v>
      </c>
    </row>
    <row r="309" spans="1:3">
      <c r="A309" s="1" t="s">
        <v>7</v>
      </c>
      <c r="B309" s="1" t="s">
        <v>8</v>
      </c>
      <c r="C309" s="1" t="s">
        <v>17</v>
      </c>
    </row>
    <row r="310" spans="1:3">
      <c r="A310" s="1" t="s">
        <v>2136</v>
      </c>
      <c r="B310" s="1" t="s">
        <v>127</v>
      </c>
      <c r="C310" s="1" t="s">
        <v>819</v>
      </c>
    </row>
    <row r="311" spans="1:3">
      <c r="A311" s="1" t="s">
        <v>158</v>
      </c>
      <c r="B311" s="1" t="s">
        <v>158</v>
      </c>
      <c r="C311" s="1" t="s">
        <v>160</v>
      </c>
    </row>
    <row r="312" spans="1:3">
      <c r="A312" s="1" t="s">
        <v>53</v>
      </c>
      <c r="B312" s="1" t="s">
        <v>57</v>
      </c>
      <c r="C312" s="1" t="s">
        <v>274</v>
      </c>
    </row>
    <row r="313" spans="1:3">
      <c r="A313" s="1" t="s">
        <v>73</v>
      </c>
      <c r="B313" s="1" t="s">
        <v>73</v>
      </c>
      <c r="C313" s="1" t="s">
        <v>1132</v>
      </c>
    </row>
    <row r="314" spans="1:3">
      <c r="A314" s="1" t="s">
        <v>85</v>
      </c>
      <c r="B314" s="1" t="s">
        <v>66</v>
      </c>
      <c r="C314" s="1" t="s">
        <v>372</v>
      </c>
    </row>
    <row r="315" spans="1:3">
      <c r="A315" s="1" t="s">
        <v>111</v>
      </c>
      <c r="B315" s="1" t="s">
        <v>111</v>
      </c>
      <c r="C315" s="1" t="s">
        <v>1217</v>
      </c>
    </row>
    <row r="316" spans="1:3">
      <c r="A316" s="1" t="s">
        <v>123</v>
      </c>
      <c r="B316" s="1" t="s">
        <v>123</v>
      </c>
      <c r="C316" s="1" t="s">
        <v>1253</v>
      </c>
    </row>
    <row r="317" spans="1:3">
      <c r="A317" s="1" t="s">
        <v>7</v>
      </c>
      <c r="B317" s="1" t="s">
        <v>69</v>
      </c>
      <c r="C317" s="1" t="s">
        <v>1046</v>
      </c>
    </row>
    <row r="318" spans="1:3">
      <c r="A318" s="1" t="s">
        <v>27</v>
      </c>
      <c r="B318" s="1" t="s">
        <v>239</v>
      </c>
      <c r="C318" s="1" t="s">
        <v>244</v>
      </c>
    </row>
    <row r="319" spans="1:3">
      <c r="A319" s="1" t="s">
        <v>53</v>
      </c>
      <c r="B319" s="1" t="s">
        <v>57</v>
      </c>
      <c r="C319" s="1" t="s">
        <v>1098</v>
      </c>
    </row>
    <row r="320" spans="1:3">
      <c r="A320" s="1" t="s">
        <v>27</v>
      </c>
      <c r="B320" s="1" t="s">
        <v>48</v>
      </c>
      <c r="C320" s="1" t="s">
        <v>49</v>
      </c>
    </row>
    <row r="321" spans="1:3">
      <c r="A321" s="1" t="s">
        <v>625</v>
      </c>
      <c r="B321" s="1" t="s">
        <v>626</v>
      </c>
      <c r="C321" s="1" t="s">
        <v>628</v>
      </c>
    </row>
    <row r="322" spans="1:3">
      <c r="A322" s="1" t="s">
        <v>104</v>
      </c>
      <c r="B322" s="1" t="s">
        <v>107</v>
      </c>
      <c r="C322" s="1" t="s">
        <v>1421</v>
      </c>
    </row>
    <row r="323" spans="1:3">
      <c r="A323" s="1" t="s">
        <v>120</v>
      </c>
      <c r="B323" s="1" t="s">
        <v>120</v>
      </c>
      <c r="C323" s="1" t="s">
        <v>1221</v>
      </c>
    </row>
    <row r="324" spans="1:3">
      <c r="A324" s="1" t="s">
        <v>409</v>
      </c>
      <c r="B324" s="1" t="s">
        <v>409</v>
      </c>
      <c r="C324" s="1" t="s">
        <v>414</v>
      </c>
    </row>
    <row r="325" spans="1:3">
      <c r="A325" s="1" t="s">
        <v>96</v>
      </c>
      <c r="B325" s="1" t="s">
        <v>96</v>
      </c>
      <c r="C325" s="1" t="s">
        <v>714</v>
      </c>
    </row>
    <row r="326" spans="1:3">
      <c r="A326" s="1" t="s">
        <v>120</v>
      </c>
      <c r="B326" s="1" t="s">
        <v>120</v>
      </c>
      <c r="C326" s="1" t="s">
        <v>503</v>
      </c>
    </row>
    <row r="327" spans="1:3">
      <c r="A327" s="1" t="s">
        <v>27</v>
      </c>
      <c r="B327" s="1" t="s">
        <v>239</v>
      </c>
      <c r="C327" s="1" t="s">
        <v>240</v>
      </c>
    </row>
    <row r="328" spans="1:3">
      <c r="A328" s="1" t="s">
        <v>27</v>
      </c>
      <c r="B328" s="1" t="s">
        <v>239</v>
      </c>
      <c r="C328" s="1" t="s">
        <v>247</v>
      </c>
    </row>
    <row r="329" spans="1:3">
      <c r="A329" s="1" t="s">
        <v>104</v>
      </c>
      <c r="B329" s="1" t="s">
        <v>107</v>
      </c>
      <c r="C329" s="1" t="s">
        <v>1194</v>
      </c>
    </row>
    <row r="330" spans="1:3">
      <c r="A330" s="1" t="s">
        <v>2136</v>
      </c>
      <c r="B330" s="1" t="s">
        <v>127</v>
      </c>
      <c r="C330" s="1" t="s">
        <v>137</v>
      </c>
    </row>
    <row r="331" spans="1:3">
      <c r="A331" s="1" t="s">
        <v>27</v>
      </c>
      <c r="B331" s="1" t="s">
        <v>179</v>
      </c>
      <c r="C331" s="1" t="s">
        <v>180</v>
      </c>
    </row>
    <row r="332" spans="1:3">
      <c r="A332" s="1" t="s">
        <v>101</v>
      </c>
      <c r="B332" s="1" t="s">
        <v>62</v>
      </c>
      <c r="C332" s="1" t="s">
        <v>433</v>
      </c>
    </row>
    <row r="333" spans="1:3">
      <c r="A333" s="1" t="s">
        <v>101</v>
      </c>
      <c r="B333" s="1" t="s">
        <v>439</v>
      </c>
      <c r="C333" s="1" t="s">
        <v>442</v>
      </c>
    </row>
    <row r="334" spans="1:3">
      <c r="A334" s="1" t="s">
        <v>101</v>
      </c>
      <c r="B334" s="1" t="s">
        <v>62</v>
      </c>
      <c r="C334" s="1" t="s">
        <v>432</v>
      </c>
    </row>
    <row r="335" spans="1:3">
      <c r="A335" s="1" t="s">
        <v>27</v>
      </c>
      <c r="B335" s="1" t="s">
        <v>188</v>
      </c>
      <c r="C335" s="1" t="s">
        <v>877</v>
      </c>
    </row>
    <row r="336" spans="1:3">
      <c r="A336" s="1" t="s">
        <v>27</v>
      </c>
      <c r="B336" s="1" t="s">
        <v>239</v>
      </c>
      <c r="C336" s="1" t="s">
        <v>246</v>
      </c>
    </row>
    <row r="337" spans="1:3">
      <c r="A337" s="1" t="s">
        <v>27</v>
      </c>
      <c r="B337" s="1" t="s">
        <v>27</v>
      </c>
      <c r="C337" s="1" t="s">
        <v>1318</v>
      </c>
    </row>
    <row r="338" spans="1:3">
      <c r="A338" s="1" t="s">
        <v>53</v>
      </c>
      <c r="B338" s="1" t="s">
        <v>276</v>
      </c>
      <c r="C338" s="1" t="s">
        <v>615</v>
      </c>
    </row>
    <row r="339" spans="1:3">
      <c r="A339" s="1" t="s">
        <v>68</v>
      </c>
      <c r="B339" s="1" t="s">
        <v>319</v>
      </c>
      <c r="C339" s="1" t="s">
        <v>320</v>
      </c>
    </row>
    <row r="340" spans="1:3">
      <c r="A340" s="1" t="s">
        <v>327</v>
      </c>
      <c r="B340" s="1" t="s">
        <v>328</v>
      </c>
      <c r="C340" s="1" t="s">
        <v>1379</v>
      </c>
    </row>
    <row r="341" spans="1:3">
      <c r="A341" s="1" t="s">
        <v>384</v>
      </c>
      <c r="B341" s="1" t="s">
        <v>387</v>
      </c>
      <c r="C341" s="1" t="s">
        <v>392</v>
      </c>
    </row>
    <row r="342" spans="1:3">
      <c r="A342" s="1" t="s">
        <v>101</v>
      </c>
      <c r="B342" s="1" t="s">
        <v>102</v>
      </c>
      <c r="C342" s="1" t="s">
        <v>418</v>
      </c>
    </row>
    <row r="343" spans="1:3">
      <c r="A343" s="1" t="s">
        <v>508</v>
      </c>
      <c r="B343" s="1" t="s">
        <v>509</v>
      </c>
      <c r="C343" s="1" t="s">
        <v>510</v>
      </c>
    </row>
    <row r="344" spans="1:3">
      <c r="A344" s="1" t="s">
        <v>2136</v>
      </c>
      <c r="B344" s="1" t="s">
        <v>127</v>
      </c>
      <c r="C344" s="1" t="s">
        <v>138</v>
      </c>
    </row>
    <row r="345" spans="1:3">
      <c r="A345" s="1" t="s">
        <v>158</v>
      </c>
      <c r="B345" s="1" t="s">
        <v>158</v>
      </c>
      <c r="C345" s="1" t="s">
        <v>1057</v>
      </c>
    </row>
    <row r="346" spans="1:3">
      <c r="A346" s="1" t="s">
        <v>27</v>
      </c>
      <c r="B346" s="1" t="s">
        <v>27</v>
      </c>
      <c r="C346" s="1" t="s">
        <v>1328</v>
      </c>
    </row>
    <row r="347" spans="1:3">
      <c r="A347" s="1" t="s">
        <v>73</v>
      </c>
      <c r="B347" s="1" t="s">
        <v>74</v>
      </c>
      <c r="C347" s="1" t="s">
        <v>76</v>
      </c>
    </row>
    <row r="348" spans="1:3">
      <c r="A348" s="1" t="s">
        <v>120</v>
      </c>
      <c r="B348" s="1" t="s">
        <v>120</v>
      </c>
      <c r="C348" s="1" t="s">
        <v>1235</v>
      </c>
    </row>
    <row r="349" spans="1:3">
      <c r="A349" s="1" t="s">
        <v>7</v>
      </c>
      <c r="B349" s="1" t="s">
        <v>7</v>
      </c>
      <c r="C349" s="1" t="s">
        <v>569</v>
      </c>
    </row>
    <row r="350" spans="1:3">
      <c r="A350" s="1" t="s">
        <v>24</v>
      </c>
      <c r="B350" s="1" t="s">
        <v>24</v>
      </c>
      <c r="C350" s="1" t="s">
        <v>155</v>
      </c>
    </row>
    <row r="351" spans="1:3">
      <c r="A351" s="1" t="s">
        <v>53</v>
      </c>
      <c r="B351" s="1" t="s">
        <v>276</v>
      </c>
      <c r="C351" s="1" t="s">
        <v>291</v>
      </c>
    </row>
    <row r="352" spans="1:3">
      <c r="A352" s="1" t="s">
        <v>311</v>
      </c>
      <c r="B352" s="1" t="s">
        <v>311</v>
      </c>
      <c r="C352" s="1" t="s">
        <v>637</v>
      </c>
    </row>
    <row r="353" spans="1:3">
      <c r="A353" s="1" t="s">
        <v>96</v>
      </c>
      <c r="B353" s="1" t="s">
        <v>96</v>
      </c>
      <c r="C353" s="1" t="s">
        <v>416</v>
      </c>
    </row>
    <row r="354" spans="1:3">
      <c r="A354" s="1" t="s">
        <v>104</v>
      </c>
      <c r="B354" s="1" t="s">
        <v>107</v>
      </c>
      <c r="C354" s="1" t="s">
        <v>1202</v>
      </c>
    </row>
    <row r="355" spans="1:3">
      <c r="A355" s="1" t="s">
        <v>123</v>
      </c>
      <c r="B355" s="1" t="s">
        <v>8</v>
      </c>
      <c r="C355" s="1" t="s">
        <v>536</v>
      </c>
    </row>
    <row r="356" spans="1:3">
      <c r="A356" s="1" t="s">
        <v>7</v>
      </c>
      <c r="B356" s="1" t="s">
        <v>7</v>
      </c>
      <c r="C356" s="1" t="s">
        <v>829</v>
      </c>
    </row>
    <row r="357" spans="1:3">
      <c r="A357" s="1" t="s">
        <v>7</v>
      </c>
      <c r="B357" s="1" t="s">
        <v>7</v>
      </c>
      <c r="C357" s="1" t="s">
        <v>1043</v>
      </c>
    </row>
    <row r="358" spans="1:3">
      <c r="A358" s="1" t="s">
        <v>7</v>
      </c>
      <c r="B358" s="1" t="s">
        <v>7</v>
      </c>
      <c r="C358" s="1" t="s">
        <v>825</v>
      </c>
    </row>
    <row r="359" spans="1:3">
      <c r="A359" s="1" t="s">
        <v>27</v>
      </c>
      <c r="B359" s="1" t="s">
        <v>27</v>
      </c>
      <c r="C359" s="1" t="s">
        <v>864</v>
      </c>
    </row>
    <row r="360" spans="1:3">
      <c r="A360" s="1" t="s">
        <v>53</v>
      </c>
      <c r="B360" s="1" t="s">
        <v>276</v>
      </c>
      <c r="C360" s="1" t="s">
        <v>1357</v>
      </c>
    </row>
    <row r="361" spans="1:3">
      <c r="A361" s="1" t="s">
        <v>922</v>
      </c>
      <c r="B361" s="1" t="s">
        <v>925</v>
      </c>
      <c r="C361" s="1" t="s">
        <v>1389</v>
      </c>
    </row>
    <row r="362" spans="1:3">
      <c r="A362" s="1" t="s">
        <v>85</v>
      </c>
      <c r="B362" s="1" t="s">
        <v>43</v>
      </c>
      <c r="C362" s="1" t="s">
        <v>382</v>
      </c>
    </row>
    <row r="363" spans="1:3">
      <c r="A363" s="1" t="s">
        <v>508</v>
      </c>
      <c r="B363" s="1" t="s">
        <v>508</v>
      </c>
      <c r="C363" s="1" t="s">
        <v>793</v>
      </c>
    </row>
    <row r="364" spans="1:3">
      <c r="A364" s="1" t="s">
        <v>508</v>
      </c>
      <c r="B364" s="1" t="s">
        <v>508</v>
      </c>
      <c r="C364" s="1" t="s">
        <v>525</v>
      </c>
    </row>
    <row r="365" spans="1:3">
      <c r="A365" s="1" t="s">
        <v>27</v>
      </c>
      <c r="B365" s="1" t="s">
        <v>239</v>
      </c>
      <c r="C365" s="1" t="s">
        <v>243</v>
      </c>
    </row>
    <row r="366" spans="1:3">
      <c r="A366" s="1" t="s">
        <v>53</v>
      </c>
      <c r="B366" s="1" t="s">
        <v>276</v>
      </c>
      <c r="C366" s="1" t="s">
        <v>617</v>
      </c>
    </row>
    <row r="367" spans="1:3">
      <c r="A367" s="1" t="s">
        <v>2136</v>
      </c>
      <c r="B367" s="1" t="s">
        <v>127</v>
      </c>
      <c r="C367" s="1" t="s">
        <v>817</v>
      </c>
    </row>
    <row r="368" spans="1:3">
      <c r="A368" s="1" t="s">
        <v>27</v>
      </c>
      <c r="B368" s="1" t="s">
        <v>27</v>
      </c>
      <c r="C368" s="1" t="s">
        <v>1082</v>
      </c>
    </row>
    <row r="369" spans="1:3">
      <c r="A369" s="1" t="s">
        <v>409</v>
      </c>
      <c r="B369" s="1" t="s">
        <v>409</v>
      </c>
      <c r="C369" s="1" t="s">
        <v>1416</v>
      </c>
    </row>
    <row r="370" spans="1:3">
      <c r="A370" s="1" t="s">
        <v>120</v>
      </c>
      <c r="B370" s="1" t="s">
        <v>120</v>
      </c>
      <c r="C370" s="1" t="s">
        <v>500</v>
      </c>
    </row>
    <row r="371" spans="1:3">
      <c r="A371" s="1" t="s">
        <v>1274</v>
      </c>
      <c r="B371" s="1" t="s">
        <v>1275</v>
      </c>
      <c r="C371" s="1" t="s">
        <v>1276</v>
      </c>
    </row>
    <row r="372" spans="1:3">
      <c r="A372" s="1" t="s">
        <v>27</v>
      </c>
      <c r="B372" s="1" t="s">
        <v>27</v>
      </c>
      <c r="C372" s="1" t="s">
        <v>1075</v>
      </c>
    </row>
    <row r="373" spans="1:3">
      <c r="A373" s="1" t="s">
        <v>27</v>
      </c>
      <c r="B373" s="1" t="s">
        <v>27</v>
      </c>
      <c r="C373" s="1" t="s">
        <v>1340</v>
      </c>
    </row>
    <row r="374" spans="1:3">
      <c r="A374" s="1" t="s">
        <v>321</v>
      </c>
      <c r="B374" s="1" t="s">
        <v>321</v>
      </c>
      <c r="C374" s="1" t="s">
        <v>913</v>
      </c>
    </row>
    <row r="375" spans="1:3">
      <c r="A375" s="1" t="s">
        <v>104</v>
      </c>
      <c r="B375" s="1" t="s">
        <v>107</v>
      </c>
      <c r="C375" s="1" t="s">
        <v>980</v>
      </c>
    </row>
    <row r="376" spans="1:3">
      <c r="A376" s="1" t="s">
        <v>111</v>
      </c>
      <c r="B376" s="1" t="s">
        <v>111</v>
      </c>
      <c r="C376" s="1" t="s">
        <v>479</v>
      </c>
    </row>
    <row r="377" spans="1:3">
      <c r="A377" s="1" t="s">
        <v>123</v>
      </c>
      <c r="B377" s="1" t="s">
        <v>123</v>
      </c>
      <c r="C377" s="1" t="s">
        <v>1023</v>
      </c>
    </row>
    <row r="378" spans="1:3">
      <c r="A378" s="1" t="s">
        <v>123</v>
      </c>
      <c r="B378" s="1" t="s">
        <v>123</v>
      </c>
      <c r="C378" s="1" t="s">
        <v>803</v>
      </c>
    </row>
    <row r="379" spans="1:3">
      <c r="A379" s="1" t="s">
        <v>2136</v>
      </c>
      <c r="B379" s="1" t="s">
        <v>127</v>
      </c>
      <c r="C379" s="1" t="s">
        <v>139</v>
      </c>
    </row>
    <row r="380" spans="1:3">
      <c r="A380" s="1" t="s">
        <v>158</v>
      </c>
      <c r="B380" s="1" t="s">
        <v>158</v>
      </c>
      <c r="C380" s="1" t="s">
        <v>845</v>
      </c>
    </row>
    <row r="381" spans="1:3">
      <c r="A381" s="1" t="s">
        <v>27</v>
      </c>
      <c r="B381" s="1" t="s">
        <v>27</v>
      </c>
      <c r="C381" s="1" t="s">
        <v>1317</v>
      </c>
    </row>
    <row r="382" spans="1:3">
      <c r="A382" s="1" t="s">
        <v>53</v>
      </c>
      <c r="B382" s="1" t="s">
        <v>276</v>
      </c>
      <c r="C382" s="1" t="s">
        <v>277</v>
      </c>
    </row>
    <row r="383" spans="1:3">
      <c r="A383" s="1" t="s">
        <v>327</v>
      </c>
      <c r="B383" s="1" t="s">
        <v>328</v>
      </c>
      <c r="C383" s="1" t="s">
        <v>1378</v>
      </c>
    </row>
    <row r="384" spans="1:3">
      <c r="A384" s="1" t="s">
        <v>85</v>
      </c>
      <c r="B384" s="1" t="s">
        <v>43</v>
      </c>
      <c r="C384" s="1" t="s">
        <v>1168</v>
      </c>
    </row>
    <row r="385" spans="1:3">
      <c r="A385" s="1" t="s">
        <v>104</v>
      </c>
      <c r="B385" s="1" t="s">
        <v>107</v>
      </c>
      <c r="C385" s="1" t="s">
        <v>470</v>
      </c>
    </row>
    <row r="386" spans="1:3">
      <c r="A386" s="1" t="s">
        <v>123</v>
      </c>
      <c r="B386" s="1" t="s">
        <v>123</v>
      </c>
      <c r="C386" s="1" t="s">
        <v>1465</v>
      </c>
    </row>
    <row r="387" spans="1:3">
      <c r="A387" s="1" t="s">
        <v>7</v>
      </c>
      <c r="B387" s="1" t="s">
        <v>7</v>
      </c>
      <c r="C387" s="1" t="s">
        <v>1045</v>
      </c>
    </row>
    <row r="388" spans="1:3">
      <c r="A388" s="1" t="s">
        <v>7</v>
      </c>
      <c r="B388" s="1" t="s">
        <v>7</v>
      </c>
      <c r="C388" s="1" t="s">
        <v>1286</v>
      </c>
    </row>
    <row r="389" spans="1:3">
      <c r="A389" s="1" t="s">
        <v>7</v>
      </c>
      <c r="B389" s="1" t="s">
        <v>7</v>
      </c>
      <c r="C389" s="1" t="s">
        <v>18</v>
      </c>
    </row>
    <row r="390" spans="1:3">
      <c r="A390" s="1" t="s">
        <v>599</v>
      </c>
      <c r="B390" s="1" t="s">
        <v>8</v>
      </c>
      <c r="C390" s="1" t="s">
        <v>1088</v>
      </c>
    </row>
    <row r="391" spans="1:3">
      <c r="A391" s="1" t="s">
        <v>53</v>
      </c>
      <c r="B391" s="1" t="s">
        <v>276</v>
      </c>
      <c r="C391" s="1" t="s">
        <v>622</v>
      </c>
    </row>
    <row r="392" spans="1:3">
      <c r="A392" s="1" t="s">
        <v>625</v>
      </c>
      <c r="B392" s="1" t="s">
        <v>626</v>
      </c>
      <c r="C392" s="1" t="s">
        <v>893</v>
      </c>
    </row>
    <row r="393" spans="1:3">
      <c r="A393" s="1" t="s">
        <v>123</v>
      </c>
      <c r="B393" s="1" t="s">
        <v>8</v>
      </c>
      <c r="C393" s="1" t="s">
        <v>529</v>
      </c>
    </row>
    <row r="394" spans="1:3">
      <c r="A394" s="1" t="s">
        <v>559</v>
      </c>
      <c r="B394" s="1" t="s">
        <v>559</v>
      </c>
      <c r="C394" s="1" t="s">
        <v>1031</v>
      </c>
    </row>
    <row r="395" spans="1:3">
      <c r="A395" s="1" t="s">
        <v>27</v>
      </c>
      <c r="B395" s="1" t="s">
        <v>188</v>
      </c>
      <c r="C395" s="1" t="s">
        <v>213</v>
      </c>
    </row>
    <row r="396" spans="1:3">
      <c r="A396" s="1" t="s">
        <v>27</v>
      </c>
      <c r="B396" s="1" t="s">
        <v>27</v>
      </c>
      <c r="C396" s="1" t="s">
        <v>191</v>
      </c>
    </row>
    <row r="397" spans="1:3">
      <c r="A397" s="1" t="s">
        <v>922</v>
      </c>
      <c r="B397" s="1" t="s">
        <v>925</v>
      </c>
      <c r="C397" s="1" t="s">
        <v>1385</v>
      </c>
    </row>
    <row r="398" spans="1:3">
      <c r="A398" s="1" t="s">
        <v>73</v>
      </c>
      <c r="B398" s="1" t="s">
        <v>73</v>
      </c>
      <c r="C398" s="1" t="s">
        <v>1127</v>
      </c>
    </row>
    <row r="399" spans="1:3">
      <c r="A399" s="1" t="s">
        <v>353</v>
      </c>
      <c r="B399" s="1" t="s">
        <v>8</v>
      </c>
      <c r="C399" s="1" t="s">
        <v>359</v>
      </c>
    </row>
    <row r="400" spans="1:3">
      <c r="A400" s="1" t="s">
        <v>104</v>
      </c>
      <c r="B400" s="1" t="s">
        <v>107</v>
      </c>
      <c r="C400" s="1" t="s">
        <v>1426</v>
      </c>
    </row>
    <row r="401" spans="1:3">
      <c r="A401" s="1" t="s">
        <v>120</v>
      </c>
      <c r="B401" s="1" t="s">
        <v>120</v>
      </c>
      <c r="C401" s="1" t="s">
        <v>1231</v>
      </c>
    </row>
    <row r="402" spans="1:3">
      <c r="A402" s="1" t="s">
        <v>123</v>
      </c>
      <c r="B402" s="1" t="s">
        <v>123</v>
      </c>
      <c r="C402" s="1" t="s">
        <v>800</v>
      </c>
    </row>
    <row r="403" spans="1:3">
      <c r="A403" s="1" t="s">
        <v>7</v>
      </c>
      <c r="B403" s="1" t="s">
        <v>7</v>
      </c>
      <c r="C403" s="1" t="s">
        <v>571</v>
      </c>
    </row>
    <row r="404" spans="1:3">
      <c r="A404" s="1" t="s">
        <v>7</v>
      </c>
      <c r="B404" s="1" t="s">
        <v>7</v>
      </c>
      <c r="C404" s="1" t="s">
        <v>823</v>
      </c>
    </row>
    <row r="405" spans="1:3">
      <c r="A405" s="1" t="s">
        <v>7</v>
      </c>
      <c r="B405" s="1" t="s">
        <v>7</v>
      </c>
      <c r="C405" s="1" t="s">
        <v>568</v>
      </c>
    </row>
    <row r="406" spans="1:3">
      <c r="A406" s="1" t="s">
        <v>170</v>
      </c>
      <c r="B406" s="1" t="s">
        <v>171</v>
      </c>
      <c r="C406" s="1" t="s">
        <v>1311</v>
      </c>
    </row>
    <row r="407" spans="1:3">
      <c r="A407" s="1" t="s">
        <v>174</v>
      </c>
      <c r="B407" s="1" t="s">
        <v>174</v>
      </c>
      <c r="C407" s="1" t="s">
        <v>1314</v>
      </c>
    </row>
    <row r="408" spans="1:3">
      <c r="A408" s="1" t="s">
        <v>27</v>
      </c>
      <c r="B408" s="1" t="s">
        <v>27</v>
      </c>
      <c r="C408" s="1" t="s">
        <v>48</v>
      </c>
    </row>
    <row r="409" spans="1:3">
      <c r="A409" s="1" t="s">
        <v>73</v>
      </c>
      <c r="B409" s="1" t="s">
        <v>73</v>
      </c>
      <c r="C409" s="1" t="s">
        <v>1135</v>
      </c>
    </row>
    <row r="410" spans="1:3">
      <c r="A410" s="1" t="s">
        <v>73</v>
      </c>
      <c r="B410" s="1" t="s">
        <v>74</v>
      </c>
      <c r="C410" s="1" t="s">
        <v>75</v>
      </c>
    </row>
    <row r="411" spans="1:3">
      <c r="A411" s="1" t="s">
        <v>85</v>
      </c>
      <c r="B411" s="1" t="s">
        <v>43</v>
      </c>
      <c r="C411" s="1" t="s">
        <v>378</v>
      </c>
    </row>
    <row r="412" spans="1:3">
      <c r="A412" s="1" t="s">
        <v>7</v>
      </c>
      <c r="B412" s="1" t="s">
        <v>7</v>
      </c>
      <c r="C412" s="1" t="s">
        <v>19</v>
      </c>
    </row>
    <row r="413" spans="1:3">
      <c r="A413" s="1" t="s">
        <v>7</v>
      </c>
      <c r="B413" s="1" t="s">
        <v>7</v>
      </c>
      <c r="C413" s="1" t="s">
        <v>1285</v>
      </c>
    </row>
    <row r="414" spans="1:3">
      <c r="A414" s="1" t="s">
        <v>53</v>
      </c>
      <c r="B414" s="1" t="s">
        <v>276</v>
      </c>
      <c r="C414" s="1" t="s">
        <v>1101</v>
      </c>
    </row>
    <row r="415" spans="1:3">
      <c r="A415" s="1" t="s">
        <v>104</v>
      </c>
      <c r="B415" s="1" t="s">
        <v>107</v>
      </c>
      <c r="C415" s="1" t="s">
        <v>460</v>
      </c>
    </row>
    <row r="416" spans="1:3">
      <c r="A416" s="1" t="s">
        <v>120</v>
      </c>
      <c r="B416" s="1" t="s">
        <v>120</v>
      </c>
      <c r="C416" s="1" t="s">
        <v>775</v>
      </c>
    </row>
    <row r="417" spans="1:3">
      <c r="A417" s="1" t="s">
        <v>120</v>
      </c>
      <c r="B417" s="1" t="s">
        <v>120</v>
      </c>
      <c r="C417" s="1" t="s">
        <v>771</v>
      </c>
    </row>
    <row r="418" spans="1:3">
      <c r="A418" s="1" t="s">
        <v>24</v>
      </c>
      <c r="B418" s="1" t="s">
        <v>24</v>
      </c>
      <c r="C418" s="1" t="s">
        <v>1051</v>
      </c>
    </row>
    <row r="419" spans="1:3">
      <c r="A419" s="1" t="s">
        <v>27</v>
      </c>
      <c r="B419" s="1" t="s">
        <v>27</v>
      </c>
      <c r="C419" s="1" t="s">
        <v>1333</v>
      </c>
    </row>
    <row r="420" spans="1:3">
      <c r="A420" s="1" t="s">
        <v>27</v>
      </c>
      <c r="B420" s="1" t="s">
        <v>27</v>
      </c>
      <c r="C420" s="1" t="s">
        <v>1338</v>
      </c>
    </row>
    <row r="421" spans="1:3">
      <c r="A421" s="1" t="s">
        <v>53</v>
      </c>
      <c r="B421" s="1" t="s">
        <v>276</v>
      </c>
      <c r="C421" s="1" t="s">
        <v>1364</v>
      </c>
    </row>
    <row r="422" spans="1:3">
      <c r="A422" s="1" t="s">
        <v>53</v>
      </c>
      <c r="B422" s="1" t="s">
        <v>57</v>
      </c>
      <c r="C422" s="1" t="s">
        <v>603</v>
      </c>
    </row>
    <row r="423" spans="1:3">
      <c r="A423" s="1" t="s">
        <v>678</v>
      </c>
      <c r="B423" s="1" t="s">
        <v>678</v>
      </c>
      <c r="C423" s="1" t="s">
        <v>948</v>
      </c>
    </row>
    <row r="424" spans="1:3">
      <c r="A424" s="1" t="s">
        <v>85</v>
      </c>
      <c r="B424" s="1" t="s">
        <v>43</v>
      </c>
      <c r="C424" s="1" t="s">
        <v>89</v>
      </c>
    </row>
    <row r="425" spans="1:3">
      <c r="A425" s="1" t="s">
        <v>101</v>
      </c>
      <c r="B425" s="1" t="s">
        <v>102</v>
      </c>
      <c r="C425" s="1" t="s">
        <v>423</v>
      </c>
    </row>
    <row r="426" spans="1:3">
      <c r="A426" s="1" t="s">
        <v>111</v>
      </c>
      <c r="B426" s="1" t="s">
        <v>111</v>
      </c>
      <c r="C426" s="1" t="s">
        <v>1439</v>
      </c>
    </row>
    <row r="427" spans="1:3">
      <c r="A427" s="1" t="s">
        <v>120</v>
      </c>
      <c r="B427" s="1" t="s">
        <v>120</v>
      </c>
      <c r="C427" s="1" t="s">
        <v>1222</v>
      </c>
    </row>
    <row r="428" spans="1:3">
      <c r="A428" s="1" t="s">
        <v>7</v>
      </c>
      <c r="B428" s="1" t="s">
        <v>8</v>
      </c>
      <c r="C428" s="1" t="s">
        <v>11</v>
      </c>
    </row>
    <row r="429" spans="1:3">
      <c r="A429" s="1" t="s">
        <v>24</v>
      </c>
      <c r="B429" s="1" t="s">
        <v>24</v>
      </c>
      <c r="C429" s="1" t="s">
        <v>833</v>
      </c>
    </row>
    <row r="430" spans="1:3">
      <c r="A430" s="1" t="s">
        <v>861</v>
      </c>
      <c r="B430" s="1" t="s">
        <v>862</v>
      </c>
      <c r="C430" s="1" t="s">
        <v>1072</v>
      </c>
    </row>
    <row r="431" spans="1:3">
      <c r="A431" s="1" t="s">
        <v>625</v>
      </c>
      <c r="B431" s="1" t="s">
        <v>626</v>
      </c>
      <c r="C431" s="1" t="s">
        <v>1368</v>
      </c>
    </row>
    <row r="432" spans="1:3">
      <c r="A432" s="1" t="s">
        <v>68</v>
      </c>
      <c r="B432" s="1" t="s">
        <v>68</v>
      </c>
      <c r="C432" s="1" t="s">
        <v>641</v>
      </c>
    </row>
    <row r="433" spans="1:3">
      <c r="A433" s="1" t="s">
        <v>922</v>
      </c>
      <c r="B433" s="1" t="s">
        <v>925</v>
      </c>
      <c r="C433" s="1" t="s">
        <v>1383</v>
      </c>
    </row>
    <row r="434" spans="1:3">
      <c r="A434" s="1" t="s">
        <v>101</v>
      </c>
      <c r="B434" s="1" t="s">
        <v>439</v>
      </c>
      <c r="C434" s="1" t="s">
        <v>441</v>
      </c>
    </row>
    <row r="435" spans="1:3">
      <c r="A435" s="1" t="s">
        <v>111</v>
      </c>
      <c r="B435" s="1" t="s">
        <v>111</v>
      </c>
      <c r="C435" s="1" t="s">
        <v>761</v>
      </c>
    </row>
    <row r="436" spans="1:3">
      <c r="A436" s="1" t="s">
        <v>111</v>
      </c>
      <c r="B436" s="1" t="s">
        <v>111</v>
      </c>
      <c r="C436" s="1" t="s">
        <v>481</v>
      </c>
    </row>
    <row r="437" spans="1:3">
      <c r="A437" s="1" t="s">
        <v>120</v>
      </c>
      <c r="B437" s="1" t="s">
        <v>121</v>
      </c>
      <c r="C437" s="1" t="s">
        <v>765</v>
      </c>
    </row>
    <row r="438" spans="1:3">
      <c r="A438" s="1" t="s">
        <v>123</v>
      </c>
      <c r="B438" s="1" t="s">
        <v>8</v>
      </c>
      <c r="C438" s="1" t="s">
        <v>539</v>
      </c>
    </row>
    <row r="439" spans="1:3">
      <c r="A439" s="1" t="s">
        <v>24</v>
      </c>
      <c r="B439" s="1" t="s">
        <v>24</v>
      </c>
      <c r="C439" s="1" t="s">
        <v>153</v>
      </c>
    </row>
    <row r="440" spans="1:3">
      <c r="A440" s="1" t="s">
        <v>158</v>
      </c>
      <c r="B440" s="1" t="s">
        <v>158</v>
      </c>
      <c r="C440" s="1" t="s">
        <v>169</v>
      </c>
    </row>
    <row r="441" spans="1:3">
      <c r="A441" s="1" t="s">
        <v>27</v>
      </c>
      <c r="B441" s="1" t="s">
        <v>188</v>
      </c>
      <c r="C441" s="1" t="s">
        <v>210</v>
      </c>
    </row>
    <row r="442" spans="1:3">
      <c r="A442" s="1" t="s">
        <v>53</v>
      </c>
      <c r="B442" s="1" t="s">
        <v>276</v>
      </c>
      <c r="C442" s="1" t="s">
        <v>1362</v>
      </c>
    </row>
    <row r="443" spans="1:3">
      <c r="A443" s="1" t="s">
        <v>71</v>
      </c>
      <c r="B443" s="1" t="s">
        <v>8</v>
      </c>
      <c r="C443" s="1" t="s">
        <v>72</v>
      </c>
    </row>
    <row r="444" spans="1:3">
      <c r="A444" s="1" t="s">
        <v>327</v>
      </c>
      <c r="B444" s="1" t="s">
        <v>328</v>
      </c>
      <c r="C444" s="1" t="s">
        <v>921</v>
      </c>
    </row>
    <row r="445" spans="1:3">
      <c r="A445" s="1" t="s">
        <v>384</v>
      </c>
      <c r="B445" s="1" t="s">
        <v>387</v>
      </c>
      <c r="C445" s="1" t="s">
        <v>393</v>
      </c>
    </row>
    <row r="446" spans="1:3">
      <c r="A446" s="1" t="s">
        <v>384</v>
      </c>
      <c r="B446" s="1" t="s">
        <v>387</v>
      </c>
      <c r="C446" s="1" t="s">
        <v>700</v>
      </c>
    </row>
    <row r="447" spans="1:3">
      <c r="A447" s="1" t="s">
        <v>93</v>
      </c>
      <c r="B447" s="1" t="s">
        <v>93</v>
      </c>
      <c r="C447" s="1" t="s">
        <v>95</v>
      </c>
    </row>
    <row r="448" spans="1:3">
      <c r="A448" s="1" t="s">
        <v>101</v>
      </c>
      <c r="B448" s="1" t="s">
        <v>102</v>
      </c>
      <c r="C448" s="1" t="s">
        <v>972</v>
      </c>
    </row>
    <row r="449" spans="1:3">
      <c r="A449" s="1" t="s">
        <v>101</v>
      </c>
      <c r="B449" s="1" t="s">
        <v>62</v>
      </c>
      <c r="C449" s="1" t="s">
        <v>973</v>
      </c>
    </row>
    <row r="450" spans="1:3">
      <c r="A450" s="1" t="s">
        <v>104</v>
      </c>
      <c r="B450" s="1" t="s">
        <v>107</v>
      </c>
      <c r="C450" s="1" t="s">
        <v>975</v>
      </c>
    </row>
    <row r="451" spans="1:3">
      <c r="A451" s="1" t="s">
        <v>111</v>
      </c>
      <c r="B451" s="1" t="s">
        <v>111</v>
      </c>
      <c r="C451" s="1" t="s">
        <v>758</v>
      </c>
    </row>
    <row r="452" spans="1:3">
      <c r="A452" s="1" t="s">
        <v>111</v>
      </c>
      <c r="B452" s="1" t="s">
        <v>111</v>
      </c>
      <c r="C452" s="1" t="s">
        <v>1442</v>
      </c>
    </row>
    <row r="453" spans="1:3">
      <c r="A453" s="1" t="s">
        <v>508</v>
      </c>
      <c r="B453" s="1" t="s">
        <v>508</v>
      </c>
      <c r="C453" s="1" t="s">
        <v>1242</v>
      </c>
    </row>
    <row r="454" spans="1:3">
      <c r="A454" s="1" t="s">
        <v>123</v>
      </c>
      <c r="B454" s="1" t="s">
        <v>8</v>
      </c>
      <c r="C454" s="1" t="s">
        <v>534</v>
      </c>
    </row>
    <row r="455" spans="1:3">
      <c r="A455" s="1" t="s">
        <v>7</v>
      </c>
      <c r="B455" s="1" t="s">
        <v>8</v>
      </c>
      <c r="C455" s="1" t="s">
        <v>140</v>
      </c>
    </row>
    <row r="456" spans="1:3">
      <c r="A456" s="1" t="s">
        <v>2136</v>
      </c>
      <c r="B456" s="1" t="s">
        <v>127</v>
      </c>
      <c r="C456" s="1" t="s">
        <v>131</v>
      </c>
    </row>
    <row r="457" spans="1:3">
      <c r="A457" s="1" t="s">
        <v>73</v>
      </c>
      <c r="B457" s="1" t="s">
        <v>73</v>
      </c>
      <c r="C457" s="1" t="s">
        <v>350</v>
      </c>
    </row>
    <row r="458" spans="1:3">
      <c r="A458" s="1" t="s">
        <v>384</v>
      </c>
      <c r="B458" s="1" t="s">
        <v>387</v>
      </c>
      <c r="C458" s="1" t="s">
        <v>1406</v>
      </c>
    </row>
    <row r="459" spans="1:3">
      <c r="A459" s="1" t="s">
        <v>409</v>
      </c>
      <c r="B459" s="1" t="s">
        <v>409</v>
      </c>
      <c r="C459" s="1" t="s">
        <v>415</v>
      </c>
    </row>
    <row r="460" spans="1:3">
      <c r="A460" s="1" t="s">
        <v>101</v>
      </c>
      <c r="B460" s="1" t="s">
        <v>439</v>
      </c>
      <c r="C460" s="1" t="s">
        <v>444</v>
      </c>
    </row>
    <row r="461" spans="1:3">
      <c r="A461" s="1" t="s">
        <v>111</v>
      </c>
      <c r="B461" s="1" t="s">
        <v>111</v>
      </c>
      <c r="C461" s="1" t="s">
        <v>756</v>
      </c>
    </row>
    <row r="462" spans="1:3">
      <c r="A462" s="1" t="s">
        <v>27</v>
      </c>
      <c r="B462" s="1" t="s">
        <v>27</v>
      </c>
      <c r="C462" s="1" t="s">
        <v>872</v>
      </c>
    </row>
    <row r="463" spans="1:3">
      <c r="A463" s="1" t="s">
        <v>353</v>
      </c>
      <c r="B463" s="1" t="s">
        <v>8</v>
      </c>
      <c r="C463" s="1" t="s">
        <v>675</v>
      </c>
    </row>
    <row r="464" spans="1:3">
      <c r="A464" s="1" t="s">
        <v>93</v>
      </c>
      <c r="B464" s="1" t="s">
        <v>93</v>
      </c>
      <c r="C464" s="1" t="s">
        <v>1413</v>
      </c>
    </row>
    <row r="465" spans="1:3">
      <c r="A465" s="1" t="s">
        <v>111</v>
      </c>
      <c r="B465" s="1" t="s">
        <v>111</v>
      </c>
      <c r="C465" s="1" t="s">
        <v>754</v>
      </c>
    </row>
    <row r="466" spans="1:3">
      <c r="A466" s="1" t="s">
        <v>120</v>
      </c>
      <c r="B466" s="1" t="s">
        <v>120</v>
      </c>
      <c r="C466" s="1" t="s">
        <v>777</v>
      </c>
    </row>
    <row r="467" spans="1:3">
      <c r="A467" s="1" t="s">
        <v>120</v>
      </c>
      <c r="B467" s="1" t="s">
        <v>120</v>
      </c>
      <c r="C467" s="1" t="s">
        <v>772</v>
      </c>
    </row>
    <row r="468" spans="1:3">
      <c r="A468" s="1" t="s">
        <v>508</v>
      </c>
      <c r="B468" s="1" t="s">
        <v>508</v>
      </c>
      <c r="C468" s="1" t="s">
        <v>794</v>
      </c>
    </row>
    <row r="469" spans="1:3">
      <c r="A469" s="1" t="s">
        <v>508</v>
      </c>
      <c r="B469" s="1" t="s">
        <v>509</v>
      </c>
      <c r="C469" s="1" t="s">
        <v>511</v>
      </c>
    </row>
    <row r="470" spans="1:3">
      <c r="A470" s="1" t="s">
        <v>7</v>
      </c>
      <c r="B470" s="1" t="s">
        <v>7</v>
      </c>
      <c r="C470" s="1" t="s">
        <v>144</v>
      </c>
    </row>
    <row r="471" spans="1:3">
      <c r="A471" s="1" t="s">
        <v>158</v>
      </c>
      <c r="B471" s="1" t="s">
        <v>158</v>
      </c>
      <c r="C471" s="1" t="s">
        <v>579</v>
      </c>
    </row>
    <row r="472" spans="1:3">
      <c r="A472" s="1" t="s">
        <v>27</v>
      </c>
      <c r="B472" s="1" t="s">
        <v>40</v>
      </c>
      <c r="C472" s="1" t="s">
        <v>223</v>
      </c>
    </row>
    <row r="473" spans="1:3">
      <c r="A473" s="1" t="s">
        <v>53</v>
      </c>
      <c r="B473" s="1" t="s">
        <v>57</v>
      </c>
      <c r="C473" s="1" t="s">
        <v>1352</v>
      </c>
    </row>
    <row r="474" spans="1:3">
      <c r="A474" s="1" t="s">
        <v>53</v>
      </c>
      <c r="B474" s="1" t="s">
        <v>54</v>
      </c>
      <c r="C474" s="1" t="s">
        <v>892</v>
      </c>
    </row>
    <row r="475" spans="1:3">
      <c r="A475" s="1" t="s">
        <v>68</v>
      </c>
      <c r="B475" s="1" t="s">
        <v>68</v>
      </c>
      <c r="C475" s="1" t="s">
        <v>642</v>
      </c>
    </row>
    <row r="476" spans="1:3">
      <c r="A476" s="1" t="s">
        <v>904</v>
      </c>
      <c r="B476" s="1" t="s">
        <v>904</v>
      </c>
      <c r="C476" s="1" t="s">
        <v>1118</v>
      </c>
    </row>
    <row r="477" spans="1:3">
      <c r="A477" s="1" t="s">
        <v>327</v>
      </c>
      <c r="B477" s="1" t="s">
        <v>328</v>
      </c>
      <c r="C477" s="1" t="s">
        <v>329</v>
      </c>
    </row>
    <row r="478" spans="1:3">
      <c r="A478" s="1" t="s">
        <v>353</v>
      </c>
      <c r="B478" s="1" t="s">
        <v>8</v>
      </c>
      <c r="C478" s="1" t="s">
        <v>362</v>
      </c>
    </row>
    <row r="479" spans="1:3">
      <c r="A479" s="1" t="s">
        <v>678</v>
      </c>
      <c r="B479" s="1" t="s">
        <v>678</v>
      </c>
      <c r="C479" s="1" t="s">
        <v>946</v>
      </c>
    </row>
    <row r="480" spans="1:3">
      <c r="A480" s="1" t="s">
        <v>104</v>
      </c>
      <c r="B480" s="1" t="s">
        <v>99</v>
      </c>
      <c r="C480" s="1" t="s">
        <v>110</v>
      </c>
    </row>
    <row r="481" spans="1:3">
      <c r="A481" s="1" t="s">
        <v>111</v>
      </c>
      <c r="B481" s="1" t="s">
        <v>111</v>
      </c>
      <c r="C481" s="1" t="s">
        <v>1000</v>
      </c>
    </row>
    <row r="482" spans="1:3">
      <c r="A482" s="1" t="s">
        <v>120</v>
      </c>
      <c r="B482" s="1" t="s">
        <v>121</v>
      </c>
      <c r="C482" s="1" t="s">
        <v>763</v>
      </c>
    </row>
    <row r="483" spans="1:3">
      <c r="A483" s="1" t="s">
        <v>123</v>
      </c>
      <c r="B483" s="1" t="s">
        <v>123</v>
      </c>
      <c r="C483" s="1" t="s">
        <v>1466</v>
      </c>
    </row>
    <row r="484" spans="1:3">
      <c r="A484" s="1" t="s">
        <v>7</v>
      </c>
      <c r="B484" s="1" t="s">
        <v>7</v>
      </c>
      <c r="C484" s="1" t="s">
        <v>143</v>
      </c>
    </row>
    <row r="485" spans="1:3">
      <c r="A485" s="1" t="s">
        <v>27</v>
      </c>
      <c r="B485" s="1" t="s">
        <v>40</v>
      </c>
      <c r="C485" s="1" t="s">
        <v>230</v>
      </c>
    </row>
    <row r="486" spans="1:3">
      <c r="A486" s="1" t="s">
        <v>27</v>
      </c>
      <c r="B486" s="1" t="s">
        <v>27</v>
      </c>
      <c r="C486" s="1" t="s">
        <v>873</v>
      </c>
    </row>
    <row r="487" spans="1:3">
      <c r="A487" s="1" t="s">
        <v>327</v>
      </c>
      <c r="B487" s="1" t="s">
        <v>328</v>
      </c>
      <c r="C487" s="1" t="s">
        <v>331</v>
      </c>
    </row>
    <row r="488" spans="1:3">
      <c r="A488" s="1" t="s">
        <v>73</v>
      </c>
      <c r="B488" s="1" t="s">
        <v>73</v>
      </c>
      <c r="C488" s="1" t="s">
        <v>1145</v>
      </c>
    </row>
    <row r="489" spans="1:3">
      <c r="A489" s="1" t="s">
        <v>101</v>
      </c>
      <c r="B489" s="1" t="s">
        <v>63</v>
      </c>
      <c r="C489" s="1" t="s">
        <v>731</v>
      </c>
    </row>
    <row r="490" spans="1:3">
      <c r="A490" s="1" t="s">
        <v>111</v>
      </c>
      <c r="B490" s="1" t="s">
        <v>111</v>
      </c>
      <c r="C490" s="1" t="s">
        <v>1218</v>
      </c>
    </row>
    <row r="491" spans="1:3">
      <c r="A491" s="1" t="s">
        <v>120</v>
      </c>
      <c r="B491" s="1" t="s">
        <v>120</v>
      </c>
      <c r="C491" s="1" t="s">
        <v>778</v>
      </c>
    </row>
    <row r="492" spans="1:3">
      <c r="A492" s="1" t="s">
        <v>120</v>
      </c>
      <c r="B492" s="1" t="s">
        <v>1005</v>
      </c>
      <c r="C492" s="1" t="s">
        <v>1007</v>
      </c>
    </row>
    <row r="493" spans="1:3">
      <c r="A493" s="1" t="s">
        <v>120</v>
      </c>
      <c r="B493" s="1" t="s">
        <v>497</v>
      </c>
      <c r="C493" s="1" t="s">
        <v>498</v>
      </c>
    </row>
    <row r="494" spans="1:3">
      <c r="A494" s="1" t="s">
        <v>508</v>
      </c>
      <c r="B494" s="1" t="s">
        <v>508</v>
      </c>
      <c r="C494" s="1" t="s">
        <v>1245</v>
      </c>
    </row>
    <row r="495" spans="1:3">
      <c r="A495" s="1" t="s">
        <v>158</v>
      </c>
      <c r="B495" s="1" t="s">
        <v>158</v>
      </c>
      <c r="C495" s="1" t="s">
        <v>577</v>
      </c>
    </row>
    <row r="496" spans="1:3">
      <c r="A496" s="1" t="s">
        <v>170</v>
      </c>
      <c r="B496" s="1" t="s">
        <v>171</v>
      </c>
      <c r="C496" s="1" t="s">
        <v>1068</v>
      </c>
    </row>
    <row r="497" spans="1:3">
      <c r="A497" s="1" t="s">
        <v>27</v>
      </c>
      <c r="B497" s="1" t="s">
        <v>188</v>
      </c>
      <c r="C497" s="1" t="s">
        <v>211</v>
      </c>
    </row>
    <row r="498" spans="1:3">
      <c r="A498" s="1" t="s">
        <v>53</v>
      </c>
      <c r="B498" s="1" t="s">
        <v>57</v>
      </c>
      <c r="C498" s="1" t="s">
        <v>1097</v>
      </c>
    </row>
    <row r="499" spans="1:3">
      <c r="A499" s="1" t="s">
        <v>68</v>
      </c>
      <c r="B499" s="1" t="s">
        <v>68</v>
      </c>
      <c r="C499" s="1" t="s">
        <v>903</v>
      </c>
    </row>
    <row r="500" spans="1:3">
      <c r="A500" s="1" t="s">
        <v>73</v>
      </c>
      <c r="B500" s="1" t="s">
        <v>8</v>
      </c>
      <c r="C500" s="1" t="s">
        <v>333</v>
      </c>
    </row>
    <row r="501" spans="1:3">
      <c r="A501" s="1" t="s">
        <v>85</v>
      </c>
      <c r="B501" s="1" t="s">
        <v>43</v>
      </c>
      <c r="C501" s="1" t="s">
        <v>1165</v>
      </c>
    </row>
    <row r="502" spans="1:3">
      <c r="A502" s="1" t="s">
        <v>384</v>
      </c>
      <c r="B502" s="1" t="s">
        <v>387</v>
      </c>
      <c r="C502" s="1" t="s">
        <v>1177</v>
      </c>
    </row>
    <row r="503" spans="1:3">
      <c r="A503" s="1" t="s">
        <v>93</v>
      </c>
      <c r="B503" s="1" t="s">
        <v>93</v>
      </c>
      <c r="C503" s="1" t="s">
        <v>405</v>
      </c>
    </row>
    <row r="504" spans="1:3">
      <c r="A504" s="1" t="s">
        <v>111</v>
      </c>
      <c r="B504" s="1" t="s">
        <v>8</v>
      </c>
      <c r="C504" s="1" t="s">
        <v>474</v>
      </c>
    </row>
    <row r="505" spans="1:3">
      <c r="A505" s="1" t="s">
        <v>120</v>
      </c>
      <c r="B505" s="1" t="s">
        <v>121</v>
      </c>
      <c r="C505" s="1" t="s">
        <v>766</v>
      </c>
    </row>
    <row r="506" spans="1:3">
      <c r="A506" s="1" t="s">
        <v>508</v>
      </c>
      <c r="B506" s="1" t="s">
        <v>509</v>
      </c>
      <c r="C506" s="1" t="s">
        <v>788</v>
      </c>
    </row>
    <row r="507" spans="1:3">
      <c r="A507" s="1" t="s">
        <v>123</v>
      </c>
      <c r="B507" s="1" t="s">
        <v>547</v>
      </c>
      <c r="C507" s="1" t="s">
        <v>1247</v>
      </c>
    </row>
    <row r="508" spans="1:3">
      <c r="A508" s="1" t="s">
        <v>27</v>
      </c>
      <c r="B508" s="1" t="s">
        <v>40</v>
      </c>
      <c r="C508" s="1" t="s">
        <v>1343</v>
      </c>
    </row>
    <row r="509" spans="1:3">
      <c r="A509" s="1" t="s">
        <v>27</v>
      </c>
      <c r="B509" s="1" t="s">
        <v>27</v>
      </c>
      <c r="C509" s="1" t="s">
        <v>871</v>
      </c>
    </row>
    <row r="510" spans="1:3">
      <c r="A510" s="1" t="s">
        <v>27</v>
      </c>
      <c r="B510" s="1" t="s">
        <v>33</v>
      </c>
      <c r="C510" s="1" t="s">
        <v>34</v>
      </c>
    </row>
    <row r="511" spans="1:3">
      <c r="A511" s="1" t="s">
        <v>53</v>
      </c>
      <c r="B511" s="1" t="s">
        <v>54</v>
      </c>
      <c r="C511" s="1" t="s">
        <v>890</v>
      </c>
    </row>
    <row r="512" spans="1:3">
      <c r="A512" s="1" t="s">
        <v>625</v>
      </c>
      <c r="B512" s="1" t="s">
        <v>626</v>
      </c>
      <c r="C512" s="1" t="s">
        <v>627</v>
      </c>
    </row>
    <row r="513" spans="1:3">
      <c r="A513" s="1" t="s">
        <v>922</v>
      </c>
      <c r="B513" s="1" t="s">
        <v>923</v>
      </c>
      <c r="C513" s="1" t="s">
        <v>924</v>
      </c>
    </row>
    <row r="514" spans="1:3">
      <c r="A514" s="1" t="s">
        <v>73</v>
      </c>
      <c r="B514" s="1" t="s">
        <v>73</v>
      </c>
      <c r="C514" s="1" t="s">
        <v>1131</v>
      </c>
    </row>
    <row r="515" spans="1:3">
      <c r="A515" s="1" t="s">
        <v>73</v>
      </c>
      <c r="B515" s="1" t="s">
        <v>8</v>
      </c>
      <c r="C515" s="1" t="s">
        <v>332</v>
      </c>
    </row>
    <row r="516" spans="1:3">
      <c r="A516" s="1" t="s">
        <v>353</v>
      </c>
      <c r="B516" s="1" t="s">
        <v>8</v>
      </c>
      <c r="C516" s="1" t="s">
        <v>1156</v>
      </c>
    </row>
    <row r="517" spans="1:3">
      <c r="A517" s="1" t="s">
        <v>384</v>
      </c>
      <c r="B517" s="1" t="s">
        <v>703</v>
      </c>
      <c r="C517" s="1" t="s">
        <v>704</v>
      </c>
    </row>
    <row r="518" spans="1:3">
      <c r="A518" s="1" t="s">
        <v>111</v>
      </c>
      <c r="B518" s="1" t="s">
        <v>69</v>
      </c>
      <c r="C518" s="1" t="s">
        <v>117</v>
      </c>
    </row>
    <row r="519" spans="1:3">
      <c r="A519" s="1" t="s">
        <v>111</v>
      </c>
      <c r="B519" s="1" t="s">
        <v>111</v>
      </c>
      <c r="C519" s="1" t="s">
        <v>1002</v>
      </c>
    </row>
    <row r="520" spans="1:3">
      <c r="A520" s="1" t="s">
        <v>111</v>
      </c>
      <c r="B520" s="1" t="s">
        <v>752</v>
      </c>
      <c r="C520" s="1" t="s">
        <v>753</v>
      </c>
    </row>
    <row r="521" spans="1:3">
      <c r="A521" s="1" t="s">
        <v>120</v>
      </c>
      <c r="B521" s="1" t="s">
        <v>121</v>
      </c>
      <c r="C521" s="1" t="s">
        <v>767</v>
      </c>
    </row>
    <row r="522" spans="1:3">
      <c r="A522" s="1" t="s">
        <v>123</v>
      </c>
      <c r="B522" s="1" t="s">
        <v>123</v>
      </c>
      <c r="C522" s="1" t="s">
        <v>801</v>
      </c>
    </row>
    <row r="523" spans="1:3">
      <c r="A523" s="1" t="s">
        <v>158</v>
      </c>
      <c r="B523" s="1" t="s">
        <v>853</v>
      </c>
      <c r="C523" s="1" t="s">
        <v>855</v>
      </c>
    </row>
    <row r="524" spans="1:3">
      <c r="A524" s="1" t="s">
        <v>327</v>
      </c>
      <c r="B524" s="1" t="s">
        <v>328</v>
      </c>
      <c r="C524" s="1" t="s">
        <v>330</v>
      </c>
    </row>
    <row r="525" spans="1:3">
      <c r="A525" s="1" t="s">
        <v>922</v>
      </c>
      <c r="B525" s="1" t="s">
        <v>925</v>
      </c>
      <c r="C525" s="1" t="s">
        <v>1387</v>
      </c>
    </row>
    <row r="526" spans="1:3">
      <c r="A526" s="1" t="s">
        <v>101</v>
      </c>
      <c r="B526" s="1" t="s">
        <v>102</v>
      </c>
      <c r="C526" s="1" t="s">
        <v>1185</v>
      </c>
    </row>
    <row r="527" spans="1:3">
      <c r="A527" s="1" t="s">
        <v>104</v>
      </c>
      <c r="B527" s="1" t="s">
        <v>107</v>
      </c>
      <c r="C527" s="1" t="s">
        <v>746</v>
      </c>
    </row>
    <row r="528" spans="1:3">
      <c r="A528" s="1" t="s">
        <v>111</v>
      </c>
      <c r="B528" s="1" t="s">
        <v>752</v>
      </c>
      <c r="C528" s="1" t="s">
        <v>1203</v>
      </c>
    </row>
    <row r="529" spans="1:3">
      <c r="A529" s="1" t="s">
        <v>508</v>
      </c>
      <c r="B529" s="1" t="s">
        <v>508</v>
      </c>
      <c r="C529" s="1" t="s">
        <v>1239</v>
      </c>
    </row>
    <row r="530" spans="1:3">
      <c r="A530" s="1" t="s">
        <v>123</v>
      </c>
      <c r="B530" s="1" t="s">
        <v>8</v>
      </c>
      <c r="C530" s="1" t="s">
        <v>538</v>
      </c>
    </row>
    <row r="531" spans="1:3">
      <c r="A531" s="1" t="s">
        <v>27</v>
      </c>
      <c r="B531" s="1" t="s">
        <v>40</v>
      </c>
      <c r="C531" s="1" t="s">
        <v>1346</v>
      </c>
    </row>
    <row r="532" spans="1:3">
      <c r="A532" s="1" t="s">
        <v>27</v>
      </c>
      <c r="B532" s="1" t="s">
        <v>182</v>
      </c>
      <c r="C532" s="1" t="s">
        <v>198</v>
      </c>
    </row>
    <row r="533" spans="1:3">
      <c r="A533" s="1" t="s">
        <v>27</v>
      </c>
      <c r="B533" s="1" t="s">
        <v>202</v>
      </c>
      <c r="C533" s="1" t="s">
        <v>207</v>
      </c>
    </row>
    <row r="534" spans="1:3">
      <c r="A534" s="1" t="s">
        <v>27</v>
      </c>
      <c r="B534" s="1" t="s">
        <v>239</v>
      </c>
      <c r="C534" s="1" t="s">
        <v>252</v>
      </c>
    </row>
    <row r="535" spans="1:3">
      <c r="A535" s="1" t="s">
        <v>599</v>
      </c>
      <c r="B535" s="1" t="s">
        <v>8</v>
      </c>
      <c r="C535" s="1" t="s">
        <v>1347</v>
      </c>
    </row>
    <row r="536" spans="1:3">
      <c r="A536" s="1" t="s">
        <v>599</v>
      </c>
      <c r="B536" s="1" t="s">
        <v>8</v>
      </c>
      <c r="C536" s="1" t="s">
        <v>600</v>
      </c>
    </row>
    <row r="537" spans="1:3">
      <c r="A537" s="1" t="s">
        <v>53</v>
      </c>
      <c r="B537" s="1" t="s">
        <v>276</v>
      </c>
      <c r="C537" s="1" t="s">
        <v>1358</v>
      </c>
    </row>
    <row r="538" spans="1:3">
      <c r="A538" s="1" t="s">
        <v>53</v>
      </c>
      <c r="B538" s="1" t="s">
        <v>57</v>
      </c>
      <c r="C538" s="1" t="s">
        <v>267</v>
      </c>
    </row>
    <row r="539" spans="1:3">
      <c r="A539" s="1" t="s">
        <v>53</v>
      </c>
      <c r="B539" s="1" t="s">
        <v>276</v>
      </c>
      <c r="C539" s="1" t="s">
        <v>1366</v>
      </c>
    </row>
    <row r="540" spans="1:3">
      <c r="A540" s="1" t="s">
        <v>300</v>
      </c>
      <c r="B540" s="1" t="s">
        <v>300</v>
      </c>
      <c r="C540" s="1" t="s">
        <v>1111</v>
      </c>
    </row>
    <row r="541" spans="1:3">
      <c r="A541" s="1" t="s">
        <v>73</v>
      </c>
      <c r="B541" s="1" t="s">
        <v>344</v>
      </c>
      <c r="C541" s="1" t="s">
        <v>345</v>
      </c>
    </row>
    <row r="542" spans="1:3">
      <c r="A542" s="1" t="s">
        <v>353</v>
      </c>
      <c r="B542" s="1" t="s">
        <v>8</v>
      </c>
      <c r="C542" s="1" t="s">
        <v>363</v>
      </c>
    </row>
    <row r="543" spans="1:3">
      <c r="A543" s="1" t="s">
        <v>353</v>
      </c>
      <c r="B543" s="1" t="s">
        <v>8</v>
      </c>
      <c r="C543" s="1" t="s">
        <v>358</v>
      </c>
    </row>
    <row r="544" spans="1:3">
      <c r="A544" s="1" t="s">
        <v>85</v>
      </c>
      <c r="B544" s="1" t="s">
        <v>43</v>
      </c>
      <c r="C544" s="1" t="s">
        <v>687</v>
      </c>
    </row>
    <row r="545" spans="1:3">
      <c r="A545" s="1" t="s">
        <v>104</v>
      </c>
      <c r="B545" s="1" t="s">
        <v>107</v>
      </c>
      <c r="C545" s="1" t="s">
        <v>1423</v>
      </c>
    </row>
    <row r="546" spans="1:3">
      <c r="A546" s="1" t="s">
        <v>104</v>
      </c>
      <c r="B546" s="1" t="s">
        <v>107</v>
      </c>
      <c r="C546" s="1" t="s">
        <v>1425</v>
      </c>
    </row>
    <row r="547" spans="1:3">
      <c r="A547" s="1" t="s">
        <v>508</v>
      </c>
      <c r="B547" s="1" t="s">
        <v>509</v>
      </c>
      <c r="C547" s="1" t="s">
        <v>513</v>
      </c>
    </row>
    <row r="548" spans="1:3">
      <c r="A548" s="1" t="s">
        <v>1264</v>
      </c>
      <c r="B548" s="1" t="s">
        <v>114</v>
      </c>
      <c r="C548" s="1" t="s">
        <v>1268</v>
      </c>
    </row>
    <row r="549" spans="1:3">
      <c r="A549" s="1" t="s">
        <v>7</v>
      </c>
      <c r="B549" s="1" t="s">
        <v>7</v>
      </c>
      <c r="C549" s="1" t="s">
        <v>828</v>
      </c>
    </row>
    <row r="550" spans="1:3">
      <c r="A550" s="1" t="s">
        <v>2136</v>
      </c>
      <c r="B550" s="1" t="s">
        <v>127</v>
      </c>
      <c r="C550" s="1" t="s">
        <v>818</v>
      </c>
    </row>
    <row r="551" spans="1:3">
      <c r="A551" s="1" t="s">
        <v>27</v>
      </c>
      <c r="B551" s="1" t="s">
        <v>27</v>
      </c>
      <c r="C551" s="1" t="s">
        <v>188</v>
      </c>
    </row>
    <row r="552" spans="1:3">
      <c r="A552" s="1" t="s">
        <v>27</v>
      </c>
      <c r="B552" s="1" t="s">
        <v>27</v>
      </c>
      <c r="C552" s="1" t="s">
        <v>875</v>
      </c>
    </row>
    <row r="553" spans="1:3">
      <c r="A553" s="1" t="s">
        <v>27</v>
      </c>
      <c r="B553" s="1" t="s">
        <v>202</v>
      </c>
      <c r="C553" s="1" t="s">
        <v>205</v>
      </c>
    </row>
    <row r="554" spans="1:3">
      <c r="A554" s="1" t="s">
        <v>73</v>
      </c>
      <c r="B554" s="1" t="s">
        <v>73</v>
      </c>
      <c r="C554" s="1" t="s">
        <v>1134</v>
      </c>
    </row>
    <row r="555" spans="1:3">
      <c r="A555" s="1" t="s">
        <v>93</v>
      </c>
      <c r="B555" s="1" t="s">
        <v>397</v>
      </c>
      <c r="C555" s="1" t="s">
        <v>400</v>
      </c>
    </row>
    <row r="556" spans="1:3">
      <c r="A556" s="1" t="s">
        <v>409</v>
      </c>
      <c r="B556" s="1" t="s">
        <v>409</v>
      </c>
      <c r="C556" s="1" t="s">
        <v>713</v>
      </c>
    </row>
    <row r="557" spans="1:3">
      <c r="A557" s="1" t="s">
        <v>101</v>
      </c>
      <c r="B557" s="1" t="s">
        <v>102</v>
      </c>
      <c r="C557" s="1" t="s">
        <v>421</v>
      </c>
    </row>
    <row r="558" spans="1:3">
      <c r="A558" s="1" t="s">
        <v>101</v>
      </c>
      <c r="B558" s="1" t="s">
        <v>62</v>
      </c>
      <c r="C558" s="1" t="s">
        <v>430</v>
      </c>
    </row>
    <row r="559" spans="1:3">
      <c r="A559" s="1" t="s">
        <v>111</v>
      </c>
      <c r="B559" s="1" t="s">
        <v>111</v>
      </c>
      <c r="C559" s="1" t="s">
        <v>478</v>
      </c>
    </row>
    <row r="560" spans="1:3">
      <c r="A560" s="1" t="s">
        <v>120</v>
      </c>
      <c r="B560" s="1" t="s">
        <v>120</v>
      </c>
      <c r="C560" s="1" t="s">
        <v>501</v>
      </c>
    </row>
    <row r="561" spans="1:3">
      <c r="A561" s="1" t="s">
        <v>120</v>
      </c>
      <c r="B561" s="1" t="s">
        <v>1005</v>
      </c>
      <c r="C561" s="1" t="s">
        <v>1008</v>
      </c>
    </row>
    <row r="562" spans="1:3">
      <c r="A562" s="1" t="s">
        <v>508</v>
      </c>
      <c r="B562" s="1" t="s">
        <v>509</v>
      </c>
      <c r="C562" s="1" t="s">
        <v>786</v>
      </c>
    </row>
    <row r="563" spans="1:3">
      <c r="A563" s="1" t="s">
        <v>123</v>
      </c>
      <c r="B563" s="1" t="s">
        <v>123</v>
      </c>
      <c r="C563" s="1" t="s">
        <v>1469</v>
      </c>
    </row>
    <row r="564" spans="1:3">
      <c r="A564" s="1" t="s">
        <v>22</v>
      </c>
      <c r="B564" s="1" t="s">
        <v>22</v>
      </c>
      <c r="C564" s="1" t="s">
        <v>23</v>
      </c>
    </row>
    <row r="565" spans="1:3">
      <c r="A565" s="1" t="s">
        <v>158</v>
      </c>
      <c r="B565" s="1" t="s">
        <v>158</v>
      </c>
      <c r="C565" s="1" t="s">
        <v>581</v>
      </c>
    </row>
    <row r="566" spans="1:3">
      <c r="A566" s="1" t="s">
        <v>158</v>
      </c>
      <c r="B566" s="1" t="s">
        <v>158</v>
      </c>
      <c r="C566" s="1" t="s">
        <v>850</v>
      </c>
    </row>
    <row r="567" spans="1:3">
      <c r="A567" s="1" t="s">
        <v>53</v>
      </c>
      <c r="B567" s="1" t="s">
        <v>54</v>
      </c>
      <c r="C567" s="1" t="s">
        <v>891</v>
      </c>
    </row>
    <row r="568" spans="1:3">
      <c r="A568" s="1" t="s">
        <v>904</v>
      </c>
      <c r="B568" s="1" t="s">
        <v>904</v>
      </c>
      <c r="C568" s="1" t="s">
        <v>905</v>
      </c>
    </row>
    <row r="569" spans="1:3">
      <c r="A569" s="1" t="s">
        <v>327</v>
      </c>
      <c r="B569" s="1" t="s">
        <v>328</v>
      </c>
      <c r="C569" s="1" t="s">
        <v>1120</v>
      </c>
    </row>
    <row r="570" spans="1:3">
      <c r="A570" s="1" t="s">
        <v>73</v>
      </c>
      <c r="B570" s="1" t="s">
        <v>8</v>
      </c>
      <c r="C570" s="1" t="s">
        <v>649</v>
      </c>
    </row>
    <row r="571" spans="1:3">
      <c r="A571" s="1" t="s">
        <v>85</v>
      </c>
      <c r="B571" s="1" t="s">
        <v>43</v>
      </c>
      <c r="C571" s="1" t="s">
        <v>954</v>
      </c>
    </row>
    <row r="572" spans="1:3">
      <c r="A572" s="1" t="s">
        <v>101</v>
      </c>
      <c r="B572" s="1" t="s">
        <v>102</v>
      </c>
      <c r="C572" s="1" t="s">
        <v>1189</v>
      </c>
    </row>
    <row r="573" spans="1:3">
      <c r="A573" s="1" t="s">
        <v>101</v>
      </c>
      <c r="B573" s="1" t="s">
        <v>62</v>
      </c>
      <c r="C573" s="1" t="s">
        <v>723</v>
      </c>
    </row>
    <row r="574" spans="1:3">
      <c r="A574" s="1" t="s">
        <v>101</v>
      </c>
      <c r="B574" s="1" t="s">
        <v>102</v>
      </c>
      <c r="C574" s="1" t="s">
        <v>721</v>
      </c>
    </row>
    <row r="575" spans="1:3">
      <c r="A575" s="1" t="s">
        <v>101</v>
      </c>
      <c r="B575" s="1" t="s">
        <v>63</v>
      </c>
      <c r="C575" s="1" t="s">
        <v>438</v>
      </c>
    </row>
    <row r="576" spans="1:3">
      <c r="A576" s="1" t="s">
        <v>120</v>
      </c>
      <c r="B576" s="1" t="s">
        <v>487</v>
      </c>
      <c r="C576" s="1" t="s">
        <v>488</v>
      </c>
    </row>
    <row r="577" spans="1:3">
      <c r="A577" s="1" t="s">
        <v>120</v>
      </c>
      <c r="B577" s="1" t="s">
        <v>120</v>
      </c>
      <c r="C577" s="1" t="s">
        <v>784</v>
      </c>
    </row>
    <row r="578" spans="1:3">
      <c r="A578" s="1" t="s">
        <v>508</v>
      </c>
      <c r="B578" s="1" t="s">
        <v>516</v>
      </c>
      <c r="C578" s="1" t="s">
        <v>518</v>
      </c>
    </row>
    <row r="579" spans="1:3">
      <c r="A579" s="1" t="s">
        <v>123</v>
      </c>
      <c r="B579" s="1" t="s">
        <v>547</v>
      </c>
      <c r="C579" s="1" t="s">
        <v>1249</v>
      </c>
    </row>
    <row r="580" spans="1:3">
      <c r="A580" s="1" t="s">
        <v>7</v>
      </c>
      <c r="B580" s="1" t="s">
        <v>7</v>
      </c>
      <c r="C580" s="1" t="s">
        <v>826</v>
      </c>
    </row>
    <row r="581" spans="1:3">
      <c r="A581" s="1" t="s">
        <v>158</v>
      </c>
      <c r="B581" s="1" t="s">
        <v>158</v>
      </c>
      <c r="C581" s="1" t="s">
        <v>841</v>
      </c>
    </row>
    <row r="582" spans="1:3">
      <c r="A582" s="1" t="s">
        <v>170</v>
      </c>
      <c r="B582" s="1" t="s">
        <v>171</v>
      </c>
      <c r="C582" s="1" t="s">
        <v>1313</v>
      </c>
    </row>
    <row r="583" spans="1:3">
      <c r="A583" s="1" t="s">
        <v>27</v>
      </c>
      <c r="B583" s="1" t="s">
        <v>27</v>
      </c>
      <c r="C583" s="1" t="s">
        <v>1335</v>
      </c>
    </row>
    <row r="584" spans="1:3">
      <c r="A584" s="1" t="s">
        <v>27</v>
      </c>
      <c r="B584" s="1" t="s">
        <v>37</v>
      </c>
      <c r="C584" s="1" t="s">
        <v>39</v>
      </c>
    </row>
    <row r="585" spans="1:3">
      <c r="A585" s="1" t="s">
        <v>53</v>
      </c>
      <c r="B585" s="1" t="s">
        <v>57</v>
      </c>
      <c r="C585" s="1" t="s">
        <v>1353</v>
      </c>
    </row>
    <row r="586" spans="1:3">
      <c r="A586" s="1" t="s">
        <v>625</v>
      </c>
      <c r="B586" s="1" t="s">
        <v>626</v>
      </c>
      <c r="C586" s="1" t="s">
        <v>1108</v>
      </c>
    </row>
    <row r="587" spans="1:3">
      <c r="A587" s="1" t="s">
        <v>300</v>
      </c>
      <c r="B587" s="1" t="s">
        <v>300</v>
      </c>
      <c r="C587" s="1" t="s">
        <v>1372</v>
      </c>
    </row>
    <row r="588" spans="1:3">
      <c r="A588" s="1" t="s">
        <v>73</v>
      </c>
      <c r="B588" s="1" t="s">
        <v>73</v>
      </c>
      <c r="C588" s="1" t="s">
        <v>935</v>
      </c>
    </row>
    <row r="589" spans="1:3">
      <c r="A589" s="1" t="s">
        <v>73</v>
      </c>
      <c r="B589" s="1" t="s">
        <v>73</v>
      </c>
      <c r="C589" s="1" t="s">
        <v>936</v>
      </c>
    </row>
    <row r="590" spans="1:3">
      <c r="A590" s="1" t="s">
        <v>353</v>
      </c>
      <c r="B590" s="1" t="s">
        <v>8</v>
      </c>
      <c r="C590" s="1" t="s">
        <v>1155</v>
      </c>
    </row>
    <row r="591" spans="1:3">
      <c r="A591" s="1" t="s">
        <v>101</v>
      </c>
      <c r="B591" s="1" t="s">
        <v>63</v>
      </c>
      <c r="C591" s="1" t="s">
        <v>437</v>
      </c>
    </row>
    <row r="592" spans="1:3">
      <c r="A592" s="1" t="s">
        <v>101</v>
      </c>
      <c r="B592" s="1" t="s">
        <v>102</v>
      </c>
      <c r="C592" s="1" t="s">
        <v>424</v>
      </c>
    </row>
    <row r="593" spans="1:3">
      <c r="A593" s="1" t="s">
        <v>104</v>
      </c>
      <c r="B593" s="1" t="s">
        <v>107</v>
      </c>
      <c r="C593" s="1" t="s">
        <v>734</v>
      </c>
    </row>
    <row r="594" spans="1:3">
      <c r="A594" s="1" t="s">
        <v>104</v>
      </c>
      <c r="B594" s="1" t="s">
        <v>107</v>
      </c>
      <c r="C594" s="1" t="s">
        <v>465</v>
      </c>
    </row>
    <row r="595" spans="1:3">
      <c r="A595" s="1" t="s">
        <v>111</v>
      </c>
      <c r="B595" s="1" t="s">
        <v>111</v>
      </c>
      <c r="C595" s="1" t="s">
        <v>1211</v>
      </c>
    </row>
    <row r="596" spans="1:3">
      <c r="A596" s="1" t="s">
        <v>120</v>
      </c>
      <c r="B596" s="1" t="s">
        <v>120</v>
      </c>
      <c r="C596" s="1" t="s">
        <v>1458</v>
      </c>
    </row>
    <row r="597" spans="1:3">
      <c r="A597" s="1" t="s">
        <v>123</v>
      </c>
      <c r="B597" s="1" t="s">
        <v>123</v>
      </c>
      <c r="C597" s="1" t="s">
        <v>1024</v>
      </c>
    </row>
    <row r="598" spans="1:3">
      <c r="A598" s="1" t="s">
        <v>123</v>
      </c>
      <c r="B598" s="1" t="s">
        <v>123</v>
      </c>
      <c r="C598" s="1" t="s">
        <v>799</v>
      </c>
    </row>
    <row r="599" spans="1:3">
      <c r="A599" s="1" t="s">
        <v>7</v>
      </c>
      <c r="B599" s="1" t="s">
        <v>7</v>
      </c>
      <c r="C599" s="1" t="s">
        <v>1287</v>
      </c>
    </row>
    <row r="600" spans="1:3">
      <c r="A600" s="1" t="s">
        <v>2136</v>
      </c>
      <c r="B600" s="1" t="s">
        <v>127</v>
      </c>
      <c r="C600" s="1" t="s">
        <v>133</v>
      </c>
    </row>
    <row r="601" spans="1:3">
      <c r="A601" s="1" t="s">
        <v>24</v>
      </c>
      <c r="B601" s="1" t="s">
        <v>24</v>
      </c>
      <c r="C601" s="1" t="s">
        <v>834</v>
      </c>
    </row>
    <row r="602" spans="1:3">
      <c r="A602" s="1" t="s">
        <v>27</v>
      </c>
      <c r="B602" s="1" t="s">
        <v>27</v>
      </c>
      <c r="C602" s="1" t="s">
        <v>1334</v>
      </c>
    </row>
    <row r="603" spans="1:3">
      <c r="A603" s="1" t="s">
        <v>27</v>
      </c>
      <c r="B603" s="1" t="s">
        <v>239</v>
      </c>
      <c r="C603" s="1" t="s">
        <v>245</v>
      </c>
    </row>
    <row r="604" spans="1:3">
      <c r="A604" s="1" t="s">
        <v>101</v>
      </c>
      <c r="B604" s="1" t="s">
        <v>63</v>
      </c>
      <c r="C604" s="1" t="s">
        <v>732</v>
      </c>
    </row>
    <row r="605" spans="1:3">
      <c r="A605" s="1" t="s">
        <v>120</v>
      </c>
      <c r="B605" s="1" t="s">
        <v>120</v>
      </c>
      <c r="C605" s="1" t="s">
        <v>502</v>
      </c>
    </row>
    <row r="606" spans="1:3">
      <c r="A606" s="1" t="s">
        <v>123</v>
      </c>
      <c r="B606" s="1" t="s">
        <v>547</v>
      </c>
      <c r="C606" s="1" t="s">
        <v>1248</v>
      </c>
    </row>
    <row r="607" spans="1:3">
      <c r="A607" s="1" t="s">
        <v>123</v>
      </c>
      <c r="B607" s="1" t="s">
        <v>123</v>
      </c>
      <c r="C607" s="1" t="s">
        <v>550</v>
      </c>
    </row>
    <row r="608" spans="1:3">
      <c r="A608" s="1" t="s">
        <v>123</v>
      </c>
      <c r="B608" s="1" t="s">
        <v>123</v>
      </c>
      <c r="C608" s="1" t="s">
        <v>1462</v>
      </c>
    </row>
    <row r="609" spans="1:3">
      <c r="A609" s="1" t="s">
        <v>7</v>
      </c>
      <c r="B609" s="1" t="s">
        <v>7</v>
      </c>
      <c r="C609" s="1" t="s">
        <v>1044</v>
      </c>
    </row>
    <row r="610" spans="1:3">
      <c r="A610" s="1" t="s">
        <v>2136</v>
      </c>
      <c r="B610" s="1" t="s">
        <v>127</v>
      </c>
      <c r="C610" s="1" t="s">
        <v>134</v>
      </c>
    </row>
    <row r="611" spans="1:3">
      <c r="A611" s="1" t="s">
        <v>27</v>
      </c>
      <c r="B611" s="1" t="s">
        <v>27</v>
      </c>
      <c r="C611" s="1" t="s">
        <v>866</v>
      </c>
    </row>
    <row r="612" spans="1:3">
      <c r="A612" s="1" t="s">
        <v>27</v>
      </c>
      <c r="B612" s="1" t="s">
        <v>182</v>
      </c>
      <c r="C612" s="1" t="s">
        <v>201</v>
      </c>
    </row>
    <row r="613" spans="1:3">
      <c r="A613" s="1" t="s">
        <v>27</v>
      </c>
      <c r="B613" s="1" t="s">
        <v>27</v>
      </c>
      <c r="C613" s="1" t="s">
        <v>592</v>
      </c>
    </row>
    <row r="614" spans="1:3">
      <c r="A614" s="1" t="s">
        <v>599</v>
      </c>
      <c r="B614" s="1" t="s">
        <v>8</v>
      </c>
      <c r="C614" s="1" t="s">
        <v>880</v>
      </c>
    </row>
    <row r="615" spans="1:3">
      <c r="A615" s="1" t="s">
        <v>53</v>
      </c>
      <c r="B615" s="1" t="s">
        <v>276</v>
      </c>
      <c r="C615" s="1" t="s">
        <v>1363</v>
      </c>
    </row>
    <row r="616" spans="1:3">
      <c r="A616" s="1" t="s">
        <v>1123</v>
      </c>
      <c r="B616" s="1" t="s">
        <v>1124</v>
      </c>
      <c r="C616" s="1" t="s">
        <v>1125</v>
      </c>
    </row>
    <row r="617" spans="1:3">
      <c r="A617" s="1" t="s">
        <v>73</v>
      </c>
      <c r="B617" s="1" t="s">
        <v>73</v>
      </c>
      <c r="C617" s="1" t="s">
        <v>665</v>
      </c>
    </row>
    <row r="618" spans="1:3">
      <c r="A618" s="1" t="s">
        <v>353</v>
      </c>
      <c r="B618" s="1" t="s">
        <v>8</v>
      </c>
      <c r="C618" s="1" t="s">
        <v>366</v>
      </c>
    </row>
    <row r="619" spans="1:3">
      <c r="A619" s="1" t="s">
        <v>85</v>
      </c>
      <c r="B619" s="1" t="s">
        <v>66</v>
      </c>
      <c r="C619" s="1" t="s">
        <v>373</v>
      </c>
    </row>
    <row r="620" spans="1:3">
      <c r="A620" s="1" t="s">
        <v>384</v>
      </c>
      <c r="B620" s="1" t="s">
        <v>387</v>
      </c>
      <c r="C620" s="1" t="s">
        <v>1401</v>
      </c>
    </row>
    <row r="621" spans="1:3">
      <c r="A621" s="1" t="s">
        <v>93</v>
      </c>
      <c r="B621" s="1" t="s">
        <v>93</v>
      </c>
      <c r="C621" s="1" t="s">
        <v>404</v>
      </c>
    </row>
    <row r="622" spans="1:3">
      <c r="A622" s="1" t="s">
        <v>101</v>
      </c>
      <c r="B622" s="1" t="s">
        <v>102</v>
      </c>
      <c r="C622" s="1" t="s">
        <v>720</v>
      </c>
    </row>
    <row r="623" spans="1:3">
      <c r="A623" s="1" t="s">
        <v>104</v>
      </c>
      <c r="B623" s="1" t="s">
        <v>107</v>
      </c>
      <c r="C623" s="1" t="s">
        <v>456</v>
      </c>
    </row>
    <row r="624" spans="1:3">
      <c r="A624" s="1" t="s">
        <v>111</v>
      </c>
      <c r="B624" s="1" t="s">
        <v>117</v>
      </c>
      <c r="C624" s="1" t="s">
        <v>992</v>
      </c>
    </row>
    <row r="625" spans="1:3">
      <c r="A625" s="1" t="s">
        <v>120</v>
      </c>
      <c r="B625" s="1" t="s">
        <v>762</v>
      </c>
      <c r="C625" s="1" t="s">
        <v>1453</v>
      </c>
    </row>
    <row r="626" spans="1:3">
      <c r="A626" s="1" t="s">
        <v>120</v>
      </c>
      <c r="B626" s="1" t="s">
        <v>120</v>
      </c>
      <c r="C626" s="1" t="s">
        <v>1229</v>
      </c>
    </row>
    <row r="627" spans="1:3">
      <c r="A627" s="1" t="s">
        <v>123</v>
      </c>
      <c r="B627" s="1" t="s">
        <v>547</v>
      </c>
      <c r="C627" s="1" t="s">
        <v>1022</v>
      </c>
    </row>
    <row r="628" spans="1:3">
      <c r="A628" s="1" t="s">
        <v>158</v>
      </c>
      <c r="B628" s="1" t="s">
        <v>158</v>
      </c>
      <c r="C628" s="1" t="s">
        <v>1055</v>
      </c>
    </row>
    <row r="629" spans="1:3">
      <c r="A629" s="1" t="s">
        <v>27</v>
      </c>
      <c r="B629" s="1" t="s">
        <v>40</v>
      </c>
      <c r="C629" s="1" t="s">
        <v>233</v>
      </c>
    </row>
    <row r="630" spans="1:3">
      <c r="A630" s="1" t="s">
        <v>27</v>
      </c>
      <c r="B630" s="1" t="s">
        <v>48</v>
      </c>
      <c r="C630" s="1" t="s">
        <v>51</v>
      </c>
    </row>
    <row r="631" spans="1:3">
      <c r="A631" s="1" t="s">
        <v>65</v>
      </c>
      <c r="B631" s="1" t="s">
        <v>66</v>
      </c>
      <c r="C631" s="1" t="s">
        <v>899</v>
      </c>
    </row>
    <row r="632" spans="1:3">
      <c r="A632" s="1" t="s">
        <v>73</v>
      </c>
      <c r="B632" s="1" t="s">
        <v>338</v>
      </c>
      <c r="C632" s="1" t="s">
        <v>341</v>
      </c>
    </row>
    <row r="633" spans="1:3">
      <c r="A633" s="1" t="s">
        <v>73</v>
      </c>
      <c r="B633" s="1" t="s">
        <v>73</v>
      </c>
      <c r="C633" s="1" t="s">
        <v>667</v>
      </c>
    </row>
    <row r="634" spans="1:3">
      <c r="A634" s="1" t="s">
        <v>85</v>
      </c>
      <c r="B634" s="1" t="s">
        <v>43</v>
      </c>
      <c r="C634" s="1" t="s">
        <v>377</v>
      </c>
    </row>
    <row r="635" spans="1:3">
      <c r="A635" s="1" t="s">
        <v>384</v>
      </c>
      <c r="B635" s="1" t="s">
        <v>387</v>
      </c>
      <c r="C635" s="1" t="s">
        <v>702</v>
      </c>
    </row>
    <row r="636" spans="1:3">
      <c r="A636" s="1" t="s">
        <v>384</v>
      </c>
      <c r="B636" s="1" t="s">
        <v>387</v>
      </c>
      <c r="C636" s="1" t="s">
        <v>1403</v>
      </c>
    </row>
    <row r="637" spans="1:3">
      <c r="A637" s="1" t="s">
        <v>384</v>
      </c>
      <c r="B637" s="1" t="s">
        <v>387</v>
      </c>
      <c r="C637" s="1" t="s">
        <v>1180</v>
      </c>
    </row>
    <row r="638" spans="1:3">
      <c r="A638" s="1" t="s">
        <v>93</v>
      </c>
      <c r="B638" s="1" t="s">
        <v>93</v>
      </c>
      <c r="C638" s="1" t="s">
        <v>94</v>
      </c>
    </row>
    <row r="639" spans="1:3">
      <c r="A639" s="1" t="s">
        <v>104</v>
      </c>
      <c r="B639" s="1" t="s">
        <v>107</v>
      </c>
      <c r="C639" s="1" t="s">
        <v>454</v>
      </c>
    </row>
    <row r="640" spans="1:3">
      <c r="A640" s="1" t="s">
        <v>111</v>
      </c>
      <c r="B640" s="1" t="s">
        <v>111</v>
      </c>
      <c r="C640" s="1" t="s">
        <v>1440</v>
      </c>
    </row>
    <row r="641" spans="1:3">
      <c r="A641" s="1" t="s">
        <v>508</v>
      </c>
      <c r="B641" s="1" t="s">
        <v>516</v>
      </c>
      <c r="C641" s="1" t="s">
        <v>517</v>
      </c>
    </row>
    <row r="642" spans="1:3">
      <c r="A642" s="1" t="s">
        <v>508</v>
      </c>
      <c r="B642" s="1" t="s">
        <v>508</v>
      </c>
      <c r="C642" s="1" t="s">
        <v>1241</v>
      </c>
    </row>
    <row r="643" spans="1:3">
      <c r="A643" s="1" t="s">
        <v>1035</v>
      </c>
      <c r="B643" s="1" t="s">
        <v>1036</v>
      </c>
      <c r="C643" s="1" t="s">
        <v>1037</v>
      </c>
    </row>
    <row r="644" spans="1:3">
      <c r="A644" s="1" t="s">
        <v>7</v>
      </c>
      <c r="B644" s="1" t="s">
        <v>7</v>
      </c>
      <c r="C644" s="1" t="s">
        <v>1288</v>
      </c>
    </row>
    <row r="645" spans="1:3">
      <c r="A645" s="1" t="s">
        <v>27</v>
      </c>
      <c r="B645" s="1" t="s">
        <v>27</v>
      </c>
      <c r="C645" s="1" t="s">
        <v>1081</v>
      </c>
    </row>
    <row r="646" spans="1:3">
      <c r="A646" s="1" t="s">
        <v>27</v>
      </c>
      <c r="B646" s="1" t="s">
        <v>27</v>
      </c>
      <c r="C646" s="1" t="s">
        <v>867</v>
      </c>
    </row>
    <row r="647" spans="1:3">
      <c r="A647" s="1" t="s">
        <v>313</v>
      </c>
      <c r="B647" s="1" t="s">
        <v>311</v>
      </c>
      <c r="C647" s="1" t="s">
        <v>640</v>
      </c>
    </row>
    <row r="648" spans="1:3">
      <c r="A648" s="1" t="s">
        <v>922</v>
      </c>
      <c r="B648" s="1" t="s">
        <v>925</v>
      </c>
      <c r="C648" s="1" t="s">
        <v>1386</v>
      </c>
    </row>
    <row r="649" spans="1:3">
      <c r="A649" s="1" t="s">
        <v>353</v>
      </c>
      <c r="B649" s="1" t="s">
        <v>8</v>
      </c>
      <c r="C649" s="1" t="s">
        <v>361</v>
      </c>
    </row>
    <row r="650" spans="1:3">
      <c r="A650" s="1" t="s">
        <v>384</v>
      </c>
      <c r="B650" s="1" t="s">
        <v>387</v>
      </c>
      <c r="C650" s="1" t="s">
        <v>1404</v>
      </c>
    </row>
    <row r="651" spans="1:3">
      <c r="A651" s="1" t="s">
        <v>101</v>
      </c>
      <c r="B651" s="1" t="s">
        <v>62</v>
      </c>
      <c r="C651" s="1" t="s">
        <v>426</v>
      </c>
    </row>
    <row r="652" spans="1:3">
      <c r="A652" s="1" t="s">
        <v>111</v>
      </c>
      <c r="B652" s="1" t="s">
        <v>111</v>
      </c>
      <c r="C652" s="1" t="s">
        <v>997</v>
      </c>
    </row>
    <row r="653" spans="1:3">
      <c r="A653" s="1" t="s">
        <v>111</v>
      </c>
      <c r="B653" s="1" t="s">
        <v>111</v>
      </c>
      <c r="C653" s="1" t="s">
        <v>1216</v>
      </c>
    </row>
    <row r="654" spans="1:3">
      <c r="A654" s="1" t="s">
        <v>111</v>
      </c>
      <c r="B654" s="1" t="s">
        <v>111</v>
      </c>
      <c r="C654" s="1" t="s">
        <v>1210</v>
      </c>
    </row>
    <row r="655" spans="1:3">
      <c r="A655" s="1" t="s">
        <v>120</v>
      </c>
      <c r="B655" s="1" t="s">
        <v>762</v>
      </c>
      <c r="C655" s="1" t="s">
        <v>763</v>
      </c>
    </row>
    <row r="656" spans="1:3">
      <c r="A656" s="1" t="s">
        <v>120</v>
      </c>
      <c r="B656" s="1" t="s">
        <v>120</v>
      </c>
      <c r="C656" s="1" t="s">
        <v>1457</v>
      </c>
    </row>
    <row r="657" spans="1:3">
      <c r="A657" s="1" t="s">
        <v>508</v>
      </c>
      <c r="B657" s="1" t="s">
        <v>508</v>
      </c>
      <c r="C657" s="1" t="s">
        <v>792</v>
      </c>
    </row>
    <row r="658" spans="1:3">
      <c r="A658" s="1" t="s">
        <v>553</v>
      </c>
      <c r="B658" s="1" t="s">
        <v>114</v>
      </c>
      <c r="C658" s="1" t="s">
        <v>1261</v>
      </c>
    </row>
    <row r="659" spans="1:3">
      <c r="A659" s="1" t="s">
        <v>7</v>
      </c>
      <c r="B659" s="1" t="s">
        <v>7</v>
      </c>
      <c r="C659" s="1" t="s">
        <v>148</v>
      </c>
    </row>
    <row r="660" spans="1:3">
      <c r="A660" s="1" t="s">
        <v>7</v>
      </c>
      <c r="B660" s="1" t="s">
        <v>8</v>
      </c>
      <c r="C660" s="1" t="s">
        <v>16</v>
      </c>
    </row>
    <row r="661" spans="1:3">
      <c r="A661" s="1" t="s">
        <v>24</v>
      </c>
      <c r="B661" s="1" t="s">
        <v>24</v>
      </c>
      <c r="C661" s="1" t="s">
        <v>1298</v>
      </c>
    </row>
    <row r="662" spans="1:3">
      <c r="A662" s="1" t="s">
        <v>170</v>
      </c>
      <c r="B662" s="1" t="s">
        <v>171</v>
      </c>
      <c r="C662" s="1" t="s">
        <v>1312</v>
      </c>
    </row>
    <row r="663" spans="1:3">
      <c r="A663" s="1" t="s">
        <v>170</v>
      </c>
      <c r="B663" s="1" t="s">
        <v>171</v>
      </c>
      <c r="C663" s="1" t="s">
        <v>1308</v>
      </c>
    </row>
    <row r="664" spans="1:3">
      <c r="A664" s="1" t="s">
        <v>27</v>
      </c>
      <c r="B664" s="1" t="s">
        <v>40</v>
      </c>
      <c r="C664" s="1" t="s">
        <v>225</v>
      </c>
    </row>
    <row r="665" spans="1:3">
      <c r="A665" s="1" t="s">
        <v>27</v>
      </c>
      <c r="B665" s="1" t="s">
        <v>27</v>
      </c>
      <c r="C665" s="1" t="s">
        <v>1076</v>
      </c>
    </row>
    <row r="666" spans="1:3">
      <c r="A666" s="1" t="s">
        <v>27</v>
      </c>
      <c r="B666" s="1" t="s">
        <v>202</v>
      </c>
      <c r="C666" s="1" t="s">
        <v>206</v>
      </c>
    </row>
    <row r="667" spans="1:3">
      <c r="A667" s="1" t="s">
        <v>53</v>
      </c>
      <c r="B667" s="1" t="s">
        <v>53</v>
      </c>
      <c r="C667" s="1" t="s">
        <v>261</v>
      </c>
    </row>
    <row r="668" spans="1:3">
      <c r="A668" s="1" t="s">
        <v>59</v>
      </c>
      <c r="B668" s="1" t="s">
        <v>60</v>
      </c>
      <c r="C668" s="1" t="s">
        <v>61</v>
      </c>
    </row>
    <row r="669" spans="1:3">
      <c r="A669" s="1" t="s">
        <v>321</v>
      </c>
      <c r="B669" s="1" t="s">
        <v>321</v>
      </c>
      <c r="C669" s="1" t="s">
        <v>912</v>
      </c>
    </row>
    <row r="670" spans="1:3">
      <c r="A670" s="1" t="s">
        <v>73</v>
      </c>
      <c r="B670" s="1" t="s">
        <v>338</v>
      </c>
      <c r="C670" s="1" t="s">
        <v>343</v>
      </c>
    </row>
    <row r="671" spans="1:3">
      <c r="A671" s="1" t="s">
        <v>73</v>
      </c>
      <c r="B671" s="1" t="s">
        <v>73</v>
      </c>
      <c r="C671" s="1" t="s">
        <v>933</v>
      </c>
    </row>
    <row r="672" spans="1:3">
      <c r="A672" s="1" t="s">
        <v>93</v>
      </c>
      <c r="B672" s="1" t="s">
        <v>93</v>
      </c>
      <c r="C672" s="1" t="s">
        <v>966</v>
      </c>
    </row>
    <row r="673" spans="1:3">
      <c r="A673" s="1" t="s">
        <v>93</v>
      </c>
      <c r="B673" s="1" t="s">
        <v>93</v>
      </c>
      <c r="C673" s="1" t="s">
        <v>1184</v>
      </c>
    </row>
    <row r="674" spans="1:3">
      <c r="A674" s="1" t="s">
        <v>104</v>
      </c>
      <c r="B674" s="1" t="s">
        <v>107</v>
      </c>
      <c r="C674" s="1" t="s">
        <v>1198</v>
      </c>
    </row>
    <row r="675" spans="1:3">
      <c r="A675" s="1" t="s">
        <v>120</v>
      </c>
      <c r="B675" s="1" t="s">
        <v>120</v>
      </c>
      <c r="C675" s="1" t="s">
        <v>499</v>
      </c>
    </row>
    <row r="676" spans="1:3">
      <c r="A676" s="1" t="s">
        <v>508</v>
      </c>
      <c r="B676" s="1" t="s">
        <v>508</v>
      </c>
      <c r="C676" s="1" t="s">
        <v>1017</v>
      </c>
    </row>
    <row r="677" spans="1:3">
      <c r="A677" s="1" t="s">
        <v>553</v>
      </c>
      <c r="B677" s="1" t="s">
        <v>553</v>
      </c>
      <c r="C677" s="1" t="s">
        <v>1262</v>
      </c>
    </row>
    <row r="678" spans="1:3">
      <c r="A678" s="1" t="s">
        <v>1264</v>
      </c>
      <c r="B678" s="1" t="s">
        <v>114</v>
      </c>
      <c r="C678" s="1" t="s">
        <v>1267</v>
      </c>
    </row>
    <row r="679" spans="1:3">
      <c r="A679" s="1" t="s">
        <v>24</v>
      </c>
      <c r="B679" s="1" t="s">
        <v>24</v>
      </c>
      <c r="C679" s="1" t="s">
        <v>835</v>
      </c>
    </row>
    <row r="680" spans="1:3">
      <c r="A680" s="1" t="s">
        <v>158</v>
      </c>
      <c r="B680" s="1" t="s">
        <v>158</v>
      </c>
      <c r="C680" s="1" t="s">
        <v>163</v>
      </c>
    </row>
    <row r="681" spans="1:3">
      <c r="A681" s="1" t="s">
        <v>170</v>
      </c>
      <c r="B681" s="1" t="s">
        <v>171</v>
      </c>
      <c r="C681" s="1" t="s">
        <v>858</v>
      </c>
    </row>
    <row r="682" spans="1:3">
      <c r="A682" s="1" t="s">
        <v>27</v>
      </c>
      <c r="B682" s="1" t="s">
        <v>40</v>
      </c>
      <c r="C682" s="1" t="s">
        <v>232</v>
      </c>
    </row>
    <row r="683" spans="1:3">
      <c r="A683" s="1" t="s">
        <v>27</v>
      </c>
      <c r="B683" s="1" t="s">
        <v>28</v>
      </c>
      <c r="C683" s="1" t="s">
        <v>29</v>
      </c>
    </row>
    <row r="684" spans="1:3">
      <c r="A684" s="1" t="s">
        <v>27</v>
      </c>
      <c r="B684" s="1" t="s">
        <v>45</v>
      </c>
      <c r="C684" s="1" t="s">
        <v>46</v>
      </c>
    </row>
    <row r="685" spans="1:3">
      <c r="A685" s="1" t="s">
        <v>27</v>
      </c>
      <c r="B685" s="1" t="s">
        <v>43</v>
      </c>
      <c r="C685" s="1" t="s">
        <v>235</v>
      </c>
    </row>
    <row r="686" spans="1:3">
      <c r="A686" s="1" t="s">
        <v>53</v>
      </c>
      <c r="B686" s="1" t="s">
        <v>276</v>
      </c>
      <c r="C686" s="1" t="s">
        <v>1354</v>
      </c>
    </row>
    <row r="687" spans="1:3">
      <c r="A687" s="1" t="s">
        <v>53</v>
      </c>
      <c r="B687" s="1" t="s">
        <v>276</v>
      </c>
      <c r="C687" s="1" t="s">
        <v>889</v>
      </c>
    </row>
    <row r="688" spans="1:3">
      <c r="A688" s="1" t="s">
        <v>311</v>
      </c>
      <c r="B688" s="1" t="s">
        <v>311</v>
      </c>
      <c r="C688" s="1" t="s">
        <v>900</v>
      </c>
    </row>
    <row r="689" spans="1:3">
      <c r="A689" s="1" t="s">
        <v>68</v>
      </c>
      <c r="B689" s="1" t="s">
        <v>317</v>
      </c>
      <c r="C689" s="1" t="s">
        <v>318</v>
      </c>
    </row>
    <row r="690" spans="1:3">
      <c r="A690" s="1" t="s">
        <v>73</v>
      </c>
      <c r="B690" s="1" t="s">
        <v>938</v>
      </c>
      <c r="C690" s="1" t="s">
        <v>940</v>
      </c>
    </row>
    <row r="691" spans="1:3">
      <c r="A691" s="1" t="s">
        <v>353</v>
      </c>
      <c r="B691" s="1" t="s">
        <v>8</v>
      </c>
      <c r="C691" s="1" t="s">
        <v>364</v>
      </c>
    </row>
    <row r="692" spans="1:3">
      <c r="A692" s="1" t="s">
        <v>85</v>
      </c>
      <c r="B692" s="1" t="s">
        <v>43</v>
      </c>
      <c r="C692" s="1" t="s">
        <v>693</v>
      </c>
    </row>
    <row r="693" spans="1:3">
      <c r="A693" s="1" t="s">
        <v>101</v>
      </c>
      <c r="B693" s="1" t="s">
        <v>102</v>
      </c>
      <c r="C693" s="1" t="s">
        <v>103</v>
      </c>
    </row>
    <row r="694" spans="1:3">
      <c r="A694" s="1" t="s">
        <v>104</v>
      </c>
      <c r="B694" s="1" t="s">
        <v>114</v>
      </c>
      <c r="C694" s="1" t="s">
        <v>987</v>
      </c>
    </row>
    <row r="695" spans="1:3">
      <c r="A695" s="1" t="s">
        <v>104</v>
      </c>
      <c r="B695" s="1" t="s">
        <v>107</v>
      </c>
      <c r="C695" s="1" t="s">
        <v>733</v>
      </c>
    </row>
    <row r="696" spans="1:3">
      <c r="A696" s="1" t="s">
        <v>104</v>
      </c>
      <c r="B696" s="1" t="s">
        <v>107</v>
      </c>
      <c r="C696" s="1" t="s">
        <v>974</v>
      </c>
    </row>
    <row r="697" spans="1:3">
      <c r="A697" s="1" t="s">
        <v>111</v>
      </c>
      <c r="B697" s="1" t="s">
        <v>111</v>
      </c>
      <c r="C697" s="1" t="s">
        <v>1004</v>
      </c>
    </row>
    <row r="698" spans="1:3">
      <c r="A698" s="1" t="s">
        <v>111</v>
      </c>
      <c r="B698" s="1" t="s">
        <v>111</v>
      </c>
      <c r="C698" s="1" t="s">
        <v>1001</v>
      </c>
    </row>
    <row r="699" spans="1:3">
      <c r="A699" s="1" t="s">
        <v>1277</v>
      </c>
      <c r="B699" s="1" t="s">
        <v>1278</v>
      </c>
      <c r="C699" s="1" t="s">
        <v>1279</v>
      </c>
    </row>
    <row r="700" spans="1:3">
      <c r="A700" s="1" t="s">
        <v>174</v>
      </c>
      <c r="B700" s="1" t="s">
        <v>174</v>
      </c>
      <c r="C700" s="1" t="s">
        <v>175</v>
      </c>
    </row>
    <row r="701" spans="1:3">
      <c r="A701" s="1" t="s">
        <v>27</v>
      </c>
      <c r="B701" s="1" t="s">
        <v>27</v>
      </c>
      <c r="C701" s="1" t="s">
        <v>1329</v>
      </c>
    </row>
    <row r="702" spans="1:3">
      <c r="A702" s="1" t="s">
        <v>27</v>
      </c>
      <c r="B702" s="1" t="s">
        <v>27</v>
      </c>
      <c r="C702" s="1" t="s">
        <v>1336</v>
      </c>
    </row>
    <row r="703" spans="1:3">
      <c r="A703" s="1" t="s">
        <v>27</v>
      </c>
      <c r="B703" s="1" t="s">
        <v>37</v>
      </c>
      <c r="C703" s="1" t="s">
        <v>38</v>
      </c>
    </row>
    <row r="704" spans="1:3">
      <c r="A704" s="1" t="s">
        <v>53</v>
      </c>
      <c r="B704" s="1" t="s">
        <v>276</v>
      </c>
      <c r="C704" s="1" t="s">
        <v>614</v>
      </c>
    </row>
    <row r="705" spans="1:3">
      <c r="A705" s="1" t="s">
        <v>625</v>
      </c>
      <c r="B705" s="1" t="s">
        <v>626</v>
      </c>
      <c r="C705" s="1" t="s">
        <v>1369</v>
      </c>
    </row>
    <row r="706" spans="1:3">
      <c r="A706" s="1" t="s">
        <v>73</v>
      </c>
      <c r="B706" s="1" t="s">
        <v>73</v>
      </c>
      <c r="C706" s="1" t="s">
        <v>934</v>
      </c>
    </row>
    <row r="707" spans="1:3">
      <c r="A707" s="1" t="s">
        <v>353</v>
      </c>
      <c r="B707" s="1" t="s">
        <v>353</v>
      </c>
      <c r="C707" s="1" t="s">
        <v>1159</v>
      </c>
    </row>
    <row r="708" spans="1:3">
      <c r="A708" s="1" t="s">
        <v>369</v>
      </c>
      <c r="B708" s="1" t="s">
        <v>370</v>
      </c>
      <c r="C708" s="1" t="s">
        <v>371</v>
      </c>
    </row>
    <row r="709" spans="1:3">
      <c r="A709" s="1" t="s">
        <v>101</v>
      </c>
      <c r="B709" s="1" t="s">
        <v>102</v>
      </c>
      <c r="C709" s="1" t="s">
        <v>1188</v>
      </c>
    </row>
    <row r="710" spans="1:3">
      <c r="A710" s="1" t="s">
        <v>101</v>
      </c>
      <c r="B710" s="1" t="s">
        <v>62</v>
      </c>
      <c r="C710" s="1" t="s">
        <v>729</v>
      </c>
    </row>
    <row r="711" spans="1:3">
      <c r="A711" s="1" t="s">
        <v>101</v>
      </c>
      <c r="B711" s="1" t="s">
        <v>62</v>
      </c>
      <c r="C711" s="1" t="s">
        <v>436</v>
      </c>
    </row>
    <row r="712" spans="1:3">
      <c r="A712" s="1" t="s">
        <v>104</v>
      </c>
      <c r="B712" s="1" t="s">
        <v>105</v>
      </c>
      <c r="C712" s="1" t="s">
        <v>106</v>
      </c>
    </row>
    <row r="713" spans="1:3">
      <c r="A713" s="1" t="s">
        <v>104</v>
      </c>
      <c r="B713" s="1" t="s">
        <v>99</v>
      </c>
      <c r="C713" s="1" t="s">
        <v>109</v>
      </c>
    </row>
    <row r="714" spans="1:3">
      <c r="A714" s="1" t="s">
        <v>111</v>
      </c>
      <c r="B714" s="1" t="s">
        <v>111</v>
      </c>
      <c r="C714" s="1" t="s">
        <v>1213</v>
      </c>
    </row>
    <row r="715" spans="1:3">
      <c r="A715" s="1" t="s">
        <v>111</v>
      </c>
      <c r="B715" s="1" t="s">
        <v>111</v>
      </c>
      <c r="C715" s="1" t="s">
        <v>480</v>
      </c>
    </row>
    <row r="716" spans="1:3">
      <c r="A716" s="1" t="s">
        <v>120</v>
      </c>
      <c r="B716" s="1" t="s">
        <v>121</v>
      </c>
      <c r="C716" s="1" t="s">
        <v>764</v>
      </c>
    </row>
    <row r="717" spans="1:3">
      <c r="A717" s="1" t="s">
        <v>120</v>
      </c>
      <c r="B717" s="1" t="s">
        <v>121</v>
      </c>
      <c r="C717" s="1" t="s">
        <v>122</v>
      </c>
    </row>
    <row r="718" spans="1:3">
      <c r="A718" s="1" t="s">
        <v>120</v>
      </c>
      <c r="B718" s="1" t="s">
        <v>120</v>
      </c>
      <c r="C718" s="1" t="s">
        <v>776</v>
      </c>
    </row>
    <row r="719" spans="1:3">
      <c r="A719" s="1" t="s">
        <v>120</v>
      </c>
      <c r="B719" s="1" t="s">
        <v>490</v>
      </c>
      <c r="C719" s="1" t="s">
        <v>491</v>
      </c>
    </row>
    <row r="720" spans="1:3">
      <c r="A720" s="1" t="s">
        <v>120</v>
      </c>
      <c r="B720" s="1" t="s">
        <v>120</v>
      </c>
      <c r="C720" s="1" t="s">
        <v>1220</v>
      </c>
    </row>
    <row r="721" spans="1:3">
      <c r="A721" s="1" t="s">
        <v>158</v>
      </c>
      <c r="B721" s="1" t="s">
        <v>158</v>
      </c>
      <c r="C721" s="1" t="s">
        <v>575</v>
      </c>
    </row>
    <row r="722" spans="1:3">
      <c r="A722" s="1" t="s">
        <v>158</v>
      </c>
      <c r="B722" s="1" t="s">
        <v>158</v>
      </c>
      <c r="C722" s="1" t="s">
        <v>161</v>
      </c>
    </row>
    <row r="723" spans="1:3">
      <c r="A723" s="1" t="s">
        <v>174</v>
      </c>
      <c r="B723" s="1" t="s">
        <v>174</v>
      </c>
      <c r="C723" s="1" t="s">
        <v>860</v>
      </c>
    </row>
    <row r="724" spans="1:3">
      <c r="A724" s="1" t="s">
        <v>27</v>
      </c>
      <c r="B724" s="1" t="s">
        <v>202</v>
      </c>
      <c r="C724" s="1" t="s">
        <v>204</v>
      </c>
    </row>
    <row r="725" spans="1:3">
      <c r="A725" s="1" t="s">
        <v>395</v>
      </c>
      <c r="B725" s="1" t="s">
        <v>43</v>
      </c>
      <c r="C725" s="1" t="s">
        <v>705</v>
      </c>
    </row>
    <row r="726" spans="1:3">
      <c r="A726" s="1" t="s">
        <v>93</v>
      </c>
      <c r="B726" s="1" t="s">
        <v>93</v>
      </c>
      <c r="C726" s="1" t="s">
        <v>708</v>
      </c>
    </row>
    <row r="727" spans="1:3">
      <c r="A727" s="1" t="s">
        <v>104</v>
      </c>
      <c r="B727" s="1" t="s">
        <v>107</v>
      </c>
      <c r="C727" s="1" t="s">
        <v>448</v>
      </c>
    </row>
    <row r="728" spans="1:3">
      <c r="A728" s="1" t="s">
        <v>111</v>
      </c>
      <c r="B728" s="1" t="s">
        <v>112</v>
      </c>
      <c r="C728" s="1" t="s">
        <v>113</v>
      </c>
    </row>
    <row r="729" spans="1:3">
      <c r="A729" s="1" t="s">
        <v>111</v>
      </c>
      <c r="B729" s="1" t="s">
        <v>111</v>
      </c>
      <c r="C729" s="1" t="s">
        <v>1207</v>
      </c>
    </row>
    <row r="730" spans="1:3">
      <c r="A730" s="1" t="s">
        <v>120</v>
      </c>
      <c r="B730" s="1" t="s">
        <v>492</v>
      </c>
      <c r="C730" s="1" t="s">
        <v>493</v>
      </c>
    </row>
    <row r="731" spans="1:3">
      <c r="A731" s="1" t="s">
        <v>508</v>
      </c>
      <c r="B731" s="1" t="s">
        <v>509</v>
      </c>
      <c r="C731" s="1" t="s">
        <v>512</v>
      </c>
    </row>
    <row r="732" spans="1:3">
      <c r="A732" s="1" t="s">
        <v>553</v>
      </c>
      <c r="B732" s="1" t="s">
        <v>114</v>
      </c>
      <c r="C732" s="1" t="s">
        <v>1260</v>
      </c>
    </row>
    <row r="733" spans="1:3">
      <c r="A733" s="1" t="s">
        <v>7</v>
      </c>
      <c r="B733" s="1" t="s">
        <v>7</v>
      </c>
      <c r="C733" s="1" t="s">
        <v>1289</v>
      </c>
    </row>
    <row r="734" spans="1:3">
      <c r="A734" s="1" t="s">
        <v>7</v>
      </c>
      <c r="B734" s="1" t="s">
        <v>69</v>
      </c>
      <c r="C734" s="1" t="s">
        <v>1291</v>
      </c>
    </row>
    <row r="735" spans="1:3">
      <c r="A735" s="1" t="s">
        <v>7</v>
      </c>
      <c r="B735" s="1" t="s">
        <v>7</v>
      </c>
      <c r="C735" s="1" t="s">
        <v>827</v>
      </c>
    </row>
    <row r="736" spans="1:3">
      <c r="A736" s="1" t="s">
        <v>158</v>
      </c>
      <c r="B736" s="1" t="s">
        <v>158</v>
      </c>
      <c r="C736" s="1" t="s">
        <v>848</v>
      </c>
    </row>
    <row r="737" spans="1:3">
      <c r="A737" s="1" t="s">
        <v>170</v>
      </c>
      <c r="B737" s="1" t="s">
        <v>171</v>
      </c>
      <c r="C737" s="1" t="s">
        <v>172</v>
      </c>
    </row>
    <row r="738" spans="1:3">
      <c r="A738" s="1" t="s">
        <v>27</v>
      </c>
      <c r="B738" s="1" t="s">
        <v>43</v>
      </c>
      <c r="C738" s="1" t="s">
        <v>238</v>
      </c>
    </row>
    <row r="739" spans="1:3">
      <c r="A739" s="1" t="s">
        <v>625</v>
      </c>
      <c r="B739" s="1" t="s">
        <v>626</v>
      </c>
      <c r="C739" s="1" t="s">
        <v>895</v>
      </c>
    </row>
    <row r="740" spans="1:3">
      <c r="A740" s="1" t="s">
        <v>634</v>
      </c>
      <c r="B740" s="1" t="s">
        <v>62</v>
      </c>
      <c r="C740" s="1" t="s">
        <v>636</v>
      </c>
    </row>
    <row r="741" spans="1:3">
      <c r="A741" s="1" t="s">
        <v>68</v>
      </c>
      <c r="B741" s="1" t="s">
        <v>68</v>
      </c>
      <c r="C741" s="1" t="s">
        <v>902</v>
      </c>
    </row>
    <row r="742" spans="1:3">
      <c r="A742" s="1" t="s">
        <v>73</v>
      </c>
      <c r="B742" s="1" t="s">
        <v>73</v>
      </c>
      <c r="C742" s="1" t="s">
        <v>929</v>
      </c>
    </row>
    <row r="743" spans="1:3">
      <c r="A743" s="1" t="s">
        <v>73</v>
      </c>
      <c r="B743" s="1" t="s">
        <v>73</v>
      </c>
      <c r="C743" s="1" t="s">
        <v>932</v>
      </c>
    </row>
    <row r="744" spans="1:3">
      <c r="A744" s="1" t="s">
        <v>80</v>
      </c>
      <c r="B744" s="1" t="s">
        <v>8</v>
      </c>
      <c r="C744" s="1" t="s">
        <v>81</v>
      </c>
    </row>
    <row r="745" spans="1:3">
      <c r="A745" s="1" t="s">
        <v>678</v>
      </c>
      <c r="B745" s="1" t="s">
        <v>678</v>
      </c>
      <c r="C745" s="1" t="s">
        <v>947</v>
      </c>
    </row>
    <row r="746" spans="1:3">
      <c r="A746" s="1" t="s">
        <v>384</v>
      </c>
      <c r="B746" s="1" t="s">
        <v>387</v>
      </c>
      <c r="C746" s="1" t="s">
        <v>394</v>
      </c>
    </row>
    <row r="747" spans="1:3">
      <c r="A747" s="1" t="s">
        <v>93</v>
      </c>
      <c r="B747" s="1" t="s">
        <v>93</v>
      </c>
      <c r="C747" s="1" t="s">
        <v>406</v>
      </c>
    </row>
    <row r="748" spans="1:3">
      <c r="A748" s="1" t="s">
        <v>101</v>
      </c>
      <c r="B748" s="1" t="s">
        <v>102</v>
      </c>
      <c r="C748" s="1" t="s">
        <v>417</v>
      </c>
    </row>
    <row r="749" spans="1:3">
      <c r="A749" s="1" t="s">
        <v>101</v>
      </c>
      <c r="B749" s="1" t="s">
        <v>62</v>
      </c>
      <c r="C749" s="1" t="s">
        <v>727</v>
      </c>
    </row>
    <row r="750" spans="1:3">
      <c r="A750" s="1" t="s">
        <v>104</v>
      </c>
      <c r="B750" s="1" t="s">
        <v>107</v>
      </c>
      <c r="C750" s="1" t="s">
        <v>447</v>
      </c>
    </row>
    <row r="751" spans="1:3">
      <c r="A751" s="1" t="s">
        <v>111</v>
      </c>
      <c r="B751" s="1" t="s">
        <v>111</v>
      </c>
      <c r="C751" s="1" t="s">
        <v>1446</v>
      </c>
    </row>
    <row r="752" spans="1:3">
      <c r="A752" s="1" t="s">
        <v>120</v>
      </c>
      <c r="B752" s="1" t="s">
        <v>120</v>
      </c>
      <c r="C752" s="1" t="s">
        <v>1460</v>
      </c>
    </row>
    <row r="753" spans="1:3">
      <c r="A753" s="1" t="s">
        <v>120</v>
      </c>
      <c r="B753" s="1" t="s">
        <v>120</v>
      </c>
      <c r="C753" s="1" t="s">
        <v>779</v>
      </c>
    </row>
    <row r="754" spans="1:3">
      <c r="A754" s="1" t="s">
        <v>120</v>
      </c>
      <c r="B754" s="1" t="s">
        <v>120</v>
      </c>
      <c r="C754" s="1" t="s">
        <v>768</v>
      </c>
    </row>
    <row r="755" spans="1:3">
      <c r="A755" s="1" t="s">
        <v>24</v>
      </c>
      <c r="B755" s="1" t="s">
        <v>24</v>
      </c>
      <c r="C755" s="1" t="s">
        <v>1299</v>
      </c>
    </row>
    <row r="756" spans="1:3">
      <c r="A756" s="1" t="s">
        <v>27</v>
      </c>
      <c r="B756" s="1" t="s">
        <v>28</v>
      </c>
      <c r="C756" s="1" t="s">
        <v>30</v>
      </c>
    </row>
    <row r="757" spans="1:3">
      <c r="A757" s="1" t="s">
        <v>27</v>
      </c>
      <c r="B757" s="1" t="s">
        <v>27</v>
      </c>
      <c r="C757" s="1" t="s">
        <v>590</v>
      </c>
    </row>
    <row r="758" spans="1:3">
      <c r="A758" s="1" t="s">
        <v>53</v>
      </c>
      <c r="B758" s="1" t="s">
        <v>54</v>
      </c>
      <c r="C758" s="1" t="s">
        <v>55</v>
      </c>
    </row>
    <row r="759" spans="1:3">
      <c r="A759" s="1" t="s">
        <v>53</v>
      </c>
      <c r="B759" s="1" t="s">
        <v>276</v>
      </c>
      <c r="C759" s="1" t="s">
        <v>1359</v>
      </c>
    </row>
    <row r="760" spans="1:3">
      <c r="A760" s="1" t="s">
        <v>53</v>
      </c>
      <c r="B760" s="1" t="s">
        <v>57</v>
      </c>
      <c r="C760" s="1" t="s">
        <v>605</v>
      </c>
    </row>
    <row r="761" spans="1:3">
      <c r="A761" s="1" t="s">
        <v>625</v>
      </c>
      <c r="B761" s="1" t="s">
        <v>626</v>
      </c>
      <c r="C761" s="1" t="s">
        <v>896</v>
      </c>
    </row>
    <row r="762" spans="1:3">
      <c r="A762" s="1" t="s">
        <v>56</v>
      </c>
      <c r="B762" s="1" t="s">
        <v>57</v>
      </c>
      <c r="C762" s="1" t="s">
        <v>58</v>
      </c>
    </row>
    <row r="763" spans="1:3">
      <c r="A763" s="1" t="s">
        <v>68</v>
      </c>
      <c r="B763" s="1" t="s">
        <v>8</v>
      </c>
      <c r="C763" s="1" t="s">
        <v>901</v>
      </c>
    </row>
    <row r="764" spans="1:3">
      <c r="A764" s="1" t="s">
        <v>323</v>
      </c>
      <c r="B764" s="1" t="s">
        <v>323</v>
      </c>
      <c r="C764" s="1" t="s">
        <v>324</v>
      </c>
    </row>
    <row r="765" spans="1:3">
      <c r="A765" s="1" t="s">
        <v>73</v>
      </c>
      <c r="B765" s="1" t="s">
        <v>73</v>
      </c>
      <c r="C765" s="1" t="s">
        <v>1138</v>
      </c>
    </row>
    <row r="766" spans="1:3">
      <c r="A766" s="1" t="s">
        <v>73</v>
      </c>
      <c r="B766" s="1" t="s">
        <v>73</v>
      </c>
      <c r="C766" s="1" t="s">
        <v>928</v>
      </c>
    </row>
    <row r="767" spans="1:3">
      <c r="A767" s="1" t="s">
        <v>353</v>
      </c>
      <c r="B767" s="1" t="s">
        <v>8</v>
      </c>
      <c r="C767" s="1" t="s">
        <v>360</v>
      </c>
    </row>
    <row r="768" spans="1:3">
      <c r="A768" s="1" t="s">
        <v>85</v>
      </c>
      <c r="B768" s="1" t="s">
        <v>43</v>
      </c>
      <c r="C768" s="1" t="s">
        <v>1169</v>
      </c>
    </row>
    <row r="769" spans="1:3">
      <c r="A769" s="1" t="s">
        <v>101</v>
      </c>
      <c r="B769" s="1" t="s">
        <v>102</v>
      </c>
      <c r="C769" s="1" t="s">
        <v>1187</v>
      </c>
    </row>
    <row r="770" spans="1:3">
      <c r="A770" s="1" t="s">
        <v>104</v>
      </c>
      <c r="B770" s="1" t="s">
        <v>107</v>
      </c>
      <c r="C770" s="1" t="s">
        <v>748</v>
      </c>
    </row>
    <row r="771" spans="1:3">
      <c r="A771" s="1" t="s">
        <v>104</v>
      </c>
      <c r="B771" s="1" t="s">
        <v>107</v>
      </c>
      <c r="C771" s="1" t="s">
        <v>745</v>
      </c>
    </row>
    <row r="772" spans="1:3">
      <c r="A772" s="1" t="s">
        <v>120</v>
      </c>
      <c r="B772" s="1" t="s">
        <v>120</v>
      </c>
      <c r="C772" s="1" t="s">
        <v>1014</v>
      </c>
    </row>
    <row r="773" spans="1:3">
      <c r="A773" s="1" t="s">
        <v>7</v>
      </c>
      <c r="B773" s="1" t="s">
        <v>149</v>
      </c>
      <c r="C773" s="1" t="s">
        <v>150</v>
      </c>
    </row>
    <row r="774" spans="1:3">
      <c r="A774" s="1" t="s">
        <v>2136</v>
      </c>
      <c r="B774" s="1" t="s">
        <v>127</v>
      </c>
      <c r="C774" s="1" t="s">
        <v>564</v>
      </c>
    </row>
    <row r="775" spans="1:3">
      <c r="A775" s="1" t="s">
        <v>158</v>
      </c>
      <c r="B775" s="1" t="s">
        <v>158</v>
      </c>
      <c r="C775" s="1" t="s">
        <v>1064</v>
      </c>
    </row>
    <row r="776" spans="1:3">
      <c r="A776" s="1" t="s">
        <v>27</v>
      </c>
      <c r="B776" s="1" t="s">
        <v>27</v>
      </c>
      <c r="C776" s="1" t="s">
        <v>876</v>
      </c>
    </row>
    <row r="777" spans="1:3">
      <c r="A777" s="1" t="s">
        <v>27</v>
      </c>
      <c r="B777" s="1" t="s">
        <v>43</v>
      </c>
      <c r="C777" s="1" t="s">
        <v>237</v>
      </c>
    </row>
    <row r="778" spans="1:3">
      <c r="A778" s="1" t="s">
        <v>27</v>
      </c>
      <c r="B778" s="1" t="s">
        <v>27</v>
      </c>
      <c r="C778" s="1" t="s">
        <v>1337</v>
      </c>
    </row>
    <row r="779" spans="1:3">
      <c r="A779" s="1" t="s">
        <v>27</v>
      </c>
      <c r="B779" s="1" t="s">
        <v>48</v>
      </c>
      <c r="C779" s="1" t="s">
        <v>52</v>
      </c>
    </row>
    <row r="780" spans="1:3">
      <c r="A780" s="1" t="s">
        <v>625</v>
      </c>
      <c r="B780" s="1" t="s">
        <v>626</v>
      </c>
      <c r="C780" s="1" t="s">
        <v>1109</v>
      </c>
    </row>
    <row r="781" spans="1:3">
      <c r="A781" s="1" t="s">
        <v>68</v>
      </c>
      <c r="B781" s="1" t="s">
        <v>69</v>
      </c>
      <c r="C781" s="1" t="s">
        <v>70</v>
      </c>
    </row>
    <row r="782" spans="1:3">
      <c r="A782" s="1" t="s">
        <v>325</v>
      </c>
      <c r="B782" s="1" t="s">
        <v>8</v>
      </c>
      <c r="C782" s="1" t="s">
        <v>326</v>
      </c>
    </row>
    <row r="783" spans="1:3">
      <c r="A783" s="1" t="s">
        <v>922</v>
      </c>
      <c r="B783" s="1" t="s">
        <v>925</v>
      </c>
      <c r="C783" s="1" t="s">
        <v>1384</v>
      </c>
    </row>
    <row r="784" spans="1:3">
      <c r="A784" s="1" t="s">
        <v>73</v>
      </c>
      <c r="B784" s="1" t="s">
        <v>670</v>
      </c>
      <c r="C784" s="1" t="s">
        <v>1152</v>
      </c>
    </row>
    <row r="785" spans="1:3">
      <c r="A785" s="1" t="s">
        <v>73</v>
      </c>
      <c r="B785" s="1" t="s">
        <v>73</v>
      </c>
      <c r="C785" s="1" t="s">
        <v>1140</v>
      </c>
    </row>
    <row r="786" spans="1:3">
      <c r="A786" s="1" t="s">
        <v>73</v>
      </c>
      <c r="B786" s="1" t="s">
        <v>73</v>
      </c>
      <c r="C786" s="1" t="s">
        <v>1137</v>
      </c>
    </row>
    <row r="787" spans="1:3">
      <c r="A787" s="1" t="s">
        <v>73</v>
      </c>
      <c r="B787" s="1" t="s">
        <v>73</v>
      </c>
      <c r="C787" s="1" t="s">
        <v>661</v>
      </c>
    </row>
    <row r="788" spans="1:3">
      <c r="A788" s="1" t="s">
        <v>353</v>
      </c>
      <c r="B788" s="1" t="s">
        <v>8</v>
      </c>
      <c r="C788" s="1" t="s">
        <v>945</v>
      </c>
    </row>
    <row r="789" spans="1:3">
      <c r="A789" s="1" t="s">
        <v>369</v>
      </c>
      <c r="B789" s="1" t="s">
        <v>370</v>
      </c>
      <c r="C789" s="1" t="s">
        <v>683</v>
      </c>
    </row>
    <row r="790" spans="1:3">
      <c r="A790" s="1" t="s">
        <v>384</v>
      </c>
      <c r="B790" s="1" t="s">
        <v>387</v>
      </c>
      <c r="C790" s="1" t="s">
        <v>1400</v>
      </c>
    </row>
    <row r="791" spans="1:3">
      <c r="A791" s="1" t="s">
        <v>384</v>
      </c>
      <c r="B791" s="1" t="s">
        <v>387</v>
      </c>
      <c r="C791" s="1" t="s">
        <v>1405</v>
      </c>
    </row>
    <row r="792" spans="1:3">
      <c r="A792" s="1" t="s">
        <v>93</v>
      </c>
      <c r="B792" s="1" t="s">
        <v>93</v>
      </c>
      <c r="C792" s="1" t="s">
        <v>967</v>
      </c>
    </row>
    <row r="793" spans="1:3">
      <c r="A793" s="1" t="s">
        <v>93</v>
      </c>
      <c r="B793" s="1" t="s">
        <v>93</v>
      </c>
      <c r="C793" s="1" t="s">
        <v>707</v>
      </c>
    </row>
    <row r="794" spans="1:3">
      <c r="A794" s="1" t="s">
        <v>96</v>
      </c>
      <c r="B794" s="1" t="s">
        <v>96</v>
      </c>
      <c r="C794" s="1" t="s">
        <v>97</v>
      </c>
    </row>
    <row r="795" spans="1:3">
      <c r="A795" s="1" t="s">
        <v>101</v>
      </c>
      <c r="B795" s="1" t="s">
        <v>439</v>
      </c>
      <c r="C795" s="1" t="s">
        <v>440</v>
      </c>
    </row>
    <row r="796" spans="1:3">
      <c r="A796" s="1" t="s">
        <v>101</v>
      </c>
      <c r="B796" s="1" t="s">
        <v>62</v>
      </c>
      <c r="C796" s="1" t="s">
        <v>725</v>
      </c>
    </row>
    <row r="797" spans="1:3">
      <c r="A797" s="1" t="s">
        <v>104</v>
      </c>
      <c r="B797" s="1" t="s">
        <v>107</v>
      </c>
      <c r="C797" s="1" t="s">
        <v>738</v>
      </c>
    </row>
    <row r="798" spans="1:3">
      <c r="A798" s="1" t="s">
        <v>104</v>
      </c>
      <c r="B798" s="1" t="s">
        <v>114</v>
      </c>
      <c r="C798" s="1" t="s">
        <v>988</v>
      </c>
    </row>
    <row r="799" spans="1:3">
      <c r="A799" s="1" t="s">
        <v>104</v>
      </c>
      <c r="B799" s="1" t="s">
        <v>107</v>
      </c>
      <c r="C799" s="1" t="s">
        <v>468</v>
      </c>
    </row>
    <row r="800" spans="1:3">
      <c r="A800" s="1" t="s">
        <v>104</v>
      </c>
      <c r="B800" s="1" t="s">
        <v>107</v>
      </c>
      <c r="C800" s="1" t="s">
        <v>1195</v>
      </c>
    </row>
    <row r="801" spans="1:3">
      <c r="A801" s="1" t="s">
        <v>111</v>
      </c>
      <c r="B801" s="1" t="s">
        <v>111</v>
      </c>
      <c r="C801" s="1" t="s">
        <v>998</v>
      </c>
    </row>
    <row r="802" spans="1:3">
      <c r="A802" s="1" t="s">
        <v>111</v>
      </c>
      <c r="B802" s="1" t="s">
        <v>111</v>
      </c>
      <c r="C802" s="1" t="s">
        <v>1212</v>
      </c>
    </row>
    <row r="803" spans="1:3">
      <c r="A803" s="1" t="s">
        <v>120</v>
      </c>
      <c r="B803" s="1" t="s">
        <v>120</v>
      </c>
      <c r="C803" s="1" t="s">
        <v>1232</v>
      </c>
    </row>
    <row r="804" spans="1:3">
      <c r="A804" s="1" t="s">
        <v>120</v>
      </c>
      <c r="B804" s="1" t="s">
        <v>495</v>
      </c>
      <c r="C804" s="1" t="s">
        <v>496</v>
      </c>
    </row>
    <row r="805" spans="1:3">
      <c r="A805" s="1" t="s">
        <v>508</v>
      </c>
      <c r="B805" s="1" t="s">
        <v>508</v>
      </c>
      <c r="C805" s="1" t="s">
        <v>1244</v>
      </c>
    </row>
    <row r="806" spans="1:3">
      <c r="A806" s="1" t="s">
        <v>1281</v>
      </c>
      <c r="B806" s="1" t="s">
        <v>1281</v>
      </c>
      <c r="C806" s="1" t="s">
        <v>1282</v>
      </c>
    </row>
    <row r="807" spans="1:3">
      <c r="A807" s="1" t="s">
        <v>7</v>
      </c>
      <c r="B807" s="1" t="s">
        <v>7</v>
      </c>
      <c r="C807" s="1" t="s">
        <v>146</v>
      </c>
    </row>
    <row r="808" spans="1:3">
      <c r="A808" s="1" t="s">
        <v>7</v>
      </c>
      <c r="B808" s="1" t="s">
        <v>7</v>
      </c>
      <c r="C808" s="1" t="s">
        <v>570</v>
      </c>
    </row>
    <row r="809" spans="1:3">
      <c r="A809" s="1" t="s">
        <v>7</v>
      </c>
      <c r="B809" s="1" t="s">
        <v>8</v>
      </c>
      <c r="C809" s="1" t="s">
        <v>10</v>
      </c>
    </row>
    <row r="810" spans="1:3">
      <c r="A810" s="1" t="s">
        <v>2136</v>
      </c>
      <c r="B810" s="1" t="s">
        <v>127</v>
      </c>
      <c r="C810" s="1" t="s">
        <v>1041</v>
      </c>
    </row>
    <row r="811" spans="1:3">
      <c r="A811" s="1" t="s">
        <v>24</v>
      </c>
      <c r="B811" s="1" t="s">
        <v>24</v>
      </c>
      <c r="C811" s="1" t="s">
        <v>1049</v>
      </c>
    </row>
    <row r="812" spans="1:3">
      <c r="A812" s="1" t="s">
        <v>158</v>
      </c>
      <c r="B812" s="1" t="s">
        <v>158</v>
      </c>
      <c r="C812" s="1" t="s">
        <v>167</v>
      </c>
    </row>
    <row r="813" spans="1:3">
      <c r="A813" s="1" t="s">
        <v>158</v>
      </c>
      <c r="B813" s="1" t="s">
        <v>158</v>
      </c>
      <c r="C813" s="1" t="s">
        <v>165</v>
      </c>
    </row>
    <row r="814" spans="1:3">
      <c r="A814" s="1" t="s">
        <v>158</v>
      </c>
      <c r="B814" s="1" t="s">
        <v>158</v>
      </c>
      <c r="C814" s="1" t="s">
        <v>1056</v>
      </c>
    </row>
    <row r="815" spans="1:3">
      <c r="A815" s="1" t="s">
        <v>1073</v>
      </c>
      <c r="B815" s="1" t="s">
        <v>114</v>
      </c>
      <c r="C815" s="1" t="s">
        <v>1074</v>
      </c>
    </row>
    <row r="816" spans="1:3">
      <c r="A816" s="1" t="s">
        <v>53</v>
      </c>
      <c r="B816" s="1" t="s">
        <v>276</v>
      </c>
      <c r="C816" s="1" t="s">
        <v>1365</v>
      </c>
    </row>
    <row r="817" spans="1:3">
      <c r="A817" s="1" t="s">
        <v>53</v>
      </c>
      <c r="B817" s="1" t="s">
        <v>276</v>
      </c>
      <c r="C817" s="1" t="s">
        <v>1361</v>
      </c>
    </row>
    <row r="818" spans="1:3">
      <c r="A818" s="1" t="s">
        <v>625</v>
      </c>
      <c r="B818" s="1" t="s">
        <v>626</v>
      </c>
      <c r="C818" s="1" t="s">
        <v>894</v>
      </c>
    </row>
    <row r="819" spans="1:3">
      <c r="A819" s="1" t="s">
        <v>313</v>
      </c>
      <c r="B819" s="1" t="s">
        <v>311</v>
      </c>
      <c r="C819" s="1" t="s">
        <v>637</v>
      </c>
    </row>
    <row r="820" spans="1:3">
      <c r="A820" s="1" t="s">
        <v>68</v>
      </c>
      <c r="B820" s="1" t="s">
        <v>643</v>
      </c>
      <c r="C820" s="1" t="s">
        <v>644</v>
      </c>
    </row>
    <row r="821" spans="1:3">
      <c r="A821" s="1" t="s">
        <v>904</v>
      </c>
      <c r="B821" s="1" t="s">
        <v>904</v>
      </c>
      <c r="C821" s="1" t="s">
        <v>910</v>
      </c>
    </row>
    <row r="822" spans="1:3">
      <c r="A822" s="1" t="s">
        <v>904</v>
      </c>
      <c r="B822" s="1" t="s">
        <v>904</v>
      </c>
      <c r="C822" s="1" t="s">
        <v>1119</v>
      </c>
    </row>
    <row r="823" spans="1:3">
      <c r="A823" s="1" t="s">
        <v>73</v>
      </c>
      <c r="B823" s="1" t="s">
        <v>114</v>
      </c>
      <c r="C823" s="1" t="s">
        <v>658</v>
      </c>
    </row>
    <row r="824" spans="1:3">
      <c r="A824" s="1" t="s">
        <v>73</v>
      </c>
      <c r="B824" s="1" t="s">
        <v>73</v>
      </c>
      <c r="C824" s="1" t="s">
        <v>1129</v>
      </c>
    </row>
    <row r="825" spans="1:3">
      <c r="A825" s="1" t="s">
        <v>85</v>
      </c>
      <c r="B825" s="1" t="s">
        <v>66</v>
      </c>
      <c r="C825" s="1" t="s">
        <v>684</v>
      </c>
    </row>
    <row r="826" spans="1:3">
      <c r="A826" s="1" t="s">
        <v>85</v>
      </c>
      <c r="B826" s="1" t="s">
        <v>43</v>
      </c>
      <c r="C826" s="1" t="s">
        <v>1164</v>
      </c>
    </row>
    <row r="827" spans="1:3">
      <c r="A827" s="1" t="s">
        <v>384</v>
      </c>
      <c r="B827" s="1" t="s">
        <v>387</v>
      </c>
      <c r="C827" s="1" t="s">
        <v>1411</v>
      </c>
    </row>
    <row r="828" spans="1:3">
      <c r="A828" s="1" t="s">
        <v>101</v>
      </c>
      <c r="B828" s="1" t="s">
        <v>102</v>
      </c>
      <c r="C828" s="1" t="s">
        <v>422</v>
      </c>
    </row>
    <row r="829" spans="1:3">
      <c r="A829" s="1" t="s">
        <v>111</v>
      </c>
      <c r="B829" s="1" t="s">
        <v>111</v>
      </c>
      <c r="C829" s="1" t="s">
        <v>759</v>
      </c>
    </row>
    <row r="830" spans="1:3">
      <c r="A830" s="1" t="s">
        <v>111</v>
      </c>
      <c r="B830" s="1" t="s">
        <v>117</v>
      </c>
      <c r="C830" s="1" t="s">
        <v>991</v>
      </c>
    </row>
    <row r="831" spans="1:3">
      <c r="A831" s="1" t="s">
        <v>556</v>
      </c>
      <c r="B831" s="1" t="s">
        <v>43</v>
      </c>
      <c r="C831" s="1" t="s">
        <v>809</v>
      </c>
    </row>
    <row r="832" spans="1:3">
      <c r="A832" s="1" t="s">
        <v>7</v>
      </c>
      <c r="B832" s="1" t="s">
        <v>69</v>
      </c>
      <c r="C832" s="1" t="s">
        <v>1293</v>
      </c>
    </row>
    <row r="833" spans="1:3">
      <c r="A833" s="1" t="s">
        <v>2136</v>
      </c>
      <c r="B833" s="1" t="s">
        <v>127</v>
      </c>
      <c r="C833" s="1" t="s">
        <v>1040</v>
      </c>
    </row>
    <row r="834" spans="1:3">
      <c r="A834" s="1" t="s">
        <v>2136</v>
      </c>
      <c r="B834" s="1" t="s">
        <v>127</v>
      </c>
      <c r="C834" s="1" t="s">
        <v>1042</v>
      </c>
    </row>
    <row r="835" spans="1:3">
      <c r="A835" s="1" t="s">
        <v>24</v>
      </c>
      <c r="B835" s="1" t="s">
        <v>24</v>
      </c>
      <c r="C835" s="1" t="s">
        <v>574</v>
      </c>
    </row>
    <row r="836" spans="1:3">
      <c r="A836" s="1" t="s">
        <v>158</v>
      </c>
      <c r="B836" s="1" t="s">
        <v>158</v>
      </c>
      <c r="C836" s="1" t="s">
        <v>1060</v>
      </c>
    </row>
    <row r="837" spans="1:3">
      <c r="A837" s="1" t="s">
        <v>27</v>
      </c>
      <c r="B837" s="1" t="s">
        <v>40</v>
      </c>
      <c r="C837" s="1" t="s">
        <v>593</v>
      </c>
    </row>
    <row r="838" spans="1:3">
      <c r="A838" s="1" t="s">
        <v>256</v>
      </c>
      <c r="B838" s="1" t="s">
        <v>256</v>
      </c>
      <c r="C838" s="1" t="s">
        <v>598</v>
      </c>
    </row>
    <row r="839" spans="1:3">
      <c r="A839" s="1" t="s">
        <v>599</v>
      </c>
      <c r="B839" s="1" t="s">
        <v>8</v>
      </c>
      <c r="C839" s="1" t="s">
        <v>881</v>
      </c>
    </row>
    <row r="840" spans="1:3">
      <c r="A840" s="1" t="s">
        <v>53</v>
      </c>
      <c r="B840" s="1" t="s">
        <v>57</v>
      </c>
      <c r="C840" s="1" t="s">
        <v>1095</v>
      </c>
    </row>
    <row r="841" spans="1:3">
      <c r="A841" s="1" t="s">
        <v>53</v>
      </c>
      <c r="B841" s="1" t="s">
        <v>57</v>
      </c>
      <c r="C841" s="1" t="s">
        <v>606</v>
      </c>
    </row>
    <row r="842" spans="1:3">
      <c r="A842" s="1" t="s">
        <v>73</v>
      </c>
      <c r="B842" s="1" t="s">
        <v>670</v>
      </c>
      <c r="C842" s="1" t="s">
        <v>671</v>
      </c>
    </row>
    <row r="843" spans="1:3">
      <c r="A843" s="1" t="s">
        <v>73</v>
      </c>
      <c r="B843" s="1" t="s">
        <v>653</v>
      </c>
      <c r="C843" s="1" t="s">
        <v>654</v>
      </c>
    </row>
    <row r="844" spans="1:3">
      <c r="A844" s="1" t="s">
        <v>85</v>
      </c>
      <c r="B844" s="1" t="s">
        <v>66</v>
      </c>
      <c r="C844" s="1" t="s">
        <v>1162</v>
      </c>
    </row>
    <row r="845" spans="1:3">
      <c r="A845" s="1" t="s">
        <v>85</v>
      </c>
      <c r="B845" s="1" t="s">
        <v>43</v>
      </c>
      <c r="C845" s="1" t="s">
        <v>1174</v>
      </c>
    </row>
    <row r="846" spans="1:3">
      <c r="A846" s="1" t="s">
        <v>384</v>
      </c>
      <c r="B846" s="1" t="s">
        <v>387</v>
      </c>
      <c r="C846" s="1" t="s">
        <v>390</v>
      </c>
    </row>
    <row r="847" spans="1:3">
      <c r="A847" s="1" t="s">
        <v>384</v>
      </c>
      <c r="B847" s="1" t="s">
        <v>387</v>
      </c>
      <c r="C847" s="1" t="s">
        <v>1181</v>
      </c>
    </row>
    <row r="848" spans="1:3">
      <c r="A848" s="1" t="s">
        <v>384</v>
      </c>
      <c r="B848" s="1" t="s">
        <v>387</v>
      </c>
      <c r="C848" s="1" t="s">
        <v>960</v>
      </c>
    </row>
    <row r="849" spans="1:3">
      <c r="A849" s="1" t="s">
        <v>384</v>
      </c>
      <c r="B849" s="1" t="s">
        <v>387</v>
      </c>
      <c r="C849" s="1" t="s">
        <v>1176</v>
      </c>
    </row>
    <row r="850" spans="1:3">
      <c r="A850" s="1" t="s">
        <v>101</v>
      </c>
      <c r="B850" s="1" t="s">
        <v>102</v>
      </c>
      <c r="C850" s="1" t="s">
        <v>425</v>
      </c>
    </row>
    <row r="851" spans="1:3">
      <c r="A851" s="1" t="s">
        <v>104</v>
      </c>
      <c r="B851" s="1" t="s">
        <v>107</v>
      </c>
      <c r="C851" s="1" t="s">
        <v>742</v>
      </c>
    </row>
    <row r="852" spans="1:3">
      <c r="A852" s="1" t="s">
        <v>104</v>
      </c>
      <c r="B852" s="1" t="s">
        <v>107</v>
      </c>
      <c r="C852" s="1" t="s">
        <v>985</v>
      </c>
    </row>
    <row r="853" spans="1:3">
      <c r="A853" s="1" t="s">
        <v>111</v>
      </c>
      <c r="B853" s="1" t="s">
        <v>117</v>
      </c>
      <c r="C853" s="1" t="s">
        <v>1428</v>
      </c>
    </row>
    <row r="854" spans="1:3">
      <c r="A854" s="1" t="s">
        <v>111</v>
      </c>
      <c r="B854" s="1" t="s">
        <v>117</v>
      </c>
      <c r="C854" s="1" t="s">
        <v>118</v>
      </c>
    </row>
    <row r="855" spans="1:3">
      <c r="A855" s="1" t="s">
        <v>111</v>
      </c>
      <c r="B855" s="1" t="s">
        <v>111</v>
      </c>
      <c r="C855" s="1" t="s">
        <v>476</v>
      </c>
    </row>
    <row r="856" spans="1:3">
      <c r="A856" s="1" t="s">
        <v>120</v>
      </c>
      <c r="B856" s="1" t="s">
        <v>120</v>
      </c>
      <c r="C856" s="1" t="s">
        <v>1225</v>
      </c>
    </row>
    <row r="857" spans="1:3">
      <c r="A857" s="1" t="s">
        <v>123</v>
      </c>
      <c r="B857" s="1" t="s">
        <v>532</v>
      </c>
      <c r="C857" s="1" t="s">
        <v>543</v>
      </c>
    </row>
    <row r="858" spans="1:3">
      <c r="A858" s="1" t="s">
        <v>7</v>
      </c>
      <c r="B858" s="1" t="s">
        <v>7</v>
      </c>
      <c r="C858" s="1" t="s">
        <v>145</v>
      </c>
    </row>
    <row r="859" spans="1:3">
      <c r="A859" s="1" t="s">
        <v>7</v>
      </c>
      <c r="B859" s="1" t="s">
        <v>8</v>
      </c>
      <c r="C859" s="1" t="s">
        <v>12</v>
      </c>
    </row>
    <row r="860" spans="1:3">
      <c r="A860" s="1" t="s">
        <v>24</v>
      </c>
      <c r="B860" s="1" t="s">
        <v>24</v>
      </c>
      <c r="C860" s="1" t="s">
        <v>151</v>
      </c>
    </row>
    <row r="861" spans="1:3">
      <c r="A861" s="1" t="s">
        <v>170</v>
      </c>
      <c r="B861" s="1" t="s">
        <v>171</v>
      </c>
      <c r="C861" s="1" t="s">
        <v>1307</v>
      </c>
    </row>
    <row r="862" spans="1:3">
      <c r="A862" s="1" t="s">
        <v>27</v>
      </c>
      <c r="B862" s="1" t="s">
        <v>27</v>
      </c>
      <c r="C862" s="1" t="s">
        <v>190</v>
      </c>
    </row>
    <row r="863" spans="1:3">
      <c r="A863" s="1" t="s">
        <v>53</v>
      </c>
      <c r="B863" s="1" t="s">
        <v>57</v>
      </c>
      <c r="C863" s="1" t="s">
        <v>1096</v>
      </c>
    </row>
    <row r="864" spans="1:3">
      <c r="A864" s="1" t="s">
        <v>53</v>
      </c>
      <c r="B864" s="1" t="s">
        <v>57</v>
      </c>
      <c r="C864" s="1" t="s">
        <v>268</v>
      </c>
    </row>
    <row r="865" spans="1:3">
      <c r="A865" s="1" t="s">
        <v>53</v>
      </c>
      <c r="B865" s="1" t="s">
        <v>276</v>
      </c>
      <c r="C865" s="1" t="s">
        <v>1099</v>
      </c>
    </row>
    <row r="866" spans="1:3">
      <c r="A866" s="1" t="s">
        <v>306</v>
      </c>
      <c r="B866" s="1" t="s">
        <v>307</v>
      </c>
      <c r="C866" s="1" t="s">
        <v>308</v>
      </c>
    </row>
    <row r="867" spans="1:3">
      <c r="A867" s="1" t="s">
        <v>904</v>
      </c>
      <c r="B867" s="1" t="s">
        <v>904</v>
      </c>
      <c r="C867" s="1" t="s">
        <v>909</v>
      </c>
    </row>
    <row r="868" spans="1:3">
      <c r="A868" s="1" t="s">
        <v>321</v>
      </c>
      <c r="B868" s="1" t="s">
        <v>321</v>
      </c>
      <c r="C868" s="1" t="s">
        <v>915</v>
      </c>
    </row>
    <row r="869" spans="1:3">
      <c r="A869" s="1" t="s">
        <v>73</v>
      </c>
      <c r="B869" s="1" t="s">
        <v>73</v>
      </c>
      <c r="C869" s="1" t="s">
        <v>1141</v>
      </c>
    </row>
    <row r="870" spans="1:3">
      <c r="A870" s="1" t="s">
        <v>73</v>
      </c>
      <c r="B870" s="1" t="s">
        <v>73</v>
      </c>
      <c r="C870" s="1" t="s">
        <v>1142</v>
      </c>
    </row>
    <row r="871" spans="1:3">
      <c r="A871" s="1" t="s">
        <v>73</v>
      </c>
      <c r="B871" s="1" t="s">
        <v>73</v>
      </c>
      <c r="C871" s="1" t="s">
        <v>1393</v>
      </c>
    </row>
    <row r="872" spans="1:3">
      <c r="A872" s="1" t="s">
        <v>73</v>
      </c>
      <c r="B872" s="1" t="s">
        <v>73</v>
      </c>
      <c r="C872" s="1" t="s">
        <v>1136</v>
      </c>
    </row>
    <row r="873" spans="1:3">
      <c r="A873" s="1" t="s">
        <v>73</v>
      </c>
      <c r="B873" s="1" t="s">
        <v>73</v>
      </c>
      <c r="C873" s="1" t="s">
        <v>1146</v>
      </c>
    </row>
    <row r="874" spans="1:3">
      <c r="A874" s="1" t="s">
        <v>353</v>
      </c>
      <c r="B874" s="1" t="s">
        <v>353</v>
      </c>
      <c r="C874" s="1" t="s">
        <v>1158</v>
      </c>
    </row>
    <row r="875" spans="1:3">
      <c r="A875" s="1" t="s">
        <v>93</v>
      </c>
      <c r="B875" s="1" t="s">
        <v>93</v>
      </c>
      <c r="C875" s="1" t="s">
        <v>965</v>
      </c>
    </row>
    <row r="876" spans="1:3">
      <c r="A876" s="1" t="s">
        <v>101</v>
      </c>
      <c r="B876" s="1" t="s">
        <v>102</v>
      </c>
      <c r="C876" s="1" t="s">
        <v>719</v>
      </c>
    </row>
    <row r="877" spans="1:3">
      <c r="A877" s="1" t="s">
        <v>101</v>
      </c>
      <c r="B877" s="1" t="s">
        <v>102</v>
      </c>
      <c r="C877" s="1" t="s">
        <v>420</v>
      </c>
    </row>
    <row r="878" spans="1:3">
      <c r="A878" s="1" t="s">
        <v>104</v>
      </c>
      <c r="B878" s="1" t="s">
        <v>107</v>
      </c>
      <c r="C878" s="1" t="s">
        <v>1193</v>
      </c>
    </row>
    <row r="879" spans="1:3">
      <c r="A879" s="1" t="s">
        <v>104</v>
      </c>
      <c r="B879" s="1" t="s">
        <v>107</v>
      </c>
      <c r="C879" s="1" t="s">
        <v>462</v>
      </c>
    </row>
    <row r="880" spans="1:3">
      <c r="A880" s="1" t="s">
        <v>111</v>
      </c>
      <c r="B880" s="1" t="s">
        <v>117</v>
      </c>
      <c r="C880" s="1" t="s">
        <v>1431</v>
      </c>
    </row>
    <row r="881" spans="1:3">
      <c r="A881" s="1" t="s">
        <v>111</v>
      </c>
      <c r="B881" s="1" t="s">
        <v>117</v>
      </c>
      <c r="C881" s="1" t="s">
        <v>1429</v>
      </c>
    </row>
    <row r="882" spans="1:3">
      <c r="A882" s="1" t="s">
        <v>111</v>
      </c>
      <c r="B882" s="1" t="s">
        <v>117</v>
      </c>
      <c r="C882" s="1" t="s">
        <v>119</v>
      </c>
    </row>
    <row r="883" spans="1:3">
      <c r="A883" s="1" t="s">
        <v>111</v>
      </c>
      <c r="B883" s="1" t="s">
        <v>111</v>
      </c>
      <c r="C883" s="1" t="s">
        <v>1441</v>
      </c>
    </row>
    <row r="884" spans="1:3">
      <c r="A884" s="1" t="s">
        <v>111</v>
      </c>
      <c r="B884" s="1" t="s">
        <v>111</v>
      </c>
      <c r="C884" s="1" t="s">
        <v>1450</v>
      </c>
    </row>
    <row r="885" spans="1:3">
      <c r="A885" s="1" t="s">
        <v>111</v>
      </c>
      <c r="B885" s="1" t="s">
        <v>8</v>
      </c>
      <c r="C885" s="1" t="s">
        <v>476</v>
      </c>
    </row>
    <row r="886" spans="1:3">
      <c r="A886" s="1" t="s">
        <v>120</v>
      </c>
      <c r="B886" s="1" t="s">
        <v>120</v>
      </c>
      <c r="C886" s="1" t="s">
        <v>1234</v>
      </c>
    </row>
    <row r="887" spans="1:3">
      <c r="A887" s="1" t="s">
        <v>120</v>
      </c>
      <c r="B887" s="1" t="s">
        <v>120</v>
      </c>
      <c r="C887" s="1" t="s">
        <v>1233</v>
      </c>
    </row>
    <row r="888" spans="1:3">
      <c r="A888" s="1" t="s">
        <v>120</v>
      </c>
      <c r="B888" s="1" t="s">
        <v>120</v>
      </c>
      <c r="C888" s="1" t="s">
        <v>770</v>
      </c>
    </row>
    <row r="889" spans="1:3">
      <c r="A889" s="1" t="s">
        <v>508</v>
      </c>
      <c r="B889" s="1" t="s">
        <v>508</v>
      </c>
      <c r="C889" s="1" t="s">
        <v>1240</v>
      </c>
    </row>
    <row r="890" spans="1:3">
      <c r="A890" s="1" t="s">
        <v>508</v>
      </c>
      <c r="B890" s="1" t="s">
        <v>508</v>
      </c>
      <c r="C890" s="1" t="s">
        <v>1018</v>
      </c>
    </row>
    <row r="891" spans="1:3">
      <c r="A891" s="1" t="s">
        <v>508</v>
      </c>
      <c r="B891" s="1" t="s">
        <v>789</v>
      </c>
      <c r="C891" s="1" t="s">
        <v>790</v>
      </c>
    </row>
    <row r="892" spans="1:3">
      <c r="A892" s="1" t="s">
        <v>123</v>
      </c>
      <c r="B892" s="1" t="s">
        <v>8</v>
      </c>
      <c r="C892" s="1" t="s">
        <v>797</v>
      </c>
    </row>
    <row r="893" spans="1:3">
      <c r="A893" s="1" t="s">
        <v>553</v>
      </c>
      <c r="B893" s="1" t="s">
        <v>553</v>
      </c>
      <c r="C893" s="1" t="s">
        <v>1027</v>
      </c>
    </row>
    <row r="894" spans="1:3">
      <c r="A894" s="1" t="s">
        <v>556</v>
      </c>
      <c r="B894" s="1" t="s">
        <v>8</v>
      </c>
      <c r="C894" s="1" t="s">
        <v>807</v>
      </c>
    </row>
    <row r="895" spans="1:3">
      <c r="A895" s="1" t="s">
        <v>556</v>
      </c>
      <c r="B895" s="1" t="s">
        <v>43</v>
      </c>
      <c r="C895" s="1" t="s">
        <v>558</v>
      </c>
    </row>
    <row r="896" spans="1:3">
      <c r="A896" s="1" t="s">
        <v>1295</v>
      </c>
      <c r="B896" s="1" t="s">
        <v>1295</v>
      </c>
      <c r="C896" s="1" t="s">
        <v>1296</v>
      </c>
    </row>
    <row r="897" spans="1:3">
      <c r="A897" s="1" t="s">
        <v>24</v>
      </c>
      <c r="B897" s="1" t="s">
        <v>24</v>
      </c>
      <c r="C897" s="1" t="s">
        <v>154</v>
      </c>
    </row>
    <row r="898" spans="1:3">
      <c r="A898" s="1" t="s">
        <v>24</v>
      </c>
      <c r="B898" s="1" t="s">
        <v>24</v>
      </c>
      <c r="C898" s="1" t="s">
        <v>1050</v>
      </c>
    </row>
    <row r="899" spans="1:3">
      <c r="A899" s="1" t="s">
        <v>158</v>
      </c>
      <c r="B899" s="1" t="s">
        <v>158</v>
      </c>
      <c r="C899" s="1" t="s">
        <v>843</v>
      </c>
    </row>
    <row r="900" spans="1:3">
      <c r="A900" s="1" t="s">
        <v>170</v>
      </c>
      <c r="B900" s="1" t="s">
        <v>171</v>
      </c>
      <c r="C900" s="1" t="s">
        <v>1069</v>
      </c>
    </row>
    <row r="901" spans="1:3">
      <c r="A901" s="1" t="s">
        <v>170</v>
      </c>
      <c r="B901" s="1" t="s">
        <v>171</v>
      </c>
      <c r="C901" s="1" t="s">
        <v>1310</v>
      </c>
    </row>
    <row r="902" spans="1:3">
      <c r="A902" s="1" t="s">
        <v>256</v>
      </c>
      <c r="B902" s="1" t="s">
        <v>256</v>
      </c>
      <c r="C902" s="1" t="s">
        <v>257</v>
      </c>
    </row>
    <row r="903" spans="1:3">
      <c r="A903" s="1" t="s">
        <v>599</v>
      </c>
      <c r="B903" s="1" t="s">
        <v>8</v>
      </c>
      <c r="C903" s="1" t="s">
        <v>879</v>
      </c>
    </row>
    <row r="904" spans="1:3">
      <c r="A904" s="1" t="s">
        <v>53</v>
      </c>
      <c r="B904" s="1" t="s">
        <v>57</v>
      </c>
      <c r="C904" s="1" t="s">
        <v>1351</v>
      </c>
    </row>
    <row r="905" spans="1:3">
      <c r="A905" s="1" t="s">
        <v>300</v>
      </c>
      <c r="B905" s="1" t="s">
        <v>300</v>
      </c>
      <c r="C905" s="1" t="s">
        <v>1110</v>
      </c>
    </row>
    <row r="906" spans="1:3">
      <c r="A906" s="1" t="s">
        <v>65</v>
      </c>
      <c r="B906" s="1" t="s">
        <v>66</v>
      </c>
      <c r="C906" s="1" t="s">
        <v>305</v>
      </c>
    </row>
    <row r="907" spans="1:3">
      <c r="A907" s="1" t="s">
        <v>65</v>
      </c>
      <c r="B907" s="1" t="s">
        <v>66</v>
      </c>
      <c r="C907" s="1" t="s">
        <v>632</v>
      </c>
    </row>
    <row r="908" spans="1:3">
      <c r="A908" s="1" t="s">
        <v>904</v>
      </c>
      <c r="B908" s="1" t="s">
        <v>904</v>
      </c>
      <c r="C908" s="1" t="s">
        <v>907</v>
      </c>
    </row>
    <row r="909" spans="1:3">
      <c r="A909" s="1" t="s">
        <v>73</v>
      </c>
      <c r="B909" s="1" t="s">
        <v>334</v>
      </c>
      <c r="C909" s="1" t="s">
        <v>335</v>
      </c>
    </row>
    <row r="910" spans="1:3">
      <c r="A910" s="1" t="s">
        <v>73</v>
      </c>
      <c r="B910" s="1" t="s">
        <v>74</v>
      </c>
      <c r="C910" s="1" t="s">
        <v>348</v>
      </c>
    </row>
    <row r="911" spans="1:3">
      <c r="A911" s="1" t="s">
        <v>73</v>
      </c>
      <c r="B911" s="1" t="s">
        <v>8</v>
      </c>
      <c r="C911" s="1" t="s">
        <v>648</v>
      </c>
    </row>
    <row r="912" spans="1:3">
      <c r="A912" s="1" t="s">
        <v>73</v>
      </c>
      <c r="B912" s="1" t="s">
        <v>73</v>
      </c>
      <c r="C912" s="1" t="s">
        <v>927</v>
      </c>
    </row>
    <row r="913" spans="1:3">
      <c r="A913" s="1" t="s">
        <v>73</v>
      </c>
      <c r="B913" s="1" t="s">
        <v>73</v>
      </c>
      <c r="C913" s="1" t="s">
        <v>1144</v>
      </c>
    </row>
    <row r="914" spans="1:3">
      <c r="A914" s="1" t="s">
        <v>85</v>
      </c>
      <c r="B914" s="1" t="s">
        <v>43</v>
      </c>
      <c r="C914" s="1" t="s">
        <v>1171</v>
      </c>
    </row>
    <row r="915" spans="1:3">
      <c r="A915" s="1" t="s">
        <v>85</v>
      </c>
      <c r="B915" s="1" t="s">
        <v>43</v>
      </c>
      <c r="C915" s="1" t="s">
        <v>383</v>
      </c>
    </row>
    <row r="916" spans="1:3">
      <c r="A916" s="1" t="s">
        <v>96</v>
      </c>
      <c r="B916" s="1" t="s">
        <v>96</v>
      </c>
      <c r="C916" s="1" t="s">
        <v>1418</v>
      </c>
    </row>
    <row r="917" spans="1:3">
      <c r="A917" s="1" t="s">
        <v>101</v>
      </c>
      <c r="B917" s="1" t="s">
        <v>439</v>
      </c>
      <c r="C917" s="1" t="s">
        <v>443</v>
      </c>
    </row>
    <row r="918" spans="1:3">
      <c r="A918" s="1" t="s">
        <v>101</v>
      </c>
      <c r="B918" s="1" t="s">
        <v>62</v>
      </c>
      <c r="C918" s="1" t="s">
        <v>435</v>
      </c>
    </row>
    <row r="919" spans="1:3">
      <c r="A919" s="1" t="s">
        <v>104</v>
      </c>
      <c r="B919" s="1" t="s">
        <v>107</v>
      </c>
      <c r="C919" s="1" t="s">
        <v>740</v>
      </c>
    </row>
    <row r="920" spans="1:3">
      <c r="A920" s="1" t="s">
        <v>104</v>
      </c>
      <c r="B920" s="1" t="s">
        <v>107</v>
      </c>
      <c r="C920" s="1" t="s">
        <v>459</v>
      </c>
    </row>
    <row r="921" spans="1:3">
      <c r="A921" s="1" t="s">
        <v>111</v>
      </c>
      <c r="B921" s="1" t="s">
        <v>111</v>
      </c>
      <c r="C921" s="1" t="s">
        <v>1448</v>
      </c>
    </row>
    <row r="922" spans="1:3">
      <c r="A922" s="1" t="s">
        <v>111</v>
      </c>
      <c r="B922" s="1" t="s">
        <v>117</v>
      </c>
      <c r="C922" s="1" t="s">
        <v>1438</v>
      </c>
    </row>
    <row r="923" spans="1:3">
      <c r="A923" s="1" t="s">
        <v>111</v>
      </c>
      <c r="B923" s="1" t="s">
        <v>111</v>
      </c>
      <c r="C923" s="1" t="s">
        <v>1206</v>
      </c>
    </row>
    <row r="924" spans="1:3">
      <c r="A924" s="1" t="s">
        <v>111</v>
      </c>
      <c r="B924" s="1" t="s">
        <v>111</v>
      </c>
      <c r="C924" s="1" t="s">
        <v>1444</v>
      </c>
    </row>
    <row r="925" spans="1:3">
      <c r="A925" s="1" t="s">
        <v>120</v>
      </c>
      <c r="B925" s="1" t="s">
        <v>762</v>
      </c>
      <c r="C925" s="1" t="s">
        <v>1454</v>
      </c>
    </row>
    <row r="926" spans="1:3">
      <c r="A926" s="1" t="s">
        <v>120</v>
      </c>
      <c r="B926" s="1" t="s">
        <v>120</v>
      </c>
      <c r="C926" s="1" t="s">
        <v>505</v>
      </c>
    </row>
    <row r="927" spans="1:3">
      <c r="A927" s="1" t="s">
        <v>120</v>
      </c>
      <c r="B927" s="1" t="s">
        <v>120</v>
      </c>
      <c r="C927" s="1" t="s">
        <v>1230</v>
      </c>
    </row>
    <row r="928" spans="1:3">
      <c r="A928" s="1" t="s">
        <v>120</v>
      </c>
      <c r="B928" s="1" t="s">
        <v>120</v>
      </c>
      <c r="C928" s="1" t="s">
        <v>1013</v>
      </c>
    </row>
    <row r="929" spans="1:3">
      <c r="A929" s="1" t="s">
        <v>120</v>
      </c>
      <c r="B929" s="1" t="s">
        <v>120</v>
      </c>
      <c r="C929" s="1" t="s">
        <v>1219</v>
      </c>
    </row>
    <row r="930" spans="1:3">
      <c r="A930" s="1" t="s">
        <v>120</v>
      </c>
      <c r="B930" s="1" t="s">
        <v>120</v>
      </c>
      <c r="C930" s="1" t="s">
        <v>1009</v>
      </c>
    </row>
    <row r="931" spans="1:3">
      <c r="A931" s="1" t="s">
        <v>120</v>
      </c>
      <c r="B931" s="1" t="s">
        <v>120</v>
      </c>
      <c r="C931" s="1" t="s">
        <v>1236</v>
      </c>
    </row>
    <row r="932" spans="1:3">
      <c r="A932" s="1" t="s">
        <v>508</v>
      </c>
      <c r="B932" s="1" t="s">
        <v>508</v>
      </c>
      <c r="C932" s="1" t="s">
        <v>1019</v>
      </c>
    </row>
    <row r="933" spans="1:3">
      <c r="A933" s="1" t="s">
        <v>508</v>
      </c>
      <c r="B933" s="1" t="s">
        <v>508</v>
      </c>
      <c r="C933" s="1" t="s">
        <v>795</v>
      </c>
    </row>
    <row r="934" spans="1:3">
      <c r="A934" s="1" t="s">
        <v>123</v>
      </c>
      <c r="B934" s="1" t="s">
        <v>123</v>
      </c>
      <c r="C934" s="1" t="s">
        <v>1250</v>
      </c>
    </row>
    <row r="935" spans="1:3">
      <c r="A935" s="1" t="s">
        <v>7</v>
      </c>
      <c r="B935" s="1" t="s">
        <v>7</v>
      </c>
      <c r="C935" s="1" t="s">
        <v>1284</v>
      </c>
    </row>
    <row r="936" spans="1:3">
      <c r="A936" s="1" t="s">
        <v>2136</v>
      </c>
      <c r="B936" s="1" t="s">
        <v>127</v>
      </c>
      <c r="C936" s="1" t="s">
        <v>563</v>
      </c>
    </row>
    <row r="937" spans="1:3">
      <c r="A937" s="1" t="s">
        <v>2136</v>
      </c>
      <c r="B937" s="1" t="s">
        <v>127</v>
      </c>
      <c r="C937" s="1" t="s">
        <v>128</v>
      </c>
    </row>
    <row r="938" spans="1:3">
      <c r="A938" s="1" t="s">
        <v>24</v>
      </c>
      <c r="B938" s="1" t="s">
        <v>24</v>
      </c>
      <c r="C938" s="1" t="s">
        <v>1297</v>
      </c>
    </row>
    <row r="939" spans="1:3">
      <c r="A939" s="1" t="s">
        <v>158</v>
      </c>
      <c r="B939" s="1" t="s">
        <v>158</v>
      </c>
      <c r="C939" s="1" t="s">
        <v>168</v>
      </c>
    </row>
    <row r="940" spans="1:3">
      <c r="A940" s="1" t="s">
        <v>170</v>
      </c>
      <c r="B940" s="1" t="s">
        <v>171</v>
      </c>
      <c r="C940" s="1" t="s">
        <v>856</v>
      </c>
    </row>
    <row r="941" spans="1:3">
      <c r="A941" s="1" t="s">
        <v>27</v>
      </c>
      <c r="B941" s="1" t="s">
        <v>40</v>
      </c>
      <c r="C941" s="1" t="s">
        <v>221</v>
      </c>
    </row>
    <row r="942" spans="1:3">
      <c r="A942" s="1" t="s">
        <v>27</v>
      </c>
      <c r="B942" s="1" t="s">
        <v>43</v>
      </c>
      <c r="C942" s="1" t="s">
        <v>44</v>
      </c>
    </row>
    <row r="943" spans="1:3">
      <c r="A943" s="1" t="s">
        <v>27</v>
      </c>
      <c r="B943" s="1" t="s">
        <v>194</v>
      </c>
      <c r="C943" s="1" t="s">
        <v>195</v>
      </c>
    </row>
    <row r="944" spans="1:3">
      <c r="A944" s="1" t="s">
        <v>27</v>
      </c>
      <c r="B944" s="1" t="s">
        <v>27</v>
      </c>
      <c r="C944" s="1" t="s">
        <v>588</v>
      </c>
    </row>
    <row r="945" spans="1:3">
      <c r="A945" s="1" t="s">
        <v>599</v>
      </c>
      <c r="B945" s="1" t="s">
        <v>8</v>
      </c>
      <c r="C945" s="1" t="s">
        <v>882</v>
      </c>
    </row>
    <row r="946" spans="1:3">
      <c r="A946" s="1" t="s">
        <v>599</v>
      </c>
      <c r="B946" s="1" t="s">
        <v>8</v>
      </c>
      <c r="C946" s="1" t="s">
        <v>1349</v>
      </c>
    </row>
    <row r="947" spans="1:3">
      <c r="A947" s="1" t="s">
        <v>53</v>
      </c>
      <c r="B947" s="1" t="s">
        <v>276</v>
      </c>
      <c r="C947" s="1" t="s">
        <v>1356</v>
      </c>
    </row>
    <row r="948" spans="1:3">
      <c r="A948" s="1" t="s">
        <v>62</v>
      </c>
      <c r="B948" s="1" t="s">
        <v>62</v>
      </c>
      <c r="C948" s="1" t="s">
        <v>303</v>
      </c>
    </row>
    <row r="949" spans="1:3">
      <c r="A949" s="1" t="s">
        <v>321</v>
      </c>
      <c r="B949" s="1" t="s">
        <v>321</v>
      </c>
      <c r="C949" s="1" t="s">
        <v>1377</v>
      </c>
    </row>
    <row r="950" spans="1:3">
      <c r="A950" s="1" t="s">
        <v>327</v>
      </c>
      <c r="B950" s="1" t="s">
        <v>328</v>
      </c>
      <c r="C950" s="1" t="s">
        <v>647</v>
      </c>
    </row>
    <row r="951" spans="1:3">
      <c r="A951" s="1" t="s">
        <v>73</v>
      </c>
      <c r="B951" s="1" t="s">
        <v>346</v>
      </c>
      <c r="C951" s="1" t="s">
        <v>347</v>
      </c>
    </row>
    <row r="952" spans="1:3">
      <c r="A952" s="1" t="s">
        <v>73</v>
      </c>
      <c r="B952" s="1" t="s">
        <v>73</v>
      </c>
      <c r="C952" s="1" t="s">
        <v>1143</v>
      </c>
    </row>
    <row r="953" spans="1:3">
      <c r="A953" s="1" t="s">
        <v>85</v>
      </c>
      <c r="B953" s="1" t="s">
        <v>66</v>
      </c>
      <c r="C953" s="1" t="s">
        <v>374</v>
      </c>
    </row>
    <row r="954" spans="1:3">
      <c r="A954" s="1" t="s">
        <v>85</v>
      </c>
      <c r="B954" s="1" t="s">
        <v>66</v>
      </c>
      <c r="C954" s="1" t="s">
        <v>88</v>
      </c>
    </row>
    <row r="955" spans="1:3">
      <c r="A955" s="1" t="s">
        <v>93</v>
      </c>
      <c r="B955" s="1" t="s">
        <v>397</v>
      </c>
      <c r="C955" s="1" t="s">
        <v>398</v>
      </c>
    </row>
    <row r="956" spans="1:3">
      <c r="A956" s="1" t="s">
        <v>407</v>
      </c>
      <c r="B956" s="1" t="s">
        <v>407</v>
      </c>
      <c r="C956" s="1" t="s">
        <v>968</v>
      </c>
    </row>
    <row r="957" spans="1:3">
      <c r="A957" s="1" t="s">
        <v>409</v>
      </c>
      <c r="B957" s="1" t="s">
        <v>409</v>
      </c>
      <c r="C957" s="1" t="s">
        <v>1415</v>
      </c>
    </row>
    <row r="958" spans="1:3">
      <c r="A958" s="1" t="s">
        <v>101</v>
      </c>
      <c r="B958" s="1" t="s">
        <v>62</v>
      </c>
      <c r="C958" s="1" t="s">
        <v>728</v>
      </c>
    </row>
    <row r="959" spans="1:3">
      <c r="A959" s="1" t="s">
        <v>104</v>
      </c>
      <c r="B959" s="1" t="s">
        <v>472</v>
      </c>
      <c r="C959" s="1" t="s">
        <v>473</v>
      </c>
    </row>
    <row r="960" spans="1:3">
      <c r="A960" s="1" t="s">
        <v>104</v>
      </c>
      <c r="B960" s="1" t="s">
        <v>107</v>
      </c>
      <c r="C960" s="1" t="s">
        <v>983</v>
      </c>
    </row>
    <row r="961" spans="1:3">
      <c r="A961" s="1" t="s">
        <v>111</v>
      </c>
      <c r="B961" s="1" t="s">
        <v>117</v>
      </c>
      <c r="C961" s="1" t="s">
        <v>1427</v>
      </c>
    </row>
    <row r="962" spans="1:3">
      <c r="A962" s="1" t="s">
        <v>111</v>
      </c>
      <c r="B962" s="1" t="s">
        <v>117</v>
      </c>
      <c r="C962" s="1" t="s">
        <v>1434</v>
      </c>
    </row>
    <row r="963" spans="1:3">
      <c r="A963" s="1" t="s">
        <v>111</v>
      </c>
      <c r="B963" s="1" t="s">
        <v>111</v>
      </c>
      <c r="C963" s="1" t="s">
        <v>1003</v>
      </c>
    </row>
    <row r="964" spans="1:3">
      <c r="A964" s="1" t="s">
        <v>120</v>
      </c>
      <c r="B964" s="1" t="s">
        <v>120</v>
      </c>
      <c r="C964" s="1" t="s">
        <v>1227</v>
      </c>
    </row>
    <row r="965" spans="1:3">
      <c r="A965" s="1" t="s">
        <v>120</v>
      </c>
      <c r="B965" s="1" t="s">
        <v>484</v>
      </c>
      <c r="C965" s="1" t="s">
        <v>486</v>
      </c>
    </row>
    <row r="966" spans="1:3">
      <c r="A966" s="1" t="s">
        <v>508</v>
      </c>
      <c r="B966" s="1" t="s">
        <v>508</v>
      </c>
      <c r="C966" s="1" t="s">
        <v>796</v>
      </c>
    </row>
    <row r="967" spans="1:3">
      <c r="A967" s="1" t="s">
        <v>508</v>
      </c>
      <c r="B967" s="1" t="s">
        <v>514</v>
      </c>
      <c r="C967" s="1" t="s">
        <v>515</v>
      </c>
    </row>
    <row r="968" spans="1:3">
      <c r="A968" s="1" t="s">
        <v>508</v>
      </c>
      <c r="B968" s="1" t="s">
        <v>508</v>
      </c>
      <c r="C968" s="1" t="s">
        <v>526</v>
      </c>
    </row>
    <row r="969" spans="1:3">
      <c r="A969" s="1" t="s">
        <v>123</v>
      </c>
      <c r="B969" s="1" t="s">
        <v>8</v>
      </c>
      <c r="C969" s="1" t="s">
        <v>542</v>
      </c>
    </row>
    <row r="970" spans="1:3">
      <c r="A970" s="1" t="s">
        <v>1033</v>
      </c>
      <c r="B970" s="1" t="s">
        <v>1033</v>
      </c>
      <c r="C970" s="1" t="s">
        <v>1034</v>
      </c>
    </row>
    <row r="971" spans="1:3">
      <c r="A971" s="1" t="s">
        <v>7</v>
      </c>
      <c r="B971" s="1" t="s">
        <v>7</v>
      </c>
      <c r="C971" s="1" t="s">
        <v>831</v>
      </c>
    </row>
    <row r="972" spans="1:3">
      <c r="A972" s="1" t="s">
        <v>7</v>
      </c>
      <c r="B972" s="1" t="s">
        <v>69</v>
      </c>
      <c r="C972" s="1" t="s">
        <v>1290</v>
      </c>
    </row>
    <row r="973" spans="1:3">
      <c r="A973" s="1" t="s">
        <v>7</v>
      </c>
      <c r="B973" s="1" t="s">
        <v>8</v>
      </c>
      <c r="C973" s="1" t="s">
        <v>14</v>
      </c>
    </row>
    <row r="974" spans="1:3">
      <c r="A974" s="1" t="s">
        <v>2136</v>
      </c>
      <c r="B974" s="1" t="s">
        <v>127</v>
      </c>
      <c r="C974" s="1" t="s">
        <v>1039</v>
      </c>
    </row>
    <row r="975" spans="1:3">
      <c r="A975" s="1" t="s">
        <v>2136</v>
      </c>
      <c r="B975" s="1" t="s">
        <v>127</v>
      </c>
      <c r="C975" s="1" t="s">
        <v>130</v>
      </c>
    </row>
    <row r="976" spans="1:3">
      <c r="A976" s="1" t="s">
        <v>158</v>
      </c>
      <c r="B976" s="1" t="s">
        <v>158</v>
      </c>
      <c r="C976" s="1" t="s">
        <v>1059</v>
      </c>
    </row>
    <row r="977" spans="1:3">
      <c r="A977" s="1" t="s">
        <v>158</v>
      </c>
      <c r="B977" s="1" t="s">
        <v>158</v>
      </c>
      <c r="C977" s="1" t="s">
        <v>159</v>
      </c>
    </row>
    <row r="978" spans="1:3">
      <c r="A978" s="1" t="s">
        <v>170</v>
      </c>
      <c r="B978" s="1" t="s">
        <v>171</v>
      </c>
      <c r="C978" s="1" t="s">
        <v>1306</v>
      </c>
    </row>
    <row r="979" spans="1:3">
      <c r="A979" s="1" t="s">
        <v>170</v>
      </c>
      <c r="B979" s="1" t="s">
        <v>171</v>
      </c>
      <c r="C979" s="1" t="s">
        <v>1067</v>
      </c>
    </row>
    <row r="980" spans="1:3">
      <c r="A980" s="1" t="s">
        <v>27</v>
      </c>
      <c r="B980" s="1" t="s">
        <v>182</v>
      </c>
      <c r="C980" s="1" t="s">
        <v>199</v>
      </c>
    </row>
    <row r="981" spans="1:3">
      <c r="A981" s="1" t="s">
        <v>27</v>
      </c>
      <c r="B981" s="1" t="s">
        <v>31</v>
      </c>
      <c r="C981" s="1" t="s">
        <v>176</v>
      </c>
    </row>
    <row r="982" spans="1:3">
      <c r="A982" s="1" t="s">
        <v>256</v>
      </c>
      <c r="B982" s="1" t="s">
        <v>256</v>
      </c>
      <c r="C982" s="1" t="s">
        <v>259</v>
      </c>
    </row>
    <row r="983" spans="1:3">
      <c r="A983" s="1" t="s">
        <v>59</v>
      </c>
      <c r="B983" s="1" t="s">
        <v>59</v>
      </c>
      <c r="C983" s="1" t="s">
        <v>1112</v>
      </c>
    </row>
    <row r="984" spans="1:3">
      <c r="A984" s="1" t="s">
        <v>65</v>
      </c>
      <c r="B984" s="1" t="s">
        <v>66</v>
      </c>
      <c r="C984" s="1" t="s">
        <v>1114</v>
      </c>
    </row>
    <row r="985" spans="1:3">
      <c r="A985" s="1" t="s">
        <v>65</v>
      </c>
      <c r="B985" s="1" t="s">
        <v>66</v>
      </c>
      <c r="C985" s="1" t="s">
        <v>631</v>
      </c>
    </row>
    <row r="986" spans="1:3">
      <c r="A986" s="1" t="s">
        <v>65</v>
      </c>
      <c r="B986" s="1" t="s">
        <v>8</v>
      </c>
      <c r="C986" s="1" t="s">
        <v>629</v>
      </c>
    </row>
    <row r="987" spans="1:3">
      <c r="A987" s="1" t="s">
        <v>68</v>
      </c>
      <c r="B987" s="1" t="s">
        <v>8</v>
      </c>
      <c r="C987" s="1" t="s">
        <v>1116</v>
      </c>
    </row>
    <row r="988" spans="1:3">
      <c r="A988" s="1" t="s">
        <v>1123</v>
      </c>
      <c r="B988" s="1" t="s">
        <v>1123</v>
      </c>
      <c r="C988" s="1" t="s">
        <v>1390</v>
      </c>
    </row>
    <row r="989" spans="1:3">
      <c r="A989" s="1" t="s">
        <v>73</v>
      </c>
      <c r="B989" s="1" t="s">
        <v>938</v>
      </c>
      <c r="C989" s="1" t="s">
        <v>1149</v>
      </c>
    </row>
    <row r="990" spans="1:3">
      <c r="A990" s="1" t="s">
        <v>73</v>
      </c>
      <c r="B990" s="1" t="s">
        <v>938</v>
      </c>
      <c r="C990" s="1" t="s">
        <v>1396</v>
      </c>
    </row>
    <row r="991" spans="1:3">
      <c r="A991" s="1" t="s">
        <v>73</v>
      </c>
      <c r="B991" s="1" t="s">
        <v>73</v>
      </c>
      <c r="C991" s="1" t="s">
        <v>351</v>
      </c>
    </row>
    <row r="992" spans="1:3">
      <c r="A992" s="1" t="s">
        <v>80</v>
      </c>
      <c r="B992" s="1" t="s">
        <v>43</v>
      </c>
      <c r="C992" s="1" t="s">
        <v>942</v>
      </c>
    </row>
    <row r="993" spans="1:3">
      <c r="A993" s="1" t="s">
        <v>353</v>
      </c>
      <c r="B993" s="1" t="s">
        <v>8</v>
      </c>
      <c r="C993" s="1" t="s">
        <v>354</v>
      </c>
    </row>
    <row r="994" spans="1:3">
      <c r="A994" s="1" t="s">
        <v>353</v>
      </c>
      <c r="B994" s="1" t="s">
        <v>8</v>
      </c>
      <c r="C994" s="1" t="s">
        <v>357</v>
      </c>
    </row>
    <row r="995" spans="1:3">
      <c r="A995" s="1" t="s">
        <v>353</v>
      </c>
      <c r="B995" s="1" t="s">
        <v>8</v>
      </c>
      <c r="C995" s="1" t="s">
        <v>356</v>
      </c>
    </row>
    <row r="996" spans="1:3">
      <c r="A996" s="1" t="s">
        <v>678</v>
      </c>
      <c r="B996" s="1" t="s">
        <v>678</v>
      </c>
      <c r="C996" s="1" t="s">
        <v>681</v>
      </c>
    </row>
    <row r="997" spans="1:3">
      <c r="A997" s="1" t="s">
        <v>85</v>
      </c>
      <c r="B997" s="1" t="s">
        <v>43</v>
      </c>
      <c r="C997" s="1" t="s">
        <v>1399</v>
      </c>
    </row>
    <row r="998" spans="1:3">
      <c r="A998" s="1" t="s">
        <v>85</v>
      </c>
      <c r="B998" s="1" t="s">
        <v>43</v>
      </c>
      <c r="C998" s="1" t="s">
        <v>696</v>
      </c>
    </row>
    <row r="999" spans="1:3">
      <c r="A999" s="1" t="s">
        <v>85</v>
      </c>
      <c r="B999" s="1" t="s">
        <v>43</v>
      </c>
      <c r="C999" s="1" t="s">
        <v>956</v>
      </c>
    </row>
    <row r="1000" spans="1:3">
      <c r="A1000" s="1" t="s">
        <v>384</v>
      </c>
      <c r="B1000" s="1" t="s">
        <v>387</v>
      </c>
      <c r="C1000" s="1" t="s">
        <v>962</v>
      </c>
    </row>
    <row r="1001" spans="1:3">
      <c r="A1001" s="1" t="s">
        <v>384</v>
      </c>
      <c r="B1001" s="1" t="s">
        <v>387</v>
      </c>
      <c r="C1001" s="1" t="s">
        <v>1179</v>
      </c>
    </row>
    <row r="1002" spans="1:3">
      <c r="A1002" s="1" t="s">
        <v>93</v>
      </c>
      <c r="B1002" s="1" t="s">
        <v>93</v>
      </c>
      <c r="C1002" s="1" t="s">
        <v>403</v>
      </c>
    </row>
    <row r="1003" spans="1:3">
      <c r="A1003" s="1" t="s">
        <v>98</v>
      </c>
      <c r="B1003" s="1" t="s">
        <v>98</v>
      </c>
      <c r="C1003" s="1" t="s">
        <v>717</v>
      </c>
    </row>
    <row r="1004" spans="1:3">
      <c r="A1004" s="1" t="s">
        <v>101</v>
      </c>
      <c r="B1004" s="1" t="s">
        <v>102</v>
      </c>
      <c r="C1004" s="1" t="s">
        <v>718</v>
      </c>
    </row>
    <row r="1005" spans="1:3">
      <c r="A1005" s="1" t="s">
        <v>101</v>
      </c>
      <c r="B1005" s="1" t="s">
        <v>102</v>
      </c>
      <c r="C1005" s="1" t="s">
        <v>1186</v>
      </c>
    </row>
    <row r="1006" spans="1:3">
      <c r="A1006" s="1" t="s">
        <v>101</v>
      </c>
      <c r="B1006" s="1" t="s">
        <v>62</v>
      </c>
      <c r="C1006" s="1" t="s">
        <v>427</v>
      </c>
    </row>
    <row r="1007" spans="1:3">
      <c r="A1007" s="1" t="s">
        <v>101</v>
      </c>
      <c r="B1007" s="1" t="s">
        <v>62</v>
      </c>
      <c r="C1007" s="1" t="s">
        <v>429</v>
      </c>
    </row>
    <row r="1008" spans="1:3">
      <c r="A1008" s="1" t="s">
        <v>104</v>
      </c>
      <c r="B1008" s="1" t="s">
        <v>107</v>
      </c>
      <c r="C1008" s="1" t="s">
        <v>1199</v>
      </c>
    </row>
    <row r="1009" spans="1:3">
      <c r="A1009" s="1" t="s">
        <v>111</v>
      </c>
      <c r="B1009" s="1" t="s">
        <v>111</v>
      </c>
      <c r="C1009" s="1" t="s">
        <v>1451</v>
      </c>
    </row>
    <row r="1010" spans="1:3">
      <c r="A1010" s="1" t="s">
        <v>111</v>
      </c>
      <c r="B1010" s="1" t="s">
        <v>111</v>
      </c>
      <c r="C1010" s="1" t="s">
        <v>751</v>
      </c>
    </row>
    <row r="1011" spans="1:3">
      <c r="A1011" s="1" t="s">
        <v>111</v>
      </c>
      <c r="B1011" s="1" t="s">
        <v>117</v>
      </c>
      <c r="C1011" s="1" t="s">
        <v>1433</v>
      </c>
    </row>
    <row r="1012" spans="1:3">
      <c r="A1012" s="1" t="s">
        <v>111</v>
      </c>
      <c r="B1012" s="1" t="s">
        <v>114</v>
      </c>
      <c r="C1012" s="1" t="s">
        <v>115</v>
      </c>
    </row>
    <row r="1013" spans="1:3">
      <c r="A1013" s="1" t="s">
        <v>111</v>
      </c>
      <c r="B1013" s="1" t="s">
        <v>112</v>
      </c>
      <c r="C1013" s="1" t="s">
        <v>477</v>
      </c>
    </row>
    <row r="1014" spans="1:3">
      <c r="A1014" s="1" t="s">
        <v>111</v>
      </c>
      <c r="B1014" s="1" t="s">
        <v>111</v>
      </c>
      <c r="C1014" s="1" t="s">
        <v>1443</v>
      </c>
    </row>
    <row r="1015" spans="1:3">
      <c r="A1015" s="1" t="s">
        <v>111</v>
      </c>
      <c r="B1015" s="1" t="s">
        <v>111</v>
      </c>
      <c r="C1015" s="1" t="s">
        <v>1204</v>
      </c>
    </row>
    <row r="1016" spans="1:3">
      <c r="A1016" s="1" t="s">
        <v>120</v>
      </c>
      <c r="B1016" s="1" t="s">
        <v>120</v>
      </c>
      <c r="C1016" s="1" t="s">
        <v>1011</v>
      </c>
    </row>
    <row r="1017" spans="1:3">
      <c r="A1017" s="1" t="s">
        <v>120</v>
      </c>
      <c r="B1017" s="1" t="s">
        <v>120</v>
      </c>
      <c r="C1017" s="1" t="s">
        <v>785</v>
      </c>
    </row>
    <row r="1018" spans="1:3">
      <c r="A1018" s="1" t="s">
        <v>120</v>
      </c>
      <c r="B1018" s="1" t="s">
        <v>120</v>
      </c>
      <c r="C1018" s="1" t="s">
        <v>783</v>
      </c>
    </row>
    <row r="1019" spans="1:3">
      <c r="A1019" s="1" t="s">
        <v>120</v>
      </c>
      <c r="B1019" s="1" t="s">
        <v>484</v>
      </c>
      <c r="C1019" s="1" t="s">
        <v>485</v>
      </c>
    </row>
    <row r="1020" spans="1:3">
      <c r="A1020" s="1" t="s">
        <v>123</v>
      </c>
      <c r="B1020" s="1" t="s">
        <v>123</v>
      </c>
      <c r="C1020" s="1" t="s">
        <v>1470</v>
      </c>
    </row>
    <row r="1021" spans="1:3">
      <c r="A1021" s="1" t="s">
        <v>553</v>
      </c>
      <c r="B1021" s="1" t="s">
        <v>553</v>
      </c>
      <c r="C1021" s="1" t="s">
        <v>806</v>
      </c>
    </row>
    <row r="1022" spans="1:3">
      <c r="A1022" s="1" t="s">
        <v>553</v>
      </c>
      <c r="B1022" s="1" t="s">
        <v>114</v>
      </c>
      <c r="C1022" s="1" t="s">
        <v>1026</v>
      </c>
    </row>
    <row r="1023" spans="1:3">
      <c r="A1023" s="1" t="s">
        <v>556</v>
      </c>
      <c r="B1023" s="1" t="s">
        <v>43</v>
      </c>
      <c r="C1023" s="1" t="s">
        <v>811</v>
      </c>
    </row>
    <row r="1024" spans="1:3">
      <c r="A1024" s="1" t="s">
        <v>559</v>
      </c>
      <c r="B1024" s="1" t="s">
        <v>559</v>
      </c>
      <c r="C1024" s="1" t="s">
        <v>561</v>
      </c>
    </row>
    <row r="1025" spans="1:3">
      <c r="A1025" s="1" t="s">
        <v>7</v>
      </c>
      <c r="B1025" s="1" t="s">
        <v>69</v>
      </c>
      <c r="C1025" s="1" t="s">
        <v>831</v>
      </c>
    </row>
    <row r="1026" spans="1:3">
      <c r="A1026" s="1" t="s">
        <v>7</v>
      </c>
      <c r="B1026" s="1" t="s">
        <v>69</v>
      </c>
      <c r="C1026" s="1" t="s">
        <v>1048</v>
      </c>
    </row>
    <row r="1027" spans="1:3">
      <c r="A1027" s="1" t="s">
        <v>7</v>
      </c>
      <c r="B1027" s="1" t="s">
        <v>69</v>
      </c>
      <c r="C1027" s="1" t="s">
        <v>1294</v>
      </c>
    </row>
    <row r="1028" spans="1:3">
      <c r="A1028" s="1" t="s">
        <v>7</v>
      </c>
      <c r="B1028" s="1" t="s">
        <v>7</v>
      </c>
      <c r="C1028" s="1" t="s">
        <v>147</v>
      </c>
    </row>
    <row r="1029" spans="1:3">
      <c r="A1029" s="1" t="s">
        <v>24</v>
      </c>
      <c r="B1029" s="1" t="s">
        <v>24</v>
      </c>
      <c r="C1029" s="1" t="s">
        <v>152</v>
      </c>
    </row>
    <row r="1030" spans="1:3">
      <c r="A1030" s="1" t="s">
        <v>158</v>
      </c>
      <c r="B1030" s="1" t="s">
        <v>158</v>
      </c>
      <c r="C1030" s="1" t="s">
        <v>1061</v>
      </c>
    </row>
    <row r="1031" spans="1:3">
      <c r="A1031" s="1" t="s">
        <v>158</v>
      </c>
      <c r="B1031" s="1" t="s">
        <v>158</v>
      </c>
      <c r="C1031" s="1" t="s">
        <v>851</v>
      </c>
    </row>
    <row r="1032" spans="1:3">
      <c r="A1032" s="1" t="s">
        <v>158</v>
      </c>
      <c r="B1032" s="1" t="s">
        <v>853</v>
      </c>
      <c r="C1032" s="1" t="s">
        <v>854</v>
      </c>
    </row>
    <row r="1033" spans="1:3">
      <c r="A1033" s="1" t="s">
        <v>861</v>
      </c>
      <c r="B1033" s="1" t="s">
        <v>8</v>
      </c>
      <c r="C1033" s="1" t="s">
        <v>1070</v>
      </c>
    </row>
    <row r="1034" spans="1:3">
      <c r="A1034" s="1" t="s">
        <v>599</v>
      </c>
      <c r="B1034" s="1" t="s">
        <v>8</v>
      </c>
      <c r="C1034" s="1" t="s">
        <v>1348</v>
      </c>
    </row>
    <row r="1035" spans="1:3">
      <c r="A1035" s="1" t="s">
        <v>53</v>
      </c>
      <c r="B1035" s="1" t="s">
        <v>57</v>
      </c>
      <c r="C1035" s="1" t="s">
        <v>883</v>
      </c>
    </row>
    <row r="1036" spans="1:3">
      <c r="A1036" s="1" t="s">
        <v>53</v>
      </c>
      <c r="B1036" s="1" t="s">
        <v>57</v>
      </c>
      <c r="C1036" s="1" t="s">
        <v>1350</v>
      </c>
    </row>
    <row r="1037" spans="1:3">
      <c r="A1037" s="1" t="s">
        <v>300</v>
      </c>
      <c r="B1037" s="1" t="s">
        <v>300</v>
      </c>
      <c r="C1037" s="1" t="s">
        <v>1371</v>
      </c>
    </row>
    <row r="1038" spans="1:3">
      <c r="A1038" s="1" t="s">
        <v>65</v>
      </c>
      <c r="B1038" s="1" t="s">
        <v>66</v>
      </c>
      <c r="C1038" s="1" t="s">
        <v>304</v>
      </c>
    </row>
    <row r="1039" spans="1:3">
      <c r="A1039" s="1" t="s">
        <v>321</v>
      </c>
      <c r="B1039" s="1" t="s">
        <v>321</v>
      </c>
      <c r="C1039" s="1" t="s">
        <v>1373</v>
      </c>
    </row>
    <row r="1040" spans="1:3">
      <c r="A1040" s="1" t="s">
        <v>321</v>
      </c>
      <c r="B1040" s="1" t="s">
        <v>321</v>
      </c>
      <c r="C1040" s="1" t="s">
        <v>322</v>
      </c>
    </row>
    <row r="1041" spans="1:3">
      <c r="A1041" s="1" t="s">
        <v>922</v>
      </c>
      <c r="B1041" s="1" t="s">
        <v>925</v>
      </c>
      <c r="C1041" s="1" t="s">
        <v>1388</v>
      </c>
    </row>
    <row r="1042" spans="1:3">
      <c r="A1042" s="1" t="s">
        <v>73</v>
      </c>
      <c r="B1042" s="1" t="s">
        <v>938</v>
      </c>
      <c r="C1042" s="1" t="s">
        <v>1150</v>
      </c>
    </row>
    <row r="1043" spans="1:3">
      <c r="A1043" s="1" t="s">
        <v>73</v>
      </c>
      <c r="B1043" s="1" t="s">
        <v>73</v>
      </c>
      <c r="C1043" s="1" t="s">
        <v>937</v>
      </c>
    </row>
    <row r="1044" spans="1:3">
      <c r="A1044" s="1" t="s">
        <v>73</v>
      </c>
      <c r="B1044" s="1" t="s">
        <v>938</v>
      </c>
      <c r="C1044" s="1" t="s">
        <v>1151</v>
      </c>
    </row>
    <row r="1045" spans="1:3">
      <c r="A1045" s="1" t="s">
        <v>353</v>
      </c>
      <c r="B1045" s="1" t="s">
        <v>8</v>
      </c>
      <c r="C1045" s="1" t="s">
        <v>365</v>
      </c>
    </row>
    <row r="1046" spans="1:3">
      <c r="A1046" s="1" t="s">
        <v>369</v>
      </c>
      <c r="B1046" s="1" t="s">
        <v>370</v>
      </c>
      <c r="C1046" s="1" t="s">
        <v>949</v>
      </c>
    </row>
    <row r="1047" spans="1:3">
      <c r="A1047" s="1" t="s">
        <v>85</v>
      </c>
      <c r="B1047" s="1" t="s">
        <v>43</v>
      </c>
      <c r="C1047" s="1" t="s">
        <v>91</v>
      </c>
    </row>
    <row r="1048" spans="1:3">
      <c r="A1048" s="1" t="s">
        <v>85</v>
      </c>
      <c r="B1048" s="1" t="s">
        <v>43</v>
      </c>
      <c r="C1048" s="1" t="s">
        <v>1172</v>
      </c>
    </row>
    <row r="1049" spans="1:3">
      <c r="A1049" s="1" t="s">
        <v>85</v>
      </c>
      <c r="B1049" s="1" t="s">
        <v>8</v>
      </c>
      <c r="C1049" s="1" t="s">
        <v>86</v>
      </c>
    </row>
    <row r="1050" spans="1:3">
      <c r="A1050" s="1" t="s">
        <v>85</v>
      </c>
      <c r="B1050" s="1" t="s">
        <v>43</v>
      </c>
      <c r="C1050" s="1" t="s">
        <v>1170</v>
      </c>
    </row>
    <row r="1051" spans="1:3">
      <c r="A1051" s="1" t="s">
        <v>96</v>
      </c>
      <c r="B1051" s="1" t="s">
        <v>96</v>
      </c>
      <c r="C1051" s="1" t="s">
        <v>970</v>
      </c>
    </row>
    <row r="1052" spans="1:3">
      <c r="A1052" s="1" t="s">
        <v>98</v>
      </c>
      <c r="B1052" s="1" t="s">
        <v>98</v>
      </c>
      <c r="C1052" s="1" t="s">
        <v>971</v>
      </c>
    </row>
    <row r="1053" spans="1:3">
      <c r="A1053" s="1" t="s">
        <v>101</v>
      </c>
      <c r="B1053" s="1" t="s">
        <v>102</v>
      </c>
      <c r="C1053" s="1" t="s">
        <v>722</v>
      </c>
    </row>
    <row r="1054" spans="1:3">
      <c r="A1054" s="1" t="s">
        <v>111</v>
      </c>
      <c r="B1054" s="1" t="s">
        <v>117</v>
      </c>
      <c r="C1054" s="1" t="s">
        <v>994</v>
      </c>
    </row>
    <row r="1055" spans="1:3">
      <c r="A1055" s="1" t="s">
        <v>111</v>
      </c>
      <c r="B1055" s="1" t="s">
        <v>117</v>
      </c>
      <c r="C1055" s="1" t="s">
        <v>1437</v>
      </c>
    </row>
    <row r="1056" spans="1:3">
      <c r="A1056" s="1" t="s">
        <v>111</v>
      </c>
      <c r="B1056" s="1" t="s">
        <v>111</v>
      </c>
      <c r="C1056" s="1" t="s">
        <v>1205</v>
      </c>
    </row>
    <row r="1057" spans="1:3">
      <c r="A1057" s="1" t="s">
        <v>508</v>
      </c>
      <c r="B1057" s="1" t="s">
        <v>789</v>
      </c>
      <c r="C1057" s="1" t="s">
        <v>1016</v>
      </c>
    </row>
    <row r="1058" spans="1:3">
      <c r="A1058" s="1" t="s">
        <v>508</v>
      </c>
      <c r="B1058" s="1" t="s">
        <v>519</v>
      </c>
      <c r="C1058" s="1" t="s">
        <v>520</v>
      </c>
    </row>
    <row r="1059" spans="1:3">
      <c r="A1059" s="1" t="s">
        <v>123</v>
      </c>
      <c r="B1059" s="1" t="s">
        <v>8</v>
      </c>
      <c r="C1059" s="1" t="s">
        <v>531</v>
      </c>
    </row>
    <row r="1060" spans="1:3">
      <c r="A1060" s="1" t="s">
        <v>553</v>
      </c>
      <c r="B1060" s="1" t="s">
        <v>553</v>
      </c>
      <c r="C1060" s="1" t="s">
        <v>555</v>
      </c>
    </row>
    <row r="1061" spans="1:3">
      <c r="A1061" s="1" t="s">
        <v>1277</v>
      </c>
      <c r="B1061" s="1" t="s">
        <v>1278</v>
      </c>
      <c r="C1061" s="1" t="s">
        <v>1280</v>
      </c>
    </row>
    <row r="1062" spans="1:3">
      <c r="A1062" s="1" t="s">
        <v>125</v>
      </c>
      <c r="B1062" s="1" t="s">
        <v>125</v>
      </c>
      <c r="C1062" s="1" t="s">
        <v>126</v>
      </c>
    </row>
    <row r="1063" spans="1:3">
      <c r="A1063" s="1" t="s">
        <v>7</v>
      </c>
      <c r="B1063" s="1" t="s">
        <v>820</v>
      </c>
      <c r="C1063" s="1" t="s">
        <v>821</v>
      </c>
    </row>
    <row r="1064" spans="1:3">
      <c r="A1064" s="1" t="s">
        <v>7</v>
      </c>
      <c r="B1064" s="1" t="s">
        <v>69</v>
      </c>
      <c r="C1064" s="1" t="s">
        <v>1292</v>
      </c>
    </row>
    <row r="1065" spans="1:3">
      <c r="A1065" s="1" t="s">
        <v>7</v>
      </c>
      <c r="B1065" s="1" t="s">
        <v>7</v>
      </c>
      <c r="C1065" s="1" t="s">
        <v>830</v>
      </c>
    </row>
    <row r="1066" spans="1:3">
      <c r="A1066" s="1" t="s">
        <v>24</v>
      </c>
      <c r="B1066" s="1" t="s">
        <v>24</v>
      </c>
      <c r="C1066" s="1" t="s">
        <v>839</v>
      </c>
    </row>
    <row r="1067" spans="1:3">
      <c r="A1067" s="1" t="s">
        <v>24</v>
      </c>
      <c r="B1067" s="1" t="s">
        <v>24</v>
      </c>
      <c r="C1067" s="1" t="s">
        <v>836</v>
      </c>
    </row>
    <row r="1068" spans="1:3">
      <c r="A1068" s="1" t="s">
        <v>24</v>
      </c>
      <c r="B1068" s="1" t="s">
        <v>24</v>
      </c>
      <c r="C1068" s="1" t="s">
        <v>25</v>
      </c>
    </row>
    <row r="1069" spans="1:3">
      <c r="A1069" s="1" t="s">
        <v>170</v>
      </c>
      <c r="B1069" s="1" t="s">
        <v>171</v>
      </c>
      <c r="C1069" s="1" t="s">
        <v>857</v>
      </c>
    </row>
    <row r="1070" spans="1:3">
      <c r="A1070" s="1" t="s">
        <v>27</v>
      </c>
      <c r="B1070" s="1" t="s">
        <v>177</v>
      </c>
      <c r="C1070" s="1" t="s">
        <v>178</v>
      </c>
    </row>
    <row r="1071" spans="1:3">
      <c r="A1071" s="1" t="s">
        <v>27</v>
      </c>
      <c r="B1071" s="1" t="s">
        <v>48</v>
      </c>
      <c r="C1071" s="1" t="s">
        <v>254</v>
      </c>
    </row>
    <row r="1072" spans="1:3">
      <c r="A1072" s="1" t="s">
        <v>256</v>
      </c>
      <c r="B1072" s="1" t="s">
        <v>256</v>
      </c>
      <c r="C1072" s="1" t="s">
        <v>878</v>
      </c>
    </row>
    <row r="1073" spans="1:3">
      <c r="A1073" s="1" t="s">
        <v>53</v>
      </c>
      <c r="B1073" s="1" t="s">
        <v>276</v>
      </c>
      <c r="C1073" s="1" t="s">
        <v>1100</v>
      </c>
    </row>
    <row r="1074" spans="1:3">
      <c r="A1074" s="1" t="s">
        <v>634</v>
      </c>
      <c r="B1074" s="1" t="s">
        <v>102</v>
      </c>
      <c r="C1074" s="1" t="s">
        <v>635</v>
      </c>
    </row>
    <row r="1075" spans="1:3">
      <c r="A1075" s="1" t="s">
        <v>68</v>
      </c>
      <c r="B1075" s="1" t="s">
        <v>68</v>
      </c>
      <c r="C1075" s="1" t="s">
        <v>1117</v>
      </c>
    </row>
    <row r="1076" spans="1:3">
      <c r="A1076" s="1" t="s">
        <v>321</v>
      </c>
      <c r="B1076" s="1" t="s">
        <v>321</v>
      </c>
      <c r="C1076" s="1" t="s">
        <v>1376</v>
      </c>
    </row>
    <row r="1077" spans="1:3">
      <c r="A1077" s="1" t="s">
        <v>922</v>
      </c>
      <c r="B1077" s="1" t="s">
        <v>925</v>
      </c>
      <c r="C1077" s="1" t="s">
        <v>1381</v>
      </c>
    </row>
    <row r="1078" spans="1:3">
      <c r="A1078" s="1" t="s">
        <v>1123</v>
      </c>
      <c r="B1078" s="1" t="s">
        <v>1124</v>
      </c>
      <c r="C1078" s="1" t="s">
        <v>1392</v>
      </c>
    </row>
    <row r="1079" spans="1:3">
      <c r="A1079" s="1" t="s">
        <v>73</v>
      </c>
      <c r="B1079" s="1" t="s">
        <v>938</v>
      </c>
      <c r="C1079" s="1" t="s">
        <v>939</v>
      </c>
    </row>
    <row r="1080" spans="1:3">
      <c r="A1080" s="1" t="s">
        <v>73</v>
      </c>
      <c r="B1080" s="1" t="s">
        <v>73</v>
      </c>
      <c r="C1080" s="1" t="s">
        <v>666</v>
      </c>
    </row>
    <row r="1081" spans="1:3">
      <c r="A1081" s="1" t="s">
        <v>73</v>
      </c>
      <c r="B1081" s="1" t="s">
        <v>74</v>
      </c>
      <c r="C1081" s="1" t="s">
        <v>349</v>
      </c>
    </row>
    <row r="1082" spans="1:3">
      <c r="A1082" s="1" t="s">
        <v>73</v>
      </c>
      <c r="B1082" s="1" t="s">
        <v>655</v>
      </c>
      <c r="C1082" s="1" t="s">
        <v>656</v>
      </c>
    </row>
    <row r="1083" spans="1:3">
      <c r="A1083" s="1" t="s">
        <v>73</v>
      </c>
      <c r="B1083" s="1" t="s">
        <v>73</v>
      </c>
      <c r="C1083" s="1" t="s">
        <v>664</v>
      </c>
    </row>
    <row r="1084" spans="1:3">
      <c r="A1084" s="1" t="s">
        <v>73</v>
      </c>
      <c r="B1084" s="1" t="s">
        <v>73</v>
      </c>
      <c r="C1084" s="1" t="s">
        <v>1394</v>
      </c>
    </row>
    <row r="1085" spans="1:3">
      <c r="A1085" s="1" t="s">
        <v>353</v>
      </c>
      <c r="B1085" s="1" t="s">
        <v>8</v>
      </c>
      <c r="C1085" s="1" t="s">
        <v>674</v>
      </c>
    </row>
    <row r="1086" spans="1:3">
      <c r="A1086" s="1" t="s">
        <v>353</v>
      </c>
      <c r="B1086" s="1" t="s">
        <v>8</v>
      </c>
      <c r="C1086" s="1" t="s">
        <v>1153</v>
      </c>
    </row>
    <row r="1087" spans="1:3">
      <c r="A1087" s="1" t="s">
        <v>353</v>
      </c>
      <c r="B1087" s="1" t="s">
        <v>8</v>
      </c>
      <c r="C1087" s="1" t="s">
        <v>943</v>
      </c>
    </row>
    <row r="1088" spans="1:3">
      <c r="A1088" s="1" t="s">
        <v>678</v>
      </c>
      <c r="B1088" s="1" t="s">
        <v>678</v>
      </c>
      <c r="C1088" s="1" t="s">
        <v>682</v>
      </c>
    </row>
    <row r="1089" spans="1:3">
      <c r="A1089" s="1" t="s">
        <v>85</v>
      </c>
      <c r="B1089" s="1" t="s">
        <v>43</v>
      </c>
      <c r="C1089" s="1" t="s">
        <v>690</v>
      </c>
    </row>
    <row r="1090" spans="1:3">
      <c r="A1090" s="1" t="s">
        <v>384</v>
      </c>
      <c r="B1090" s="1" t="s">
        <v>387</v>
      </c>
      <c r="C1090" s="1" t="s">
        <v>1408</v>
      </c>
    </row>
    <row r="1091" spans="1:3">
      <c r="A1091" s="1" t="s">
        <v>93</v>
      </c>
      <c r="B1091" s="1" t="s">
        <v>397</v>
      </c>
      <c r="C1091" s="1" t="s">
        <v>1412</v>
      </c>
    </row>
    <row r="1092" spans="1:3">
      <c r="A1092" s="1" t="s">
        <v>96</v>
      </c>
      <c r="B1092" s="1" t="s">
        <v>96</v>
      </c>
      <c r="C1092" s="1" t="s">
        <v>1417</v>
      </c>
    </row>
    <row r="1093" spans="1:3">
      <c r="A1093" s="1" t="s">
        <v>98</v>
      </c>
      <c r="B1093" s="1" t="s">
        <v>715</v>
      </c>
      <c r="C1093" s="1" t="s">
        <v>716</v>
      </c>
    </row>
    <row r="1094" spans="1:3">
      <c r="A1094" s="1" t="s">
        <v>101</v>
      </c>
      <c r="B1094" s="1" t="s">
        <v>439</v>
      </c>
      <c r="C1094" s="1" t="s">
        <v>445</v>
      </c>
    </row>
    <row r="1095" spans="1:3">
      <c r="A1095" s="1" t="s">
        <v>101</v>
      </c>
      <c r="B1095" s="1" t="s">
        <v>62</v>
      </c>
      <c r="C1095" s="1" t="s">
        <v>726</v>
      </c>
    </row>
    <row r="1096" spans="1:3">
      <c r="A1096" s="1" t="s">
        <v>104</v>
      </c>
      <c r="B1096" s="1" t="s">
        <v>107</v>
      </c>
      <c r="C1096" s="1" t="s">
        <v>977</v>
      </c>
    </row>
    <row r="1097" spans="1:3">
      <c r="A1097" s="1" t="s">
        <v>104</v>
      </c>
      <c r="B1097" s="1" t="s">
        <v>107</v>
      </c>
      <c r="C1097" s="1" t="s">
        <v>741</v>
      </c>
    </row>
    <row r="1098" spans="1:3">
      <c r="A1098" s="1" t="s">
        <v>104</v>
      </c>
      <c r="B1098" s="1" t="s">
        <v>107</v>
      </c>
      <c r="C1098" s="1" t="s">
        <v>1200</v>
      </c>
    </row>
    <row r="1099" spans="1:3">
      <c r="A1099" s="1" t="s">
        <v>104</v>
      </c>
      <c r="B1099" s="1" t="s">
        <v>107</v>
      </c>
      <c r="C1099" s="1" t="s">
        <v>735</v>
      </c>
    </row>
    <row r="1100" spans="1:3">
      <c r="A1100" s="1" t="s">
        <v>104</v>
      </c>
      <c r="B1100" s="1" t="s">
        <v>107</v>
      </c>
      <c r="C1100" s="1" t="s">
        <v>749</v>
      </c>
    </row>
    <row r="1101" spans="1:3">
      <c r="A1101" s="1" t="s">
        <v>111</v>
      </c>
      <c r="B1101" s="1" t="s">
        <v>111</v>
      </c>
      <c r="C1101" s="1" t="s">
        <v>1452</v>
      </c>
    </row>
    <row r="1102" spans="1:3">
      <c r="A1102" s="1" t="s">
        <v>111</v>
      </c>
      <c r="B1102" s="1" t="s">
        <v>111</v>
      </c>
      <c r="C1102" s="1" t="s">
        <v>1215</v>
      </c>
    </row>
    <row r="1103" spans="1:3">
      <c r="A1103" s="1" t="s">
        <v>111</v>
      </c>
      <c r="B1103" s="1" t="s">
        <v>117</v>
      </c>
      <c r="C1103" s="1" t="s">
        <v>990</v>
      </c>
    </row>
    <row r="1104" spans="1:3">
      <c r="A1104" s="1" t="s">
        <v>111</v>
      </c>
      <c r="B1104" s="1" t="s">
        <v>111</v>
      </c>
      <c r="C1104" s="1" t="s">
        <v>996</v>
      </c>
    </row>
    <row r="1105" spans="1:3">
      <c r="A1105" s="1" t="s">
        <v>111</v>
      </c>
      <c r="B1105" s="1" t="s">
        <v>8</v>
      </c>
      <c r="C1105" s="1" t="s">
        <v>475</v>
      </c>
    </row>
    <row r="1106" spans="1:3">
      <c r="A1106" s="1" t="s">
        <v>111</v>
      </c>
      <c r="B1106" s="1" t="s">
        <v>111</v>
      </c>
      <c r="C1106" s="1" t="s">
        <v>999</v>
      </c>
    </row>
    <row r="1107" spans="1:3">
      <c r="A1107" s="1" t="s">
        <v>111</v>
      </c>
      <c r="B1107" s="1" t="s">
        <v>111</v>
      </c>
      <c r="C1107" s="1" t="s">
        <v>482</v>
      </c>
    </row>
    <row r="1108" spans="1:3">
      <c r="A1108" s="1" t="s">
        <v>111</v>
      </c>
      <c r="B1108" s="1" t="s">
        <v>111</v>
      </c>
      <c r="C1108" s="1" t="s">
        <v>1214</v>
      </c>
    </row>
    <row r="1109" spans="1:3">
      <c r="A1109" s="1" t="s">
        <v>120</v>
      </c>
      <c r="B1109" s="1" t="s">
        <v>1005</v>
      </c>
      <c r="C1109" s="1" t="s">
        <v>1006</v>
      </c>
    </row>
    <row r="1110" spans="1:3">
      <c r="A1110" s="1" t="s">
        <v>120</v>
      </c>
      <c r="B1110" s="1" t="s">
        <v>120</v>
      </c>
      <c r="C1110" s="1" t="s">
        <v>1461</v>
      </c>
    </row>
    <row r="1111" spans="1:3">
      <c r="A1111" s="1" t="s">
        <v>123</v>
      </c>
      <c r="B1111" s="1" t="s">
        <v>8</v>
      </c>
      <c r="C1111" s="1" t="s">
        <v>1021</v>
      </c>
    </row>
    <row r="1112" spans="1:3">
      <c r="A1112" s="1" t="s">
        <v>553</v>
      </c>
      <c r="B1112" s="1" t="s">
        <v>8</v>
      </c>
      <c r="C1112" s="1" t="s">
        <v>804</v>
      </c>
    </row>
    <row r="1113" spans="1:3">
      <c r="A1113" s="1" t="s">
        <v>556</v>
      </c>
      <c r="B1113" s="1" t="s">
        <v>43</v>
      </c>
      <c r="C1113" s="1" t="s">
        <v>808</v>
      </c>
    </row>
    <row r="1114" spans="1:3">
      <c r="A1114" s="1" t="s">
        <v>1035</v>
      </c>
      <c r="B1114" s="1" t="s">
        <v>1036</v>
      </c>
      <c r="C1114" s="1" t="s">
        <v>1038</v>
      </c>
    </row>
    <row r="1115" spans="1:3">
      <c r="A1115" s="1" t="s">
        <v>7</v>
      </c>
      <c r="B1115" s="1" t="s">
        <v>69</v>
      </c>
      <c r="C1115" s="1" t="s">
        <v>1047</v>
      </c>
    </row>
    <row r="1116" spans="1:3">
      <c r="A1116" s="1" t="s">
        <v>7</v>
      </c>
      <c r="B1116" s="1" t="s">
        <v>8</v>
      </c>
      <c r="C1116" s="1" t="s">
        <v>566</v>
      </c>
    </row>
    <row r="1117" spans="1:3">
      <c r="A1117" s="1" t="s">
        <v>7</v>
      </c>
      <c r="B1117" s="1" t="s">
        <v>7</v>
      </c>
      <c r="C1117" s="1" t="s">
        <v>824</v>
      </c>
    </row>
    <row r="1118" spans="1:3">
      <c r="A1118" s="1" t="s">
        <v>7</v>
      </c>
      <c r="B1118" s="1" t="s">
        <v>8</v>
      </c>
      <c r="C1118" s="1" t="s">
        <v>9</v>
      </c>
    </row>
    <row r="1119" spans="1:3">
      <c r="A1119" s="1" t="s">
        <v>7</v>
      </c>
      <c r="B1119" s="1" t="s">
        <v>7</v>
      </c>
      <c r="C1119" s="1" t="s">
        <v>572</v>
      </c>
    </row>
    <row r="1120" spans="1:3">
      <c r="A1120" s="1" t="s">
        <v>2136</v>
      </c>
      <c r="B1120" s="1" t="s">
        <v>127</v>
      </c>
      <c r="C1120" s="1" t="s">
        <v>816</v>
      </c>
    </row>
    <row r="1121" spans="1:3">
      <c r="A1121" s="1" t="s">
        <v>24</v>
      </c>
      <c r="B1121" s="1" t="s">
        <v>24</v>
      </c>
      <c r="C1121" s="1" t="s">
        <v>840</v>
      </c>
    </row>
    <row r="1122" spans="1:3">
      <c r="A1122" s="1" t="s">
        <v>158</v>
      </c>
      <c r="B1122" s="1" t="s">
        <v>158</v>
      </c>
      <c r="C1122" s="1" t="s">
        <v>1058</v>
      </c>
    </row>
    <row r="1123" spans="1:3">
      <c r="A1123" s="1" t="s">
        <v>158</v>
      </c>
      <c r="B1123" s="1" t="s">
        <v>158</v>
      </c>
      <c r="C1123" s="1" t="s">
        <v>580</v>
      </c>
    </row>
    <row r="1124" spans="1:3">
      <c r="A1124" s="1" t="s">
        <v>158</v>
      </c>
      <c r="B1124" s="1" t="s">
        <v>158</v>
      </c>
      <c r="C1124" s="1" t="s">
        <v>1062</v>
      </c>
    </row>
    <row r="1125" spans="1:3">
      <c r="A1125" s="1" t="s">
        <v>158</v>
      </c>
      <c r="B1125" s="1" t="s">
        <v>158</v>
      </c>
      <c r="C1125" s="1" t="s">
        <v>164</v>
      </c>
    </row>
    <row r="1126" spans="1:3">
      <c r="A1126" s="1" t="s">
        <v>158</v>
      </c>
      <c r="B1126" s="1" t="s">
        <v>158</v>
      </c>
      <c r="C1126" s="1" t="s">
        <v>849</v>
      </c>
    </row>
    <row r="1127" spans="1:3">
      <c r="A1127" s="1" t="s">
        <v>158</v>
      </c>
      <c r="B1127" s="1" t="s">
        <v>158</v>
      </c>
      <c r="C1127" s="1" t="s">
        <v>1063</v>
      </c>
    </row>
    <row r="1128" spans="1:3">
      <c r="A1128" s="1" t="s">
        <v>158</v>
      </c>
      <c r="B1128" s="1" t="s">
        <v>158</v>
      </c>
      <c r="C1128" s="1" t="s">
        <v>852</v>
      </c>
    </row>
    <row r="1129" spans="1:3">
      <c r="A1129" s="1" t="s">
        <v>158</v>
      </c>
      <c r="B1129" s="1" t="s">
        <v>158</v>
      </c>
      <c r="C1129" s="1" t="s">
        <v>844</v>
      </c>
    </row>
    <row r="1130" spans="1:3">
      <c r="A1130" s="1" t="s">
        <v>170</v>
      </c>
      <c r="B1130" s="1" t="s">
        <v>171</v>
      </c>
      <c r="C1130" s="1" t="s">
        <v>1309</v>
      </c>
    </row>
    <row r="1131" spans="1:3">
      <c r="A1131" s="1" t="s">
        <v>170</v>
      </c>
      <c r="B1131" s="1" t="s">
        <v>171</v>
      </c>
      <c r="C1131" s="1" t="s">
        <v>173</v>
      </c>
    </row>
    <row r="1132" spans="1:3">
      <c r="A1132" s="1" t="s">
        <v>27</v>
      </c>
      <c r="B1132" s="1" t="s">
        <v>43</v>
      </c>
      <c r="C1132" s="1" t="s">
        <v>236</v>
      </c>
    </row>
    <row r="1133" spans="1:3">
      <c r="A1133" s="1" t="s">
        <v>256</v>
      </c>
      <c r="B1133" s="1" t="s">
        <v>256</v>
      </c>
      <c r="C1133" s="1" t="s">
        <v>597</v>
      </c>
    </row>
    <row r="1134" spans="1:3">
      <c r="A1134" s="1" t="s">
        <v>53</v>
      </c>
      <c r="B1134" s="1" t="s">
        <v>57</v>
      </c>
      <c r="C1134" s="1" t="s">
        <v>1092</v>
      </c>
    </row>
    <row r="1135" spans="1:3">
      <c r="A1135" s="1" t="s">
        <v>53</v>
      </c>
      <c r="B1135" s="1" t="s">
        <v>57</v>
      </c>
      <c r="C1135" s="1" t="s">
        <v>607</v>
      </c>
    </row>
    <row r="1136" spans="1:3">
      <c r="A1136" s="1" t="s">
        <v>53</v>
      </c>
      <c r="B1136" s="1" t="s">
        <v>276</v>
      </c>
      <c r="C1136" s="1" t="s">
        <v>888</v>
      </c>
    </row>
    <row r="1137" spans="1:3">
      <c r="A1137" s="1" t="s">
        <v>300</v>
      </c>
      <c r="B1137" s="1" t="s">
        <v>300</v>
      </c>
      <c r="C1137" s="1" t="s">
        <v>1370</v>
      </c>
    </row>
    <row r="1138" spans="1:3">
      <c r="A1138" s="1" t="s">
        <v>300</v>
      </c>
      <c r="B1138" s="1" t="s">
        <v>301</v>
      </c>
      <c r="C1138" s="1" t="s">
        <v>302</v>
      </c>
    </row>
    <row r="1139" spans="1:3">
      <c r="A1139" s="1" t="s">
        <v>65</v>
      </c>
      <c r="B1139" s="1" t="s">
        <v>66</v>
      </c>
      <c r="C1139" s="1" t="s">
        <v>633</v>
      </c>
    </row>
    <row r="1140" spans="1:3">
      <c r="A1140" s="1" t="s">
        <v>65</v>
      </c>
      <c r="B1140" s="1" t="s">
        <v>66</v>
      </c>
      <c r="C1140" s="1" t="s">
        <v>630</v>
      </c>
    </row>
    <row r="1141" spans="1:3">
      <c r="A1141" s="1" t="s">
        <v>65</v>
      </c>
      <c r="B1141" s="1" t="s">
        <v>66</v>
      </c>
      <c r="C1141" s="1" t="s">
        <v>67</v>
      </c>
    </row>
    <row r="1142" spans="1:3">
      <c r="A1142" s="1" t="s">
        <v>311</v>
      </c>
      <c r="B1142" s="1" t="s">
        <v>311</v>
      </c>
      <c r="C1142" s="1" t="s">
        <v>312</v>
      </c>
    </row>
    <row r="1143" spans="1:3">
      <c r="A1143" s="1" t="s">
        <v>313</v>
      </c>
      <c r="B1143" s="1" t="s">
        <v>311</v>
      </c>
      <c r="C1143" s="1" t="s">
        <v>900</v>
      </c>
    </row>
    <row r="1144" spans="1:3">
      <c r="A1144" s="1" t="s">
        <v>922</v>
      </c>
      <c r="B1144" s="1" t="s">
        <v>1121</v>
      </c>
      <c r="C1144" s="1" t="s">
        <v>1380</v>
      </c>
    </row>
    <row r="1145" spans="1:3">
      <c r="A1145" s="1" t="s">
        <v>922</v>
      </c>
      <c r="B1145" s="1" t="s">
        <v>925</v>
      </c>
      <c r="C1145" s="1" t="s">
        <v>1382</v>
      </c>
    </row>
    <row r="1146" spans="1:3">
      <c r="A1146" s="1" t="s">
        <v>73</v>
      </c>
      <c r="B1146" s="1" t="s">
        <v>938</v>
      </c>
      <c r="C1146" s="1" t="s">
        <v>1147</v>
      </c>
    </row>
    <row r="1147" spans="1:3">
      <c r="A1147" s="1" t="s">
        <v>73</v>
      </c>
      <c r="B1147" s="1" t="s">
        <v>73</v>
      </c>
      <c r="C1147" s="1" t="s">
        <v>1395</v>
      </c>
    </row>
    <row r="1148" spans="1:3">
      <c r="A1148" s="1" t="s">
        <v>73</v>
      </c>
      <c r="B1148" s="1" t="s">
        <v>73</v>
      </c>
      <c r="C1148" s="1" t="s">
        <v>1128</v>
      </c>
    </row>
    <row r="1149" spans="1:3">
      <c r="A1149" s="1" t="s">
        <v>73</v>
      </c>
      <c r="B1149" s="1" t="s">
        <v>73</v>
      </c>
      <c r="C1149" s="1" t="s">
        <v>662</v>
      </c>
    </row>
    <row r="1150" spans="1:3">
      <c r="A1150" s="1" t="s">
        <v>353</v>
      </c>
      <c r="B1150" s="1" t="s">
        <v>8</v>
      </c>
      <c r="C1150" s="1" t="s">
        <v>676</v>
      </c>
    </row>
    <row r="1151" spans="1:3">
      <c r="A1151" s="1" t="s">
        <v>85</v>
      </c>
      <c r="B1151" s="1" t="s">
        <v>43</v>
      </c>
      <c r="C1151" s="1" t="s">
        <v>955</v>
      </c>
    </row>
    <row r="1152" spans="1:3">
      <c r="A1152" s="1" t="s">
        <v>85</v>
      </c>
      <c r="B1152" s="1" t="s">
        <v>43</v>
      </c>
      <c r="C1152" s="1" t="s">
        <v>1166</v>
      </c>
    </row>
    <row r="1153" spans="1:3">
      <c r="A1153" s="1" t="s">
        <v>85</v>
      </c>
      <c r="B1153" s="1" t="s">
        <v>43</v>
      </c>
      <c r="C1153" s="1" t="s">
        <v>951</v>
      </c>
    </row>
    <row r="1154" spans="1:3">
      <c r="A1154" s="1" t="s">
        <v>85</v>
      </c>
      <c r="B1154" s="1" t="s">
        <v>43</v>
      </c>
      <c r="C1154" s="1" t="s">
        <v>90</v>
      </c>
    </row>
    <row r="1155" spans="1:3">
      <c r="A1155" s="1" t="s">
        <v>85</v>
      </c>
      <c r="B1155" s="1" t="s">
        <v>43</v>
      </c>
      <c r="C1155" s="1" t="s">
        <v>953</v>
      </c>
    </row>
    <row r="1156" spans="1:3">
      <c r="A1156" s="1" t="s">
        <v>384</v>
      </c>
      <c r="B1156" s="1" t="s">
        <v>387</v>
      </c>
      <c r="C1156" s="1" t="s">
        <v>699</v>
      </c>
    </row>
    <row r="1157" spans="1:3">
      <c r="A1157" s="1" t="s">
        <v>395</v>
      </c>
      <c r="B1157" s="1" t="s">
        <v>43</v>
      </c>
      <c r="C1157" s="1" t="s">
        <v>706</v>
      </c>
    </row>
    <row r="1158" spans="1:3">
      <c r="A1158" s="1" t="s">
        <v>710</v>
      </c>
      <c r="B1158" s="1" t="s">
        <v>8</v>
      </c>
      <c r="C1158" s="1" t="s">
        <v>712</v>
      </c>
    </row>
    <row r="1159" spans="1:3">
      <c r="A1159" s="1" t="s">
        <v>101</v>
      </c>
      <c r="B1159" s="1" t="s">
        <v>62</v>
      </c>
      <c r="C1159" s="1" t="s">
        <v>434</v>
      </c>
    </row>
    <row r="1160" spans="1:3">
      <c r="A1160" s="1" t="s">
        <v>104</v>
      </c>
      <c r="B1160" s="1" t="s">
        <v>107</v>
      </c>
      <c r="C1160" s="1" t="s">
        <v>739</v>
      </c>
    </row>
    <row r="1161" spans="1:3">
      <c r="A1161" s="1" t="s">
        <v>104</v>
      </c>
      <c r="B1161" s="1" t="s">
        <v>107</v>
      </c>
      <c r="C1161" s="1" t="s">
        <v>457</v>
      </c>
    </row>
    <row r="1162" spans="1:3">
      <c r="A1162" s="1" t="s">
        <v>104</v>
      </c>
      <c r="B1162" s="1" t="s">
        <v>107</v>
      </c>
      <c r="C1162" s="1" t="s">
        <v>458</v>
      </c>
    </row>
    <row r="1163" spans="1:3">
      <c r="A1163" s="1" t="s">
        <v>104</v>
      </c>
      <c r="B1163" s="1" t="s">
        <v>107</v>
      </c>
      <c r="C1163" s="1" t="s">
        <v>744</v>
      </c>
    </row>
    <row r="1164" spans="1:3">
      <c r="A1164" s="1" t="s">
        <v>111</v>
      </c>
      <c r="B1164" s="1" t="s">
        <v>111</v>
      </c>
      <c r="C1164" s="1" t="s">
        <v>757</v>
      </c>
    </row>
    <row r="1165" spans="1:3">
      <c r="A1165" s="1" t="s">
        <v>111</v>
      </c>
      <c r="B1165" s="1" t="s">
        <v>117</v>
      </c>
      <c r="C1165" s="1" t="s">
        <v>1430</v>
      </c>
    </row>
    <row r="1166" spans="1:3">
      <c r="A1166" s="1" t="s">
        <v>111</v>
      </c>
      <c r="B1166" s="1" t="s">
        <v>117</v>
      </c>
      <c r="C1166" s="1" t="s">
        <v>1436</v>
      </c>
    </row>
    <row r="1167" spans="1:3">
      <c r="A1167" s="1" t="s">
        <v>111</v>
      </c>
      <c r="B1167" s="1" t="s">
        <v>111</v>
      </c>
      <c r="C1167" s="1" t="s">
        <v>1209</v>
      </c>
    </row>
    <row r="1168" spans="1:3">
      <c r="A1168" s="1" t="s">
        <v>120</v>
      </c>
      <c r="B1168" s="1" t="s">
        <v>120</v>
      </c>
      <c r="C1168" s="1" t="s">
        <v>504</v>
      </c>
    </row>
    <row r="1169" spans="1:3">
      <c r="A1169" s="1" t="s">
        <v>120</v>
      </c>
      <c r="B1169" s="1" t="s">
        <v>120</v>
      </c>
      <c r="C1169" s="1" t="s">
        <v>1237</v>
      </c>
    </row>
    <row r="1170" spans="1:3">
      <c r="A1170" s="1" t="s">
        <v>123</v>
      </c>
      <c r="B1170" s="1" t="s">
        <v>8</v>
      </c>
      <c r="C1170" s="1" t="s">
        <v>1246</v>
      </c>
    </row>
    <row r="1171" spans="1:3">
      <c r="A1171" s="1" t="s">
        <v>123</v>
      </c>
      <c r="B1171" s="1" t="s">
        <v>114</v>
      </c>
      <c r="C1171" s="1" t="s">
        <v>531</v>
      </c>
    </row>
    <row r="1172" spans="1:3">
      <c r="A1172" s="1" t="s">
        <v>553</v>
      </c>
      <c r="B1172" s="1" t="s">
        <v>553</v>
      </c>
      <c r="C1172" s="1" t="s">
        <v>805</v>
      </c>
    </row>
    <row r="1173" spans="1:3">
      <c r="A1173" s="1" t="s">
        <v>553</v>
      </c>
      <c r="B1173" s="1" t="s">
        <v>114</v>
      </c>
      <c r="C1173" s="1" t="s">
        <v>1025</v>
      </c>
    </row>
    <row r="1174" spans="1:3">
      <c r="A1174" s="1" t="s">
        <v>553</v>
      </c>
      <c r="B1174" s="1" t="s">
        <v>114</v>
      </c>
      <c r="C1174" s="1" t="s">
        <v>1473</v>
      </c>
    </row>
    <row r="1175" spans="1:3">
      <c r="A1175" s="1" t="s">
        <v>553</v>
      </c>
      <c r="B1175" s="1" t="s">
        <v>553</v>
      </c>
      <c r="C1175" s="1" t="s">
        <v>1028</v>
      </c>
    </row>
    <row r="1176" spans="1:3">
      <c r="A1176" s="1" t="s">
        <v>556</v>
      </c>
      <c r="B1176" s="1" t="s">
        <v>43</v>
      </c>
      <c r="C1176" s="1" t="s">
        <v>557</v>
      </c>
    </row>
    <row r="1177" spans="1:3">
      <c r="A1177" s="1" t="s">
        <v>556</v>
      </c>
      <c r="B1177" s="1" t="s">
        <v>43</v>
      </c>
      <c r="C1177" s="1" t="s">
        <v>1263</v>
      </c>
    </row>
    <row r="1178" spans="1:3">
      <c r="A1178" s="1" t="s">
        <v>1269</v>
      </c>
      <c r="B1178" s="1" t="s">
        <v>1270</v>
      </c>
      <c r="C1178" s="1" t="s">
        <v>1271</v>
      </c>
    </row>
    <row r="1179" spans="1:3">
      <c r="A1179" s="1" t="s">
        <v>1272</v>
      </c>
      <c r="B1179" s="1" t="s">
        <v>1273</v>
      </c>
      <c r="C1179" s="1" t="s">
        <v>1271</v>
      </c>
    </row>
    <row r="1180" spans="1:3">
      <c r="A1180" s="1" t="s">
        <v>559</v>
      </c>
      <c r="B1180" s="1" t="s">
        <v>559</v>
      </c>
      <c r="C1180" s="1" t="s">
        <v>560</v>
      </c>
    </row>
    <row r="1181" spans="1:3">
      <c r="A1181" s="1" t="s">
        <v>7</v>
      </c>
      <c r="B1181" s="1" t="s">
        <v>7</v>
      </c>
      <c r="C1181" s="1" t="s">
        <v>573</v>
      </c>
    </row>
    <row r="1182" spans="1:3">
      <c r="A1182" s="1" t="s">
        <v>7</v>
      </c>
      <c r="B1182" s="1" t="s">
        <v>8</v>
      </c>
      <c r="C1182" s="1" t="s">
        <v>15</v>
      </c>
    </row>
    <row r="1183" spans="1:3">
      <c r="A1183" s="1" t="s">
        <v>7</v>
      </c>
      <c r="B1183" s="1" t="s">
        <v>7</v>
      </c>
      <c r="C1183" s="1" t="s">
        <v>567</v>
      </c>
    </row>
    <row r="1184" spans="1:3">
      <c r="A1184" s="1" t="s">
        <v>24</v>
      </c>
      <c r="B1184" s="1" t="s">
        <v>24</v>
      </c>
      <c r="C1184" s="1" t="s">
        <v>837</v>
      </c>
    </row>
    <row r="1185" spans="1:3">
      <c r="A1185" s="1" t="s">
        <v>158</v>
      </c>
      <c r="B1185" s="1" t="s">
        <v>158</v>
      </c>
      <c r="C1185" s="1" t="s">
        <v>1303</v>
      </c>
    </row>
    <row r="1186" spans="1:3">
      <c r="A1186" s="1" t="s">
        <v>158</v>
      </c>
      <c r="B1186" s="1" t="s">
        <v>158</v>
      </c>
      <c r="C1186" s="1" t="s">
        <v>1304</v>
      </c>
    </row>
    <row r="1187" spans="1:3">
      <c r="A1187" s="1" t="s">
        <v>158</v>
      </c>
      <c r="B1187" s="1" t="s">
        <v>158</v>
      </c>
      <c r="C1187" s="1" t="s">
        <v>576</v>
      </c>
    </row>
    <row r="1188" spans="1:3">
      <c r="A1188" s="1" t="s">
        <v>158</v>
      </c>
      <c r="B1188" s="1" t="s">
        <v>158</v>
      </c>
      <c r="C1188" s="1" t="s">
        <v>842</v>
      </c>
    </row>
    <row r="1189" spans="1:3">
      <c r="A1189" s="1" t="s">
        <v>158</v>
      </c>
      <c r="B1189" s="1" t="s">
        <v>853</v>
      </c>
      <c r="C1189" s="1" t="s">
        <v>1066</v>
      </c>
    </row>
    <row r="1190" spans="1:3">
      <c r="A1190" s="1" t="s">
        <v>170</v>
      </c>
      <c r="B1190" s="1" t="s">
        <v>171</v>
      </c>
      <c r="C1190" s="1" t="s">
        <v>1305</v>
      </c>
    </row>
    <row r="1191" spans="1:3">
      <c r="A1191" s="1" t="s">
        <v>174</v>
      </c>
      <c r="B1191" s="1" t="s">
        <v>174</v>
      </c>
      <c r="C1191" s="1" t="s">
        <v>583</v>
      </c>
    </row>
    <row r="1192" spans="1:3">
      <c r="A1192" s="1" t="s">
        <v>27</v>
      </c>
      <c r="B1192" s="1" t="s">
        <v>27</v>
      </c>
      <c r="C1192" s="1" t="s">
        <v>1079</v>
      </c>
    </row>
    <row r="1193" spans="1:3">
      <c r="A1193" s="1" t="s">
        <v>256</v>
      </c>
      <c r="B1193" s="1" t="s">
        <v>256</v>
      </c>
      <c r="C1193" s="1" t="s">
        <v>258</v>
      </c>
    </row>
    <row r="1194" spans="1:3">
      <c r="A1194" s="1" t="s">
        <v>256</v>
      </c>
      <c r="B1194" s="1" t="s">
        <v>256</v>
      </c>
      <c r="C1194" s="1" t="s">
        <v>260</v>
      </c>
    </row>
    <row r="1195" spans="1:3">
      <c r="A1195" s="1" t="s">
        <v>53</v>
      </c>
      <c r="B1195" s="1" t="s">
        <v>276</v>
      </c>
      <c r="C1195" s="1" t="s">
        <v>1360</v>
      </c>
    </row>
    <row r="1196" spans="1:3">
      <c r="A1196" s="1" t="s">
        <v>62</v>
      </c>
      <c r="B1196" s="1" t="s">
        <v>63</v>
      </c>
      <c r="C1196" s="1" t="s">
        <v>64</v>
      </c>
    </row>
    <row r="1197" spans="1:3">
      <c r="A1197" s="1" t="s">
        <v>65</v>
      </c>
      <c r="B1197" s="1" t="s">
        <v>66</v>
      </c>
      <c r="C1197" s="1" t="s">
        <v>1113</v>
      </c>
    </row>
    <row r="1198" spans="1:3">
      <c r="A1198" s="1" t="s">
        <v>904</v>
      </c>
      <c r="B1198" s="1" t="s">
        <v>904</v>
      </c>
      <c r="C1198" s="1" t="s">
        <v>906</v>
      </c>
    </row>
    <row r="1199" spans="1:3">
      <c r="A1199" s="1" t="s">
        <v>904</v>
      </c>
      <c r="B1199" s="1" t="s">
        <v>904</v>
      </c>
      <c r="C1199" s="1" t="s">
        <v>908</v>
      </c>
    </row>
    <row r="1200" spans="1:3">
      <c r="A1200" s="1" t="s">
        <v>321</v>
      </c>
      <c r="B1200" s="1" t="s">
        <v>321</v>
      </c>
      <c r="C1200" s="1" t="s">
        <v>1375</v>
      </c>
    </row>
    <row r="1201" spans="1:3">
      <c r="A1201" s="1" t="s">
        <v>323</v>
      </c>
      <c r="B1201" s="1" t="s">
        <v>323</v>
      </c>
      <c r="C1201" s="1" t="s">
        <v>917</v>
      </c>
    </row>
    <row r="1202" spans="1:3">
      <c r="A1202" s="1" t="s">
        <v>918</v>
      </c>
      <c r="B1202" s="1" t="s">
        <v>43</v>
      </c>
      <c r="C1202" s="1" t="s">
        <v>919</v>
      </c>
    </row>
    <row r="1203" spans="1:3">
      <c r="A1203" s="1" t="s">
        <v>922</v>
      </c>
      <c r="B1203" s="1" t="s">
        <v>1121</v>
      </c>
      <c r="C1203" s="1" t="s">
        <v>1122</v>
      </c>
    </row>
    <row r="1204" spans="1:3">
      <c r="A1204" s="1" t="s">
        <v>1123</v>
      </c>
      <c r="B1204" s="1" t="s">
        <v>1124</v>
      </c>
      <c r="C1204" s="1" t="s">
        <v>1391</v>
      </c>
    </row>
    <row r="1205" spans="1:3">
      <c r="A1205" s="1" t="s">
        <v>73</v>
      </c>
      <c r="B1205" s="1" t="s">
        <v>338</v>
      </c>
      <c r="C1205" s="1" t="s">
        <v>652</v>
      </c>
    </row>
    <row r="1206" spans="1:3">
      <c r="A1206" s="1" t="s">
        <v>73</v>
      </c>
      <c r="B1206" s="1" t="s">
        <v>338</v>
      </c>
      <c r="C1206" s="1" t="s">
        <v>1126</v>
      </c>
    </row>
    <row r="1207" spans="1:3">
      <c r="A1207" s="1" t="s">
        <v>73</v>
      </c>
      <c r="B1207" s="1" t="s">
        <v>650</v>
      </c>
      <c r="C1207" s="1" t="s">
        <v>651</v>
      </c>
    </row>
    <row r="1208" spans="1:3">
      <c r="A1208" s="1" t="s">
        <v>73</v>
      </c>
      <c r="B1208" s="1" t="s">
        <v>338</v>
      </c>
      <c r="C1208" s="1" t="s">
        <v>263</v>
      </c>
    </row>
    <row r="1209" spans="1:3">
      <c r="A1209" s="1" t="s">
        <v>73</v>
      </c>
      <c r="B1209" s="1" t="s">
        <v>73</v>
      </c>
      <c r="C1209" s="1" t="s">
        <v>931</v>
      </c>
    </row>
    <row r="1210" spans="1:3">
      <c r="A1210" s="1" t="s">
        <v>73</v>
      </c>
      <c r="B1210" s="1" t="s">
        <v>938</v>
      </c>
      <c r="C1210" s="1" t="s">
        <v>941</v>
      </c>
    </row>
    <row r="1211" spans="1:3">
      <c r="A1211" s="1" t="s">
        <v>73</v>
      </c>
      <c r="B1211" s="1" t="s">
        <v>336</v>
      </c>
      <c r="C1211" s="1" t="s">
        <v>337</v>
      </c>
    </row>
    <row r="1212" spans="1:3">
      <c r="A1212" s="1" t="s">
        <v>73</v>
      </c>
      <c r="B1212" s="1" t="s">
        <v>73</v>
      </c>
      <c r="C1212" s="1" t="s">
        <v>663</v>
      </c>
    </row>
    <row r="1213" spans="1:3">
      <c r="A1213" s="1" t="s">
        <v>73</v>
      </c>
      <c r="B1213" s="1" t="s">
        <v>668</v>
      </c>
      <c r="C1213" s="1" t="s">
        <v>669</v>
      </c>
    </row>
    <row r="1214" spans="1:3">
      <c r="A1214" s="1" t="s">
        <v>353</v>
      </c>
      <c r="B1214" s="1" t="s">
        <v>8</v>
      </c>
      <c r="C1214" s="1" t="s">
        <v>355</v>
      </c>
    </row>
    <row r="1215" spans="1:3">
      <c r="A1215" s="1" t="s">
        <v>353</v>
      </c>
      <c r="B1215" s="1" t="s">
        <v>367</v>
      </c>
      <c r="C1215" s="1" t="s">
        <v>677</v>
      </c>
    </row>
    <row r="1216" spans="1:3">
      <c r="A1216" s="1" t="s">
        <v>353</v>
      </c>
      <c r="B1216" s="1" t="s">
        <v>8</v>
      </c>
      <c r="C1216" s="1" t="s">
        <v>1154</v>
      </c>
    </row>
    <row r="1217" spans="1:3">
      <c r="A1217" s="1" t="s">
        <v>353</v>
      </c>
      <c r="B1217" s="1" t="s">
        <v>353</v>
      </c>
      <c r="C1217" s="1" t="s">
        <v>1157</v>
      </c>
    </row>
    <row r="1218" spans="1:3">
      <c r="A1218" s="1" t="s">
        <v>82</v>
      </c>
      <c r="B1218" s="1" t="s">
        <v>62</v>
      </c>
      <c r="C1218" s="1" t="s">
        <v>84</v>
      </c>
    </row>
    <row r="1219" spans="1:3">
      <c r="A1219" s="1" t="s">
        <v>82</v>
      </c>
      <c r="B1219" s="1" t="s">
        <v>62</v>
      </c>
      <c r="C1219" s="1" t="s">
        <v>83</v>
      </c>
    </row>
    <row r="1220" spans="1:3">
      <c r="A1220" s="1" t="s">
        <v>369</v>
      </c>
      <c r="B1220" s="1" t="s">
        <v>370</v>
      </c>
      <c r="C1220" s="1" t="s">
        <v>1161</v>
      </c>
    </row>
    <row r="1221" spans="1:3">
      <c r="A1221" s="1" t="s">
        <v>85</v>
      </c>
      <c r="B1221" s="1" t="s">
        <v>43</v>
      </c>
      <c r="C1221" s="1" t="s">
        <v>697</v>
      </c>
    </row>
    <row r="1222" spans="1:3">
      <c r="A1222" s="1" t="s">
        <v>85</v>
      </c>
      <c r="B1222" s="1" t="s">
        <v>66</v>
      </c>
      <c r="C1222" s="1" t="s">
        <v>686</v>
      </c>
    </row>
    <row r="1223" spans="1:3">
      <c r="A1223" s="1" t="s">
        <v>85</v>
      </c>
      <c r="B1223" s="1" t="s">
        <v>43</v>
      </c>
      <c r="C1223" s="1" t="s">
        <v>1175</v>
      </c>
    </row>
    <row r="1224" spans="1:3">
      <c r="A1224" s="1" t="s">
        <v>85</v>
      </c>
      <c r="B1224" s="1" t="s">
        <v>43</v>
      </c>
      <c r="C1224" s="1" t="s">
        <v>1173</v>
      </c>
    </row>
    <row r="1225" spans="1:3">
      <c r="A1225" s="1" t="s">
        <v>384</v>
      </c>
      <c r="B1225" s="1" t="s">
        <v>387</v>
      </c>
      <c r="C1225" s="1" t="s">
        <v>698</v>
      </c>
    </row>
    <row r="1226" spans="1:3">
      <c r="A1226" s="1" t="s">
        <v>384</v>
      </c>
      <c r="B1226" s="1" t="s">
        <v>387</v>
      </c>
      <c r="C1226" s="1" t="s">
        <v>1409</v>
      </c>
    </row>
    <row r="1227" spans="1:3">
      <c r="A1227" s="1" t="s">
        <v>93</v>
      </c>
      <c r="B1227" s="1" t="s">
        <v>93</v>
      </c>
      <c r="C1227" s="1" t="s">
        <v>1414</v>
      </c>
    </row>
    <row r="1228" spans="1:3">
      <c r="A1228" s="1" t="s">
        <v>93</v>
      </c>
      <c r="B1228" s="1" t="s">
        <v>93</v>
      </c>
      <c r="C1228" s="1" t="s">
        <v>1183</v>
      </c>
    </row>
    <row r="1229" spans="1:3">
      <c r="A1229" s="1" t="s">
        <v>101</v>
      </c>
      <c r="B1229" s="1" t="s">
        <v>102</v>
      </c>
      <c r="C1229" s="1" t="s">
        <v>419</v>
      </c>
    </row>
    <row r="1230" spans="1:3">
      <c r="A1230" s="1" t="s">
        <v>101</v>
      </c>
      <c r="B1230" s="1" t="s">
        <v>62</v>
      </c>
      <c r="C1230" s="1" t="s">
        <v>428</v>
      </c>
    </row>
    <row r="1231" spans="1:3">
      <c r="A1231" s="1" t="s">
        <v>101</v>
      </c>
      <c r="B1231" s="1" t="s">
        <v>62</v>
      </c>
      <c r="C1231" s="1" t="s">
        <v>730</v>
      </c>
    </row>
    <row r="1232" spans="1:3">
      <c r="A1232" s="1" t="s">
        <v>104</v>
      </c>
      <c r="B1232" s="1" t="s">
        <v>107</v>
      </c>
      <c r="C1232" s="1" t="s">
        <v>1422</v>
      </c>
    </row>
    <row r="1233" spans="1:3">
      <c r="A1233" s="1" t="s">
        <v>104</v>
      </c>
      <c r="B1233" s="1" t="s">
        <v>107</v>
      </c>
      <c r="C1233" s="1" t="s">
        <v>453</v>
      </c>
    </row>
    <row r="1234" spans="1:3">
      <c r="A1234" s="1" t="s">
        <v>104</v>
      </c>
      <c r="B1234" s="1" t="s">
        <v>107</v>
      </c>
      <c r="C1234" s="1" t="s">
        <v>463</v>
      </c>
    </row>
    <row r="1235" spans="1:3">
      <c r="A1235" s="1" t="s">
        <v>104</v>
      </c>
      <c r="B1235" s="1" t="s">
        <v>107</v>
      </c>
      <c r="C1235" s="1" t="s">
        <v>1419</v>
      </c>
    </row>
    <row r="1236" spans="1:3">
      <c r="A1236" s="1" t="s">
        <v>104</v>
      </c>
      <c r="B1236" s="1" t="s">
        <v>107</v>
      </c>
      <c r="C1236" s="1" t="s">
        <v>979</v>
      </c>
    </row>
    <row r="1237" spans="1:3">
      <c r="A1237" s="1" t="s">
        <v>104</v>
      </c>
      <c r="B1237" s="1" t="s">
        <v>107</v>
      </c>
      <c r="C1237" s="1" t="s">
        <v>976</v>
      </c>
    </row>
    <row r="1238" spans="1:3">
      <c r="A1238" s="1" t="s">
        <v>104</v>
      </c>
      <c r="B1238" s="1" t="s">
        <v>107</v>
      </c>
      <c r="C1238" s="1" t="s">
        <v>1197</v>
      </c>
    </row>
    <row r="1239" spans="1:3">
      <c r="A1239" s="1" t="s">
        <v>111</v>
      </c>
      <c r="B1239" s="1" t="s">
        <v>117</v>
      </c>
      <c r="C1239" s="1" t="s">
        <v>1432</v>
      </c>
    </row>
    <row r="1240" spans="1:3">
      <c r="A1240" s="1" t="s">
        <v>111</v>
      </c>
      <c r="B1240" s="1" t="s">
        <v>117</v>
      </c>
      <c r="C1240" s="1" t="s">
        <v>993</v>
      </c>
    </row>
    <row r="1241" spans="1:3">
      <c r="A1241" s="1" t="s">
        <v>111</v>
      </c>
      <c r="B1241" s="1" t="s">
        <v>111</v>
      </c>
      <c r="C1241" s="1" t="s">
        <v>1445</v>
      </c>
    </row>
    <row r="1242" spans="1:3">
      <c r="A1242" s="1" t="s">
        <v>111</v>
      </c>
      <c r="B1242" s="1" t="s">
        <v>111</v>
      </c>
      <c r="C1242" s="1" t="s">
        <v>755</v>
      </c>
    </row>
    <row r="1243" spans="1:3">
      <c r="A1243" s="1" t="s">
        <v>111</v>
      </c>
      <c r="B1243" s="1" t="s">
        <v>111</v>
      </c>
      <c r="C1243" s="1" t="s">
        <v>1208</v>
      </c>
    </row>
    <row r="1244" spans="1:3">
      <c r="A1244" s="1" t="s">
        <v>120</v>
      </c>
      <c r="B1244" s="1" t="s">
        <v>120</v>
      </c>
      <c r="C1244" s="1" t="s">
        <v>1459</v>
      </c>
    </row>
    <row r="1245" spans="1:3">
      <c r="A1245" s="1" t="s">
        <v>123</v>
      </c>
      <c r="B1245" s="1" t="s">
        <v>8</v>
      </c>
      <c r="C1245" s="1" t="s">
        <v>124</v>
      </c>
    </row>
    <row r="1246" spans="1:3">
      <c r="A1246" s="1" t="s">
        <v>123</v>
      </c>
      <c r="B1246" s="1" t="s">
        <v>123</v>
      </c>
      <c r="C1246" s="1" t="s">
        <v>1468</v>
      </c>
    </row>
    <row r="1247" spans="1:3">
      <c r="A1247" s="1" t="s">
        <v>551</v>
      </c>
      <c r="B1247" s="1" t="s">
        <v>66</v>
      </c>
      <c r="C1247" s="1" t="s">
        <v>552</v>
      </c>
    </row>
    <row r="1248" spans="1:3">
      <c r="A1248" s="1" t="s">
        <v>553</v>
      </c>
      <c r="B1248" s="1" t="s">
        <v>114</v>
      </c>
      <c r="C1248" s="1" t="s">
        <v>554</v>
      </c>
    </row>
    <row r="1249" spans="1:3">
      <c r="A1249" s="1" t="s">
        <v>553</v>
      </c>
      <c r="B1249" s="1" t="s">
        <v>114</v>
      </c>
      <c r="C1249" s="1" t="s">
        <v>1258</v>
      </c>
    </row>
    <row r="1250" spans="1:3">
      <c r="A1250" s="1" t="s">
        <v>553</v>
      </c>
      <c r="B1250" s="1" t="s">
        <v>553</v>
      </c>
      <c r="C1250" s="1" t="s">
        <v>1029</v>
      </c>
    </row>
    <row r="1251" spans="1:3">
      <c r="A1251" s="1" t="s">
        <v>553</v>
      </c>
      <c r="B1251" s="1" t="s">
        <v>114</v>
      </c>
      <c r="C1251" s="1" t="s">
        <v>1259</v>
      </c>
    </row>
    <row r="1252" spans="1:3">
      <c r="A1252" s="1" t="s">
        <v>556</v>
      </c>
      <c r="B1252" s="1" t="s">
        <v>43</v>
      </c>
      <c r="C1252" s="1" t="s">
        <v>810</v>
      </c>
    </row>
    <row r="1253" spans="1:3">
      <c r="A1253" s="1" t="s">
        <v>1264</v>
      </c>
      <c r="B1253" s="1" t="s">
        <v>114</v>
      </c>
      <c r="C1253" s="1" t="s">
        <v>1265</v>
      </c>
    </row>
    <row r="1254" spans="1:3">
      <c r="A1254" s="1" t="s">
        <v>812</v>
      </c>
      <c r="B1254" s="1" t="s">
        <v>813</v>
      </c>
      <c r="C1254" s="1" t="s">
        <v>8</v>
      </c>
    </row>
    <row r="1255" spans="1:3">
      <c r="A1255" s="1" t="s">
        <v>814</v>
      </c>
      <c r="B1255" s="1" t="s">
        <v>814</v>
      </c>
      <c r="C1255" s="1" t="s">
        <v>815</v>
      </c>
    </row>
    <row r="1256" spans="1:3">
      <c r="A1256" s="1" t="s">
        <v>7</v>
      </c>
      <c r="B1256" s="1" t="s">
        <v>7</v>
      </c>
      <c r="C1256" s="1" t="s">
        <v>1283</v>
      </c>
    </row>
    <row r="1257" spans="1:3">
      <c r="A1257" s="1" t="s">
        <v>7</v>
      </c>
      <c r="B1257" s="1" t="s">
        <v>20</v>
      </c>
      <c r="C1257" s="1" t="s">
        <v>21</v>
      </c>
    </row>
    <row r="1258" spans="1:3">
      <c r="A1258" s="1" t="s">
        <v>2136</v>
      </c>
      <c r="B1258" s="1" t="s">
        <v>127</v>
      </c>
      <c r="C1258" s="1" t="s">
        <v>129</v>
      </c>
    </row>
    <row r="1259" spans="1:3">
      <c r="A1259" s="1" t="s">
        <v>2136</v>
      </c>
      <c r="B1259" s="1" t="s">
        <v>127</v>
      </c>
      <c r="C1259" s="1" t="s">
        <v>136</v>
      </c>
    </row>
    <row r="1260" spans="1:3">
      <c r="A1260" s="1" t="s">
        <v>24</v>
      </c>
      <c r="B1260" s="1" t="s">
        <v>24</v>
      </c>
      <c r="C1260" s="1" t="s">
        <v>1300</v>
      </c>
    </row>
    <row r="1261" spans="1:3">
      <c r="A1261" s="1" t="s">
        <v>24</v>
      </c>
      <c r="B1261" s="1" t="s">
        <v>24</v>
      </c>
      <c r="C1261" s="1" t="s">
        <v>1301</v>
      </c>
    </row>
    <row r="1262" spans="1:3">
      <c r="A1262" s="1" t="s">
        <v>24</v>
      </c>
      <c r="B1262" s="1" t="s">
        <v>24</v>
      </c>
      <c r="C1262" s="1" t="s">
        <v>26</v>
      </c>
    </row>
    <row r="1263" spans="1:3">
      <c r="A1263" s="1" t="s">
        <v>24</v>
      </c>
      <c r="B1263" s="1" t="s">
        <v>24</v>
      </c>
      <c r="C1263" s="1" t="s">
        <v>832</v>
      </c>
    </row>
    <row r="1264" spans="1:3">
      <c r="A1264" s="1" t="s">
        <v>1052</v>
      </c>
      <c r="B1264" s="1" t="s">
        <v>66</v>
      </c>
      <c r="C1264" s="1" t="s">
        <v>1053</v>
      </c>
    </row>
    <row r="1265" spans="1:3">
      <c r="A1265" s="1" t="s">
        <v>158</v>
      </c>
      <c r="B1265" s="1" t="s">
        <v>158</v>
      </c>
      <c r="C1265" s="1" t="s">
        <v>166</v>
      </c>
    </row>
    <row r="1266" spans="1:3">
      <c r="A1266" s="1" t="s">
        <v>158</v>
      </c>
      <c r="B1266" s="1" t="s">
        <v>158</v>
      </c>
      <c r="C1266" s="1" t="s">
        <v>1302</v>
      </c>
    </row>
    <row r="1267" spans="1:3">
      <c r="A1267" s="1" t="s">
        <v>158</v>
      </c>
      <c r="B1267" s="1" t="s">
        <v>158</v>
      </c>
      <c r="C1267" s="1" t="s">
        <v>1054</v>
      </c>
    </row>
    <row r="1268" spans="1:3">
      <c r="A1268" s="1" t="s">
        <v>158</v>
      </c>
      <c r="B1268" s="1" t="s">
        <v>158</v>
      </c>
      <c r="C1268" s="1" t="s">
        <v>846</v>
      </c>
    </row>
    <row r="1269" spans="1:3">
      <c r="A1269" s="1" t="s">
        <v>158</v>
      </c>
      <c r="B1269" s="1" t="s">
        <v>158</v>
      </c>
      <c r="C1269" s="1" t="s">
        <v>847</v>
      </c>
    </row>
    <row r="1270" spans="1:3">
      <c r="A1270" s="1" t="s">
        <v>158</v>
      </c>
      <c r="B1270" s="1" t="s">
        <v>853</v>
      </c>
      <c r="C1270" s="1" t="s">
        <v>1065</v>
      </c>
    </row>
    <row r="1271" spans="1:3">
      <c r="A1271" s="1" t="s">
        <v>861</v>
      </c>
      <c r="B1271" s="1" t="s">
        <v>862</v>
      </c>
      <c r="C1271" s="1" t="s">
        <v>863</v>
      </c>
    </row>
    <row r="1272" spans="1:3">
      <c r="A1272" s="1" t="s">
        <v>27</v>
      </c>
      <c r="B1272" s="1" t="s">
        <v>27</v>
      </c>
      <c r="C1272" s="1" t="s">
        <v>1080</v>
      </c>
    </row>
    <row r="1273" spans="1:3">
      <c r="A1273" s="1" t="s">
        <v>27</v>
      </c>
      <c r="B1273" s="1" t="s">
        <v>43</v>
      </c>
      <c r="C1273" s="1" t="s">
        <v>596</v>
      </c>
    </row>
    <row r="1274" spans="1:3">
      <c r="A1274" s="1" t="s">
        <v>53</v>
      </c>
      <c r="B1274" s="1" t="s">
        <v>57</v>
      </c>
      <c r="C1274" s="1" t="s">
        <v>884</v>
      </c>
    </row>
    <row r="1275" spans="1:3">
      <c r="A1275" s="1" t="s">
        <v>53</v>
      </c>
      <c r="B1275" s="1" t="s">
        <v>57</v>
      </c>
      <c r="C1275" s="1" t="s">
        <v>269</v>
      </c>
    </row>
    <row r="1276" spans="1:3">
      <c r="A1276" s="1" t="s">
        <v>56</v>
      </c>
      <c r="B1276" s="1" t="s">
        <v>897</v>
      </c>
      <c r="C1276" s="1" t="s">
        <v>898</v>
      </c>
    </row>
    <row r="1277" spans="1:3">
      <c r="A1277" s="1" t="s">
        <v>65</v>
      </c>
      <c r="B1277" s="1" t="s">
        <v>66</v>
      </c>
      <c r="C1277" s="1" t="s">
        <v>1115</v>
      </c>
    </row>
    <row r="1278" spans="1:3">
      <c r="A1278" s="1" t="s">
        <v>306</v>
      </c>
      <c r="B1278" s="1" t="s">
        <v>309</v>
      </c>
      <c r="C1278" s="1" t="s">
        <v>310</v>
      </c>
    </row>
    <row r="1279" spans="1:3">
      <c r="A1279" s="1" t="s">
        <v>313</v>
      </c>
      <c r="B1279" s="1" t="s">
        <v>314</v>
      </c>
      <c r="C1279" s="1" t="s">
        <v>316</v>
      </c>
    </row>
    <row r="1280" spans="1:3">
      <c r="A1280" s="1" t="s">
        <v>922</v>
      </c>
      <c r="B1280" s="1" t="s">
        <v>925</v>
      </c>
      <c r="C1280" s="1" t="s">
        <v>926</v>
      </c>
    </row>
    <row r="1281" spans="1:3">
      <c r="A1281" s="1" t="s">
        <v>73</v>
      </c>
      <c r="B1281" s="1" t="s">
        <v>114</v>
      </c>
      <c r="C1281" s="1" t="s">
        <v>657</v>
      </c>
    </row>
    <row r="1282" spans="1:3">
      <c r="A1282" s="1" t="s">
        <v>73</v>
      </c>
      <c r="B1282" s="1" t="s">
        <v>672</v>
      </c>
      <c r="C1282" s="1" t="s">
        <v>673</v>
      </c>
    </row>
    <row r="1283" spans="1:3">
      <c r="A1283" s="1" t="s">
        <v>73</v>
      </c>
      <c r="B1283" s="1" t="s">
        <v>338</v>
      </c>
      <c r="C1283" s="1" t="s">
        <v>342</v>
      </c>
    </row>
    <row r="1284" spans="1:3">
      <c r="A1284" s="1" t="s">
        <v>73</v>
      </c>
      <c r="B1284" s="1" t="s">
        <v>938</v>
      </c>
      <c r="C1284" s="1" t="s">
        <v>1148</v>
      </c>
    </row>
    <row r="1285" spans="1:3">
      <c r="A1285" s="1" t="s">
        <v>73</v>
      </c>
      <c r="B1285" s="1" t="s">
        <v>73</v>
      </c>
      <c r="C1285" s="1" t="s">
        <v>659</v>
      </c>
    </row>
    <row r="1286" spans="1:3">
      <c r="A1286" s="1" t="s">
        <v>80</v>
      </c>
      <c r="B1286" s="1" t="s">
        <v>43</v>
      </c>
      <c r="C1286" s="1" t="s">
        <v>1397</v>
      </c>
    </row>
    <row r="1287" spans="1:3">
      <c r="A1287" s="1" t="s">
        <v>353</v>
      </c>
      <c r="B1287" s="1" t="s">
        <v>367</v>
      </c>
      <c r="C1287" s="1" t="s">
        <v>1398</v>
      </c>
    </row>
    <row r="1288" spans="1:3">
      <c r="A1288" s="1" t="s">
        <v>353</v>
      </c>
      <c r="B1288" s="1" t="s">
        <v>367</v>
      </c>
      <c r="C1288" s="1" t="s">
        <v>368</v>
      </c>
    </row>
    <row r="1289" spans="1:3">
      <c r="A1289" s="1" t="s">
        <v>353</v>
      </c>
      <c r="B1289" s="1" t="s">
        <v>353</v>
      </c>
      <c r="C1289" s="1" t="s">
        <v>1160</v>
      </c>
    </row>
    <row r="1290" spans="1:3">
      <c r="A1290" s="1" t="s">
        <v>353</v>
      </c>
      <c r="B1290" s="1" t="s">
        <v>8</v>
      </c>
      <c r="C1290" s="1" t="s">
        <v>944</v>
      </c>
    </row>
    <row r="1291" spans="1:3">
      <c r="A1291" s="1" t="s">
        <v>678</v>
      </c>
      <c r="B1291" s="1" t="s">
        <v>679</v>
      </c>
      <c r="C1291" s="1" t="s">
        <v>680</v>
      </c>
    </row>
    <row r="1292" spans="1:3">
      <c r="A1292" s="1" t="s">
        <v>85</v>
      </c>
      <c r="B1292" s="1" t="s">
        <v>43</v>
      </c>
      <c r="C1292" s="1" t="s">
        <v>376</v>
      </c>
    </row>
    <row r="1293" spans="1:3">
      <c r="A1293" s="1" t="s">
        <v>85</v>
      </c>
      <c r="B1293" s="1" t="s">
        <v>66</v>
      </c>
      <c r="C1293" s="1" t="s">
        <v>685</v>
      </c>
    </row>
    <row r="1294" spans="1:3">
      <c r="A1294" s="1" t="s">
        <v>85</v>
      </c>
      <c r="B1294" s="1" t="s">
        <v>66</v>
      </c>
      <c r="C1294" s="1" t="s">
        <v>950</v>
      </c>
    </row>
    <row r="1295" spans="1:3">
      <c r="A1295" s="1" t="s">
        <v>85</v>
      </c>
      <c r="B1295" s="1" t="s">
        <v>43</v>
      </c>
      <c r="C1295" s="1" t="s">
        <v>695</v>
      </c>
    </row>
    <row r="1296" spans="1:3">
      <c r="A1296" s="1" t="s">
        <v>85</v>
      </c>
      <c r="B1296" s="1" t="s">
        <v>43</v>
      </c>
      <c r="C1296" s="1" t="s">
        <v>692</v>
      </c>
    </row>
    <row r="1297" spans="1:3">
      <c r="A1297" s="1" t="s">
        <v>384</v>
      </c>
      <c r="B1297" s="1" t="s">
        <v>387</v>
      </c>
      <c r="C1297" s="1" t="s">
        <v>1407</v>
      </c>
    </row>
    <row r="1298" spans="1:3">
      <c r="A1298" s="1" t="s">
        <v>384</v>
      </c>
      <c r="B1298" s="1" t="s">
        <v>387</v>
      </c>
      <c r="C1298" s="1" t="s">
        <v>1402</v>
      </c>
    </row>
    <row r="1299" spans="1:3">
      <c r="A1299" s="1" t="s">
        <v>384</v>
      </c>
      <c r="B1299" s="1" t="s">
        <v>387</v>
      </c>
      <c r="C1299" s="1" t="s">
        <v>958</v>
      </c>
    </row>
    <row r="1300" spans="1:3">
      <c r="A1300" s="1" t="s">
        <v>93</v>
      </c>
      <c r="B1300" s="1" t="s">
        <v>397</v>
      </c>
      <c r="C1300" s="1" t="s">
        <v>401</v>
      </c>
    </row>
    <row r="1301" spans="1:3">
      <c r="A1301" s="1" t="s">
        <v>93</v>
      </c>
      <c r="B1301" s="1" t="s">
        <v>93</v>
      </c>
      <c r="C1301" s="1" t="s">
        <v>402</v>
      </c>
    </row>
    <row r="1302" spans="1:3">
      <c r="A1302" s="1" t="s">
        <v>407</v>
      </c>
      <c r="B1302" s="1" t="s">
        <v>407</v>
      </c>
      <c r="C1302" s="1" t="s">
        <v>408</v>
      </c>
    </row>
    <row r="1303" spans="1:3">
      <c r="A1303" s="1" t="s">
        <v>710</v>
      </c>
      <c r="B1303" s="1" t="s">
        <v>8</v>
      </c>
      <c r="C1303" s="1" t="s">
        <v>711</v>
      </c>
    </row>
    <row r="1304" spans="1:3">
      <c r="A1304" s="1" t="s">
        <v>98</v>
      </c>
      <c r="B1304" s="1" t="s">
        <v>99</v>
      </c>
      <c r="C1304" s="1" t="s">
        <v>100</v>
      </c>
    </row>
    <row r="1305" spans="1:3">
      <c r="A1305" s="1" t="s">
        <v>101</v>
      </c>
      <c r="B1305" s="1" t="s">
        <v>101</v>
      </c>
      <c r="C1305" s="1" t="s">
        <v>446</v>
      </c>
    </row>
    <row r="1306" spans="1:3">
      <c r="A1306" s="1" t="s">
        <v>104</v>
      </c>
      <c r="B1306" s="1" t="s">
        <v>107</v>
      </c>
      <c r="C1306" s="1" t="s">
        <v>1424</v>
      </c>
    </row>
    <row r="1307" spans="1:3">
      <c r="A1307" s="1" t="s">
        <v>104</v>
      </c>
      <c r="B1307" s="1" t="s">
        <v>107</v>
      </c>
      <c r="C1307" s="1" t="s">
        <v>1192</v>
      </c>
    </row>
    <row r="1308" spans="1:3">
      <c r="A1308" s="1" t="s">
        <v>104</v>
      </c>
      <c r="B1308" s="1" t="s">
        <v>107</v>
      </c>
      <c r="C1308" s="1" t="s">
        <v>1201</v>
      </c>
    </row>
    <row r="1309" spans="1:3">
      <c r="A1309" s="1" t="s">
        <v>111</v>
      </c>
      <c r="B1309" s="1" t="s">
        <v>69</v>
      </c>
      <c r="C1309" s="1" t="s">
        <v>751</v>
      </c>
    </row>
    <row r="1310" spans="1:3">
      <c r="A1310" s="1" t="s">
        <v>111</v>
      </c>
      <c r="B1310" s="1" t="s">
        <v>114</v>
      </c>
      <c r="C1310" s="1" t="s">
        <v>116</v>
      </c>
    </row>
    <row r="1311" spans="1:3">
      <c r="A1311" s="1" t="s">
        <v>111</v>
      </c>
      <c r="B1311" s="1" t="s">
        <v>117</v>
      </c>
      <c r="C1311" s="1" t="s">
        <v>1435</v>
      </c>
    </row>
    <row r="1312" spans="1:3">
      <c r="A1312" s="1" t="s">
        <v>111</v>
      </c>
      <c r="B1312" s="1" t="s">
        <v>111</v>
      </c>
      <c r="C1312" s="1" t="s">
        <v>760</v>
      </c>
    </row>
    <row r="1313" spans="1:3">
      <c r="A1313" s="1" t="s">
        <v>111</v>
      </c>
      <c r="B1313" s="1" t="s">
        <v>117</v>
      </c>
      <c r="C1313" s="1" t="s">
        <v>989</v>
      </c>
    </row>
    <row r="1314" spans="1:3">
      <c r="A1314" s="1" t="s">
        <v>111</v>
      </c>
      <c r="B1314" s="1" t="s">
        <v>111</v>
      </c>
      <c r="C1314" s="1" t="s">
        <v>1449</v>
      </c>
    </row>
    <row r="1315" spans="1:3">
      <c r="A1315" s="1" t="s">
        <v>120</v>
      </c>
      <c r="B1315" s="1" t="s">
        <v>120</v>
      </c>
      <c r="C1315" s="1" t="s">
        <v>1456</v>
      </c>
    </row>
    <row r="1316" spans="1:3">
      <c r="A1316" s="1" t="s">
        <v>120</v>
      </c>
      <c r="B1316" s="1" t="s">
        <v>492</v>
      </c>
      <c r="C1316" s="1" t="s">
        <v>494</v>
      </c>
    </row>
    <row r="1317" spans="1:3">
      <c r="A1317" s="1" t="s">
        <v>120</v>
      </c>
      <c r="B1317" s="1" t="s">
        <v>120</v>
      </c>
      <c r="C1317" s="1" t="s">
        <v>1012</v>
      </c>
    </row>
    <row r="1318" spans="1:3">
      <c r="A1318" s="1" t="s">
        <v>120</v>
      </c>
      <c r="B1318" s="1" t="s">
        <v>120</v>
      </c>
      <c r="C1318" s="1" t="s">
        <v>1455</v>
      </c>
    </row>
    <row r="1319" spans="1:3">
      <c r="A1319" s="1" t="s">
        <v>123</v>
      </c>
      <c r="B1319" s="1" t="s">
        <v>8</v>
      </c>
      <c r="C1319" s="1" t="s">
        <v>533</v>
      </c>
    </row>
    <row r="1320" spans="1:3">
      <c r="A1320" s="1" t="s">
        <v>553</v>
      </c>
      <c r="B1320" s="1" t="s">
        <v>114</v>
      </c>
      <c r="C1320" s="1" t="s">
        <v>1027</v>
      </c>
    </row>
    <row r="1321" spans="1:3">
      <c r="A1321" s="1" t="s">
        <v>556</v>
      </c>
      <c r="B1321" s="1" t="s">
        <v>43</v>
      </c>
      <c r="C1321" s="1" t="s">
        <v>1030</v>
      </c>
    </row>
    <row r="1322" spans="1:3">
      <c r="A1322" s="1" t="s">
        <v>1264</v>
      </c>
      <c r="B1322" s="1" t="s">
        <v>114</v>
      </c>
      <c r="C1322" s="1" t="s">
        <v>1266</v>
      </c>
    </row>
  </sheetData>
  <autoFilter ref="A1:C2458" xr:uid="{00000000-0001-0000-0100-000000000000}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C9C4-0B21-4FCA-91EF-52F3072E1F37}">
  <dimension ref="A1:H1317"/>
  <sheetViews>
    <sheetView zoomScale="90" zoomScaleNormal="90" workbookViewId="0">
      <selection sqref="A1:A1048576"/>
    </sheetView>
  </sheetViews>
  <sheetFormatPr defaultRowHeight="13.2"/>
  <cols>
    <col min="1" max="1" width="23.88671875" customWidth="1"/>
    <col min="2" max="2" width="21.33203125" style="1" customWidth="1"/>
    <col min="3" max="3" width="40.33203125" style="1" customWidth="1"/>
    <col min="4" max="4" width="28.109375" customWidth="1"/>
    <col min="5" max="5" width="20" customWidth="1"/>
    <col min="6" max="6" width="28.88671875" customWidth="1"/>
    <col min="7" max="7" width="17.109375" customWidth="1"/>
    <col min="8" max="8" width="30.6640625" customWidth="1"/>
  </cols>
  <sheetData>
    <row r="1" spans="1:8">
      <c r="A1" s="17" t="s">
        <v>0</v>
      </c>
      <c r="B1" s="38" t="s">
        <v>1</v>
      </c>
      <c r="C1" s="38" t="s">
        <v>2</v>
      </c>
      <c r="D1" s="17" t="s">
        <v>3947</v>
      </c>
      <c r="E1" s="17" t="s">
        <v>3948</v>
      </c>
      <c r="F1" s="17" t="s">
        <v>3949</v>
      </c>
      <c r="G1" s="17" t="s">
        <v>4107</v>
      </c>
      <c r="H1" s="17" t="s">
        <v>4108</v>
      </c>
    </row>
    <row r="2" spans="1:8" ht="14.4">
      <c r="A2" s="18" t="s">
        <v>559</v>
      </c>
      <c r="B2" s="18" t="s">
        <v>559</v>
      </c>
      <c r="C2" s="18" t="s">
        <v>560</v>
      </c>
      <c r="D2" s="19" t="str">
        <f ca="1">IFERROR(__xludf.DUMMYFUNCTION("GOOGLETRANSLATE(A2, ""ar"", ""en"")"),"Aston Martin")</f>
        <v>Aston Martin</v>
      </c>
      <c r="E2" s="19" t="str">
        <f ca="1">IFERROR(__xludf.DUMMYFUNCTION("GOOGLETRANSLATE(B2,""ar"",""en"")"),"Aston Martin")</f>
        <v>Aston Martin</v>
      </c>
      <c r="F2" s="19" t="str">
        <f ca="1">IFERROR(__xludf.DUMMYFUNCTION("GOOGLETRANSLATE(C2,""ar"",""en"")"),"DPS")</f>
        <v>DPS</v>
      </c>
      <c r="G2" t="e">
        <f ca="1">VLOOKUP(F:F,matching_transelated_with_ref!A:C,2,0)</f>
        <v>#N/A</v>
      </c>
      <c r="H2" t="e">
        <f>VLOOKUP(C:C,Sheet4!A:C,2,0)</f>
        <v>#N/A</v>
      </c>
    </row>
    <row r="3" spans="1:8" ht="14.4">
      <c r="A3" s="18" t="s">
        <v>559</v>
      </c>
      <c r="B3" s="18" t="s">
        <v>559</v>
      </c>
      <c r="C3" s="18" t="s">
        <v>1031</v>
      </c>
      <c r="D3" s="19" t="str">
        <f ca="1">IFERROR(__xludf.DUMMYFUNCTION("GOOGLETRANSLATE(A3, ""ar"", ""en"")"),"Aston Martin")</f>
        <v>Aston Martin</v>
      </c>
      <c r="E3" s="19" t="str">
        <f ca="1">IFERROR(__xludf.DUMMYFUNCTION("GOOGLETRANSLATE(B3,""ar"",""en"")"),"Aston Martin")</f>
        <v>Aston Martin</v>
      </c>
      <c r="F3" s="19" t="str">
        <f ca="1">IFERROR(__xludf.DUMMYFUNCTION("GOOGLETRANSLATE(C3,""ar"",""en"")"),"DPX")</f>
        <v>DPX</v>
      </c>
      <c r="G3" t="e">
        <f ca="1">VLOOKUP(F:F,matching_transelated_with_ref!A:C,2,0)</f>
        <v>#N/A</v>
      </c>
      <c r="H3" t="e">
        <f>VLOOKUP(C:C,Sheet4!A:C,2,0)</f>
        <v>#N/A</v>
      </c>
    </row>
    <row r="4" spans="1:8" ht="14.4">
      <c r="A4" s="18" t="s">
        <v>559</v>
      </c>
      <c r="B4" s="18" t="s">
        <v>559</v>
      </c>
      <c r="C4" s="18" t="s">
        <v>561</v>
      </c>
      <c r="D4" s="19" t="str">
        <f ca="1">IFERROR(__xludf.DUMMYFUNCTION("GOOGLETRANSLATE(A4, ""ar"", ""en"")"),"Aston Martin")</f>
        <v>Aston Martin</v>
      </c>
      <c r="E4" s="19" t="str">
        <f ca="1">IFERROR(__xludf.DUMMYFUNCTION("GOOGLETRANSLATE(B4,""ar"",""en"")"),"Aston Martin")</f>
        <v>Aston Martin</v>
      </c>
      <c r="F4" s="19" t="str">
        <f ca="1">IFERROR(__xludf.DUMMYFUNCTION("GOOGLETRANSLATE(C4,""ar"",""en"")"),"Vanntig")</f>
        <v>Vanntig</v>
      </c>
      <c r="G4" t="e">
        <f ca="1">VLOOKUP(F:F,matching_transelated_with_ref!A:C,2,0)</f>
        <v>#N/A</v>
      </c>
      <c r="H4" t="e">
        <f>VLOOKUP(C:C,Sheet4!A:C,2,0)</f>
        <v>#N/A</v>
      </c>
    </row>
    <row r="5" spans="1:8" ht="14.4">
      <c r="A5" s="18" t="s">
        <v>3</v>
      </c>
      <c r="B5" s="18" t="s">
        <v>3</v>
      </c>
      <c r="C5" s="18" t="s">
        <v>562</v>
      </c>
      <c r="D5" s="19" t="str">
        <f ca="1">IFERROR(__xludf.DUMMYFUNCTION("GOOGLETRANSLATE(A5, ""ar"", ""en"")"),"Ashok Liland")</f>
        <v>Ashok Liland</v>
      </c>
      <c r="E5" s="19" t="str">
        <f ca="1">IFERROR(__xludf.DUMMYFUNCTION("GOOGLETRANSLATE(B5,""ar"",""en"")"),"Ashok Liland")</f>
        <v>Ashok Liland</v>
      </c>
      <c r="F5" s="19" t="str">
        <f ca="1">IFERROR(__xludf.DUMMYFUNCTION("GOOGLETRANSLATE(C5,""ar"",""en"")"),"Valan")</f>
        <v>Valan</v>
      </c>
      <c r="G5" t="e">
        <f ca="1">VLOOKUP(F:F,matching_transelated_with_ref!A:C,2,0)</f>
        <v>#N/A</v>
      </c>
      <c r="H5" t="e">
        <f>VLOOKUP(C:C,Sheet4!A:C,2,0)</f>
        <v>#N/A</v>
      </c>
    </row>
    <row r="6" spans="1:8" ht="14.4">
      <c r="A6" s="18" t="s">
        <v>3</v>
      </c>
      <c r="B6" s="18" t="s">
        <v>3</v>
      </c>
      <c r="C6" s="18" t="s">
        <v>6</v>
      </c>
      <c r="D6" s="19" t="str">
        <f ca="1">IFERROR(__xludf.DUMMYFUNCTION("GOOGLETRANSLATE(A6, ""ar"", ""en"")"),"Ashok Liland")</f>
        <v>Ashok Liland</v>
      </c>
      <c r="E6" s="19" t="str">
        <f ca="1">IFERROR(__xludf.DUMMYFUNCTION("GOOGLETRANSLATE(B6,""ar"",""en"")"),"Ashok Liland")</f>
        <v>Ashok Liland</v>
      </c>
      <c r="F6" s="19" t="str">
        <f ca="1">IFERROR(__xludf.DUMMYFUNCTION("GOOGLETRANSLATE(C6,""ar"",""en"")"),"Falcon")</f>
        <v>Falcon</v>
      </c>
      <c r="G6" t="e">
        <f ca="1">VLOOKUP(F:F,matching_transelated_with_ref!A:C,2,0)</f>
        <v>#N/A</v>
      </c>
      <c r="H6" t="e">
        <f>VLOOKUP(C:C,Sheet4!A:C,2,0)</f>
        <v>#N/A</v>
      </c>
    </row>
    <row r="7" spans="1:8" ht="14.4">
      <c r="A7" s="18" t="s">
        <v>3</v>
      </c>
      <c r="B7" s="18" t="s">
        <v>5</v>
      </c>
      <c r="C7" s="18" t="s">
        <v>6</v>
      </c>
      <c r="D7" s="19" t="str">
        <f ca="1">IFERROR(__xludf.DUMMYFUNCTION("GOOGLETRANSLATE(A7, ""ar"", ""en"")"),"Ashok Liland")</f>
        <v>Ashok Liland</v>
      </c>
      <c r="E7" s="19" t="str">
        <f ca="1">IFERROR(__xludf.DUMMYFUNCTION("GOOGLETRANSLATE(B7,""ar"",""en"")"),"Passenger bus")</f>
        <v>Passenger bus</v>
      </c>
      <c r="F7" s="19" t="str">
        <f ca="1">IFERROR(__xludf.DUMMYFUNCTION("GOOGLETRANSLATE(C7,""ar"",""en"")"),"Falcon")</f>
        <v>Falcon</v>
      </c>
      <c r="G7" t="e">
        <f ca="1">VLOOKUP(F:F,matching_transelated_with_ref!A:C,2,0)</f>
        <v>#N/A</v>
      </c>
      <c r="H7" t="e">
        <f>VLOOKUP(C:C,Sheet4!A:C,2,0)</f>
        <v>#N/A</v>
      </c>
    </row>
    <row r="8" spans="1:8" ht="14.4">
      <c r="A8" s="18" t="s">
        <v>3</v>
      </c>
      <c r="B8" s="18" t="s">
        <v>3</v>
      </c>
      <c r="C8" s="18" t="s">
        <v>4</v>
      </c>
      <c r="D8" s="19" t="str">
        <f ca="1">IFERROR(__xludf.DUMMYFUNCTION("GOOGLETRANSLATE(A8, ""ar"", ""en"")"),"Ashok Liland")</f>
        <v>Ashok Liland</v>
      </c>
      <c r="E8" s="19" t="str">
        <f ca="1">IFERROR(__xludf.DUMMYFUNCTION("GOOGLETRANSLATE(B8,""ar"",""en"")"),"Ashok Liland")</f>
        <v>Ashok Liland</v>
      </c>
      <c r="F8" s="19" t="str">
        <f ca="1">IFERROR(__xludf.DUMMYFUNCTION("GOOGLETRANSLATE(C8,""ar"",""en"")"),"Oster")</f>
        <v>Oster</v>
      </c>
      <c r="G8" t="e">
        <f ca="1">VLOOKUP(F:F,matching_transelated_with_ref!A:C,2,0)</f>
        <v>#N/A</v>
      </c>
      <c r="H8" t="e">
        <f>VLOOKUP(C:C,Sheet4!A:C,2,0)</f>
        <v>#N/A</v>
      </c>
    </row>
    <row r="9" spans="1:8" ht="14.4">
      <c r="A9" s="18" t="s">
        <v>3</v>
      </c>
      <c r="B9" s="18" t="s">
        <v>3</v>
      </c>
      <c r="C9" s="18" t="s">
        <v>1032</v>
      </c>
      <c r="D9" s="19" t="str">
        <f ca="1">IFERROR(__xludf.DUMMYFUNCTION("GOOGLETRANSLATE(A9, ""ar"", ""en"")"),"Ashok Liland")</f>
        <v>Ashok Liland</v>
      </c>
      <c r="E9" s="19" t="str">
        <f ca="1">IFERROR(__xludf.DUMMYFUNCTION("GOOGLETRANSLATE(B9,""ar"",""en"")"),"Ashok Liland")</f>
        <v>Ashok Liland</v>
      </c>
      <c r="F9" s="19" t="str">
        <f ca="1">IFERROR(__xludf.DUMMYFUNCTION("GOOGLETRANSLATE(C9,""ar"",""en"")"),"Pendant")</f>
        <v>Pendant</v>
      </c>
      <c r="G9" t="e">
        <f ca="1">VLOOKUP(F:F,matching_transelated_with_ref!A:C,2,0)</f>
        <v>#N/A</v>
      </c>
      <c r="H9" t="e">
        <f>VLOOKUP(C:C,Sheet4!A:C,2,0)</f>
        <v>#N/A</v>
      </c>
    </row>
    <row r="10" spans="1:8" ht="14.4">
      <c r="A10" s="18" t="s">
        <v>1281</v>
      </c>
      <c r="B10" s="18" t="s">
        <v>1281</v>
      </c>
      <c r="C10" s="18" t="s">
        <v>1282</v>
      </c>
      <c r="D10" s="19" t="str">
        <f ca="1">IFERROR(__xludf.DUMMYFUNCTION("GOOGLETRANSLATE(A10, ""ar"", ""en"")"),"FCA")</f>
        <v>FCA</v>
      </c>
      <c r="E10" s="19" t="str">
        <f ca="1">IFERROR(__xludf.DUMMYFUNCTION("GOOGLETRANSLATE(B10,""ar"",""en"")"),"FCA")</f>
        <v>FCA</v>
      </c>
      <c r="F10" s="19" t="str">
        <f ca="1">IFERROR(__xludf.DUMMYFUNCTION("GOOGLETRANSLATE(C10,""ar"",""en"")"),"Prosecution 595")</f>
        <v>Prosecution 595</v>
      </c>
      <c r="G10" t="e">
        <f ca="1">VLOOKUP(F:F,matching_transelated_with_ref!A:C,2,0)</f>
        <v>#N/A</v>
      </c>
      <c r="H10" t="str">
        <f>VLOOKUP(C:C,Sheet4!A:C,2,0)</f>
        <v>ابارث 595</v>
      </c>
    </row>
    <row r="11" spans="1:8" ht="14.4">
      <c r="A11" s="18" t="s">
        <v>812</v>
      </c>
      <c r="B11" s="18" t="s">
        <v>813</v>
      </c>
      <c r="C11" s="18" t="s">
        <v>8</v>
      </c>
      <c r="D11" s="19" t="str">
        <f ca="1">IFERROR(__xludf.DUMMYFUNCTION("GOOGLETRANSLATE(A11, ""ar"", ""en"")"),"Jinn")</f>
        <v>Jinn</v>
      </c>
      <c r="E11" s="19" t="str">
        <f ca="1">IFERROR(__xludf.DUMMYFUNCTION("GOOGLETRANSLATE(B11,""ar"",""en"")"),"Eloquent")</f>
        <v>Eloquent</v>
      </c>
      <c r="F11" s="19" t="str">
        <f ca="1">IFERROR(__xludf.DUMMYFUNCTION("GOOGLETRANSLATE(C11,""ar"",""en"")"),"-")</f>
        <v>-</v>
      </c>
      <c r="G11" t="e">
        <f ca="1">VLOOKUP(F:F,matching_transelated_with_ref!A:C,2,0)</f>
        <v>#N/A</v>
      </c>
      <c r="H11" t="e">
        <f>VLOOKUP(C:C,Sheet4!A:C,2,0)</f>
        <v>#N/A</v>
      </c>
    </row>
    <row r="12" spans="1:8" ht="14.4">
      <c r="A12" s="18" t="s">
        <v>125</v>
      </c>
      <c r="B12" s="18" t="s">
        <v>125</v>
      </c>
      <c r="C12" s="18" t="s">
        <v>126</v>
      </c>
      <c r="D12" s="19" t="str">
        <f ca="1">IFERROR(__xludf.DUMMYFUNCTION("GOOGLETRANSLATE(A12, ""ar"", ""en"")"),"Alpha Romeo")</f>
        <v>Alpha Romeo</v>
      </c>
      <c r="E12" s="19" t="str">
        <f ca="1">IFERROR(__xludf.DUMMYFUNCTION("GOOGLETRANSLATE(B12,""ar"",""en"")"),"Alpha Romeo")</f>
        <v>Alpha Romeo</v>
      </c>
      <c r="F12" s="19" t="str">
        <f ca="1">IFERROR(__xludf.DUMMYFUNCTION("GOOGLETRANSLATE(C12,""ar"",""en"")"),"Julia")</f>
        <v>Julia</v>
      </c>
      <c r="G12" t="e">
        <f ca="1">VLOOKUP(F:F,matching_transelated_with_ref!A:C,2,0)</f>
        <v>#N/A</v>
      </c>
      <c r="H12" t="str">
        <f>VLOOKUP(C:C,Sheet4!A:C,2,0)</f>
        <v>جوليا 6V</v>
      </c>
    </row>
    <row r="13" spans="1:8" ht="14.4">
      <c r="A13" s="18" t="s">
        <v>814</v>
      </c>
      <c r="B13" s="18" t="s">
        <v>814</v>
      </c>
      <c r="C13" s="18" t="s">
        <v>815</v>
      </c>
      <c r="D13" s="19" t="str">
        <f ca="1">IFERROR(__xludf.DUMMYFUNCTION("GOOGLETRANSLATE(A13, ""ar"", ""en"")"),"MCV")</f>
        <v>MCV</v>
      </c>
      <c r="E13" s="19" t="str">
        <f ca="1">IFERROR(__xludf.DUMMYFUNCTION("GOOGLETRANSLATE(B13,""ar"",""en"")"),"MCV")</f>
        <v>MCV</v>
      </c>
      <c r="F13" s="19" t="str">
        <f ca="1">IFERROR(__xludf.DUMMYFUNCTION("GOOGLETRANSLATE(C13,""ar"",""en"")"),"400 Mercedes Benz 2 x 4")</f>
        <v>400 Mercedes Benz 2 x 4</v>
      </c>
      <c r="G13" t="e">
        <f ca="1">VLOOKUP(F:F,matching_transelated_with_ref!A:C,2,0)</f>
        <v>#N/A</v>
      </c>
      <c r="H13" t="e">
        <f>VLOOKUP(C:C,Sheet4!A:C,2,0)</f>
        <v>#N/A</v>
      </c>
    </row>
    <row r="14" spans="1:8" ht="14.4">
      <c r="A14" s="18" t="s">
        <v>1033</v>
      </c>
      <c r="B14" s="18" t="s">
        <v>1033</v>
      </c>
      <c r="C14" s="18" t="s">
        <v>1034</v>
      </c>
      <c r="D14" s="19" t="str">
        <f ca="1">IFERROR(__xludf.DUMMYFUNCTION("GOOGLETRANSLATE(A14, ""ar"", ""en"")"),"Indian")</f>
        <v>Indian</v>
      </c>
      <c r="E14" s="19" t="str">
        <f ca="1">IFERROR(__xludf.DUMMYFUNCTION("GOOGLETRANSLATE(B14,""ar"",""en"")"),"Indian")</f>
        <v>Indian</v>
      </c>
      <c r="F14" s="19" t="str">
        <f ca="1">IFERROR(__xludf.DUMMYFUNCTION("GOOGLETRANSLATE(C14,""ar"",""en"")"),"Skyot")</f>
        <v>Skyot</v>
      </c>
      <c r="G14" t="e">
        <f ca="1">VLOOKUP(F:F,matching_transelated_with_ref!A:C,2,0)</f>
        <v>#N/A</v>
      </c>
      <c r="H14" t="e">
        <f>VLOOKUP(C:C,Sheet4!A:C,2,0)</f>
        <v>#N/A</v>
      </c>
    </row>
    <row r="15" spans="1:8" ht="14.4">
      <c r="A15" s="18" t="s">
        <v>1035</v>
      </c>
      <c r="B15" s="18" t="s">
        <v>1036</v>
      </c>
      <c r="C15" s="18" t="s">
        <v>1037</v>
      </c>
      <c r="D15" s="19" t="str">
        <f ca="1">IFERROR(__xludf.DUMMYFUNCTION("GOOGLETRANSLATE(A15, ""ar"", ""en"")"),"Hawwi Hyaling Ato Mb")</f>
        <v>Hawwi Hyaling Ato Mb</v>
      </c>
      <c r="E15" s="19" t="str">
        <f ca="1">IFERROR(__xludf.DUMMYFUNCTION("GOOGLETRANSLATE(B15,""ar"",""en"")"),"Jack")</f>
        <v>Jack</v>
      </c>
      <c r="F15" s="19" t="str">
        <f ca="1">IFERROR(__xludf.DUMMYFUNCTION("GOOGLETRANSLATE(C15,""ar"",""en"")"),"Sris LE 645")</f>
        <v>Sris LE 645</v>
      </c>
      <c r="G15" t="e">
        <f ca="1">VLOOKUP(F:F,matching_transelated_with_ref!A:C,2,0)</f>
        <v>#N/A</v>
      </c>
      <c r="H15" t="e">
        <f>VLOOKUP(C:C,Sheet4!A:C,2,0)</f>
        <v>#N/A</v>
      </c>
    </row>
    <row r="16" spans="1:8" ht="14.4">
      <c r="A16" s="18" t="s">
        <v>1035</v>
      </c>
      <c r="B16" s="18" t="s">
        <v>1036</v>
      </c>
      <c r="C16" s="18" t="s">
        <v>1038</v>
      </c>
      <c r="D16" s="19" t="str">
        <f ca="1">IFERROR(__xludf.DUMMYFUNCTION("GOOGLETRANSLATE(A16, ""ar"", ""en"")"),"Hawwi Hyaling Ato Mb")</f>
        <v>Hawwi Hyaling Ato Mb</v>
      </c>
      <c r="E16" s="19" t="str">
        <f ca="1">IFERROR(__xludf.DUMMYFUNCTION("GOOGLETRANSLATE(B16,""ar"",""en"")"),"Jack")</f>
        <v>Jack</v>
      </c>
      <c r="F16" s="19" t="str">
        <f ca="1">IFERROR(__xludf.DUMMYFUNCTION("GOOGLETRANSLATE(C16,""ar"",""en"")"),"Sris LD 123")</f>
        <v>Sris LD 123</v>
      </c>
      <c r="G16" t="e">
        <f ca="1">VLOOKUP(F:F,matching_transelated_with_ref!A:C,2,0)</f>
        <v>#N/A</v>
      </c>
      <c r="H16" t="e">
        <f>VLOOKUP(C:C,Sheet4!A:C,2,0)</f>
        <v>#N/A</v>
      </c>
    </row>
    <row r="17" spans="1:8" ht="14.4">
      <c r="A17" s="18" t="s">
        <v>7</v>
      </c>
      <c r="B17" s="18" t="s">
        <v>69</v>
      </c>
      <c r="C17" s="18" t="s">
        <v>1048</v>
      </c>
      <c r="D17" s="19" t="str">
        <f ca="1">IFERROR(__xludf.DUMMYFUNCTION("GOOGLETRANSLATE(A17, ""ar"", ""en"")"),"Isuzu")</f>
        <v>Isuzu</v>
      </c>
      <c r="E17" s="19" t="str">
        <f ca="1">IFERROR(__xludf.DUMMYFUNCTION("GOOGLETRANSLATE(B17,""ar"",""en"")"),"a truck")</f>
        <v>a truck</v>
      </c>
      <c r="F17" s="19" t="str">
        <f ca="1">IFERROR(__xludf.DUMMYFUNCTION("GOOGLETRANSLATE(C17,""ar"",""en"")"),"C Way Z 51 Q.")</f>
        <v>C Way Z 51 Q.</v>
      </c>
      <c r="G17" t="e">
        <f ca="1">VLOOKUP(F:F,matching_transelated_with_ref!A:C,2,0)</f>
        <v>#N/A</v>
      </c>
      <c r="H17" t="e">
        <f>VLOOKUP(C:C,Sheet4!A:C,2,0)</f>
        <v>#N/A</v>
      </c>
    </row>
    <row r="18" spans="1:8" ht="14.4">
      <c r="A18" s="18" t="s">
        <v>7</v>
      </c>
      <c r="B18" s="18" t="s">
        <v>7</v>
      </c>
      <c r="C18" s="18" t="s">
        <v>573</v>
      </c>
      <c r="D18" s="19" t="str">
        <f ca="1">IFERROR(__xludf.DUMMYFUNCTION("GOOGLETRANSLATE(A18, ""ar"", ""en"")"),"Isuzu")</f>
        <v>Isuzu</v>
      </c>
      <c r="E18" s="19" t="str">
        <f ca="1">IFERROR(__xludf.DUMMYFUNCTION("GOOGLETRANSLATE(B18,""ar"",""en"")"),"Isuzu")</f>
        <v>Isuzu</v>
      </c>
      <c r="F18" s="19" t="str">
        <f ca="1">IFERROR(__xludf.DUMMYFUNCTION("GOOGLETRANSLATE(C18,""ar"",""en"")"),"C Way Z 51 Q.")</f>
        <v>C Way Z 51 Q.</v>
      </c>
      <c r="G18" t="e">
        <f ca="1">VLOOKUP(F:F,matching_transelated_with_ref!A:C,2,0)</f>
        <v>#N/A</v>
      </c>
      <c r="H18" t="e">
        <f>VLOOKUP(C:C,Sheet4!A:C,2,0)</f>
        <v>#N/A</v>
      </c>
    </row>
    <row r="19" spans="1:8" ht="14.4">
      <c r="A19" s="18" t="s">
        <v>7</v>
      </c>
      <c r="B19" s="18" t="s">
        <v>69</v>
      </c>
      <c r="C19" s="18" t="s">
        <v>1047</v>
      </c>
      <c r="D19" s="19" t="str">
        <f ca="1">IFERROR(__xludf.DUMMYFUNCTION("GOOGLETRANSLATE(A19, ""ar"", ""en"")"),"Isuzu")</f>
        <v>Isuzu</v>
      </c>
      <c r="E19" s="19" t="str">
        <f ca="1">IFERROR(__xludf.DUMMYFUNCTION("GOOGLETRANSLATE(B19,""ar"",""en"")"),"a truck")</f>
        <v>a truck</v>
      </c>
      <c r="F19" s="19" t="str">
        <f ca="1">IFERROR(__xludf.DUMMYFUNCTION("GOOGLETRANSLATE(C19,""ar"",""en"")"),"C Wi -Z 51 h")</f>
        <v>C Wi -Z 51 h</v>
      </c>
      <c r="G19" t="e">
        <f ca="1">VLOOKUP(F:F,matching_transelated_with_ref!A:C,2,0)</f>
        <v>#N/A</v>
      </c>
      <c r="H19" t="e">
        <f>VLOOKUP(C:C,Sheet4!A:C,2,0)</f>
        <v>#N/A</v>
      </c>
    </row>
    <row r="20" spans="1:8" ht="14.4">
      <c r="A20" s="18" t="s">
        <v>7</v>
      </c>
      <c r="B20" s="18" t="s">
        <v>7</v>
      </c>
      <c r="C20" s="18" t="s">
        <v>831</v>
      </c>
      <c r="D20" s="19" t="str">
        <f ca="1">IFERROR(__xludf.DUMMYFUNCTION("GOOGLETRANSLATE(A20, ""ar"", ""en"")"),"Isuzu")</f>
        <v>Isuzu</v>
      </c>
      <c r="E20" s="19" t="str">
        <f ca="1">IFERROR(__xludf.DUMMYFUNCTION("GOOGLETRANSLATE(B20,""ar"",""en"")"),"Isuzu")</f>
        <v>Isuzu</v>
      </c>
      <c r="F20" s="19" t="str">
        <f ca="1">IFERROR(__xludf.DUMMYFUNCTION("GOOGLETRANSLATE(C20,""ar"",""en"")"),"CIS 51B")</f>
        <v>CIS 51B</v>
      </c>
      <c r="G20" t="e">
        <f ca="1">VLOOKUP(F:F,matching_transelated_with_ref!A:C,2,0)</f>
        <v>#N/A</v>
      </c>
      <c r="H20" t="e">
        <f>VLOOKUP(C:C,Sheet4!A:C,2,0)</f>
        <v>#N/A</v>
      </c>
    </row>
    <row r="21" spans="1:8" ht="14.4">
      <c r="A21" s="18" t="s">
        <v>7</v>
      </c>
      <c r="B21" s="18" t="s">
        <v>8</v>
      </c>
      <c r="C21" s="18" t="s">
        <v>15</v>
      </c>
      <c r="D21" s="19" t="str">
        <f ca="1">IFERROR(__xludf.DUMMYFUNCTION("GOOGLETRANSLATE(A21, ""ar"", ""en"")"),"Isuzu")</f>
        <v>Isuzu</v>
      </c>
      <c r="E21" s="19" t="str">
        <f ca="1">IFERROR(__xludf.DUMMYFUNCTION("GOOGLETRANSLATE(B21,""ar"",""en"")"),"-")</f>
        <v>-</v>
      </c>
      <c r="F21" s="19" t="str">
        <f ca="1">IFERROR(__xludf.DUMMYFUNCTION("GOOGLETRANSLATE(C21,""ar"",""en"")"),"CIS 51B - 07")</f>
        <v>CIS 51B - 07</v>
      </c>
      <c r="G21" t="e">
        <f ca="1">VLOOKUP(F:F,matching_transelated_with_ref!A:C,2,0)</f>
        <v>#N/A</v>
      </c>
      <c r="H21" t="e">
        <f>VLOOKUP(C:C,Sheet4!A:C,2,0)</f>
        <v>#N/A</v>
      </c>
    </row>
    <row r="22" spans="1:8" ht="14.4">
      <c r="A22" s="18" t="s">
        <v>7</v>
      </c>
      <c r="B22" s="18" t="s">
        <v>69</v>
      </c>
      <c r="C22" s="18" t="s">
        <v>831</v>
      </c>
      <c r="D22" s="19" t="str">
        <f ca="1">IFERROR(__xludf.DUMMYFUNCTION("GOOGLETRANSLATE(A22, ""ar"", ""en"")"),"Isuzu")</f>
        <v>Isuzu</v>
      </c>
      <c r="E22" s="19" t="str">
        <f ca="1">IFERROR(__xludf.DUMMYFUNCTION("GOOGLETRANSLATE(B22,""ar"",""en"")"),"a truck")</f>
        <v>a truck</v>
      </c>
      <c r="F22" s="19" t="str">
        <f ca="1">IFERROR(__xludf.DUMMYFUNCTION("GOOGLETRANSLATE(C22,""ar"",""en"")"),"CIS 51B")</f>
        <v>CIS 51B</v>
      </c>
      <c r="G22" t="e">
        <f ca="1">VLOOKUP(F:F,matching_transelated_with_ref!A:C,2,0)</f>
        <v>#N/A</v>
      </c>
      <c r="H22" t="e">
        <f>VLOOKUP(C:C,Sheet4!A:C,2,0)</f>
        <v>#N/A</v>
      </c>
    </row>
    <row r="23" spans="1:8" ht="14.4">
      <c r="A23" s="18" t="s">
        <v>7</v>
      </c>
      <c r="B23" s="18" t="s">
        <v>7</v>
      </c>
      <c r="C23" s="18" t="s">
        <v>1283</v>
      </c>
      <c r="D23" s="19" t="str">
        <f ca="1">IFERROR(__xludf.DUMMYFUNCTION("GOOGLETRANSLATE(A23, ""ar"", ""en"")"),"Isuzu")</f>
        <v>Isuzu</v>
      </c>
      <c r="E23" s="19" t="str">
        <f ca="1">IFERROR(__xludf.DUMMYFUNCTION("GOOGLETRANSLATE(B23,""ar"",""en"")"),"Isuzu")</f>
        <v>Isuzu</v>
      </c>
      <c r="F23" s="19" t="str">
        <f ca="1">IFERROR(__xludf.DUMMYFUNCTION("GOOGLETRANSLATE(C23,""ar"",""en"")"),"MUX 3 liter 4 x 4")</f>
        <v>MUX 3 liter 4 x 4</v>
      </c>
      <c r="G23" t="e">
        <f ca="1">VLOOKUP(F:F,matching_transelated_with_ref!A:C,2,0)</f>
        <v>#N/A</v>
      </c>
      <c r="H23">
        <f>VLOOKUP(C:C,Sheet4!A:C,2,0)</f>
        <v>3</v>
      </c>
    </row>
    <row r="24" spans="1:8" ht="14.4">
      <c r="A24" s="18" t="s">
        <v>7</v>
      </c>
      <c r="B24" s="18" t="s">
        <v>7</v>
      </c>
      <c r="C24" s="18" t="s">
        <v>146</v>
      </c>
      <c r="D24" s="19" t="str">
        <f ca="1">IFERROR(__xludf.DUMMYFUNCTION("GOOGLETRANSLATE(A24, ""ar"", ""en"")"),"Isuzu")</f>
        <v>Isuzu</v>
      </c>
      <c r="E24" s="19" t="str">
        <f ca="1">IFERROR(__xludf.DUMMYFUNCTION("GOOGLETRANSLATE(B24,""ar"",""en"")"),"Isuzu")</f>
        <v>Isuzu</v>
      </c>
      <c r="F24" s="19" t="str">
        <f ca="1">IFERROR(__xludf.DUMMYFUNCTION("GOOGLETRANSLATE(C24,""ar"",""en"")"),"The QR 90 The 4*2")</f>
        <v>The QR 90 The 4*2</v>
      </c>
      <c r="G24" t="e">
        <f ca="1">VLOOKUP(F:F,matching_transelated_with_ref!A:C,2,0)</f>
        <v>#N/A</v>
      </c>
      <c r="H24">
        <f>VLOOKUP(C:C,Sheet4!A:C,2,0)</f>
        <v>2</v>
      </c>
    </row>
    <row r="25" spans="1:8" ht="14.4">
      <c r="A25" s="18" t="s">
        <v>7</v>
      </c>
      <c r="B25" s="18" t="s">
        <v>69</v>
      </c>
      <c r="C25" s="18" t="s">
        <v>1294</v>
      </c>
      <c r="D25" s="19" t="str">
        <f ca="1">IFERROR(__xludf.DUMMYFUNCTION("GOOGLETRANSLATE(A25, ""ar"", ""en"")"),"Isuzu")</f>
        <v>Isuzu</v>
      </c>
      <c r="E25" s="19" t="str">
        <f ca="1">IFERROR(__xludf.DUMMYFUNCTION("GOOGLETRANSLATE(B25,""ar"",""en"")"),"a truck")</f>
        <v>a truck</v>
      </c>
      <c r="F25" s="19" t="str">
        <f ca="1">IFERROR(__xludf.DUMMYFUNCTION("GOOGLETRANSLATE(C25,""ar"",""en"")"),"The QR 90 th")</f>
        <v>The QR 90 th</v>
      </c>
      <c r="G25" t="e">
        <f ca="1">VLOOKUP(F:F,matching_transelated_with_ref!A:C,2,0)</f>
        <v>#N/A</v>
      </c>
      <c r="H25" t="e">
        <f>VLOOKUP(C:C,Sheet4!A:C,2,0)</f>
        <v>#N/A</v>
      </c>
    </row>
    <row r="26" spans="1:8" ht="14.4">
      <c r="A26" s="18" t="s">
        <v>7</v>
      </c>
      <c r="B26" s="18" t="s">
        <v>7</v>
      </c>
      <c r="C26" s="18" t="s">
        <v>1045</v>
      </c>
      <c r="D26" s="19" t="str">
        <f ca="1">IFERROR(__xludf.DUMMYFUNCTION("GOOGLETRANSLATE(A26, ""ar"", ""en"")"),"Isuzu")</f>
        <v>Isuzu</v>
      </c>
      <c r="E26" s="19" t="str">
        <f ca="1">IFERROR(__xludf.DUMMYFUNCTION("GOOGLETRANSLATE(B26,""ar"",""en"")"),"Isuzu")</f>
        <v>Isuzu</v>
      </c>
      <c r="F26" s="19" t="str">
        <f ca="1">IFERROR(__xludf.DUMMYFUNCTION("GOOGLETRANSLATE(C26,""ar"",""en"")"),"Dax 3 liter 4 x 4 Utuma")</f>
        <v>Dax 3 liter 4 x 4 Utuma</v>
      </c>
      <c r="G26" t="e">
        <f ca="1">VLOOKUP(F:F,matching_transelated_with_ref!A:C,2,0)</f>
        <v>#N/A</v>
      </c>
      <c r="H26">
        <f>VLOOKUP(C:C,Sheet4!A:C,2,0)</f>
        <v>3</v>
      </c>
    </row>
    <row r="27" spans="1:8" ht="14.4">
      <c r="A27" s="18" t="s">
        <v>7</v>
      </c>
      <c r="B27" s="18" t="s">
        <v>7</v>
      </c>
      <c r="C27" s="18" t="s">
        <v>142</v>
      </c>
      <c r="D27" s="19" t="str">
        <f ca="1">IFERROR(__xludf.DUMMYFUNCTION("GOOGLETRANSLATE(A27, ""ar"", ""en"")"),"Isuzu")</f>
        <v>Isuzu</v>
      </c>
      <c r="E27" s="19" t="str">
        <f ca="1">IFERROR(__xludf.DUMMYFUNCTION("GOOGLETRANSLATE(B27,""ar"",""en"")"),"Isuzu")</f>
        <v>Isuzu</v>
      </c>
      <c r="F27" s="19" t="str">
        <f ca="1">IFERROR(__xludf.DUMMYFUNCTION("GOOGLETRANSLATE(C27,""ar"",""en"")"),"MU -X -4*4")</f>
        <v>MU -X -4*4</v>
      </c>
      <c r="G27" t="e">
        <f ca="1">VLOOKUP(F:F,matching_transelated_with_ref!A:C,2,0)</f>
        <v>#N/A</v>
      </c>
      <c r="H27" t="e">
        <f>VLOOKUP(C:C,Sheet4!A:C,2,0)</f>
        <v>#N/A</v>
      </c>
    </row>
    <row r="28" spans="1:8" ht="14.4">
      <c r="A28" s="18" t="s">
        <v>7</v>
      </c>
      <c r="B28" s="18" t="s">
        <v>8</v>
      </c>
      <c r="C28" s="18" t="s">
        <v>140</v>
      </c>
      <c r="D28" s="19" t="str">
        <f ca="1">IFERROR(__xludf.DUMMYFUNCTION("GOOGLETRANSLATE(A28, ""ar"", ""en"")"),"Isuzu")</f>
        <v>Isuzu</v>
      </c>
      <c r="E28" s="19" t="str">
        <f ca="1">IFERROR(__xludf.DUMMYFUNCTION("GOOGLETRANSLATE(B28,""ar"",""en"")"),"-")</f>
        <v>-</v>
      </c>
      <c r="F28" s="19" t="str">
        <f ca="1">IFERROR(__xludf.DUMMYFUNCTION("GOOGLETRANSLATE(C28,""ar"",""en"")"),"MUX -Double - Diesel")</f>
        <v>MUX -Double - Diesel</v>
      </c>
      <c r="G28" t="str">
        <f ca="1">VLOOKUP(F:F,matching_transelated_with_ref!A:C,2,0)</f>
        <v xml:space="preserve"> MUX</v>
      </c>
      <c r="H28" t="e">
        <f>VLOOKUP(C:C,Sheet4!A:C,2,0)</f>
        <v>#N/A</v>
      </c>
    </row>
    <row r="29" spans="1:8" ht="14.4">
      <c r="A29" s="18" t="s">
        <v>7</v>
      </c>
      <c r="B29" s="18" t="s">
        <v>8</v>
      </c>
      <c r="C29" s="18" t="s">
        <v>12</v>
      </c>
      <c r="D29" s="19" t="str">
        <f ca="1">IFERROR(__xludf.DUMMYFUNCTION("GOOGLETRANSLATE(A29, ""ar"", ""en"")"),"Isuzu")</f>
        <v>Isuzu</v>
      </c>
      <c r="E29" s="19" t="str">
        <f ca="1">IFERROR(__xludf.DUMMYFUNCTION("GOOGLETRANSLATE(B29,""ar"",""en"")"),"-")</f>
        <v>-</v>
      </c>
      <c r="F29" s="19" t="str">
        <f ca="1">IFERROR(__xludf.DUMMYFUNCTION("GOOGLETRANSLATE(C29,""ar"",""en"")"),"The 24 24")</f>
        <v>The 24 24</v>
      </c>
      <c r="G29" t="e">
        <f ca="1">VLOOKUP(F:F,matching_transelated_with_ref!A:C,2,0)</f>
        <v>#N/A</v>
      </c>
      <c r="H29" t="e">
        <f>VLOOKUP(C:C,Sheet4!A:C,2,0)</f>
        <v>#N/A</v>
      </c>
    </row>
    <row r="30" spans="1:8" ht="14.4">
      <c r="A30" s="18" t="s">
        <v>7</v>
      </c>
      <c r="B30" s="18" t="s">
        <v>7</v>
      </c>
      <c r="C30" s="18" t="s">
        <v>1289</v>
      </c>
      <c r="D30" s="19" t="str">
        <f ca="1">IFERROR(__xludf.DUMMYFUNCTION("GOOGLETRANSLATE(A30, ""ar"", ""en"")"),"Isuzu")</f>
        <v>Isuzu</v>
      </c>
      <c r="E30" s="19" t="str">
        <f ca="1">IFERROR(__xludf.DUMMYFUNCTION("GOOGLETRANSLATE(B30,""ar"",""en"")"),"Isuzu")</f>
        <v>Isuzu</v>
      </c>
      <c r="F30" s="19" t="str">
        <f ca="1">IFERROR(__xludf.DUMMYFUNCTION("GOOGLETRANSLATE(C30,""ar"",""en"")"),"De Max 3 liter 4 x 4 normal")</f>
        <v>De Max 3 liter 4 x 4 normal</v>
      </c>
      <c r="G30" t="e">
        <f ca="1">VLOOKUP(F:F,matching_transelated_with_ref!A:C,2,0)</f>
        <v>#N/A</v>
      </c>
      <c r="H30">
        <f>VLOOKUP(C:C,Sheet4!A:C,2,0)</f>
        <v>3</v>
      </c>
    </row>
    <row r="31" spans="1:8" ht="14.4">
      <c r="A31" s="18" t="s">
        <v>7</v>
      </c>
      <c r="B31" s="18" t="s">
        <v>820</v>
      </c>
      <c r="C31" s="18" t="s">
        <v>821</v>
      </c>
      <c r="D31" s="19" t="str">
        <f ca="1">IFERROR(__xludf.DUMMYFUNCTION("GOOGLETRANSLATE(A31, ""ar"", ""en"")"),"Isuzu")</f>
        <v>Isuzu</v>
      </c>
      <c r="E31" s="19" t="str">
        <f ca="1">IFERROR(__xludf.DUMMYFUNCTION("GOOGLETRANSLATE(B31,""ar"",""en"")"),"The QR")</f>
        <v>The QR</v>
      </c>
      <c r="F31" s="19" t="str">
        <f ca="1">IFERROR(__xludf.DUMMYFUNCTION("GOOGLETRANSLATE(C31,""ar"",""en"")"),"Half a diesel transfer")</f>
        <v>Half a diesel transfer</v>
      </c>
      <c r="G31" t="e">
        <f ca="1">VLOOKUP(F:F,matching_transelated_with_ref!A:C,2,0)</f>
        <v>#N/A</v>
      </c>
      <c r="H31" t="e">
        <f>VLOOKUP(C:C,Sheet4!A:C,2,0)</f>
        <v>#N/A</v>
      </c>
    </row>
    <row r="32" spans="1:8" ht="14.4">
      <c r="A32" s="18" t="s">
        <v>7</v>
      </c>
      <c r="B32" s="18" t="s">
        <v>69</v>
      </c>
      <c r="C32" s="18" t="s">
        <v>1293</v>
      </c>
      <c r="D32" s="19" t="str">
        <f ca="1">IFERROR(__xludf.DUMMYFUNCTION("GOOGLETRANSLATE(A32, ""ar"", ""en"")"),"Isuzu")</f>
        <v>Isuzu</v>
      </c>
      <c r="E32" s="19" t="str">
        <f ca="1">IFERROR(__xludf.DUMMYFUNCTION("GOOGLETRANSLATE(B32,""ar"",""en"")"),"a truck")</f>
        <v>a truck</v>
      </c>
      <c r="F32" s="19" t="str">
        <f ca="1">IFERROR(__xludf.DUMMYFUNCTION("GOOGLETRANSLATE(C32,""ar"",""en"")"),"The Q75 th 75")</f>
        <v>The Q75 th 75</v>
      </c>
      <c r="G32" t="e">
        <f ca="1">VLOOKUP(F:F,matching_transelated_with_ref!A:C,2,0)</f>
        <v>#N/A</v>
      </c>
      <c r="H32" t="e">
        <f>VLOOKUP(C:C,Sheet4!A:C,2,0)</f>
        <v>#N/A</v>
      </c>
    </row>
    <row r="33" spans="1:8" ht="14.4">
      <c r="A33" s="18" t="s">
        <v>7</v>
      </c>
      <c r="B33" s="18" t="s">
        <v>7</v>
      </c>
      <c r="C33" s="18" t="s">
        <v>19</v>
      </c>
      <c r="D33" s="19" t="str">
        <f ca="1">IFERROR(__xludf.DUMMYFUNCTION("GOOGLETRANSLATE(A33, ""ar"", ""en"")"),"Isuzu")</f>
        <v>Isuzu</v>
      </c>
      <c r="E33" s="19" t="str">
        <f ca="1">IFERROR(__xludf.DUMMYFUNCTION("GOOGLETRANSLATE(B33,""ar"",""en"")"),"Isuzu")</f>
        <v>Isuzu</v>
      </c>
      <c r="F33" s="19" t="str">
        <f ca="1">IFERROR(__xludf.DUMMYFUNCTION("GOOGLETRANSLATE(C33,""ar"",""en"")"),"De Max 4*4")</f>
        <v>De Max 4*4</v>
      </c>
      <c r="G33" t="e">
        <f ca="1">VLOOKUP(F:F,matching_transelated_with_ref!A:C,2,0)</f>
        <v>#N/A</v>
      </c>
      <c r="H33" t="e">
        <f>VLOOKUP(C:C,Sheet4!A:C,2,0)</f>
        <v>#N/A</v>
      </c>
    </row>
    <row r="34" spans="1:8" ht="14.4">
      <c r="A34" s="18" t="s">
        <v>7</v>
      </c>
      <c r="B34" s="18" t="s">
        <v>7</v>
      </c>
      <c r="C34" s="18" t="s">
        <v>571</v>
      </c>
      <c r="D34" s="19" t="str">
        <f ca="1">IFERROR(__xludf.DUMMYFUNCTION("GOOGLETRANSLATE(A34, ""ar"", ""en"")"),"Isuzu")</f>
        <v>Isuzu</v>
      </c>
      <c r="E34" s="19" t="str">
        <f ca="1">IFERROR(__xludf.DUMMYFUNCTION("GOOGLETRANSLATE(B34,""ar"",""en"")"),"Isuzu")</f>
        <v>Isuzu</v>
      </c>
      <c r="F34" s="19" t="str">
        <f ca="1">IFERROR(__xludf.DUMMYFUNCTION("GOOGLETRANSLATE(C34,""ar"",""en"")"),"De Max 4 x 4 automatic")</f>
        <v>De Max 4 x 4 automatic</v>
      </c>
      <c r="G34" t="e">
        <f ca="1">VLOOKUP(F:F,matching_transelated_with_ref!A:C,2,0)</f>
        <v>#N/A</v>
      </c>
      <c r="H34" t="e">
        <f>VLOOKUP(C:C,Sheet4!A:C,2,0)</f>
        <v>#N/A</v>
      </c>
    </row>
    <row r="35" spans="1:8" ht="14.4">
      <c r="A35" s="18" t="s">
        <v>7</v>
      </c>
      <c r="B35" s="18" t="s">
        <v>7</v>
      </c>
      <c r="C35" s="18" t="s">
        <v>822</v>
      </c>
      <c r="D35" s="19" t="str">
        <f ca="1">IFERROR(__xludf.DUMMYFUNCTION("GOOGLETRANSLATE(A35, ""ar"", ""en"")"),"Isuzu")</f>
        <v>Isuzu</v>
      </c>
      <c r="E35" s="19" t="str">
        <f ca="1">IFERROR(__xludf.DUMMYFUNCTION("GOOGLETRANSLATE(B35,""ar"",""en"")"),"Isuzu")</f>
        <v>Isuzu</v>
      </c>
      <c r="F35" s="19" t="str">
        <f ca="1">IFERROR(__xludf.DUMMYFUNCTION("GOOGLETRANSLATE(C35,""ar"",""en"")"),"MUX 3 liter 4.4")</f>
        <v>MUX 3 liter 4.4</v>
      </c>
      <c r="G35" t="e">
        <f ca="1">VLOOKUP(F:F,matching_transelated_with_ref!A:C,2,0)</f>
        <v>#N/A</v>
      </c>
      <c r="H35" t="e">
        <f>VLOOKUP(C:C,Sheet4!A:C,2,0)</f>
        <v>#N/A</v>
      </c>
    </row>
    <row r="36" spans="1:8" ht="14.4">
      <c r="A36" s="18" t="s">
        <v>7</v>
      </c>
      <c r="B36" s="18" t="s">
        <v>149</v>
      </c>
      <c r="C36" s="18" t="s">
        <v>150</v>
      </c>
      <c r="D36" s="19" t="str">
        <f ca="1">IFERROR(__xludf.DUMMYFUNCTION("GOOGLETRANSLATE(A36, ""ar"", ""en"")"),"Isuzu")</f>
        <v>Isuzu</v>
      </c>
      <c r="E36" s="19" t="str">
        <f ca="1">IFERROR(__xludf.DUMMYFUNCTION("GOOGLETRANSLATE(B36,""ar"",""en"")"),"Rodio")</f>
        <v>Rodio</v>
      </c>
      <c r="F36" s="19" t="str">
        <f ca="1">IFERROR(__xludf.DUMMYFUNCTION("GOOGLETRANSLATE(C36,""ar"",""en"")"),"NPR 75 C-4 x 2")</f>
        <v>NPR 75 C-4 x 2</v>
      </c>
      <c r="G36" t="e">
        <f ca="1">VLOOKUP(F:F,matching_transelated_with_ref!A:C,2,0)</f>
        <v>#N/A</v>
      </c>
      <c r="H36" t="e">
        <f>VLOOKUP(C:C,Sheet4!A:C,2,0)</f>
        <v>#N/A</v>
      </c>
    </row>
    <row r="37" spans="1:8" ht="14.4">
      <c r="A37" s="18" t="s">
        <v>7</v>
      </c>
      <c r="B37" s="18" t="s">
        <v>7</v>
      </c>
      <c r="C37" s="18" t="s">
        <v>829</v>
      </c>
      <c r="D37" s="19" t="str">
        <f ca="1">IFERROR(__xludf.DUMMYFUNCTION("GOOGLETRANSLATE(A37, ""ar"", ""en"")"),"Isuzu")</f>
        <v>Isuzu</v>
      </c>
      <c r="E37" s="19" t="str">
        <f ca="1">IFERROR(__xludf.DUMMYFUNCTION("GOOGLETRANSLATE(B37,""ar"",""en"")"),"Isuzu")</f>
        <v>Isuzu</v>
      </c>
      <c r="F37" s="19" t="str">
        <f ca="1">IFERROR(__xludf.DUMMYFUNCTION("GOOGLETRANSLATE(C37,""ar"",""en"")"),"De Max 4 x 4")</f>
        <v>De Max 4 x 4</v>
      </c>
      <c r="G37" t="e">
        <f ca="1">VLOOKUP(F:F,matching_transelated_with_ref!A:C,2,0)</f>
        <v>#N/A</v>
      </c>
      <c r="H37" t="e">
        <f>VLOOKUP(C:C,Sheet4!A:C,2,0)</f>
        <v>#N/A</v>
      </c>
    </row>
    <row r="38" spans="1:8" ht="14.4">
      <c r="A38" s="18" t="s">
        <v>7</v>
      </c>
      <c r="B38" s="18" t="s">
        <v>7</v>
      </c>
      <c r="C38" s="18" t="s">
        <v>1288</v>
      </c>
      <c r="D38" s="19" t="str">
        <f ca="1">IFERROR(__xludf.DUMMYFUNCTION("GOOGLETRANSLATE(A38, ""ar"", ""en"")"),"Isuzu")</f>
        <v>Isuzu</v>
      </c>
      <c r="E38" s="19" t="str">
        <f ca="1">IFERROR(__xludf.DUMMYFUNCTION("GOOGLETRANSLATE(B38,""ar"",""en"")"),"Isuzu")</f>
        <v>Isuzu</v>
      </c>
      <c r="F38" s="19" t="str">
        <f ca="1">IFERROR(__xludf.DUMMYFUNCTION("GOOGLETRANSLATE(C38,""ar"",""en"")"),"Dax 3 liter 2 x 4 GMT")</f>
        <v>Dax 3 liter 2 x 4 GMT</v>
      </c>
      <c r="G38" t="e">
        <f ca="1">VLOOKUP(F:F,matching_transelated_with_ref!A:C,2,0)</f>
        <v>#N/A</v>
      </c>
      <c r="H38">
        <f>VLOOKUP(C:C,Sheet4!A:C,2,0)</f>
        <v>3</v>
      </c>
    </row>
    <row r="39" spans="1:8" ht="14.4">
      <c r="A39" s="18" t="s">
        <v>7</v>
      </c>
      <c r="B39" s="18" t="s">
        <v>7</v>
      </c>
      <c r="C39" s="18" t="s">
        <v>145</v>
      </c>
      <c r="D39" s="19" t="str">
        <f ca="1">IFERROR(__xludf.DUMMYFUNCTION("GOOGLETRANSLATE(A39, ""ar"", ""en"")"),"Isuzu")</f>
        <v>Isuzu</v>
      </c>
      <c r="E39" s="19" t="str">
        <f ca="1">IFERROR(__xludf.DUMMYFUNCTION("GOOGLETRANSLATE(B39,""ar"",""en"")"),"Isuzu")</f>
        <v>Isuzu</v>
      </c>
      <c r="F39" s="19" t="str">
        <f ca="1">IFERROR(__xludf.DUMMYFUNCTION("GOOGLETRANSLATE(C39,""ar"",""en"")"),"NPR 75 F-HCD")</f>
        <v>NPR 75 F-HCD</v>
      </c>
      <c r="G39" t="e">
        <f ca="1">VLOOKUP(F:F,matching_transelated_with_ref!A:C,2,0)</f>
        <v>#N/A</v>
      </c>
      <c r="H39" t="e">
        <f>VLOOKUP(C:C,Sheet4!A:C,2,0)</f>
        <v>#N/A</v>
      </c>
    </row>
    <row r="40" spans="1:8" ht="14.4">
      <c r="A40" s="18" t="s">
        <v>7</v>
      </c>
      <c r="B40" s="18" t="s">
        <v>7</v>
      </c>
      <c r="C40" s="18" t="s">
        <v>828</v>
      </c>
      <c r="D40" s="19" t="str">
        <f ca="1">IFERROR(__xludf.DUMMYFUNCTION("GOOGLETRANSLATE(A40, ""ar"", ""en"")"),"Isuzu")</f>
        <v>Isuzu</v>
      </c>
      <c r="E40" s="19" t="str">
        <f ca="1">IFERROR(__xludf.DUMMYFUNCTION("GOOGLETRANSLATE(B40,""ar"",""en"")"),"Isuzu")</f>
        <v>Isuzu</v>
      </c>
      <c r="F40" s="19" t="str">
        <f ca="1">IFERROR(__xludf.DUMMYFUNCTION("GOOGLETRANSLATE(C40,""ar"",""en"")"),"De Max 3 liter 4 x 4")</f>
        <v>De Max 3 liter 4 x 4</v>
      </c>
      <c r="G40" t="e">
        <f ca="1">VLOOKUP(F:F,matching_transelated_with_ref!A:C,2,0)</f>
        <v>#N/A</v>
      </c>
      <c r="H40" t="e">
        <f>VLOOKUP(C:C,Sheet4!A:C,2,0)</f>
        <v>#N/A</v>
      </c>
    </row>
    <row r="41" spans="1:8" ht="14.4">
      <c r="A41" s="18" t="s">
        <v>7</v>
      </c>
      <c r="B41" s="18" t="s">
        <v>7</v>
      </c>
      <c r="C41" s="18" t="s">
        <v>1284</v>
      </c>
      <c r="D41" s="19" t="str">
        <f ca="1">IFERROR(__xludf.DUMMYFUNCTION("GOOGLETRANSLATE(A41, ""ar"", ""en"")"),"Isuzu")</f>
        <v>Isuzu</v>
      </c>
      <c r="E41" s="19" t="str">
        <f ca="1">IFERROR(__xludf.DUMMYFUNCTION("GOOGLETRANSLATE(B41,""ar"",""en"")"),"Isuzu")</f>
        <v>Isuzu</v>
      </c>
      <c r="F41" s="19" t="str">
        <f ca="1">IFERROR(__xludf.DUMMYFUNCTION("GOOGLETRANSLATE(C41,""ar"",""en"")"),"NPR 75 f")</f>
        <v>NPR 75 f</v>
      </c>
      <c r="G41" t="e">
        <f ca="1">VLOOKUP(F:F,matching_transelated_with_ref!A:C,2,0)</f>
        <v>#N/A</v>
      </c>
      <c r="H41" t="e">
        <f>VLOOKUP(C:C,Sheet4!A:C,2,0)</f>
        <v>#N/A</v>
      </c>
    </row>
    <row r="42" spans="1:8" ht="14.4">
      <c r="A42" s="18" t="s">
        <v>7</v>
      </c>
      <c r="B42" s="18" t="s">
        <v>20</v>
      </c>
      <c r="C42" s="18" t="s">
        <v>21</v>
      </c>
      <c r="D42" s="19" t="str">
        <f ca="1">IFERROR(__xludf.DUMMYFUNCTION("GOOGLETRANSLATE(A42, ""ar"", ""en"")"),"Isuzu")</f>
        <v>Isuzu</v>
      </c>
      <c r="E42" s="19" t="str">
        <f ca="1">IFERROR(__xludf.DUMMYFUNCTION("GOOGLETRANSLATE(B42,""ar"",""en"")"),"Dina box")</f>
        <v>Dina box</v>
      </c>
      <c r="F42" s="19" t="str">
        <f ca="1">IFERROR(__xludf.DUMMYFUNCTION("GOOGLETRANSLATE(C42,""ar"",""en"")"),"The Q75 Al Shasseh de")</f>
        <v>The Q75 Al Shasseh de</v>
      </c>
      <c r="G42" t="e">
        <f ca="1">VLOOKUP(F:F,matching_transelated_with_ref!A:C,2,0)</f>
        <v>#N/A</v>
      </c>
      <c r="H42" t="e">
        <f>VLOOKUP(C:C,Sheet4!A:C,2,0)</f>
        <v>#N/A</v>
      </c>
    </row>
    <row r="43" spans="1:8" ht="14.4">
      <c r="A43" s="18" t="s">
        <v>7</v>
      </c>
      <c r="B43" s="18" t="s">
        <v>7</v>
      </c>
      <c r="C43" s="18" t="s">
        <v>143</v>
      </c>
      <c r="D43" s="19" t="str">
        <f ca="1">IFERROR(__xludf.DUMMYFUNCTION("GOOGLETRANSLATE(A43, ""ar"", ""en"")"),"Isuzu")</f>
        <v>Isuzu</v>
      </c>
      <c r="E43" s="19" t="str">
        <f ca="1">IFERROR(__xludf.DUMMYFUNCTION("GOOGLETRANSLATE(B43,""ar"",""en"")"),"Isuzu")</f>
        <v>Isuzu</v>
      </c>
      <c r="F43" s="19" t="str">
        <f ca="1">IFERROR(__xludf.DUMMYFUNCTION("GOOGLETRANSLATE(C43,""ar"",""en"")"),"MU -X -4*2")</f>
        <v>MU -X -4*2</v>
      </c>
      <c r="G43" t="e">
        <f ca="1">VLOOKUP(F:F,matching_transelated_with_ref!A:C,2,0)</f>
        <v>#N/A</v>
      </c>
      <c r="H43" t="e">
        <f>VLOOKUP(C:C,Sheet4!A:C,2,0)</f>
        <v>#N/A</v>
      </c>
    </row>
    <row r="44" spans="1:8" ht="14.4">
      <c r="A44" s="18" t="s">
        <v>7</v>
      </c>
      <c r="B44" s="18" t="s">
        <v>8</v>
      </c>
      <c r="C44" s="18" t="s">
        <v>566</v>
      </c>
      <c r="D44" s="19" t="str">
        <f ca="1">IFERROR(__xludf.DUMMYFUNCTION("GOOGLETRANSLATE(A44, ""ar"", ""en"")"),"Isuzu")</f>
        <v>Isuzu</v>
      </c>
      <c r="E44" s="19" t="str">
        <f ca="1">IFERROR(__xludf.DUMMYFUNCTION("GOOGLETRANSLATE(B44,""ar"",""en"")"),"-")</f>
        <v>-</v>
      </c>
      <c r="F44" s="19" t="str">
        <f ca="1">IFERROR(__xludf.DUMMYFUNCTION("GOOGLETRANSLATE(C44,""ar"",""en"")"),"MUX - Diesel")</f>
        <v>MUX - Diesel</v>
      </c>
      <c r="G44" t="str">
        <f ca="1">VLOOKUP(F:F,matching_transelated_with_ref!A:C,2,0)</f>
        <v xml:space="preserve"> MUX</v>
      </c>
      <c r="H44" t="e">
        <f>VLOOKUP(C:C,Sheet4!A:C,2,0)</f>
        <v>#N/A</v>
      </c>
    </row>
    <row r="45" spans="1:8" ht="14.4">
      <c r="A45" s="18" t="s">
        <v>7</v>
      </c>
      <c r="B45" s="18" t="s">
        <v>7</v>
      </c>
      <c r="C45" s="18" t="s">
        <v>823</v>
      </c>
      <c r="D45" s="19" t="str">
        <f ca="1">IFERROR(__xludf.DUMMYFUNCTION("GOOGLETRANSLATE(A45, ""ar"", ""en"")"),"Isuzu")</f>
        <v>Isuzu</v>
      </c>
      <c r="E45" s="19" t="str">
        <f ca="1">IFERROR(__xludf.DUMMYFUNCTION("GOOGLETRANSLATE(B45,""ar"",""en"")"),"Isuzu")</f>
        <v>Isuzu</v>
      </c>
      <c r="F45" s="19" t="str">
        <f ca="1">IFERROR(__xludf.DUMMYFUNCTION("GOOGLETRANSLATE(C45,""ar"",""en"")"),"MUX 3 liter 4 x 2")</f>
        <v>MUX 3 liter 4 x 2</v>
      </c>
      <c r="G45" t="e">
        <f ca="1">VLOOKUP(F:F,matching_transelated_with_ref!A:C,2,0)</f>
        <v>#N/A</v>
      </c>
      <c r="H45">
        <f>VLOOKUP(C:C,Sheet4!A:C,2,0)</f>
        <v>3</v>
      </c>
    </row>
    <row r="46" spans="1:8" ht="14.4">
      <c r="A46" s="18" t="s">
        <v>7</v>
      </c>
      <c r="B46" s="18" t="s">
        <v>69</v>
      </c>
      <c r="C46" s="18" t="s">
        <v>1290</v>
      </c>
      <c r="D46" s="19" t="str">
        <f ca="1">IFERROR(__xludf.DUMMYFUNCTION("GOOGLETRANSLATE(A46, ""ar"", ""en"")"),"Isuzu")</f>
        <v>Isuzu</v>
      </c>
      <c r="E46" s="19" t="str">
        <f ca="1">IFERROR(__xludf.DUMMYFUNCTION("GOOGLETRANSLATE(B46,""ar"",""en"")"),"a truck")</f>
        <v>a truck</v>
      </c>
      <c r="F46" s="19" t="str">
        <f ca="1">IFERROR(__xludf.DUMMYFUNCTION("GOOGLETRANSLATE(C46,""ar"",""en"")"),"NPR 75 K.")</f>
        <v>NPR 75 K.</v>
      </c>
      <c r="G46" t="e">
        <f ca="1">VLOOKUP(F:F,matching_transelated_with_ref!A:C,2,0)</f>
        <v>#N/A</v>
      </c>
      <c r="H46" t="e">
        <f>VLOOKUP(C:C,Sheet4!A:C,2,0)</f>
        <v>#N/A</v>
      </c>
    </row>
    <row r="47" spans="1:8" ht="14.4">
      <c r="A47" s="18" t="s">
        <v>7</v>
      </c>
      <c r="B47" s="18" t="s">
        <v>7</v>
      </c>
      <c r="C47" s="18" t="s">
        <v>824</v>
      </c>
      <c r="D47" s="19" t="str">
        <f ca="1">IFERROR(__xludf.DUMMYFUNCTION("GOOGLETRANSLATE(A47, ""ar"", ""en"")"),"Isuzu")</f>
        <v>Isuzu</v>
      </c>
      <c r="E47" s="19" t="str">
        <f ca="1">IFERROR(__xludf.DUMMYFUNCTION("GOOGLETRANSLATE(B47,""ar"",""en"")"),"Isuzu")</f>
        <v>Isuzu</v>
      </c>
      <c r="F47" s="19" t="str">
        <f ca="1">IFERROR(__xludf.DUMMYFUNCTION("GOOGLETRANSLATE(C47,""ar"",""en"")"),"NBR 81 H4*2")</f>
        <v>NBR 81 H4*2</v>
      </c>
      <c r="G47" t="e">
        <f ca="1">VLOOKUP(F:F,matching_transelated_with_ref!A:C,2,0)</f>
        <v>#N/A</v>
      </c>
      <c r="H47">
        <f>VLOOKUP(C:C,Sheet4!A:C,2,0)</f>
        <v>2</v>
      </c>
    </row>
    <row r="48" spans="1:8" ht="14.4">
      <c r="A48" s="18" t="s">
        <v>7</v>
      </c>
      <c r="B48" s="18" t="s">
        <v>7</v>
      </c>
      <c r="C48" s="18" t="s">
        <v>1286</v>
      </c>
      <c r="D48" s="19" t="str">
        <f ca="1">IFERROR(__xludf.DUMMYFUNCTION("GOOGLETRANSLATE(A48, ""ar"", ""en"")"),"Isuzu")</f>
        <v>Isuzu</v>
      </c>
      <c r="E48" s="19" t="str">
        <f ca="1">IFERROR(__xludf.DUMMYFUNCTION("GOOGLETRANSLATE(B48,""ar"",""en"")"),"Isuzu")</f>
        <v>Isuzu</v>
      </c>
      <c r="F48" s="19" t="str">
        <f ca="1">IFERROR(__xludf.DUMMYFUNCTION("GOOGLETRANSLATE(C48,""ar"",""en"")"),"De Max 2.5 liter 4*4")</f>
        <v>De Max 2.5 liter 4*4</v>
      </c>
      <c r="G48" t="e">
        <f ca="1">VLOOKUP(F:F,matching_transelated_with_ref!A:C,2,0)</f>
        <v>#N/A</v>
      </c>
      <c r="H48" t="e">
        <f>VLOOKUP(C:C,Sheet4!A:C,2,0)</f>
        <v>#N/A</v>
      </c>
    </row>
    <row r="49" spans="1:8" ht="14.4">
      <c r="A49" s="18" t="s">
        <v>7</v>
      </c>
      <c r="B49" s="18" t="s">
        <v>8</v>
      </c>
      <c r="C49" s="18" t="s">
        <v>14</v>
      </c>
      <c r="D49" s="19" t="str">
        <f ca="1">IFERROR(__xludf.DUMMYFUNCTION("GOOGLETRANSLATE(A49, ""ar"", ""en"")"),"Isuzu")</f>
        <v>Isuzu</v>
      </c>
      <c r="E49" s="19" t="str">
        <f ca="1">IFERROR(__xludf.DUMMYFUNCTION("GOOGLETRANSLATE(B49,""ar"",""en"")"),"-")</f>
        <v>-</v>
      </c>
      <c r="F49" s="19" t="str">
        <f ca="1">IFERROR(__xludf.DUMMYFUNCTION("GOOGLETRANSLATE(C49,""ar"",""en"")"),"Bkb two doubles dubbed")</f>
        <v>Bkb two doubles dubbed</v>
      </c>
      <c r="G49" t="e">
        <f ca="1">VLOOKUP(F:F,matching_transelated_with_ref!A:C,2,0)</f>
        <v>#N/A</v>
      </c>
      <c r="H49" t="e">
        <f>VLOOKUP(C:C,Sheet4!A:C,2,0)</f>
        <v>#N/A</v>
      </c>
    </row>
    <row r="50" spans="1:8" ht="14.4">
      <c r="A50" s="18" t="s">
        <v>7</v>
      </c>
      <c r="B50" s="18" t="s">
        <v>7</v>
      </c>
      <c r="C50" s="18" t="s">
        <v>570</v>
      </c>
      <c r="D50" s="19" t="str">
        <f ca="1">IFERROR(__xludf.DUMMYFUNCTION("GOOGLETRANSLATE(A50, ""ar"", ""en"")"),"Isuzu")</f>
        <v>Isuzu</v>
      </c>
      <c r="E50" s="19" t="str">
        <f ca="1">IFERROR(__xludf.DUMMYFUNCTION("GOOGLETRANSLATE(B50,""ar"",""en"")"),"Isuzu")</f>
        <v>Isuzu</v>
      </c>
      <c r="F50" s="19" t="str">
        <f ca="1">IFERROR(__xludf.DUMMYFUNCTION("GOOGLETRANSLATE(C50,""ar"",""en"")"),"De Max 2.5 liter 4 x 4")</f>
        <v>De Max 2.5 liter 4 x 4</v>
      </c>
      <c r="G50" t="e">
        <f ca="1">VLOOKUP(F:F,matching_transelated_with_ref!A:C,2,0)</f>
        <v>#N/A</v>
      </c>
      <c r="H50">
        <f>VLOOKUP(C:C,Sheet4!A:C,2,0)</f>
        <v>5</v>
      </c>
    </row>
    <row r="51" spans="1:8" ht="14.4">
      <c r="A51" s="18" t="s">
        <v>7</v>
      </c>
      <c r="B51" s="18" t="s">
        <v>69</v>
      </c>
      <c r="C51" s="18" t="s">
        <v>1046</v>
      </c>
      <c r="D51" s="19" t="str">
        <f ca="1">IFERROR(__xludf.DUMMYFUNCTION("GOOGLETRANSLATE(A51, ""ar"", ""en"")"),"Isuzu")</f>
        <v>Isuzu</v>
      </c>
      <c r="E51" s="19" t="str">
        <f ca="1">IFERROR(__xludf.DUMMYFUNCTION("GOOGLETRANSLATE(B51,""ar"",""en"")"),"a truck")</f>
        <v>a truck</v>
      </c>
      <c r="F51" s="19" t="str">
        <f ca="1">IFERROR(__xludf.DUMMYFUNCTION("GOOGLETRANSLATE(C51,""ar"",""en"")"),"The mother of 85 any")</f>
        <v>The mother of 85 any</v>
      </c>
      <c r="G51" t="e">
        <f ca="1">VLOOKUP(F:F,matching_transelated_with_ref!A:C,2,0)</f>
        <v>#N/A</v>
      </c>
      <c r="H51" t="e">
        <f>VLOOKUP(C:C,Sheet4!A:C,2,0)</f>
        <v>#N/A</v>
      </c>
    </row>
    <row r="52" spans="1:8" ht="14.4">
      <c r="A52" s="18" t="s">
        <v>7</v>
      </c>
      <c r="B52" s="18" t="s">
        <v>8</v>
      </c>
      <c r="C52" s="18" t="s">
        <v>17</v>
      </c>
      <c r="D52" s="19" t="str">
        <f ca="1">IFERROR(__xludf.DUMMYFUNCTION("GOOGLETRANSLATE(A52, ""ar"", ""en"")"),"Isuzu")</f>
        <v>Isuzu</v>
      </c>
      <c r="E52" s="19" t="str">
        <f ca="1">IFERROR(__xludf.DUMMYFUNCTION("GOOGLETRANSLATE(B52,""ar"",""en"")"),"-")</f>
        <v>-</v>
      </c>
      <c r="F52" s="19" t="str">
        <f ca="1">IFERROR(__xludf.DUMMYFUNCTION("GOOGLETRANSLATE(C52,""ar"",""en"")"),"Half -transfer")</f>
        <v>Half -transfer</v>
      </c>
      <c r="G52" t="e">
        <f ca="1">VLOOKUP(F:F,matching_transelated_with_ref!A:C,2,0)</f>
        <v>#N/A</v>
      </c>
      <c r="H52" t="e">
        <f>VLOOKUP(C:C,Sheet4!A:C,2,0)</f>
        <v>#N/A</v>
      </c>
    </row>
    <row r="53" spans="1:8" ht="14.4">
      <c r="A53" s="18" t="s">
        <v>7</v>
      </c>
      <c r="B53" s="18" t="s">
        <v>69</v>
      </c>
      <c r="C53" s="18" t="s">
        <v>1292</v>
      </c>
      <c r="D53" s="19" t="str">
        <f ca="1">IFERROR(__xludf.DUMMYFUNCTION("GOOGLETRANSLATE(A53, ""ar"", ""en"")"),"Isuzu")</f>
        <v>Isuzu</v>
      </c>
      <c r="E53" s="19" t="str">
        <f ca="1">IFERROR(__xludf.DUMMYFUNCTION("GOOGLETRANSLATE(B53,""ar"",""en"")"),"a truck")</f>
        <v>a truck</v>
      </c>
      <c r="F53" s="19" t="str">
        <f ca="1">IFERROR(__xludf.DUMMYFUNCTION("GOOGLETRANSLATE(C53,""ar"",""en"")"),"NPR 85 K.")</f>
        <v>NPR 85 K.</v>
      </c>
      <c r="G53" t="e">
        <f ca="1">VLOOKUP(F:F,matching_transelated_with_ref!A:C,2,0)</f>
        <v>#N/A</v>
      </c>
      <c r="H53" t="e">
        <f>VLOOKUP(C:C,Sheet4!A:C,2,0)</f>
        <v>#N/A</v>
      </c>
    </row>
    <row r="54" spans="1:8" ht="14.4">
      <c r="A54" s="18" t="s">
        <v>7</v>
      </c>
      <c r="B54" s="18" t="s">
        <v>7</v>
      </c>
      <c r="C54" s="18" t="s">
        <v>144</v>
      </c>
      <c r="D54" s="19" t="str">
        <f ca="1">IFERROR(__xludf.DUMMYFUNCTION("GOOGLETRANSLATE(A54, ""ar"", ""en"")"),"Isuzu")</f>
        <v>Isuzu</v>
      </c>
      <c r="E54" s="19" t="str">
        <f ca="1">IFERROR(__xludf.DUMMYFUNCTION("GOOGLETRANSLATE(B54,""ar"",""en"")"),"Isuzu")</f>
        <v>Isuzu</v>
      </c>
      <c r="F54" s="19" t="str">
        <f ca="1">IFERROR(__xludf.DUMMYFUNCTION("GOOGLETRANSLATE(C54,""ar"",""en"")"),"The mother of 85, i.4*2")</f>
        <v>The mother of 85, i.4*2</v>
      </c>
      <c r="G54" t="e">
        <f ca="1">VLOOKUP(F:F,matching_transelated_with_ref!A:C,2,0)</f>
        <v>#N/A</v>
      </c>
      <c r="H54">
        <f>VLOOKUP(C:C,Sheet4!A:C,2,0)</f>
        <v>2</v>
      </c>
    </row>
    <row r="55" spans="1:8" ht="14.4">
      <c r="A55" s="18" t="s">
        <v>7</v>
      </c>
      <c r="B55" s="18" t="s">
        <v>69</v>
      </c>
      <c r="C55" s="18" t="s">
        <v>1291</v>
      </c>
      <c r="D55" s="19" t="str">
        <f ca="1">IFERROR(__xludf.DUMMYFUNCTION("GOOGLETRANSLATE(A55, ""ar"", ""en"")"),"Isuzu")</f>
        <v>Isuzu</v>
      </c>
      <c r="E55" s="19" t="str">
        <f ca="1">IFERROR(__xludf.DUMMYFUNCTION("GOOGLETRANSLATE(B55,""ar"",""en"")"),"a truck")</f>
        <v>a truck</v>
      </c>
      <c r="F55" s="19" t="str">
        <f ca="1">IFERROR(__xludf.DUMMYFUNCTION("GOOGLETRANSLATE(C55,""ar"",""en"")"),"NBR 85H")</f>
        <v>NBR 85H</v>
      </c>
      <c r="G55" t="e">
        <f ca="1">VLOOKUP(F:F,matching_transelated_with_ref!A:C,2,0)</f>
        <v>#N/A</v>
      </c>
      <c r="H55" t="e">
        <f>VLOOKUP(C:C,Sheet4!A:C,2,0)</f>
        <v>#N/A</v>
      </c>
    </row>
    <row r="56" spans="1:8" ht="14.4">
      <c r="A56" s="18" t="s">
        <v>7</v>
      </c>
      <c r="B56" s="18" t="s">
        <v>7</v>
      </c>
      <c r="C56" s="18" t="s">
        <v>567</v>
      </c>
      <c r="D56" s="19" t="str">
        <f ca="1">IFERROR(__xludf.DUMMYFUNCTION("GOOGLETRANSLATE(A56, ""ar"", ""en"")"),"Isuzu")</f>
        <v>Isuzu</v>
      </c>
      <c r="E56" s="19" t="str">
        <f ca="1">IFERROR(__xludf.DUMMYFUNCTION("GOOGLETRANSLATE(B56,""ar"",""en"")"),"Isuzu")</f>
        <v>Isuzu</v>
      </c>
      <c r="F56" s="19" t="str">
        <f ca="1">IFERROR(__xludf.DUMMYFUNCTION("GOOGLETRANSLATE(C56,""ar"",""en"")"),"The mother of 85, i.4*2")</f>
        <v>The mother of 85, i.4*2</v>
      </c>
      <c r="G56" t="e">
        <f ca="1">VLOOKUP(F:F,matching_transelated_with_ref!A:C,2,0)</f>
        <v>#N/A</v>
      </c>
      <c r="H56">
        <f>VLOOKUP(C:C,Sheet4!A:C,2,0)</f>
        <v>2</v>
      </c>
    </row>
    <row r="57" spans="1:8" ht="14.4">
      <c r="A57" s="18" t="s">
        <v>7</v>
      </c>
      <c r="B57" s="18" t="s">
        <v>7</v>
      </c>
      <c r="C57" s="18" t="s">
        <v>148</v>
      </c>
      <c r="D57" s="19" t="str">
        <f ca="1">IFERROR(__xludf.DUMMYFUNCTION("GOOGLETRANSLATE(A57, ""ar"", ""en"")"),"Isuzu")</f>
        <v>Isuzu</v>
      </c>
      <c r="E57" s="19" t="str">
        <f ca="1">IFERROR(__xludf.DUMMYFUNCTION("GOOGLETRANSLATE(B57,""ar"",""en"")"),"Isuzu")</f>
        <v>Isuzu</v>
      </c>
      <c r="F57" s="19" t="str">
        <f ca="1">IFERROR(__xludf.DUMMYFUNCTION("GOOGLETRANSLATE(C57,""ar"",""en"")"),"De Max 4*2")</f>
        <v>De Max 4*2</v>
      </c>
      <c r="G57" t="e">
        <f ca="1">VLOOKUP(F:F,matching_transelated_with_ref!A:C,2,0)</f>
        <v>#N/A</v>
      </c>
      <c r="H57" t="str">
        <f>VLOOKUP(C:C,Sheet4!A:C,2,0)</f>
        <v>سنتافي - ماكس كروز 2.4</v>
      </c>
    </row>
    <row r="58" spans="1:8" ht="14.4">
      <c r="A58" s="18" t="s">
        <v>7</v>
      </c>
      <c r="B58" s="18" t="s">
        <v>7</v>
      </c>
      <c r="C58" s="18" t="s">
        <v>18</v>
      </c>
      <c r="D58" s="19" t="str">
        <f ca="1">IFERROR(__xludf.DUMMYFUNCTION("GOOGLETRANSLATE(A58, ""ar"", ""en"")"),"Isuzu")</f>
        <v>Isuzu</v>
      </c>
      <c r="E58" s="19" t="str">
        <f ca="1">IFERROR(__xludf.DUMMYFUNCTION("GOOGLETRANSLATE(B58,""ar"",""en"")"),"Isuzu")</f>
        <v>Isuzu</v>
      </c>
      <c r="F58" s="19" t="str">
        <f ca="1">IFERROR(__xludf.DUMMYFUNCTION("GOOGLETRANSLATE(C58,""ar"",""en"")"),"De Max 4*4")</f>
        <v>De Max 4*4</v>
      </c>
      <c r="G58" t="e">
        <f ca="1">VLOOKUP(F:F,matching_transelated_with_ref!A:C,2,0)</f>
        <v>#N/A</v>
      </c>
      <c r="H58" t="e">
        <f>VLOOKUP(C:C,Sheet4!A:C,2,0)</f>
        <v>#N/A</v>
      </c>
    </row>
    <row r="59" spans="1:8" ht="14.4">
      <c r="A59" s="18" t="s">
        <v>7</v>
      </c>
      <c r="B59" s="18" t="s">
        <v>8</v>
      </c>
      <c r="C59" s="18" t="s">
        <v>9</v>
      </c>
      <c r="D59" s="19" t="str">
        <f ca="1">IFERROR(__xludf.DUMMYFUNCTION("GOOGLETRANSLATE(A59, ""ar"", ""en"")"),"Isuzu")</f>
        <v>Isuzu</v>
      </c>
      <c r="E59" s="19" t="str">
        <f ca="1">IFERROR(__xludf.DUMMYFUNCTION("GOOGLETRANSLATE(B59,""ar"",""en"")"),"-")</f>
        <v>-</v>
      </c>
      <c r="F59" s="19" t="str">
        <f ca="1">IFERROR(__xludf.DUMMYFUNCTION("GOOGLETRANSLATE(C59,""ar"",""en"")"),"In the MR 71 H22")</f>
        <v>In the MR 71 H22</v>
      </c>
      <c r="G59" t="e">
        <f ca="1">VLOOKUP(F:F,matching_transelated_with_ref!A:C,2,0)</f>
        <v>#N/A</v>
      </c>
      <c r="H59" t="e">
        <f>VLOOKUP(C:C,Sheet4!A:C,2,0)</f>
        <v>#N/A</v>
      </c>
    </row>
    <row r="60" spans="1:8" ht="14.4">
      <c r="A60" s="18" t="s">
        <v>7</v>
      </c>
      <c r="B60" s="18" t="s">
        <v>7</v>
      </c>
      <c r="C60" s="18" t="s">
        <v>569</v>
      </c>
      <c r="D60" s="19" t="str">
        <f ca="1">IFERROR(__xludf.DUMMYFUNCTION("GOOGLETRANSLATE(A60, ""ar"", ""en"")"),"Isuzu")</f>
        <v>Isuzu</v>
      </c>
      <c r="E60" s="19" t="str">
        <f ca="1">IFERROR(__xludf.DUMMYFUNCTION("GOOGLETRANSLATE(B60,""ar"",""en"")"),"Isuzu")</f>
        <v>Isuzu</v>
      </c>
      <c r="F60" s="19" t="str">
        <f ca="1">IFERROR(__xludf.DUMMYFUNCTION("GOOGLETRANSLATE(C60,""ar"",""en"")"),"De Max 2.5 liter 4 x 2")</f>
        <v>De Max 2.5 liter 4 x 2</v>
      </c>
      <c r="G60" t="e">
        <f ca="1">VLOOKUP(F:F,matching_transelated_with_ref!A:C,2,0)</f>
        <v>#N/A</v>
      </c>
      <c r="H60">
        <f>VLOOKUP(C:C,Sheet4!A:C,2,0)</f>
        <v>5</v>
      </c>
    </row>
    <row r="61" spans="1:8" ht="14.4">
      <c r="A61" s="18" t="s">
        <v>7</v>
      </c>
      <c r="B61" s="18" t="s">
        <v>7</v>
      </c>
      <c r="C61" s="18" t="s">
        <v>568</v>
      </c>
      <c r="D61" s="19" t="str">
        <f ca="1">IFERROR(__xludf.DUMMYFUNCTION("GOOGLETRANSLATE(A61, ""ar"", ""en"")"),"Isuzu")</f>
        <v>Isuzu</v>
      </c>
      <c r="E61" s="19" t="str">
        <f ca="1">IFERROR(__xludf.DUMMYFUNCTION("GOOGLETRANSLATE(B61,""ar"",""en"")"),"Isuzu")</f>
        <v>Isuzu</v>
      </c>
      <c r="F61" s="19" t="str">
        <f ca="1">IFERROR(__xludf.DUMMYFUNCTION("GOOGLETRANSLATE(C61,""ar"",""en"")"),"De Max 2.5 liters")</f>
        <v>De Max 2.5 liters</v>
      </c>
      <c r="G61" t="e">
        <f ca="1">VLOOKUP(F:F,matching_transelated_with_ref!A:C,2,0)</f>
        <v>#N/A</v>
      </c>
      <c r="H61">
        <f>VLOOKUP(C:C,Sheet4!A:C,2,0)</f>
        <v>5</v>
      </c>
    </row>
    <row r="62" spans="1:8" ht="14.4">
      <c r="A62" s="18" t="s">
        <v>7</v>
      </c>
      <c r="B62" s="18" t="s">
        <v>8</v>
      </c>
      <c r="C62" s="18" t="s">
        <v>13</v>
      </c>
      <c r="D62" s="19" t="str">
        <f ca="1">IFERROR(__xludf.DUMMYFUNCTION("GOOGLETRANSLATE(A62, ""ar"", ""en"")"),"Isuzu")</f>
        <v>Isuzu</v>
      </c>
      <c r="E62" s="19" t="str">
        <f ca="1">IFERROR(__xludf.DUMMYFUNCTION("GOOGLETRANSLATE(B62,""ar"",""en"")"),"-")</f>
        <v>-</v>
      </c>
      <c r="F62" s="19" t="str">
        <f ca="1">IFERROR(__xludf.DUMMYFUNCTION("GOOGLETRANSLATE(C62,""ar"",""en"")"),"Two")</f>
        <v>Two</v>
      </c>
      <c r="G62" t="e">
        <f ca="1">VLOOKUP(F:F,matching_transelated_with_ref!A:C,2,0)</f>
        <v>#N/A</v>
      </c>
      <c r="H62" t="str">
        <f>VLOOKUP(C:C,Sheet4!A:C,2,0)</f>
        <v xml:space="preserve"> جلاديتور- بيكب غمارتين</v>
      </c>
    </row>
    <row r="63" spans="1:8" ht="14.4">
      <c r="A63" s="18" t="s">
        <v>7</v>
      </c>
      <c r="B63" s="18" t="s">
        <v>7</v>
      </c>
      <c r="C63" s="18" t="s">
        <v>1287</v>
      </c>
      <c r="D63" s="19" t="str">
        <f ca="1">IFERROR(__xludf.DUMMYFUNCTION("GOOGLETRANSLATE(A63, ""ar"", ""en"")"),"Isuzu")</f>
        <v>Isuzu</v>
      </c>
      <c r="E63" s="19" t="str">
        <f ca="1">IFERROR(__xludf.DUMMYFUNCTION("GOOGLETRANSLATE(B63,""ar"",""en"")"),"Isuzu")</f>
        <v>Isuzu</v>
      </c>
      <c r="F63" s="19" t="str">
        <f ca="1">IFERROR(__xludf.DUMMYFUNCTION("GOOGLETRANSLATE(C63,""ar"",""en"")"),"De Max 2.5 liter 4 x 4")</f>
        <v>De Max 2.5 liter 4 x 4</v>
      </c>
      <c r="G63" t="e">
        <f ca="1">VLOOKUP(F:F,matching_transelated_with_ref!A:C,2,0)</f>
        <v>#N/A</v>
      </c>
      <c r="H63" t="e">
        <f>VLOOKUP(C:C,Sheet4!A:C,2,0)</f>
        <v>#N/A</v>
      </c>
    </row>
    <row r="64" spans="1:8" ht="14.4">
      <c r="A64" s="18" t="s">
        <v>7</v>
      </c>
      <c r="B64" s="18" t="s">
        <v>8</v>
      </c>
      <c r="C64" s="18" t="s">
        <v>11</v>
      </c>
      <c r="D64" s="19" t="str">
        <f ca="1">IFERROR(__xludf.DUMMYFUNCTION("GOOGLETRANSLATE(A64, ""ar"", ""en"")"),"Isuzu")</f>
        <v>Isuzu</v>
      </c>
      <c r="E64" s="19" t="str">
        <f ca="1">IFERROR(__xludf.DUMMYFUNCTION("GOOGLETRANSLATE(B64,""ar"",""en"")"),"-")</f>
        <v>-</v>
      </c>
      <c r="F64" s="19" t="str">
        <f ca="1">IFERROR(__xludf.DUMMYFUNCTION("GOOGLETRANSLATE(C64,""ar"",""en"")"),"NPR 71 kh half -transfer u")</f>
        <v>NPR 71 kh half -transfer u</v>
      </c>
      <c r="G64" t="e">
        <f ca="1">VLOOKUP(F:F,matching_transelated_with_ref!A:C,2,0)</f>
        <v>#N/A</v>
      </c>
      <c r="H64" t="e">
        <f>VLOOKUP(C:C,Sheet4!A:C,2,0)</f>
        <v>#N/A</v>
      </c>
    </row>
    <row r="65" spans="1:8" ht="14.4">
      <c r="A65" s="18" t="s">
        <v>7</v>
      </c>
      <c r="B65" s="18" t="s">
        <v>7</v>
      </c>
      <c r="C65" s="18" t="s">
        <v>826</v>
      </c>
      <c r="D65" s="19" t="str">
        <f ca="1">IFERROR(__xludf.DUMMYFUNCTION("GOOGLETRANSLATE(A65, ""ar"", ""en"")"),"Isuzu")</f>
        <v>Isuzu</v>
      </c>
      <c r="E65" s="19" t="str">
        <f ca="1">IFERROR(__xludf.DUMMYFUNCTION("GOOGLETRANSLATE(B65,""ar"",""en"")"),"Isuzu")</f>
        <v>Isuzu</v>
      </c>
      <c r="F65" s="19" t="str">
        <f ca="1">IFERROR(__xludf.DUMMYFUNCTION("GOOGLETRANSLATE(C65,""ar"",""en"")"),"De Max 2.5 liter 4 x 4")</f>
        <v>De Max 2.5 liter 4 x 4</v>
      </c>
      <c r="G65" t="e">
        <f ca="1">VLOOKUP(F:F,matching_transelated_with_ref!A:C,2,0)</f>
        <v>#N/A</v>
      </c>
      <c r="H65">
        <f>VLOOKUP(C:C,Sheet4!A:C,2,0)</f>
        <v>5</v>
      </c>
    </row>
    <row r="66" spans="1:8" ht="14.4">
      <c r="A66" s="18" t="s">
        <v>7</v>
      </c>
      <c r="B66" s="18" t="s">
        <v>8</v>
      </c>
      <c r="C66" s="18" t="s">
        <v>10</v>
      </c>
      <c r="D66" s="19" t="str">
        <f ca="1">IFERROR(__xludf.DUMMYFUNCTION("GOOGLETRANSLATE(A66, ""ar"", ""en"")"),"Isuzu")</f>
        <v>Isuzu</v>
      </c>
      <c r="E66" s="19" t="str">
        <f ca="1">IFERROR(__xludf.DUMMYFUNCTION("GOOGLETRANSLATE(B66,""ar"",""en"")"),"-")</f>
        <v>-</v>
      </c>
      <c r="F66" s="19" t="str">
        <f ca="1">IFERROR(__xludf.DUMMYFUNCTION("GOOGLETRANSLATE(C66,""ar"",""en"")"),"NM 71, i.e. 22")</f>
        <v>NM 71, i.e. 22</v>
      </c>
      <c r="G66" t="e">
        <f ca="1">VLOOKUP(F:F,matching_transelated_with_ref!A:C,2,0)</f>
        <v>#N/A</v>
      </c>
      <c r="H66" t="e">
        <f>VLOOKUP(C:C,Sheet4!A:C,2,0)</f>
        <v>#N/A</v>
      </c>
    </row>
    <row r="67" spans="1:8" ht="14.4">
      <c r="A67" s="18" t="s">
        <v>7</v>
      </c>
      <c r="B67" s="18" t="s">
        <v>7</v>
      </c>
      <c r="C67" s="18" t="s">
        <v>1044</v>
      </c>
      <c r="D67" s="19" t="str">
        <f ca="1">IFERROR(__xludf.DUMMYFUNCTION("GOOGLETRANSLATE(A67, ""ar"", ""en"")"),"Isuzu")</f>
        <v>Isuzu</v>
      </c>
      <c r="E67" s="19" t="str">
        <f ca="1">IFERROR(__xludf.DUMMYFUNCTION("GOOGLETRANSLATE(B67,""ar"",""en"")"),"Isuzu")</f>
        <v>Isuzu</v>
      </c>
      <c r="F67" s="19" t="str">
        <f ca="1">IFERROR(__xludf.DUMMYFUNCTION("GOOGLETRANSLATE(C67,""ar"",""en"")"),"De Max 2.5 liter 4 x 4 normal")</f>
        <v>De Max 2.5 liter 4 x 4 normal</v>
      </c>
      <c r="G67" t="e">
        <f ca="1">VLOOKUP(F:F,matching_transelated_with_ref!A:C,2,0)</f>
        <v>#N/A</v>
      </c>
      <c r="H67">
        <f>VLOOKUP(C:C,Sheet4!A:C,2,0)</f>
        <v>5</v>
      </c>
    </row>
    <row r="68" spans="1:8" ht="14.4">
      <c r="A68" s="18" t="s">
        <v>7</v>
      </c>
      <c r="B68" s="18" t="s">
        <v>8</v>
      </c>
      <c r="C68" s="18" t="s">
        <v>141</v>
      </c>
      <c r="D68" s="19" t="str">
        <f ca="1">IFERROR(__xludf.DUMMYFUNCTION("GOOGLETRANSLATE(A68, ""ar"", ""en"")"),"Isuzu")</f>
        <v>Isuzu</v>
      </c>
      <c r="E68" s="19" t="str">
        <f ca="1">IFERROR(__xludf.DUMMYFUNCTION("GOOGLETRANSLATE(B68,""ar"",""en"")"),"-")</f>
        <v>-</v>
      </c>
      <c r="F68" s="19" t="str">
        <f ca="1">IFERROR(__xludf.DUMMYFUNCTION("GOOGLETRANSLATE(C68,""ar"",""en"")"),"Small transfer")</f>
        <v>Small transfer</v>
      </c>
      <c r="G68" t="e">
        <f ca="1">VLOOKUP(F:F,matching_transelated_with_ref!A:C,2,0)</f>
        <v>#N/A</v>
      </c>
      <c r="H68" t="e">
        <f>VLOOKUP(C:C,Sheet4!A:C,2,0)</f>
        <v>#N/A</v>
      </c>
    </row>
    <row r="69" spans="1:8" ht="14.4">
      <c r="A69" s="18" t="s">
        <v>7</v>
      </c>
      <c r="B69" s="18" t="s">
        <v>7</v>
      </c>
      <c r="C69" s="18" t="s">
        <v>1285</v>
      </c>
      <c r="D69" s="19" t="str">
        <f ca="1">IFERROR(__xludf.DUMMYFUNCTION("GOOGLETRANSLATE(A69, ""ar"", ""en"")"),"Isuzu")</f>
        <v>Isuzu</v>
      </c>
      <c r="E69" s="19" t="str">
        <f ca="1">IFERROR(__xludf.DUMMYFUNCTION("GOOGLETRANSLATE(B69,""ar"",""en"")"),"Isuzu")</f>
        <v>Isuzu</v>
      </c>
      <c r="F69" s="19" t="str">
        <f ca="1">IFERROR(__xludf.DUMMYFUNCTION("GOOGLETRANSLATE(C69,""ar"",""en"")"),"De Max 2.5 liter 2 x 4 air")</f>
        <v>De Max 2.5 liter 2 x 4 air</v>
      </c>
      <c r="G69" t="e">
        <f ca="1">VLOOKUP(F:F,matching_transelated_with_ref!A:C,2,0)</f>
        <v>#N/A</v>
      </c>
      <c r="H69">
        <f>VLOOKUP(C:C,Sheet4!A:C,2,0)</f>
        <v>5</v>
      </c>
    </row>
    <row r="70" spans="1:8" ht="14.4">
      <c r="A70" s="18" t="s">
        <v>7</v>
      </c>
      <c r="B70" s="18" t="s">
        <v>7</v>
      </c>
      <c r="C70" s="18" t="s">
        <v>830</v>
      </c>
      <c r="D70" s="19" t="str">
        <f ca="1">IFERROR(__xludf.DUMMYFUNCTION("GOOGLETRANSLATE(A70, ""ar"", ""en"")"),"Isuzu")</f>
        <v>Isuzu</v>
      </c>
      <c r="E70" s="19" t="str">
        <f ca="1">IFERROR(__xludf.DUMMYFUNCTION("GOOGLETRANSLATE(B70,""ar"",""en"")"),"Isuzu")</f>
        <v>Isuzu</v>
      </c>
      <c r="F70" s="19" t="str">
        <f ca="1">IFERROR(__xludf.DUMMYFUNCTION("GOOGLETRANSLATE(C70,""ar"",""en"")"),"De Max open sides")</f>
        <v>De Max open sides</v>
      </c>
      <c r="G70" t="e">
        <f ca="1">VLOOKUP(F:F,matching_transelated_with_ref!A:C,2,0)</f>
        <v>#N/A</v>
      </c>
      <c r="H70" t="e">
        <f>VLOOKUP(C:C,Sheet4!A:C,2,0)</f>
        <v>#N/A</v>
      </c>
    </row>
    <row r="71" spans="1:8" ht="14.4">
      <c r="A71" s="18" t="s">
        <v>7</v>
      </c>
      <c r="B71" s="18" t="s">
        <v>8</v>
      </c>
      <c r="C71" s="18" t="s">
        <v>16</v>
      </c>
      <c r="D71" s="19" t="str">
        <f ca="1">IFERROR(__xludf.DUMMYFUNCTION("GOOGLETRANSLATE(A71, ""ar"", ""en"")"),"Isuzu")</f>
        <v>Isuzu</v>
      </c>
      <c r="E71" s="19" t="str">
        <f ca="1">IFERROR(__xludf.DUMMYFUNCTION("GOOGLETRANSLATE(B71,""ar"",""en"")"),"-")</f>
        <v>-</v>
      </c>
      <c r="F71" s="19" t="str">
        <f ca="1">IFERROR(__xludf.DUMMYFUNCTION("GOOGLETRANSLATE(C71,""ar"",""en"")"),"tipper")</f>
        <v>tipper</v>
      </c>
      <c r="G71" t="e">
        <f ca="1">VLOOKUP(F:F,matching_transelated_with_ref!A:C,2,0)</f>
        <v>#N/A</v>
      </c>
      <c r="H71" t="e">
        <f>VLOOKUP(C:C,Sheet4!A:C,2,0)</f>
        <v>#N/A</v>
      </c>
    </row>
    <row r="72" spans="1:8" ht="14.4">
      <c r="A72" s="18" t="s">
        <v>7</v>
      </c>
      <c r="B72" s="18" t="s">
        <v>7</v>
      </c>
      <c r="C72" s="18" t="s">
        <v>825</v>
      </c>
      <c r="D72" s="19" t="str">
        <f ca="1">IFERROR(__xludf.DUMMYFUNCTION("GOOGLETRANSLATE(A72, ""ar"", ""en"")"),"Isuzu")</f>
        <v>Isuzu</v>
      </c>
      <c r="E72" s="19" t="str">
        <f ca="1">IFERROR(__xludf.DUMMYFUNCTION("GOOGLETRANSLATE(B72,""ar"",""en"")"),"Isuzu")</f>
        <v>Isuzu</v>
      </c>
      <c r="F72" s="19" t="str">
        <f ca="1">IFERROR(__xludf.DUMMYFUNCTION("GOOGLETRANSLATE(C72,""ar"",""en"")"),"De Max")</f>
        <v>De Max</v>
      </c>
      <c r="G72" t="e">
        <f ca="1">VLOOKUP(F:F,matching_transelated_with_ref!A:C,2,0)</f>
        <v>#N/A</v>
      </c>
      <c r="H72" t="str">
        <f>VLOOKUP(C:C,Sheet4!A:C,2,0)</f>
        <v xml:space="preserve">بيكب ديماكس غمارة -4X4 </v>
      </c>
    </row>
    <row r="73" spans="1:8" ht="14.4">
      <c r="A73" s="18" t="s">
        <v>7</v>
      </c>
      <c r="B73" s="18" t="s">
        <v>7</v>
      </c>
      <c r="C73" s="18" t="s">
        <v>1043</v>
      </c>
      <c r="D73" s="19" t="str">
        <f ca="1">IFERROR(__xludf.DUMMYFUNCTION("GOOGLETRANSLATE(A73, ""ar"", ""en"")"),"Isuzu")</f>
        <v>Isuzu</v>
      </c>
      <c r="E73" s="19" t="str">
        <f ca="1">IFERROR(__xludf.DUMMYFUNCTION("GOOGLETRANSLATE(B73,""ar"",""en"")"),"Isuzu")</f>
        <v>Isuzu</v>
      </c>
      <c r="F73" s="19" t="str">
        <f ca="1">IFERROR(__xludf.DUMMYFUNCTION("GOOGLETRANSLATE(C73,""ar"",""en"")"),"De Max 2.5 liter 2 x 4")</f>
        <v>De Max 2.5 liter 2 x 4</v>
      </c>
      <c r="G73" t="e">
        <f ca="1">VLOOKUP(F:F,matching_transelated_with_ref!A:C,2,0)</f>
        <v>#N/A</v>
      </c>
      <c r="H73">
        <f>VLOOKUP(C:C,Sheet4!A:C,2,0)</f>
        <v>5</v>
      </c>
    </row>
    <row r="74" spans="1:8" ht="14.4">
      <c r="A74" s="18" t="s">
        <v>7</v>
      </c>
      <c r="B74" s="18" t="s">
        <v>7</v>
      </c>
      <c r="C74" s="18" t="s">
        <v>827</v>
      </c>
      <c r="D74" s="19" t="str">
        <f ca="1">IFERROR(__xludf.DUMMYFUNCTION("GOOGLETRANSLATE(A74, ""ar"", ""en"")"),"Isuzu")</f>
        <v>Isuzu</v>
      </c>
      <c r="E74" s="19" t="str">
        <f ca="1">IFERROR(__xludf.DUMMYFUNCTION("GOOGLETRANSLATE(B74,""ar"",""en"")"),"Isuzu")</f>
        <v>Isuzu</v>
      </c>
      <c r="F74" s="19" t="str">
        <f ca="1">IFERROR(__xludf.DUMMYFUNCTION("GOOGLETRANSLATE(C74,""ar"",""en"")"),"De Max 2.5 liter 4 x 2")</f>
        <v>De Max 2.5 liter 4 x 2</v>
      </c>
      <c r="G74" t="e">
        <f ca="1">VLOOKUP(F:F,matching_transelated_with_ref!A:C,2,0)</f>
        <v>#N/A</v>
      </c>
      <c r="H74">
        <f>VLOOKUP(C:C,Sheet4!A:C,2,0)</f>
        <v>5</v>
      </c>
    </row>
    <row r="75" spans="1:8" ht="14.4">
      <c r="A75" s="18" t="s">
        <v>7</v>
      </c>
      <c r="B75" s="18" t="s">
        <v>7</v>
      </c>
      <c r="C75" s="18" t="s">
        <v>147</v>
      </c>
      <c r="D75" s="19" t="str">
        <f ca="1">IFERROR(__xludf.DUMMYFUNCTION("GOOGLETRANSLATE(A75, ""ar"", ""en"")"),"Isuzu")</f>
        <v>Isuzu</v>
      </c>
      <c r="E75" s="19" t="str">
        <f ca="1">IFERROR(__xludf.DUMMYFUNCTION("GOOGLETRANSLATE(B75,""ar"",""en"")"),"Isuzu")</f>
        <v>Isuzu</v>
      </c>
      <c r="F75" s="19" t="str">
        <f ca="1">IFERROR(__xludf.DUMMYFUNCTION("GOOGLETRANSLATE(C75,""ar"",""en"")"),"De Max 4*2")</f>
        <v>De Max 4*2</v>
      </c>
      <c r="G75" t="e">
        <f ca="1">VLOOKUP(F:F,matching_transelated_with_ref!A:C,2,0)</f>
        <v>#N/A</v>
      </c>
      <c r="H75" t="str">
        <f>VLOOKUP(C:C,Sheet4!A:C,2,0)</f>
        <v>سنتافي - ماكس كروز 2.4</v>
      </c>
    </row>
    <row r="76" spans="1:8" ht="14.4">
      <c r="A76" s="18" t="s">
        <v>7</v>
      </c>
      <c r="B76" s="18" t="s">
        <v>7</v>
      </c>
      <c r="C76" s="18" t="s">
        <v>572</v>
      </c>
      <c r="D76" s="19" t="str">
        <f ca="1">IFERROR(__xludf.DUMMYFUNCTION("GOOGLETRANSLATE(A76, ""ar"", ""en"")"),"Isuzu")</f>
        <v>Isuzu</v>
      </c>
      <c r="E76" s="19" t="str">
        <f ca="1">IFERROR(__xludf.DUMMYFUNCTION("GOOGLETRANSLATE(B76,""ar"",""en"")"),"Isuzu")</f>
        <v>Isuzu</v>
      </c>
      <c r="F76" s="19" t="str">
        <f ca="1">IFERROR(__xludf.DUMMYFUNCTION("GOOGLETRANSLATE(C76,""ar"",""en"")"),"De Max two 4*2 August")</f>
        <v>De Max two 4*2 August</v>
      </c>
      <c r="G76" t="e">
        <f ca="1">VLOOKUP(F:F,matching_transelated_with_ref!A:C,2,0)</f>
        <v>#N/A</v>
      </c>
      <c r="H76" t="e">
        <f>VLOOKUP(C:C,Sheet4!A:C,2,0)</f>
        <v>#N/A</v>
      </c>
    </row>
    <row r="77" spans="1:8" ht="14.4">
      <c r="A77" s="18" t="s">
        <v>22</v>
      </c>
      <c r="B77" s="18" t="s">
        <v>22</v>
      </c>
      <c r="C77" s="18" t="s">
        <v>23</v>
      </c>
      <c r="D77" s="19" t="str">
        <f ca="1">IFERROR(__xludf.DUMMYFUNCTION("GOOGLETRANSLATE(A77, ""ar"", ""en"")"),"Ashir")</f>
        <v>Ashir</v>
      </c>
      <c r="E77" s="19" t="str">
        <f ca="1">IFERROR(__xludf.DUMMYFUNCTION("GOOGLETRANSLATE(B77,""ar"",""en"")"),"Ashir")</f>
        <v>Ashir</v>
      </c>
      <c r="F77" s="19" t="str">
        <f ca="1">IFERROR(__xludf.DUMMYFUNCTION("GOOGLETRANSLATE(C77,""ar"",""en"")"),"20.15")</f>
        <v>20.15</v>
      </c>
      <c r="G77" t="e">
        <f ca="1">VLOOKUP(F:F,matching_transelated_with_ref!A:C,2,0)</f>
        <v>#N/A</v>
      </c>
      <c r="H77" t="e">
        <f>VLOOKUP(C:C,Sheet4!A:C,2,0)</f>
        <v>#N/A</v>
      </c>
    </row>
    <row r="78" spans="1:8" ht="14.4">
      <c r="A78" s="18" t="s">
        <v>2136</v>
      </c>
      <c r="B78" s="18" t="s">
        <v>127</v>
      </c>
      <c r="C78" s="18" t="s">
        <v>135</v>
      </c>
      <c r="D78" s="19" t="str">
        <f ca="1">IFERROR(__xludf.DUMMYFUNCTION("GOOGLETRANSLATE(A78, ""ar"", ""en"")"),"Audi")</f>
        <v>Audi</v>
      </c>
      <c r="E78" s="19" t="str">
        <f ca="1">IFERROR(__xludf.DUMMYFUNCTION("GOOGLETRANSLATE(B78,""ar"",""en"")"),"Audi")</f>
        <v>Audi</v>
      </c>
      <c r="F78" s="19" t="str">
        <f ca="1">IFERROR(__xludf.DUMMYFUNCTION("GOOGLETRANSLATE(C78,""ar"",""en"")"),"A8 Hybrid")</f>
        <v>A8 Hybrid</v>
      </c>
      <c r="G78" t="str">
        <f ca="1">VLOOKUP(F:F,matching_transelated_with_ref!A:C,2,0)</f>
        <v>A8</v>
      </c>
      <c r="H78" t="e">
        <f>VLOOKUP(C:C,Sheet4!A:C,2,0)</f>
        <v>#N/A</v>
      </c>
    </row>
    <row r="79" spans="1:8" ht="14.4">
      <c r="A79" s="18" t="s">
        <v>2136</v>
      </c>
      <c r="B79" s="18" t="s">
        <v>127</v>
      </c>
      <c r="C79" s="18" t="s">
        <v>818</v>
      </c>
      <c r="D79" s="19" t="str">
        <f ca="1">IFERROR(__xludf.DUMMYFUNCTION("GOOGLETRANSLATE(A79, ""ar"", ""en"")"),"Audi")</f>
        <v>Audi</v>
      </c>
      <c r="E79" s="19" t="str">
        <f ca="1">IFERROR(__xludf.DUMMYFUNCTION("GOOGLETRANSLATE(B79,""ar"",""en"")"),"Audi")</f>
        <v>Audi</v>
      </c>
      <c r="F79" s="19" t="str">
        <f ca="1">IFERROR(__xludf.DUMMYFUNCTION("GOOGLETRANSLATE(C79,""ar"",""en"")"),"A 8")</f>
        <v>A 8</v>
      </c>
      <c r="G79" t="str">
        <f ca="1">VLOOKUP(F:F,matching_transelated_with_ref!A:C,2,0)</f>
        <v>A8</v>
      </c>
      <c r="H79" t="e">
        <f>VLOOKUP(C:C,Sheet4!A:C,2,0)</f>
        <v>#N/A</v>
      </c>
    </row>
    <row r="80" spans="1:8" ht="14.4">
      <c r="A80" s="18" t="s">
        <v>2136</v>
      </c>
      <c r="B80" s="18" t="s">
        <v>127</v>
      </c>
      <c r="C80" s="18" t="s">
        <v>565</v>
      </c>
      <c r="D80" s="19" t="str">
        <f ca="1">IFERROR(__xludf.DUMMYFUNCTION("GOOGLETRANSLATE(A80, ""ar"", ""en"")"),"Audi")</f>
        <v>Audi</v>
      </c>
      <c r="E80" s="19" t="str">
        <f ca="1">IFERROR(__xludf.DUMMYFUNCTION("GOOGLETRANSLATE(B80,""ar"",""en"")"),"Audi")</f>
        <v>Audi</v>
      </c>
      <c r="F80" s="19" t="str">
        <f ca="1">IFERROR(__xludf.DUMMYFUNCTION("GOOGLETRANSLATE(C80,""ar"",""en"")"),"Q8")</f>
        <v>Q8</v>
      </c>
      <c r="G80" t="str">
        <f ca="1">VLOOKUP(F:F,matching_transelated_with_ref!A:C,2,0)</f>
        <v>Q8</v>
      </c>
      <c r="H80" t="e">
        <f>VLOOKUP(C:C,Sheet4!A:C,2,0)</f>
        <v>#N/A</v>
      </c>
    </row>
    <row r="81" spans="1:8" ht="14.4">
      <c r="A81" s="18" t="s">
        <v>2136</v>
      </c>
      <c r="B81" s="18" t="s">
        <v>127</v>
      </c>
      <c r="C81" s="18" t="s">
        <v>129</v>
      </c>
      <c r="D81" s="19" t="str">
        <f ca="1">IFERROR(__xludf.DUMMYFUNCTION("GOOGLETRANSLATE(A81, ""ar"", ""en"")"),"Audi")</f>
        <v>Audi</v>
      </c>
      <c r="E81" s="19" t="str">
        <f ca="1">IFERROR(__xludf.DUMMYFUNCTION("GOOGLETRANSLATE(B81,""ar"",""en"")"),"Audi")</f>
        <v>Audi</v>
      </c>
      <c r="F81" s="19" t="str">
        <f ca="1">IFERROR(__xludf.DUMMYFUNCTION("GOOGLETRANSLATE(C81,""ar"",""en"")"),"R8 5.2")</f>
        <v>R8 5.2</v>
      </c>
      <c r="G81" t="e">
        <f ca="1">VLOOKUP(F:F,matching_transelated_with_ref!A:C,2,0)</f>
        <v>#N/A</v>
      </c>
      <c r="H81">
        <f>VLOOKUP(C:C,Sheet4!A:C,2,0)</f>
        <v>5</v>
      </c>
    </row>
    <row r="82" spans="1:8" ht="14.4">
      <c r="A82" s="18" t="s">
        <v>2136</v>
      </c>
      <c r="B82" s="18" t="s">
        <v>127</v>
      </c>
      <c r="C82" s="18" t="s">
        <v>564</v>
      </c>
      <c r="D82" s="19" t="str">
        <f ca="1">IFERROR(__xludf.DUMMYFUNCTION("GOOGLETRANSLATE(A82, ""ar"", ""en"")"),"Audi")</f>
        <v>Audi</v>
      </c>
      <c r="E82" s="19" t="str">
        <f ca="1">IFERROR(__xludf.DUMMYFUNCTION("GOOGLETRANSLATE(B82,""ar"",""en"")"),"Audi")</f>
        <v>Audi</v>
      </c>
      <c r="F82" s="19" t="str">
        <f ca="1">IFERROR(__xludf.DUMMYFUNCTION("GOOGLETRANSLATE(C82,""ar"",""en"")"),"A 7")</f>
        <v>A 7</v>
      </c>
      <c r="G82" t="str">
        <f ca="1">VLOOKUP(F:F,matching_transelated_with_ref!A:C,2,0)</f>
        <v>A7</v>
      </c>
      <c r="H82" t="str">
        <f>VLOOKUP(C:C,Sheet4!A:C,2,0)</f>
        <v>اير</v>
      </c>
    </row>
    <row r="83" spans="1:8" ht="14.4">
      <c r="A83" s="18" t="s">
        <v>2136</v>
      </c>
      <c r="B83" s="18" t="s">
        <v>127</v>
      </c>
      <c r="C83" s="18" t="s">
        <v>1041</v>
      </c>
      <c r="D83" s="19" t="str">
        <f ca="1">IFERROR(__xludf.DUMMYFUNCTION("GOOGLETRANSLATE(A83, ""ar"", ""en"")"),"Audi")</f>
        <v>Audi</v>
      </c>
      <c r="E83" s="19" t="str">
        <f ca="1">IFERROR(__xludf.DUMMYFUNCTION("GOOGLETRANSLATE(B83,""ar"",""en"")"),"Audi")</f>
        <v>Audi</v>
      </c>
      <c r="F83" s="19" t="str">
        <f ca="1">IFERROR(__xludf.DUMMYFUNCTION("GOOGLETRANSLATE(C83,""ar"",""en"")"),"Q7")</f>
        <v>Q7</v>
      </c>
      <c r="G83" t="str">
        <f ca="1">VLOOKUP(F:F,matching_transelated_with_ref!A:C,2,0)</f>
        <v>Q7</v>
      </c>
      <c r="H83" t="e">
        <f>VLOOKUP(C:C,Sheet4!A:C,2,0)</f>
        <v>#N/A</v>
      </c>
    </row>
    <row r="84" spans="1:8" ht="14.4">
      <c r="A84" s="18" t="s">
        <v>2136</v>
      </c>
      <c r="B84" s="18" t="s">
        <v>127</v>
      </c>
      <c r="C84" s="18" t="s">
        <v>563</v>
      </c>
      <c r="D84" s="19" t="str">
        <f ca="1">IFERROR(__xludf.DUMMYFUNCTION("GOOGLETRANSLATE(A84, ""ar"", ""en"")"),"Audi")</f>
        <v>Audi</v>
      </c>
      <c r="E84" s="19" t="str">
        <f ca="1">IFERROR(__xludf.DUMMYFUNCTION("GOOGLETRANSLATE(B84,""ar"",""en"")"),"Audi")</f>
        <v>Audi</v>
      </c>
      <c r="F84" s="19" t="str">
        <f ca="1">IFERROR(__xludf.DUMMYFUNCTION("GOOGLETRANSLATE(C84,""ar"",""en"")"),"A6 Hybrid")</f>
        <v>A6 Hybrid</v>
      </c>
      <c r="G84" t="str">
        <f ca="1">VLOOKUP(F:F,matching_transelated_with_ref!A:C,2,0)</f>
        <v>A6</v>
      </c>
      <c r="H84" t="e">
        <f>VLOOKUP(C:C,Sheet4!A:C,2,0)</f>
        <v>#N/A</v>
      </c>
    </row>
    <row r="85" spans="1:8" ht="14.4">
      <c r="A85" s="18" t="s">
        <v>2136</v>
      </c>
      <c r="B85" s="18" t="s">
        <v>127</v>
      </c>
      <c r="C85" s="18" t="s">
        <v>139</v>
      </c>
      <c r="D85" s="19" t="str">
        <f ca="1">IFERROR(__xludf.DUMMYFUNCTION("GOOGLETRANSLATE(A85, ""ar"", ""en"")"),"Audi")</f>
        <v>Audi</v>
      </c>
      <c r="E85" s="19" t="str">
        <f ca="1">IFERROR(__xludf.DUMMYFUNCTION("GOOGLETRANSLATE(B85,""ar"",""en"")"),"Audi")</f>
        <v>Audi</v>
      </c>
      <c r="F85" s="19" t="str">
        <f ca="1">IFERROR(__xludf.DUMMYFUNCTION("GOOGLETRANSLATE(C85,""ar"",""en"")"),"Q7-3.0")</f>
        <v>Q7-3.0</v>
      </c>
      <c r="G85" t="str">
        <f ca="1">VLOOKUP(F:F,matching_transelated_with_ref!A:C,2,0)</f>
        <v>Q7</v>
      </c>
      <c r="H85">
        <f>VLOOKUP(C:C,Sheet4!A:C,2,0)</f>
        <v>3</v>
      </c>
    </row>
    <row r="86" spans="1:8" ht="14.4">
      <c r="A86" s="18" t="s">
        <v>2136</v>
      </c>
      <c r="B86" s="18" t="s">
        <v>127</v>
      </c>
      <c r="C86" s="18" t="s">
        <v>138</v>
      </c>
      <c r="D86" s="19" t="str">
        <f ca="1">IFERROR(__xludf.DUMMYFUNCTION("GOOGLETRANSLATE(A86, ""ar"", ""en"")"),"Audi")</f>
        <v>Audi</v>
      </c>
      <c r="E86" s="19" t="str">
        <f ca="1">IFERROR(__xludf.DUMMYFUNCTION("GOOGLETRANSLATE(B86,""ar"",""en"")"),"Audi")</f>
        <v>Audi</v>
      </c>
      <c r="F86" s="19" t="str">
        <f ca="1">IFERROR(__xludf.DUMMYFUNCTION("GOOGLETRANSLATE(C86,""ar"",""en"")"),"Q7 -2.0")</f>
        <v>Q7 -2.0</v>
      </c>
      <c r="G86" t="e">
        <f ca="1">VLOOKUP(F:F,matching_transelated_with_ref!A:C,2,0)</f>
        <v>#N/A</v>
      </c>
      <c r="H86" t="str">
        <f>VLOOKUP(C:C,Sheet4!A:C,2,0)</f>
        <v xml:space="preserve">كورلا - 2.0 </v>
      </c>
    </row>
    <row r="87" spans="1:8" ht="14.4">
      <c r="A87" s="18" t="s">
        <v>2136</v>
      </c>
      <c r="B87" s="18" t="s">
        <v>127</v>
      </c>
      <c r="C87" s="18" t="s">
        <v>137</v>
      </c>
      <c r="D87" s="19" t="str">
        <f ca="1">IFERROR(__xludf.DUMMYFUNCTION("GOOGLETRANSLATE(A87, ""ar"", ""en"")"),"Audi")</f>
        <v>Audi</v>
      </c>
      <c r="E87" s="19" t="str">
        <f ca="1">IFERROR(__xludf.DUMMYFUNCTION("GOOGLETRANSLATE(B87,""ar"",""en"")"),"Audi")</f>
        <v>Audi</v>
      </c>
      <c r="F87" s="19" t="str">
        <f ca="1">IFERROR(__xludf.DUMMYFUNCTION("GOOGLETRANSLATE(C87,""ar"",""en"")"),"Q5-2.0")</f>
        <v>Q5-2.0</v>
      </c>
      <c r="G87" t="e">
        <f ca="1">VLOOKUP(F:F,matching_transelated_with_ref!A:C,2,0)</f>
        <v>#N/A</v>
      </c>
      <c r="H87" t="str">
        <f>VLOOKUP(C:C,Sheet4!A:C,2,0)</f>
        <v xml:space="preserve">كورلا - 2.0 </v>
      </c>
    </row>
    <row r="88" spans="1:8" ht="14.4">
      <c r="A88" s="18" t="s">
        <v>2136</v>
      </c>
      <c r="B88" s="18" t="s">
        <v>127</v>
      </c>
      <c r="C88" s="18" t="s">
        <v>131</v>
      </c>
      <c r="D88" s="19" t="str">
        <f ca="1">IFERROR(__xludf.DUMMYFUNCTION("GOOGLETRANSLATE(A88, ""ar"", ""en"")"),"Audi")</f>
        <v>Audi</v>
      </c>
      <c r="E88" s="19" t="str">
        <f ca="1">IFERROR(__xludf.DUMMYFUNCTION("GOOGLETRANSLATE(B88,""ar"",""en"")"),"Audi")</f>
        <v>Audi</v>
      </c>
      <c r="F88" s="19" t="str">
        <f ca="1">IFERROR(__xludf.DUMMYFUNCTION("GOOGLETRANSLATE(C88,""ar"",""en"")"),"Aya 5")</f>
        <v>Aya 5</v>
      </c>
      <c r="G88">
        <f ca="1">VLOOKUP(F:F,matching_transelated_with_ref!A:C,2,0)</f>
        <v>5</v>
      </c>
      <c r="H88">
        <f>VLOOKUP(C:C,Sheet4!A:C,2,0)</f>
        <v>5</v>
      </c>
    </row>
    <row r="89" spans="1:8" ht="14.4">
      <c r="A89" s="18" t="s">
        <v>2136</v>
      </c>
      <c r="B89" s="18" t="s">
        <v>127</v>
      </c>
      <c r="C89" s="18" t="s">
        <v>132</v>
      </c>
      <c r="D89" s="19" t="str">
        <f ca="1">IFERROR(__xludf.DUMMYFUNCTION("GOOGLETRANSLATE(A89, ""ar"", ""en"")"),"Audi")</f>
        <v>Audi</v>
      </c>
      <c r="E89" s="19" t="str">
        <f ca="1">IFERROR(__xludf.DUMMYFUNCTION("GOOGLETRANSLATE(B89,""ar"",""en"")"),"Audi")</f>
        <v>Audi</v>
      </c>
      <c r="F89" s="19" t="str">
        <f ca="1">IFERROR(__xludf.DUMMYFUNCTION("GOOGLETRANSLATE(C89,""ar"",""en"")"),"Aya 6")</f>
        <v>Aya 6</v>
      </c>
      <c r="G89">
        <f ca="1">VLOOKUP(F:F,matching_transelated_with_ref!A:C,2,0)</f>
        <v>6</v>
      </c>
      <c r="H89">
        <f>VLOOKUP(C:C,Sheet4!A:C,2,0)</f>
        <v>6</v>
      </c>
    </row>
    <row r="90" spans="1:8" ht="14.4">
      <c r="A90" s="18" t="s">
        <v>2136</v>
      </c>
      <c r="B90" s="18" t="s">
        <v>127</v>
      </c>
      <c r="C90" s="18" t="s">
        <v>817</v>
      </c>
      <c r="D90" s="19" t="str">
        <f ca="1">IFERROR(__xludf.DUMMYFUNCTION("GOOGLETRANSLATE(A90, ""ar"", ""en"")"),"Audi")</f>
        <v>Audi</v>
      </c>
      <c r="E90" s="19" t="str">
        <f ca="1">IFERROR(__xludf.DUMMYFUNCTION("GOOGLETRANSLATE(B90,""ar"",""en"")"),"Audi")</f>
        <v>Audi</v>
      </c>
      <c r="F90" s="19" t="str">
        <f ca="1">IFERROR(__xludf.DUMMYFUNCTION("GOOGLETRANSLATE(C90,""ar"",""en"")"),"A6 High Post")</f>
        <v>A6 High Post</v>
      </c>
      <c r="G90" t="str">
        <f ca="1">VLOOKUP(F:F,matching_transelated_with_ref!A:C,2,0)</f>
        <v>A6</v>
      </c>
      <c r="H90">
        <f>VLOOKUP(C:C,Sheet4!A:C,2,0)</f>
        <v>6</v>
      </c>
    </row>
    <row r="91" spans="1:8" ht="14.4">
      <c r="A91" s="18" t="s">
        <v>2136</v>
      </c>
      <c r="B91" s="18" t="s">
        <v>127</v>
      </c>
      <c r="C91" s="18" t="s">
        <v>1039</v>
      </c>
      <c r="D91" s="19" t="str">
        <f ca="1">IFERROR(__xludf.DUMMYFUNCTION("GOOGLETRANSLATE(A91, ""ar"", ""en"")"),"Audi")</f>
        <v>Audi</v>
      </c>
      <c r="E91" s="19" t="str">
        <f ca="1">IFERROR(__xludf.DUMMYFUNCTION("GOOGLETRANSLATE(B91,""ar"",""en"")"),"Audi")</f>
        <v>Audi</v>
      </c>
      <c r="F91" s="19" t="str">
        <f ca="1">IFERROR(__xludf.DUMMYFUNCTION("GOOGLETRANSLATE(C91,""ar"",""en"")"),"A 5")</f>
        <v>A 5</v>
      </c>
      <c r="G91" t="str">
        <f ca="1">VLOOKUP(F:F,matching_transelated_with_ref!A:C,2,0)</f>
        <v>A5</v>
      </c>
      <c r="H91">
        <f>VLOOKUP(C:C,Sheet4!A:C,2,0)</f>
        <v>5</v>
      </c>
    </row>
    <row r="92" spans="1:8" ht="14.4">
      <c r="A92" s="18" t="s">
        <v>2136</v>
      </c>
      <c r="B92" s="18" t="s">
        <v>127</v>
      </c>
      <c r="C92" s="18" t="s">
        <v>1040</v>
      </c>
      <c r="D92" s="19" t="str">
        <f ca="1">IFERROR(__xludf.DUMMYFUNCTION("GOOGLETRANSLATE(A92, ""ar"", ""en"")"),"Audi")</f>
        <v>Audi</v>
      </c>
      <c r="E92" s="19" t="str">
        <f ca="1">IFERROR(__xludf.DUMMYFUNCTION("GOOGLETRANSLATE(B92,""ar"",""en"")"),"Audi")</f>
        <v>Audi</v>
      </c>
      <c r="F92" s="19" t="str">
        <f ca="1">IFERROR(__xludf.DUMMYFUNCTION("GOOGLETRANSLATE(C92,""ar"",""en"")"),"A4")</f>
        <v>A4</v>
      </c>
      <c r="G92" t="str">
        <f ca="1">VLOOKUP(F:F,matching_transelated_with_ref!A:C,2,0)</f>
        <v>A4</v>
      </c>
      <c r="H92" t="e">
        <f>VLOOKUP(C:C,Sheet4!A:C,2,0)</f>
        <v>#N/A</v>
      </c>
    </row>
    <row r="93" spans="1:8" ht="14.4">
      <c r="A93" s="18" t="s">
        <v>2136</v>
      </c>
      <c r="B93" s="18" t="s">
        <v>127</v>
      </c>
      <c r="C93" s="18" t="s">
        <v>1042</v>
      </c>
      <c r="D93" s="19" t="str">
        <f ca="1">IFERROR(__xludf.DUMMYFUNCTION("GOOGLETRANSLATE(A93, ""ar"", ""en"")"),"Audi")</f>
        <v>Audi</v>
      </c>
      <c r="E93" s="19" t="str">
        <f ca="1">IFERROR(__xludf.DUMMYFUNCTION("GOOGLETRANSLATE(B93,""ar"",""en"")"),"Audi")</f>
        <v>Audi</v>
      </c>
      <c r="F93" s="19" t="str">
        <f ca="1">IFERROR(__xludf.DUMMYFUNCTION("GOOGLETRANSLATE(C93,""ar"",""en"")"),"Q3")</f>
        <v>Q3</v>
      </c>
      <c r="G93" t="str">
        <f ca="1">VLOOKUP(F:F,matching_transelated_with_ref!A:C,2,0)</f>
        <v>Q3</v>
      </c>
      <c r="H93" t="e">
        <f>VLOOKUP(C:C,Sheet4!A:C,2,0)</f>
        <v>#N/A</v>
      </c>
    </row>
    <row r="94" spans="1:8" ht="14.4">
      <c r="A94" s="18" t="s">
        <v>2136</v>
      </c>
      <c r="B94" s="18" t="s">
        <v>127</v>
      </c>
      <c r="C94" s="18" t="s">
        <v>134</v>
      </c>
      <c r="D94" s="19" t="str">
        <f ca="1">IFERROR(__xludf.DUMMYFUNCTION("GOOGLETRANSLATE(A94, ""ar"", ""en"")"),"Audi")</f>
        <v>Audi</v>
      </c>
      <c r="E94" s="19" t="str">
        <f ca="1">IFERROR(__xludf.DUMMYFUNCTION("GOOGLETRANSLATE(B94,""ar"",""en"")"),"Audi")</f>
        <v>Audi</v>
      </c>
      <c r="F94" s="19" t="str">
        <f ca="1">IFERROR(__xludf.DUMMYFUNCTION("GOOGLETRANSLATE(C94,""ar"",""en"")"),"A4")</f>
        <v>A4</v>
      </c>
      <c r="G94" t="str">
        <f ca="1">VLOOKUP(F:F,matching_transelated_with_ref!A:C,2,0)</f>
        <v>A4</v>
      </c>
      <c r="H94" t="str">
        <f>VLOOKUP(C:C,Sheet4!A:C,2,0)</f>
        <v>اير</v>
      </c>
    </row>
    <row r="95" spans="1:8" ht="14.4">
      <c r="A95" s="18" t="s">
        <v>2136</v>
      </c>
      <c r="B95" s="18" t="s">
        <v>127</v>
      </c>
      <c r="C95" s="18" t="s">
        <v>819</v>
      </c>
      <c r="D95" s="19" t="str">
        <f ca="1">IFERROR(__xludf.DUMMYFUNCTION("GOOGLETRANSLATE(A95, ""ar"", ""en"")"),"Audi")</f>
        <v>Audi</v>
      </c>
      <c r="E95" s="19" t="str">
        <f ca="1">IFERROR(__xludf.DUMMYFUNCTION("GOOGLETRANSLATE(B95,""ar"",""en"")"),"Audi")</f>
        <v>Audi</v>
      </c>
      <c r="F95" s="19" t="str">
        <f ca="1">IFERROR(__xludf.DUMMYFUNCTION("GOOGLETRANSLATE(C95,""ar"",""en"")"),"Q3")</f>
        <v>Q3</v>
      </c>
      <c r="G95" t="str">
        <f ca="1">VLOOKUP(F:F,matching_transelated_with_ref!A:C,2,0)</f>
        <v>Q3</v>
      </c>
      <c r="H95">
        <f>VLOOKUP(C:C,Sheet4!A:C,2,0)</f>
        <v>3</v>
      </c>
    </row>
    <row r="96" spans="1:8" ht="14.4">
      <c r="A96" s="18" t="s">
        <v>2136</v>
      </c>
      <c r="B96" s="18" t="s">
        <v>127</v>
      </c>
      <c r="C96" s="18" t="s">
        <v>136</v>
      </c>
      <c r="D96" s="19" t="str">
        <f ca="1">IFERROR(__xludf.DUMMYFUNCTION("GOOGLETRANSLATE(A96, ""ar"", ""en"")"),"Audi")</f>
        <v>Audi</v>
      </c>
      <c r="E96" s="19" t="str">
        <f ca="1">IFERROR(__xludf.DUMMYFUNCTION("GOOGLETRANSLATE(B96,""ar"",""en"")"),"Audi")</f>
        <v>Audi</v>
      </c>
      <c r="F96" s="19" t="str">
        <f ca="1">IFERROR(__xludf.DUMMYFUNCTION("GOOGLETRANSLATE(C96,""ar"",""en"")"),"Q2 -1.4")</f>
        <v>Q2 -1.4</v>
      </c>
      <c r="G96" t="e">
        <f ca="1">VLOOKUP(F:F,matching_transelated_with_ref!A:C,2,0)</f>
        <v>#N/A</v>
      </c>
      <c r="H96" t="e">
        <f>VLOOKUP(C:C,Sheet4!A:C,2,0)</f>
        <v>#N/A</v>
      </c>
    </row>
    <row r="97" spans="1:8" ht="14.4">
      <c r="A97" s="18" t="s">
        <v>2136</v>
      </c>
      <c r="B97" s="18" t="s">
        <v>127</v>
      </c>
      <c r="C97" s="18" t="s">
        <v>133</v>
      </c>
      <c r="D97" s="19" t="str">
        <f ca="1">IFERROR(__xludf.DUMMYFUNCTION("GOOGLETRANSLATE(A97, ""ar"", ""en"")"),"Audi")</f>
        <v>Audi</v>
      </c>
      <c r="E97" s="19" t="str">
        <f ca="1">IFERROR(__xludf.DUMMYFUNCTION("GOOGLETRANSLATE(B97,""ar"",""en"")"),"Audi")</f>
        <v>Audi</v>
      </c>
      <c r="F97" s="19" t="str">
        <f ca="1">IFERROR(__xludf.DUMMYFUNCTION("GOOGLETRANSLATE(C97,""ar"",""en"")"),"A3-1.4")</f>
        <v>A3-1.4</v>
      </c>
      <c r="G97" t="e">
        <f ca="1">VLOOKUP(F:F,matching_transelated_with_ref!A:C,2,0)</f>
        <v>#N/A</v>
      </c>
      <c r="H97" t="e">
        <f>VLOOKUP(C:C,Sheet4!A:C,2,0)</f>
        <v>#N/A</v>
      </c>
    </row>
    <row r="98" spans="1:8" ht="14.4">
      <c r="A98" s="18" t="s">
        <v>2136</v>
      </c>
      <c r="B98" s="18" t="s">
        <v>127</v>
      </c>
      <c r="C98" s="18" t="s">
        <v>816</v>
      </c>
      <c r="D98" s="19" t="str">
        <f ca="1">IFERROR(__xludf.DUMMYFUNCTION("GOOGLETRANSLATE(A98, ""ar"", ""en"")"),"Audi")</f>
        <v>Audi</v>
      </c>
      <c r="E98" s="19" t="str">
        <f ca="1">IFERROR(__xludf.DUMMYFUNCTION("GOOGLETRANSLATE(B98,""ar"",""en"")"),"Audi")</f>
        <v>Audi</v>
      </c>
      <c r="F98" s="19" t="str">
        <f ca="1">IFERROR(__xludf.DUMMYFUNCTION("GOOGLETRANSLATE(C98,""ar"",""en"")"),"S 8")</f>
        <v>S 8</v>
      </c>
      <c r="G98" t="str">
        <f ca="1">VLOOKUP(F:F,matching_transelated_with_ref!A:C,2,0)</f>
        <v>S8</v>
      </c>
      <c r="H98" t="e">
        <f>VLOOKUP(C:C,Sheet4!A:C,2,0)</f>
        <v>#N/A</v>
      </c>
    </row>
    <row r="99" spans="1:8" ht="14.4">
      <c r="A99" s="18" t="s">
        <v>2136</v>
      </c>
      <c r="B99" s="18" t="s">
        <v>127</v>
      </c>
      <c r="C99" s="18" t="s">
        <v>130</v>
      </c>
      <c r="D99" s="19" t="str">
        <f ca="1">IFERROR(__xludf.DUMMYFUNCTION("GOOGLETRANSLATE(A99, ""ar"", ""en"")"),"Audi")</f>
        <v>Audi</v>
      </c>
      <c r="E99" s="19" t="str">
        <f ca="1">IFERROR(__xludf.DUMMYFUNCTION("GOOGLETRANSLATE(B99,""ar"",""en"")"),"Audi")</f>
        <v>Audi</v>
      </c>
      <c r="F99" s="19" t="str">
        <f ca="1">IFERROR(__xludf.DUMMYFUNCTION("GOOGLETRANSLATE(C99,""ar"",""en"")"),"S 3")</f>
        <v>S 3</v>
      </c>
      <c r="G99" t="str">
        <f ca="1">VLOOKUP(F:F,matching_transelated_with_ref!A:C,2,0)</f>
        <v>S3</v>
      </c>
      <c r="H99">
        <f>VLOOKUP(C:C,Sheet4!A:C,2,0)</f>
        <v>3</v>
      </c>
    </row>
    <row r="100" spans="1:8" ht="14.4">
      <c r="A100" s="18" t="s">
        <v>2136</v>
      </c>
      <c r="B100" s="18" t="s">
        <v>127</v>
      </c>
      <c r="C100" s="18" t="s">
        <v>128</v>
      </c>
      <c r="D100" s="19" t="str">
        <f ca="1">IFERROR(__xludf.DUMMYFUNCTION("GOOGLETRANSLATE(A100, ""ar"", ""en"")"),"Audi")</f>
        <v>Audi</v>
      </c>
      <c r="E100" s="19" t="str">
        <f ca="1">IFERROR(__xludf.DUMMYFUNCTION("GOOGLETRANSLATE(B100,""ar"",""en"")"),"Audi")</f>
        <v>Audi</v>
      </c>
      <c r="F100" s="19" t="str">
        <f ca="1">IFERROR(__xludf.DUMMYFUNCTION("GOOGLETRANSLATE(C100,""ar"",""en"")"),"RS3 2.5")</f>
        <v>RS3 2.5</v>
      </c>
      <c r="G100" t="e">
        <f ca="1">VLOOKUP(F:F,matching_transelated_with_ref!A:C,2,0)</f>
        <v>#N/A</v>
      </c>
      <c r="H100">
        <f>VLOOKUP(C:C,Sheet4!A:C,2,0)</f>
        <v>3</v>
      </c>
    </row>
    <row r="101" spans="1:8" ht="14.4">
      <c r="A101" s="18" t="s">
        <v>1295</v>
      </c>
      <c r="B101" s="18" t="s">
        <v>1295</v>
      </c>
      <c r="C101" s="18" t="s">
        <v>1296</v>
      </c>
      <c r="D101" s="19" t="str">
        <f ca="1">IFERROR(__xludf.DUMMYFUNCTION("GOOGLETRANSLATE(A101, ""ar"", ""en"")"),"Pike")</f>
        <v>Pike</v>
      </c>
      <c r="E101" s="19" t="str">
        <f ca="1">IFERROR(__xludf.DUMMYFUNCTION("GOOGLETRANSLATE(B101,""ar"",""en"")"),"Pike")</f>
        <v>Pike</v>
      </c>
      <c r="F101" s="19" t="str">
        <f ca="1">IFERROR(__xludf.DUMMYFUNCTION("GOOGLETRANSLATE(C101,""ar"",""en"")"),"BJ 40 th")</f>
        <v>BJ 40 th</v>
      </c>
      <c r="G101" t="str">
        <f ca="1">VLOOKUP(F:F,matching_transelated_with_ref!A:C,2,0)</f>
        <v>Bj40</v>
      </c>
      <c r="H101" t="e">
        <f>VLOOKUP(C:C,Sheet4!A:C,2,0)</f>
        <v>#N/A</v>
      </c>
    </row>
    <row r="102" spans="1:8" ht="14.4">
      <c r="A102" s="18" t="s">
        <v>24</v>
      </c>
      <c r="B102" s="18" t="s">
        <v>24</v>
      </c>
      <c r="C102" s="18" t="s">
        <v>1298</v>
      </c>
      <c r="D102" s="19" t="str">
        <f ca="1">IFERROR(__xludf.DUMMYFUNCTION("GOOGLETRANSLATE(A102, ""ar"", ""en"")"),"Porsche")</f>
        <v>Porsche</v>
      </c>
      <c r="E102" s="19" t="str">
        <f ca="1">IFERROR(__xludf.DUMMYFUNCTION("GOOGLETRANSLATE(B102,""ar"",""en"")"),"Porsche")</f>
        <v>Porsche</v>
      </c>
      <c r="F102" s="19" t="str">
        <f ca="1">IFERROR(__xludf.DUMMYFUNCTION("GOOGLETRANSLATE(C102,""ar"",""en"")"),"911 Turbo S")</f>
        <v>911 Turbo S</v>
      </c>
      <c r="G102" t="e">
        <f ca="1">VLOOKUP(F:F,matching_transelated_with_ref!A:C,2,0)</f>
        <v>#N/A</v>
      </c>
      <c r="H102" t="e">
        <f>VLOOKUP(C:C,Sheet4!A:C,2,0)</f>
        <v>#N/A</v>
      </c>
    </row>
    <row r="103" spans="1:8" ht="14.4">
      <c r="A103" s="18" t="s">
        <v>24</v>
      </c>
      <c r="B103" s="18" t="s">
        <v>24</v>
      </c>
      <c r="C103" s="18" t="s">
        <v>1297</v>
      </c>
      <c r="D103" s="19" t="str">
        <f ca="1">IFERROR(__xludf.DUMMYFUNCTION("GOOGLETRANSLATE(A103, ""ar"", ""en"")"),"Porsche")</f>
        <v>Porsche</v>
      </c>
      <c r="E103" s="19" t="str">
        <f ca="1">IFERROR(__xludf.DUMMYFUNCTION("GOOGLETRANSLATE(B103,""ar"",""en"")"),"Porsche")</f>
        <v>Porsche</v>
      </c>
      <c r="F103" s="19" t="str">
        <f ca="1">IFERROR(__xludf.DUMMYFUNCTION("GOOGLETRANSLATE(C103,""ar"",""en"")"),"911 Turbo")</f>
        <v>911 Turbo</v>
      </c>
      <c r="G103" t="e">
        <f ca="1">VLOOKUP(F:F,matching_transelated_with_ref!A:C,2,0)</f>
        <v>#N/A</v>
      </c>
      <c r="H103" t="e">
        <f>VLOOKUP(C:C,Sheet4!A:C,2,0)</f>
        <v>#N/A</v>
      </c>
    </row>
    <row r="104" spans="1:8" ht="14.4">
      <c r="A104" s="18" t="s">
        <v>24</v>
      </c>
      <c r="B104" s="18" t="s">
        <v>24</v>
      </c>
      <c r="C104" s="18" t="s">
        <v>1299</v>
      </c>
      <c r="D104" s="19" t="str">
        <f ca="1">IFERROR(__xludf.DUMMYFUNCTION("GOOGLETRANSLATE(A104, ""ar"", ""en"")"),"Porsche")</f>
        <v>Porsche</v>
      </c>
      <c r="E104" s="19" t="str">
        <f ca="1">IFERROR(__xludf.DUMMYFUNCTION("GOOGLETRANSLATE(B104,""ar"",""en"")"),"Porsche")</f>
        <v>Porsche</v>
      </c>
      <c r="F104" s="19" t="str">
        <f ca="1">IFERROR(__xludf.DUMMYFUNCTION("GOOGLETRANSLATE(C104,""ar"",""en"")"),"911 GT 3")</f>
        <v>911 GT 3</v>
      </c>
      <c r="G104" t="e">
        <f ca="1">VLOOKUP(F:F,matching_transelated_with_ref!A:C,2,0)</f>
        <v>#N/A</v>
      </c>
      <c r="H104" t="e">
        <f>VLOOKUP(C:C,Sheet4!A:C,2,0)</f>
        <v>#N/A</v>
      </c>
    </row>
    <row r="105" spans="1:8" ht="14.4">
      <c r="A105" s="18" t="s">
        <v>24</v>
      </c>
      <c r="B105" s="18" t="s">
        <v>24</v>
      </c>
      <c r="C105" s="18" t="s">
        <v>834</v>
      </c>
      <c r="D105" s="19" t="str">
        <f ca="1">IFERROR(__xludf.DUMMYFUNCTION("GOOGLETRANSLATE(A105, ""ar"", ""en"")"),"Porsche")</f>
        <v>Porsche</v>
      </c>
      <c r="E105" s="19" t="str">
        <f ca="1">IFERROR(__xludf.DUMMYFUNCTION("GOOGLETRANSLATE(B105,""ar"",""en"")"),"Porsche")</f>
        <v>Porsche</v>
      </c>
      <c r="F105" s="19" t="str">
        <f ca="1">IFERROR(__xludf.DUMMYFUNCTION("GOOGLETRANSLATE(C105,""ar"",""en"")"),"911 Carrera 4S")</f>
        <v>911 Carrera 4S</v>
      </c>
      <c r="G105" t="e">
        <f ca="1">VLOOKUP(F:F,matching_transelated_with_ref!A:C,2,0)</f>
        <v>#N/A</v>
      </c>
      <c r="H105" t="str">
        <f>VLOOKUP(C:C,Sheet4!A:C,2,0)</f>
        <v>كاريرا -911</v>
      </c>
    </row>
    <row r="106" spans="1:8" ht="14.4">
      <c r="A106" s="18" t="s">
        <v>24</v>
      </c>
      <c r="B106" s="18" t="s">
        <v>24</v>
      </c>
      <c r="C106" s="18" t="s">
        <v>835</v>
      </c>
      <c r="D106" s="19" t="str">
        <f ca="1">IFERROR(__xludf.DUMMYFUNCTION("GOOGLETRANSLATE(A106, ""ar"", ""en"")"),"Porsche")</f>
        <v>Porsche</v>
      </c>
      <c r="E106" s="19" t="str">
        <f ca="1">IFERROR(__xludf.DUMMYFUNCTION("GOOGLETRANSLATE(B106,""ar"",""en"")"),"Porsche")</f>
        <v>Porsche</v>
      </c>
      <c r="F106" s="19" t="str">
        <f ca="1">IFERROR(__xludf.DUMMYFUNCTION("GOOGLETRANSLATE(C106,""ar"",""en"")"),"911 Carrera S")</f>
        <v>911 Carrera S</v>
      </c>
      <c r="G106" t="e">
        <f ca="1">VLOOKUP(F:F,matching_transelated_with_ref!A:C,2,0)</f>
        <v>#N/A</v>
      </c>
      <c r="H106" t="str">
        <f>VLOOKUP(C:C,Sheet4!A:C,2,0)</f>
        <v>كاريرا -911</v>
      </c>
    </row>
    <row r="107" spans="1:8" ht="14.4">
      <c r="A107" s="18" t="s">
        <v>24</v>
      </c>
      <c r="B107" s="18" t="s">
        <v>24</v>
      </c>
      <c r="C107" s="18" t="s">
        <v>1300</v>
      </c>
      <c r="D107" s="19" t="str">
        <f ca="1">IFERROR(__xludf.DUMMYFUNCTION("GOOGLETRANSLATE(A107, ""ar"", ""en"")"),"Porsche")</f>
        <v>Porsche</v>
      </c>
      <c r="E107" s="19" t="str">
        <f ca="1">IFERROR(__xludf.DUMMYFUNCTION("GOOGLETRANSLATE(B107,""ar"",""en"")"),"Porsche")</f>
        <v>Porsche</v>
      </c>
      <c r="F107" s="19" t="str">
        <f ca="1">IFERROR(__xludf.DUMMYFUNCTION("GOOGLETRANSLATE(C107,""ar"",""en"")"),"Panamera 4 Excivit")</f>
        <v>Panamera 4 Excivit</v>
      </c>
      <c r="G107" t="e">
        <f ca="1">VLOOKUP(F:F,matching_transelated_with_ref!A:C,2,0)</f>
        <v>#N/A</v>
      </c>
      <c r="H107" t="str">
        <f>VLOOKUP(C:C,Sheet4!A:C,2,0)</f>
        <v xml:space="preserve"> بانميرا</v>
      </c>
    </row>
    <row r="108" spans="1:8" ht="14.4">
      <c r="A108" s="18" t="s">
        <v>24</v>
      </c>
      <c r="B108" s="18" t="s">
        <v>24</v>
      </c>
      <c r="C108" s="18" t="s">
        <v>1051</v>
      </c>
      <c r="D108" s="19" t="str">
        <f ca="1">IFERROR(__xludf.DUMMYFUNCTION("GOOGLETRANSLATE(A108, ""ar"", ""en"")"),"Porsche")</f>
        <v>Porsche</v>
      </c>
      <c r="E108" s="19" t="str">
        <f ca="1">IFERROR(__xludf.DUMMYFUNCTION("GOOGLETRANSLATE(B108,""ar"",""en"")"),"Porsche")</f>
        <v>Porsche</v>
      </c>
      <c r="F108" s="19" t="str">
        <f ca="1">IFERROR(__xludf.DUMMYFUNCTION("GOOGLETRANSLATE(C108,""ar"",""en"")"),"Cayenne GTS")</f>
        <v>Cayenne GTS</v>
      </c>
      <c r="G108" t="e">
        <f ca="1">VLOOKUP(F:F,matching_transelated_with_ref!A:C,2,0)</f>
        <v>#N/A</v>
      </c>
      <c r="H108" t="str">
        <f>VLOOKUP(C:C,Sheet4!A:C,2,0)</f>
        <v xml:space="preserve"> كايين</v>
      </c>
    </row>
    <row r="109" spans="1:8" ht="14.4">
      <c r="A109" s="18" t="s">
        <v>24</v>
      </c>
      <c r="B109" s="18" t="s">
        <v>24</v>
      </c>
      <c r="C109" s="18" t="s">
        <v>155</v>
      </c>
      <c r="D109" s="19" t="str">
        <f ca="1">IFERROR(__xludf.DUMMYFUNCTION("GOOGLETRANSLATE(A109, ""ar"", ""en"")"),"Porsche")</f>
        <v>Porsche</v>
      </c>
      <c r="E109" s="19" t="str">
        <f ca="1">IFERROR(__xludf.DUMMYFUNCTION("GOOGLETRANSLATE(B109,""ar"",""en"")"),"Porsche")</f>
        <v>Porsche</v>
      </c>
      <c r="F109" s="19" t="str">
        <f ca="1">IFERROR(__xludf.DUMMYFUNCTION("GOOGLETRANSLATE(C109,""ar"",""en"")"),"Cayenne S.")</f>
        <v>Cayenne S.</v>
      </c>
      <c r="G109" t="str">
        <f ca="1">VLOOKUP(F:F,matching_transelated_with_ref!A:C,2,0)</f>
        <v>S</v>
      </c>
      <c r="H109" t="str">
        <f>VLOOKUP(C:C,Sheet4!A:C,2,0)</f>
        <v xml:space="preserve"> كايين</v>
      </c>
    </row>
    <row r="110" spans="1:8" ht="14.4">
      <c r="A110" s="18" t="s">
        <v>24</v>
      </c>
      <c r="B110" s="18" t="s">
        <v>24</v>
      </c>
      <c r="C110" s="18" t="s">
        <v>1049</v>
      </c>
      <c r="D110" s="19" t="str">
        <f ca="1">IFERROR(__xludf.DUMMYFUNCTION("GOOGLETRANSLATE(A110, ""ar"", ""en"")"),"Porsche")</f>
        <v>Porsche</v>
      </c>
      <c r="E110" s="19" t="str">
        <f ca="1">IFERROR(__xludf.DUMMYFUNCTION("GOOGLETRANSLATE(B110,""ar"",""en"")"),"Porsche")</f>
        <v>Porsche</v>
      </c>
      <c r="F110" s="19" t="str">
        <f ca="1">IFERROR(__xludf.DUMMYFUNCTION("GOOGLETRANSLATE(C110,""ar"",""en"")"),"Panamera")</f>
        <v>Panamera</v>
      </c>
      <c r="G110" t="e">
        <f ca="1">VLOOKUP(F:F,matching_transelated_with_ref!A:C,2,0)</f>
        <v>#N/A</v>
      </c>
      <c r="H110" t="str">
        <f>VLOOKUP(C:C,Sheet4!A:C,2,0)</f>
        <v xml:space="preserve"> بانميرا</v>
      </c>
    </row>
    <row r="111" spans="1:8" ht="14.4">
      <c r="A111" s="18" t="s">
        <v>24</v>
      </c>
      <c r="B111" s="18" t="s">
        <v>24</v>
      </c>
      <c r="C111" s="18" t="s">
        <v>154</v>
      </c>
      <c r="D111" s="19" t="str">
        <f ca="1">IFERROR(__xludf.DUMMYFUNCTION("GOOGLETRANSLATE(A111, ""ar"", ""en"")"),"Porsche")</f>
        <v>Porsche</v>
      </c>
      <c r="E111" s="19" t="str">
        <f ca="1">IFERROR(__xludf.DUMMYFUNCTION("GOOGLETRANSLATE(B111,""ar"",""en"")"),"Porsche")</f>
        <v>Porsche</v>
      </c>
      <c r="F111" s="19" t="str">
        <f ca="1">IFERROR(__xludf.DUMMYFUNCTION("GOOGLETRANSLATE(C111,""ar"",""en"")"),"Panomira 4S")</f>
        <v>Panomira 4S</v>
      </c>
      <c r="G111" t="e">
        <f ca="1">VLOOKUP(F:F,matching_transelated_with_ref!A:C,2,0)</f>
        <v>#N/A</v>
      </c>
      <c r="H111" t="str">
        <f>VLOOKUP(C:C,Sheet4!A:C,2,0)</f>
        <v xml:space="preserve"> بانميرا</v>
      </c>
    </row>
    <row r="112" spans="1:8" ht="14.4">
      <c r="A112" s="18" t="s">
        <v>24</v>
      </c>
      <c r="B112" s="18" t="s">
        <v>24</v>
      </c>
      <c r="C112" s="18" t="s">
        <v>839</v>
      </c>
      <c r="D112" s="19" t="str">
        <f ca="1">IFERROR(__xludf.DUMMYFUNCTION("GOOGLETRANSLATE(A112, ""ar"", ""en"")"),"Porsche")</f>
        <v>Porsche</v>
      </c>
      <c r="E112" s="19" t="str">
        <f ca="1">IFERROR(__xludf.DUMMYFUNCTION("GOOGLETRANSLATE(B112,""ar"",""en"")"),"Porsche")</f>
        <v>Porsche</v>
      </c>
      <c r="F112" s="19" t="str">
        <f ca="1">IFERROR(__xludf.DUMMYFUNCTION("GOOGLETRANSLATE(C112,""ar"",""en"")"),"Cayenne Hybrid")</f>
        <v>Cayenne Hybrid</v>
      </c>
      <c r="G112" t="e">
        <f ca="1">VLOOKUP(F:F,matching_transelated_with_ref!A:C,2,0)</f>
        <v>#N/A</v>
      </c>
      <c r="H112" t="str">
        <f>VLOOKUP(C:C,Sheet4!A:C,2,0)</f>
        <v xml:space="preserve"> كايين</v>
      </c>
    </row>
    <row r="113" spans="1:8" ht="14.4">
      <c r="A113" s="18" t="s">
        <v>24</v>
      </c>
      <c r="B113" s="18" t="s">
        <v>24</v>
      </c>
      <c r="C113" s="18" t="s">
        <v>1050</v>
      </c>
      <c r="D113" s="19" t="str">
        <f ca="1">IFERROR(__xludf.DUMMYFUNCTION("GOOGLETRANSLATE(A113, ""ar"", ""en"")"),"Porsche")</f>
        <v>Porsche</v>
      </c>
      <c r="E113" s="19" t="str">
        <f ca="1">IFERROR(__xludf.DUMMYFUNCTION("GOOGLETRANSLATE(B113,""ar"",""en"")"),"Porsche")</f>
        <v>Porsche</v>
      </c>
      <c r="F113" s="19" t="str">
        <f ca="1">IFERROR(__xludf.DUMMYFUNCTION("GOOGLETRANSLATE(C113,""ar"",""en"")"),"Panamera 4")</f>
        <v>Panamera 4</v>
      </c>
      <c r="G113" t="e">
        <f ca="1">VLOOKUP(F:F,matching_transelated_with_ref!A:C,2,0)</f>
        <v>#N/A</v>
      </c>
      <c r="H113" t="str">
        <f>VLOOKUP(C:C,Sheet4!A:C,2,0)</f>
        <v xml:space="preserve"> بانميرا</v>
      </c>
    </row>
    <row r="114" spans="1:8" ht="14.4">
      <c r="A114" s="18" t="s">
        <v>24</v>
      </c>
      <c r="B114" s="18" t="s">
        <v>24</v>
      </c>
      <c r="C114" s="18" t="s">
        <v>151</v>
      </c>
      <c r="D114" s="19" t="str">
        <f ca="1">IFERROR(__xludf.DUMMYFUNCTION("GOOGLETRANSLATE(A114, ""ar"", ""en"")"),"Porsche")</f>
        <v>Porsche</v>
      </c>
      <c r="E114" s="19" t="str">
        <f ca="1">IFERROR(__xludf.DUMMYFUNCTION("GOOGLETRANSLATE(B114,""ar"",""en"")"),"Porsche")</f>
        <v>Porsche</v>
      </c>
      <c r="F114" s="19" t="str">
        <f ca="1">IFERROR(__xludf.DUMMYFUNCTION("GOOGLETRANSLATE(C114,""ar"",""en"")"),"911 GT 2 RS")</f>
        <v>911 GT 2 RS</v>
      </c>
      <c r="G114" t="e">
        <f ca="1">VLOOKUP(F:F,matching_transelated_with_ref!A:C,2,0)</f>
        <v>#N/A</v>
      </c>
      <c r="H114" t="e">
        <f>VLOOKUP(C:C,Sheet4!A:C,2,0)</f>
        <v>#N/A</v>
      </c>
    </row>
    <row r="115" spans="1:8" ht="14.4">
      <c r="A115" s="18" t="s">
        <v>24</v>
      </c>
      <c r="B115" s="18" t="s">
        <v>24</v>
      </c>
      <c r="C115" s="18" t="s">
        <v>838</v>
      </c>
      <c r="D115" s="19" t="str">
        <f ca="1">IFERROR(__xludf.DUMMYFUNCTION("GOOGLETRANSLATE(A115, ""ar"", ""en"")"),"Porsche")</f>
        <v>Porsche</v>
      </c>
      <c r="E115" s="19" t="str">
        <f ca="1">IFERROR(__xludf.DUMMYFUNCTION("GOOGLETRANSLATE(B115,""ar"",""en"")"),"Porsche")</f>
        <v>Porsche</v>
      </c>
      <c r="F115" s="19" t="str">
        <f ca="1">IFERROR(__xludf.DUMMYFUNCTION("GOOGLETRANSLATE(C115,""ar"",""en"")"),"Cayenne")</f>
        <v>Cayenne</v>
      </c>
      <c r="G115" t="e">
        <f ca="1">VLOOKUP(F:F,matching_transelated_with_ref!A:C,2,0)</f>
        <v>#N/A</v>
      </c>
      <c r="H115" t="str">
        <f>VLOOKUP(C:C,Sheet4!A:C,2,0)</f>
        <v xml:space="preserve"> كايين</v>
      </c>
    </row>
    <row r="116" spans="1:8" ht="14.4">
      <c r="A116" s="18" t="s">
        <v>24</v>
      </c>
      <c r="B116" s="18" t="s">
        <v>24</v>
      </c>
      <c r="C116" s="18" t="s">
        <v>1301</v>
      </c>
      <c r="D116" s="19" t="str">
        <f ca="1">IFERROR(__xludf.DUMMYFUNCTION("GOOGLETRANSLATE(A116, ""ar"", ""en"")"),"Porsche")</f>
        <v>Porsche</v>
      </c>
      <c r="E116" s="19" t="str">
        <f ca="1">IFERROR(__xludf.DUMMYFUNCTION("GOOGLETRANSLATE(B116,""ar"",""en"")"),"Porsche")</f>
        <v>Porsche</v>
      </c>
      <c r="F116" s="19" t="str">
        <f ca="1">IFERROR(__xludf.DUMMYFUNCTION("GOOGLETRANSLATE(C116,""ar"",""en"")"),"Magtt SS")</f>
        <v>Magtt SS</v>
      </c>
      <c r="G116" t="e">
        <f ca="1">VLOOKUP(F:F,matching_transelated_with_ref!A:C,2,0)</f>
        <v>#N/A</v>
      </c>
      <c r="H116" t="str">
        <f>VLOOKUP(C:C,Sheet4!A:C,2,0)</f>
        <v xml:space="preserve"> ماكان</v>
      </c>
    </row>
    <row r="117" spans="1:8" ht="14.4">
      <c r="A117" s="18" t="s">
        <v>24</v>
      </c>
      <c r="B117" s="18" t="s">
        <v>24</v>
      </c>
      <c r="C117" s="18" t="s">
        <v>156</v>
      </c>
      <c r="D117" s="19" t="str">
        <f ca="1">IFERROR(__xludf.DUMMYFUNCTION("GOOGLETRANSLATE(A117, ""ar"", ""en"")"),"Porsche")</f>
        <v>Porsche</v>
      </c>
      <c r="E117" s="19" t="str">
        <f ca="1">IFERROR(__xludf.DUMMYFUNCTION("GOOGLETRANSLATE(B117,""ar"",""en"")"),"Porsche")</f>
        <v>Porsche</v>
      </c>
      <c r="F117" s="19" t="str">
        <f ca="1">IFERROR(__xludf.DUMMYFUNCTION("GOOGLETRANSLATE(C117,""ar"",""en"")"),"Cayenne Pesk")</f>
        <v>Cayenne Pesk</v>
      </c>
      <c r="G117" t="e">
        <f ca="1">VLOOKUP(F:F,matching_transelated_with_ref!A:C,2,0)</f>
        <v>#N/A</v>
      </c>
      <c r="H117" t="str">
        <f>VLOOKUP(C:C,Sheet4!A:C,2,0)</f>
        <v xml:space="preserve"> كايين</v>
      </c>
    </row>
    <row r="118" spans="1:8" ht="14.4">
      <c r="A118" s="18" t="s">
        <v>24</v>
      </c>
      <c r="B118" s="18" t="s">
        <v>24</v>
      </c>
      <c r="C118" s="18" t="s">
        <v>574</v>
      </c>
      <c r="D118" s="19" t="str">
        <f ca="1">IFERROR(__xludf.DUMMYFUNCTION("GOOGLETRANSLATE(A118, ""ar"", ""en"")"),"Porsche")</f>
        <v>Porsche</v>
      </c>
      <c r="E118" s="19" t="str">
        <f ca="1">IFERROR(__xludf.DUMMYFUNCTION("GOOGLETRANSLATE(B118,""ar"",""en"")"),"Porsche")</f>
        <v>Porsche</v>
      </c>
      <c r="F118" s="19" t="str">
        <f ca="1">IFERROR(__xludf.DUMMYFUNCTION("GOOGLETRANSLATE(C118,""ar"",""en"")"),"911 GT3 RS")</f>
        <v>911 GT3 RS</v>
      </c>
      <c r="G118" t="e">
        <f ca="1">VLOOKUP(F:F,matching_transelated_with_ref!A:C,2,0)</f>
        <v>#N/A</v>
      </c>
      <c r="H118" t="e">
        <f>VLOOKUP(C:C,Sheet4!A:C,2,0)</f>
        <v>#N/A</v>
      </c>
    </row>
    <row r="119" spans="1:8" ht="14.4">
      <c r="A119" s="18" t="s">
        <v>24</v>
      </c>
      <c r="B119" s="18" t="s">
        <v>24</v>
      </c>
      <c r="C119" s="18" t="s">
        <v>26</v>
      </c>
      <c r="D119" s="19" t="str">
        <f ca="1">IFERROR(__xludf.DUMMYFUNCTION("GOOGLETRANSLATE(A119, ""ar"", ""en"")"),"Porsche")</f>
        <v>Porsche</v>
      </c>
      <c r="E119" s="19" t="str">
        <f ca="1">IFERROR(__xludf.DUMMYFUNCTION("GOOGLETRANSLATE(B119,""ar"",""en"")"),"Porsche")</f>
        <v>Porsche</v>
      </c>
      <c r="F119" s="19" t="str">
        <f ca="1">IFERROR(__xludf.DUMMYFUNCTION("GOOGLETRANSLATE(C119,""ar"",""en"")"),"Kayman")</f>
        <v>Kayman</v>
      </c>
      <c r="G119" t="e">
        <f ca="1">VLOOKUP(F:F,matching_transelated_with_ref!A:C,2,0)</f>
        <v>#N/A</v>
      </c>
      <c r="H119" t="str">
        <f>VLOOKUP(C:C,Sheet4!A:C,2,0)</f>
        <v xml:space="preserve"> كايين</v>
      </c>
    </row>
    <row r="120" spans="1:8" ht="14.4">
      <c r="A120" s="18" t="s">
        <v>24</v>
      </c>
      <c r="B120" s="18" t="s">
        <v>24</v>
      </c>
      <c r="C120" s="18" t="s">
        <v>152</v>
      </c>
      <c r="D120" s="19" t="str">
        <f ca="1">IFERROR(__xludf.DUMMYFUNCTION("GOOGLETRANSLATE(A120, ""ar"", ""en"")"),"Porsche")</f>
        <v>Porsche</v>
      </c>
      <c r="E120" s="19" t="str">
        <f ca="1">IFERROR(__xludf.DUMMYFUNCTION("GOOGLETRANSLATE(B120,""ar"",""en"")"),"Porsche")</f>
        <v>Porsche</v>
      </c>
      <c r="F120" s="19" t="str">
        <f ca="1">IFERROR(__xludf.DUMMYFUNCTION("GOOGLETRANSLATE(C120,""ar"",""en"")"),"911 GT 3")</f>
        <v>911 GT 3</v>
      </c>
      <c r="G120" t="e">
        <f ca="1">VLOOKUP(F:F,matching_transelated_with_ref!A:C,2,0)</f>
        <v>#N/A</v>
      </c>
      <c r="H120" t="e">
        <f>VLOOKUP(C:C,Sheet4!A:C,2,0)</f>
        <v>#N/A</v>
      </c>
    </row>
    <row r="121" spans="1:8" ht="14.4">
      <c r="A121" s="18" t="s">
        <v>24</v>
      </c>
      <c r="B121" s="18" t="s">
        <v>24</v>
      </c>
      <c r="C121" s="18" t="s">
        <v>840</v>
      </c>
      <c r="D121" s="19" t="str">
        <f ca="1">IFERROR(__xludf.DUMMYFUNCTION("GOOGLETRANSLATE(A121, ""ar"", ""en"")"),"Porsche")</f>
        <v>Porsche</v>
      </c>
      <c r="E121" s="19" t="str">
        <f ca="1">IFERROR(__xludf.DUMMYFUNCTION("GOOGLETRANSLATE(B121,""ar"",""en"")"),"Porsche")</f>
        <v>Porsche</v>
      </c>
      <c r="F121" s="19" t="str">
        <f ca="1">IFERROR(__xludf.DUMMYFUNCTION("GOOGLETRANSLATE(C121,""ar"",""en"")"),"It was not")</f>
        <v>It was not</v>
      </c>
      <c r="G121" t="e">
        <f ca="1">VLOOKUP(F:F,matching_transelated_with_ref!A:C,2,0)</f>
        <v>#N/A</v>
      </c>
      <c r="H121" t="str">
        <f>VLOOKUP(C:C,Sheet4!A:C,2,0)</f>
        <v xml:space="preserve"> ماكان</v>
      </c>
    </row>
    <row r="122" spans="1:8" ht="14.4">
      <c r="A122" s="18" t="s">
        <v>24</v>
      </c>
      <c r="B122" s="18" t="s">
        <v>24</v>
      </c>
      <c r="C122" s="18" t="s">
        <v>837</v>
      </c>
      <c r="D122" s="19" t="str">
        <f ca="1">IFERROR(__xludf.DUMMYFUNCTION("GOOGLETRANSLATE(A122, ""ar"", ""en"")"),"Porsche")</f>
        <v>Porsche</v>
      </c>
      <c r="E122" s="19" t="str">
        <f ca="1">IFERROR(__xludf.DUMMYFUNCTION("GOOGLETRANSLATE(B122,""ar"",""en"")"),"Porsche")</f>
        <v>Porsche</v>
      </c>
      <c r="F122" s="19" t="str">
        <f ca="1">IFERROR(__xludf.DUMMYFUNCTION("GOOGLETRANSLATE(C122,""ar"",""en"")"),"Kayman 718")</f>
        <v>Kayman 718</v>
      </c>
      <c r="G122">
        <f ca="1">VLOOKUP(F:F,matching_transelated_with_ref!A:C,2,0)</f>
        <v>718</v>
      </c>
      <c r="H122">
        <f>VLOOKUP(C:C,Sheet4!A:C,2,0)</f>
        <v>718</v>
      </c>
    </row>
    <row r="123" spans="1:8" ht="14.4">
      <c r="A123" s="18" t="s">
        <v>24</v>
      </c>
      <c r="B123" s="18" t="s">
        <v>24</v>
      </c>
      <c r="C123" s="18" t="s">
        <v>832</v>
      </c>
      <c r="D123" s="19" t="str">
        <f ca="1">IFERROR(__xludf.DUMMYFUNCTION("GOOGLETRANSLATE(A123, ""ar"", ""en"")"),"Porsche")</f>
        <v>Porsche</v>
      </c>
      <c r="E123" s="19" t="str">
        <f ca="1">IFERROR(__xludf.DUMMYFUNCTION("GOOGLETRANSLATE(B123,""ar"",""en"")"),"Porsche")</f>
        <v>Porsche</v>
      </c>
      <c r="F123" s="19" t="str">
        <f ca="1">IFERROR(__xludf.DUMMYFUNCTION("GOOGLETRANSLATE(C123,""ar"",""en"")"),"718 Kayman S")</f>
        <v>718 Kayman S</v>
      </c>
      <c r="G123" t="e">
        <f ca="1">VLOOKUP(F:F,matching_transelated_with_ref!A:C,2,0)</f>
        <v>#N/A</v>
      </c>
      <c r="H123">
        <f>VLOOKUP(C:C,Sheet4!A:C,2,0)</f>
        <v>718</v>
      </c>
    </row>
    <row r="124" spans="1:8" ht="14.4">
      <c r="A124" s="18" t="s">
        <v>24</v>
      </c>
      <c r="B124" s="18" t="s">
        <v>24</v>
      </c>
      <c r="C124" s="18" t="s">
        <v>833</v>
      </c>
      <c r="D124" s="19" t="str">
        <f ca="1">IFERROR(__xludf.DUMMYFUNCTION("GOOGLETRANSLATE(A124, ""ar"", ""en"")"),"Porsche")</f>
        <v>Porsche</v>
      </c>
      <c r="E124" s="19" t="str">
        <f ca="1">IFERROR(__xludf.DUMMYFUNCTION("GOOGLETRANSLATE(B124,""ar"",""en"")"),"Porsche")</f>
        <v>Porsche</v>
      </c>
      <c r="F124" s="19" t="str">
        <f ca="1">IFERROR(__xludf.DUMMYFUNCTION("GOOGLETRANSLATE(C124,""ar"",""en"")"),"911 Carrera")</f>
        <v>911 Carrera</v>
      </c>
      <c r="G124" t="e">
        <f ca="1">VLOOKUP(F:F,matching_transelated_with_ref!A:C,2,0)</f>
        <v>#N/A</v>
      </c>
      <c r="H124" t="str">
        <f>VLOOKUP(C:C,Sheet4!A:C,2,0)</f>
        <v>كاريرا -911</v>
      </c>
    </row>
    <row r="125" spans="1:8" ht="14.4">
      <c r="A125" s="18" t="s">
        <v>24</v>
      </c>
      <c r="B125" s="18" t="s">
        <v>24</v>
      </c>
      <c r="C125" s="18" t="s">
        <v>836</v>
      </c>
      <c r="D125" s="19" t="str">
        <f ca="1">IFERROR(__xludf.DUMMYFUNCTION("GOOGLETRANSLATE(A125, ""ar"", ""en"")"),"Porsche")</f>
        <v>Porsche</v>
      </c>
      <c r="E125" s="19" t="str">
        <f ca="1">IFERROR(__xludf.DUMMYFUNCTION("GOOGLETRANSLATE(B125,""ar"",""en"")"),"Porsche")</f>
        <v>Porsche</v>
      </c>
      <c r="F125" s="19" t="str">
        <f ca="1">IFERROR(__xludf.DUMMYFUNCTION("GOOGLETRANSLATE(C125,""ar"",""en"")"),"Panira GTS")</f>
        <v>Panira GTS</v>
      </c>
      <c r="G125" t="e">
        <f ca="1">VLOOKUP(F:F,matching_transelated_with_ref!A:C,2,0)</f>
        <v>#N/A</v>
      </c>
      <c r="H125" t="str">
        <f>VLOOKUP(C:C,Sheet4!A:C,2,0)</f>
        <v xml:space="preserve"> بانميرا</v>
      </c>
    </row>
    <row r="126" spans="1:8" ht="14.4">
      <c r="A126" s="18" t="s">
        <v>24</v>
      </c>
      <c r="B126" s="18" t="s">
        <v>24</v>
      </c>
      <c r="C126" s="18" t="s">
        <v>157</v>
      </c>
      <c r="D126" s="19" t="str">
        <f ca="1">IFERROR(__xludf.DUMMYFUNCTION("GOOGLETRANSLATE(A126, ""ar"", ""en"")"),"Porsche")</f>
        <v>Porsche</v>
      </c>
      <c r="E126" s="19" t="str">
        <f ca="1">IFERROR(__xludf.DUMMYFUNCTION("GOOGLETRANSLATE(B126,""ar"",""en"")"),"Porsche")</f>
        <v>Porsche</v>
      </c>
      <c r="F126" s="19" t="str">
        <f ca="1">IFERROR(__xludf.DUMMYFUNCTION("GOOGLETRANSLATE(C126,""ar"",""en"")"),"What was")</f>
        <v>What was</v>
      </c>
      <c r="G126" t="e">
        <f ca="1">VLOOKUP(F:F,matching_transelated_with_ref!A:C,2,0)</f>
        <v>#N/A</v>
      </c>
      <c r="H126" t="str">
        <f>VLOOKUP(C:C,Sheet4!A:C,2,0)</f>
        <v xml:space="preserve"> ماكان</v>
      </c>
    </row>
    <row r="127" spans="1:8" ht="14.4">
      <c r="A127" s="18" t="s">
        <v>24</v>
      </c>
      <c r="B127" s="18" t="s">
        <v>24</v>
      </c>
      <c r="C127" s="18" t="s">
        <v>153</v>
      </c>
      <c r="D127" s="19" t="str">
        <f ca="1">IFERROR(__xludf.DUMMYFUNCTION("GOOGLETRANSLATE(A127, ""ar"", ""en"")"),"Porsche")</f>
        <v>Porsche</v>
      </c>
      <c r="E127" s="19" t="str">
        <f ca="1">IFERROR(__xludf.DUMMYFUNCTION("GOOGLETRANSLATE(B127,""ar"",""en"")"),"Porsche")</f>
        <v>Porsche</v>
      </c>
      <c r="F127" s="19" t="str">
        <f ca="1">IFERROR(__xludf.DUMMYFUNCTION("GOOGLETRANSLATE(C127,""ar"",""en"")"),"Panamera Pesc")</f>
        <v>Panamera Pesc</v>
      </c>
      <c r="G127" t="e">
        <f ca="1">VLOOKUP(F:F,matching_transelated_with_ref!A:C,2,0)</f>
        <v>#N/A</v>
      </c>
      <c r="H127" t="str">
        <f>VLOOKUP(C:C,Sheet4!A:C,2,0)</f>
        <v xml:space="preserve"> بانميرا</v>
      </c>
    </row>
    <row r="128" spans="1:8" ht="14.4">
      <c r="A128" s="18" t="s">
        <v>24</v>
      </c>
      <c r="B128" s="18" t="s">
        <v>24</v>
      </c>
      <c r="C128" s="18" t="s">
        <v>25</v>
      </c>
      <c r="D128" s="19" t="str">
        <f ca="1">IFERROR(__xludf.DUMMYFUNCTION("GOOGLETRANSLATE(A128, ""ar"", ""en"")"),"Porsche")</f>
        <v>Porsche</v>
      </c>
      <c r="E128" s="19" t="str">
        <f ca="1">IFERROR(__xludf.DUMMYFUNCTION("GOOGLETRANSLATE(B128,""ar"",""en"")"),"Porsche")</f>
        <v>Porsche</v>
      </c>
      <c r="F128" s="19" t="str">
        <f ca="1">IFERROR(__xludf.DUMMYFUNCTION("GOOGLETRANSLATE(C128,""ar"",""en"")"),"Panomera")</f>
        <v>Panomera</v>
      </c>
      <c r="G128" t="e">
        <f ca="1">VLOOKUP(F:F,matching_transelated_with_ref!A:C,2,0)</f>
        <v>#N/A</v>
      </c>
      <c r="H128" t="str">
        <f>VLOOKUP(C:C,Sheet4!A:C,2,0)</f>
        <v xml:space="preserve"> بانميرا</v>
      </c>
    </row>
    <row r="129" spans="1:8" ht="14.4">
      <c r="A129" s="18" t="s">
        <v>1052</v>
      </c>
      <c r="B129" s="18" t="s">
        <v>66</v>
      </c>
      <c r="C129" s="18" t="s">
        <v>1053</v>
      </c>
      <c r="D129" s="19" t="str">
        <f ca="1">IFERROR(__xludf.DUMMYFUNCTION("GOOGLETRANSLATE(A129, ""ar"", ""en"")"),"Bumaj")</f>
        <v>Bumaj</v>
      </c>
      <c r="E129" s="19" t="str">
        <f ca="1">IFERROR(__xludf.DUMMYFUNCTION("GOOGLETRANSLATE(B129,""ar"",""en"")"),"stomach")</f>
        <v>stomach</v>
      </c>
      <c r="F129" s="19" t="str">
        <f ca="1">IFERROR(__xludf.DUMMYFUNCTION("GOOGLETRANSLATE(C129,""ar"",""en"")"),"BF 800 c")</f>
        <v>BF 800 c</v>
      </c>
      <c r="G129" t="e">
        <f ca="1">VLOOKUP(F:F,matching_transelated_with_ref!A:C,2,0)</f>
        <v>#N/A</v>
      </c>
      <c r="H129" t="e">
        <f>VLOOKUP(C:C,Sheet4!A:C,2,0)</f>
        <v>#N/A</v>
      </c>
    </row>
    <row r="130" spans="1:8" ht="14.4">
      <c r="A130" s="18" t="s">
        <v>158</v>
      </c>
      <c r="B130" s="18" t="s">
        <v>158</v>
      </c>
      <c r="C130" s="18" t="s">
        <v>1060</v>
      </c>
      <c r="D130" s="19" t="str">
        <f ca="1">IFERROR(__xludf.DUMMYFUNCTION("GOOGLETRANSLATE(A130, ""ar"", ""en"")"),"BMW")</f>
        <v>BMW</v>
      </c>
      <c r="E130" s="19" t="str">
        <f ca="1">IFERROR(__xludf.DUMMYFUNCTION("GOOGLETRANSLATE(B130,""ar"",""en"")"),"BMW")</f>
        <v>BMW</v>
      </c>
      <c r="F130" s="19" t="str">
        <f ca="1">IFERROR(__xludf.DUMMYFUNCTION("GOOGLETRANSLATE(C130,""ar"",""en"")"),"X6 m50 any")</f>
        <v>X6 m50 any</v>
      </c>
      <c r="G130" t="str">
        <f ca="1">VLOOKUP(F:F,matching_transelated_with_ref!A:C,2,0)</f>
        <v>X6</v>
      </c>
      <c r="H130" t="e">
        <f>VLOOKUP(C:C,Sheet4!A:C,2,0)</f>
        <v>#N/A</v>
      </c>
    </row>
    <row r="131" spans="1:8" ht="14.4">
      <c r="A131" s="18" t="s">
        <v>158</v>
      </c>
      <c r="B131" s="18" t="s">
        <v>158</v>
      </c>
      <c r="C131" s="18" t="s">
        <v>1061</v>
      </c>
      <c r="D131" s="19" t="str">
        <f ca="1">IFERROR(__xludf.DUMMYFUNCTION("GOOGLETRANSLATE(A131, ""ar"", ""en"")"),"BMW")</f>
        <v>BMW</v>
      </c>
      <c r="E131" s="19" t="str">
        <f ca="1">IFERROR(__xludf.DUMMYFUNCTION("GOOGLETRANSLATE(B131,""ar"",""en"")"),"BMW")</f>
        <v>BMW</v>
      </c>
      <c r="F131" s="19" t="str">
        <f ca="1">IFERROR(__xludf.DUMMYFUNCTION("GOOGLETRANSLATE(C131,""ar"",""en"")"),"M. 3")</f>
        <v>M. 3</v>
      </c>
      <c r="G131" t="str">
        <f ca="1">VLOOKUP(F:F,matching_transelated_with_ref!A:C,2,0)</f>
        <v>M3</v>
      </c>
      <c r="H131">
        <f>VLOOKUP(C:C,Sheet4!A:C,2,0)</f>
        <v>3</v>
      </c>
    </row>
    <row r="132" spans="1:8" ht="14.4">
      <c r="A132" s="18" t="s">
        <v>158</v>
      </c>
      <c r="B132" s="18" t="s">
        <v>158</v>
      </c>
      <c r="C132" s="18" t="s">
        <v>1303</v>
      </c>
      <c r="D132" s="19" t="str">
        <f ca="1">IFERROR(__xludf.DUMMYFUNCTION("GOOGLETRANSLATE(A132, ""ar"", ""en"")"),"BMW")</f>
        <v>BMW</v>
      </c>
      <c r="E132" s="19" t="str">
        <f ca="1">IFERROR(__xludf.DUMMYFUNCTION("GOOGLETRANSLATE(B132,""ar"",""en"")"),"BMW")</f>
        <v>BMW</v>
      </c>
      <c r="F132" s="19" t="str">
        <f ca="1">IFERROR(__xludf.DUMMYFUNCTION("GOOGLETRANSLATE(C132,""ar"",""en"")"),"X5M 50 i")</f>
        <v>X5M 50 i</v>
      </c>
      <c r="G132" t="e">
        <f ca="1">VLOOKUP(F:F,matching_transelated_with_ref!A:C,2,0)</f>
        <v>#N/A</v>
      </c>
      <c r="H132" t="e">
        <f>VLOOKUP(C:C,Sheet4!A:C,2,0)</f>
        <v>#N/A</v>
      </c>
    </row>
    <row r="133" spans="1:8" ht="14.4">
      <c r="A133" s="18" t="s">
        <v>158</v>
      </c>
      <c r="B133" s="18" t="s">
        <v>158</v>
      </c>
      <c r="C133" s="18" t="s">
        <v>581</v>
      </c>
      <c r="D133" s="19" t="str">
        <f ca="1">IFERROR(__xludf.DUMMYFUNCTION("GOOGLETRANSLATE(A133, ""ar"", ""en"")"),"BMW")</f>
        <v>BMW</v>
      </c>
      <c r="E133" s="19" t="str">
        <f ca="1">IFERROR(__xludf.DUMMYFUNCTION("GOOGLETRANSLATE(B133,""ar"",""en"")"),"BMW")</f>
        <v>BMW</v>
      </c>
      <c r="F133" s="19" t="str">
        <f ca="1">IFERROR(__xludf.DUMMYFUNCTION("GOOGLETRANSLATE(C133,""ar"",""en"")"),"X7 40 i")</f>
        <v>X7 40 i</v>
      </c>
      <c r="G133" t="str">
        <f ca="1">VLOOKUP(F:F,matching_transelated_with_ref!A:C,2,0)</f>
        <v>X7</v>
      </c>
      <c r="H133" t="e">
        <f>VLOOKUP(C:C,Sheet4!A:C,2,0)</f>
        <v>#N/A</v>
      </c>
    </row>
    <row r="134" spans="1:8" ht="14.4">
      <c r="A134" s="18" t="s">
        <v>158</v>
      </c>
      <c r="B134" s="18" t="s">
        <v>158</v>
      </c>
      <c r="C134" s="18" t="s">
        <v>162</v>
      </c>
      <c r="D134" s="19" t="str">
        <f ca="1">IFERROR(__xludf.DUMMYFUNCTION("GOOGLETRANSLATE(A134, ""ar"", ""en"")"),"BMW")</f>
        <v>BMW</v>
      </c>
      <c r="E134" s="19" t="str">
        <f ca="1">IFERROR(__xludf.DUMMYFUNCTION("GOOGLETRANSLATE(B134,""ar"",""en"")"),"BMW")</f>
        <v>BMW</v>
      </c>
      <c r="F134" s="19" t="str">
        <f ca="1">IFERROR(__xludf.DUMMYFUNCTION("GOOGLETRANSLATE(C134,""ar"",""en"")"),"730 LI")</f>
        <v>730 LI</v>
      </c>
      <c r="G134" t="str">
        <f ca="1">VLOOKUP(F:F,matching_transelated_with_ref!A:C,2,0)</f>
        <v>730Li</v>
      </c>
      <c r="H134" t="e">
        <f>VLOOKUP(C:C,Sheet4!A:C,2,0)</f>
        <v>#N/A</v>
      </c>
    </row>
    <row r="135" spans="1:8" ht="14.4">
      <c r="A135" s="18" t="s">
        <v>158</v>
      </c>
      <c r="B135" s="18" t="s">
        <v>158</v>
      </c>
      <c r="C135" s="18" t="s">
        <v>845</v>
      </c>
      <c r="D135" s="19" t="str">
        <f ca="1">IFERROR(__xludf.DUMMYFUNCTION("GOOGLETRANSLATE(A135, ""ar"", ""en"")"),"BMW")</f>
        <v>BMW</v>
      </c>
      <c r="E135" s="19" t="str">
        <f ca="1">IFERROR(__xludf.DUMMYFUNCTION("GOOGLETRANSLATE(B135,""ar"",""en"")"),"BMW")</f>
        <v>BMW</v>
      </c>
      <c r="F135" s="19" t="str">
        <f ca="1">IFERROR(__xludf.DUMMYFUNCTION("GOOGLETRANSLATE(C135,""ar"",""en"")"),"X6 40 i")</f>
        <v>X6 40 i</v>
      </c>
      <c r="G135" t="str">
        <f ca="1">VLOOKUP(F:F,matching_transelated_with_ref!A:C,2,0)</f>
        <v>X6</v>
      </c>
      <c r="H135" t="e">
        <f>VLOOKUP(C:C,Sheet4!A:C,2,0)</f>
        <v>#N/A</v>
      </c>
    </row>
    <row r="136" spans="1:8" ht="14.4">
      <c r="A136" s="18" t="s">
        <v>158</v>
      </c>
      <c r="B136" s="18" t="s">
        <v>158</v>
      </c>
      <c r="C136" s="18" t="s">
        <v>579</v>
      </c>
      <c r="D136" s="19" t="str">
        <f ca="1">IFERROR(__xludf.DUMMYFUNCTION("GOOGLETRANSLATE(A136, ""ar"", ""en"")"),"BMW")</f>
        <v>BMW</v>
      </c>
      <c r="E136" s="19" t="str">
        <f ca="1">IFERROR(__xludf.DUMMYFUNCTION("GOOGLETRANSLATE(B136,""ar"",""en"")"),"BMW")</f>
        <v>BMW</v>
      </c>
      <c r="F136" s="19" t="str">
        <f ca="1">IFERROR(__xludf.DUMMYFUNCTION("GOOGLETRANSLATE(C136,""ar"",""en"")"),"X5 40 i")</f>
        <v>X5 40 i</v>
      </c>
      <c r="G136" t="str">
        <f ca="1">VLOOKUP(F:F,matching_transelated_with_ref!A:C,2,0)</f>
        <v>X5</v>
      </c>
      <c r="H136" t="e">
        <f>VLOOKUP(C:C,Sheet4!A:C,2,0)</f>
        <v>#N/A</v>
      </c>
    </row>
    <row r="137" spans="1:8" ht="14.4">
      <c r="A137" s="18" t="s">
        <v>158</v>
      </c>
      <c r="B137" s="18" t="s">
        <v>158</v>
      </c>
      <c r="C137" s="18" t="s">
        <v>1058</v>
      </c>
      <c r="D137" s="19" t="str">
        <f ca="1">IFERROR(__xludf.DUMMYFUNCTION("GOOGLETRANSLATE(A137, ""ar"", ""en"")"),"BMW")</f>
        <v>BMW</v>
      </c>
      <c r="E137" s="19" t="str">
        <f ca="1">IFERROR(__xludf.DUMMYFUNCTION("GOOGLETRANSLATE(B137,""ar"",""en"")"),"BMW")</f>
        <v>BMW</v>
      </c>
      <c r="F137" s="19" t="str">
        <f ca="1">IFERROR(__xludf.DUMMYFUNCTION("GOOGLETRANSLATE(C137,""ar"",""en"")"),"X4 m 40 any")</f>
        <v>X4 m 40 any</v>
      </c>
      <c r="G137" t="e">
        <f ca="1">VLOOKUP(F:F,matching_transelated_with_ref!A:C,2,0)</f>
        <v>#N/A</v>
      </c>
      <c r="H137" t="e">
        <f>VLOOKUP(C:C,Sheet4!A:C,2,0)</f>
        <v>#N/A</v>
      </c>
    </row>
    <row r="138" spans="1:8" ht="14.4">
      <c r="A138" s="18" t="s">
        <v>158</v>
      </c>
      <c r="B138" s="18" t="s">
        <v>158</v>
      </c>
      <c r="C138" s="18" t="s">
        <v>163</v>
      </c>
      <c r="D138" s="19" t="str">
        <f ca="1">IFERROR(__xludf.DUMMYFUNCTION("GOOGLETRANSLATE(A138, ""ar"", ""en"")"),"BMW")</f>
        <v>BMW</v>
      </c>
      <c r="E138" s="19" t="str">
        <f ca="1">IFERROR(__xludf.DUMMYFUNCTION("GOOGLETRANSLATE(B138,""ar"",""en"")"),"BMW")</f>
        <v>BMW</v>
      </c>
      <c r="F138" s="19" t="str">
        <f ca="1">IFERROR(__xludf.DUMMYFUNCTION("GOOGLETRANSLATE(C138,""ar"",""en"")"),"740 LI")</f>
        <v>740 LI</v>
      </c>
      <c r="G138" t="str">
        <f ca="1">VLOOKUP(F:F,matching_transelated_with_ref!A:C,2,0)</f>
        <v xml:space="preserve">740Li </v>
      </c>
      <c r="H138" t="e">
        <f>VLOOKUP(C:C,Sheet4!A:C,2,0)</f>
        <v>#N/A</v>
      </c>
    </row>
    <row r="139" spans="1:8" ht="14.4">
      <c r="A139" s="18" t="s">
        <v>158</v>
      </c>
      <c r="B139" s="18" t="s">
        <v>158</v>
      </c>
      <c r="C139" s="18" t="s">
        <v>580</v>
      </c>
      <c r="D139" s="19" t="str">
        <f ca="1">IFERROR(__xludf.DUMMYFUNCTION("GOOGLETRANSLATE(A139, ""ar"", ""en"")"),"BMW")</f>
        <v>BMW</v>
      </c>
      <c r="E139" s="19" t="str">
        <f ca="1">IFERROR(__xludf.DUMMYFUNCTION("GOOGLETRANSLATE(B139,""ar"",""en"")"),"BMW")</f>
        <v>BMW</v>
      </c>
      <c r="F139" s="19" t="str">
        <f ca="1">IFERROR(__xludf.DUMMYFUNCTION("GOOGLETRANSLATE(C139,""ar"",""en"")"),"X7 50 i")</f>
        <v>X7 50 i</v>
      </c>
      <c r="G139" t="e">
        <f ca="1">VLOOKUP(F:F,matching_transelated_with_ref!A:C,2,0)</f>
        <v>#N/A</v>
      </c>
      <c r="H139" t="e">
        <f>VLOOKUP(C:C,Sheet4!A:C,2,0)</f>
        <v>#N/A</v>
      </c>
    </row>
    <row r="140" spans="1:8" ht="14.4">
      <c r="A140" s="18" t="s">
        <v>158</v>
      </c>
      <c r="B140" s="18" t="s">
        <v>158</v>
      </c>
      <c r="C140" s="18" t="s">
        <v>161</v>
      </c>
      <c r="D140" s="19" t="str">
        <f ca="1">IFERROR(__xludf.DUMMYFUNCTION("GOOGLETRANSLATE(A140, ""ar"", ""en"")"),"BMW")</f>
        <v>BMW</v>
      </c>
      <c r="E140" s="19" t="str">
        <f ca="1">IFERROR(__xludf.DUMMYFUNCTION("GOOGLETRANSLATE(B140,""ar"",""en"")"),"BMW")</f>
        <v>BMW</v>
      </c>
      <c r="F140" s="19" t="str">
        <f ca="1">IFERROR(__xludf.DUMMYFUNCTION("GOOGLETRANSLATE(C140,""ar"",""en"")"),"530 i")</f>
        <v>530 i</v>
      </c>
      <c r="G140" t="str">
        <f ca="1">VLOOKUP(F:F,matching_transelated_with_ref!A:C,2,0)</f>
        <v xml:space="preserve">530i </v>
      </c>
      <c r="H140" t="e">
        <f>VLOOKUP(C:C,Sheet4!A:C,2,0)</f>
        <v>#N/A</v>
      </c>
    </row>
    <row r="141" spans="1:8" ht="14.4">
      <c r="A141" s="18" t="s">
        <v>158</v>
      </c>
      <c r="B141" s="18" t="s">
        <v>158</v>
      </c>
      <c r="C141" s="18" t="s">
        <v>1059</v>
      </c>
      <c r="D141" s="19" t="str">
        <f ca="1">IFERROR(__xludf.DUMMYFUNCTION("GOOGLETRANSLATE(A141, ""ar"", ""en"")"),"BMW")</f>
        <v>BMW</v>
      </c>
      <c r="E141" s="19" t="str">
        <f ca="1">IFERROR(__xludf.DUMMYFUNCTION("GOOGLETRANSLATE(B141,""ar"",""en"")"),"BMW")</f>
        <v>BMW</v>
      </c>
      <c r="F141" s="19" t="str">
        <f ca="1">IFERROR(__xludf.DUMMYFUNCTION("GOOGLETRANSLATE(C141,""ar"",""en"")"),"X6 m")</f>
        <v>X6 m</v>
      </c>
      <c r="G141" t="str">
        <f ca="1">VLOOKUP(F:F,matching_transelated_with_ref!A:C,2,0)</f>
        <v>X6</v>
      </c>
      <c r="H141" t="e">
        <f>VLOOKUP(C:C,Sheet4!A:C,2,0)</f>
        <v>#N/A</v>
      </c>
    </row>
    <row r="142" spans="1:8" ht="14.4">
      <c r="A142" s="18" t="s">
        <v>158</v>
      </c>
      <c r="B142" s="18" t="s">
        <v>158</v>
      </c>
      <c r="C142" s="18" t="s">
        <v>1062</v>
      </c>
      <c r="D142" s="19" t="str">
        <f ca="1">IFERROR(__xludf.DUMMYFUNCTION("GOOGLETRANSLATE(A142, ""ar"", ""en"")"),"BMW")</f>
        <v>BMW</v>
      </c>
      <c r="E142" s="19" t="str">
        <f ca="1">IFERROR(__xludf.DUMMYFUNCTION("GOOGLETRANSLATE(B142,""ar"",""en"")"),"BMW")</f>
        <v>BMW</v>
      </c>
      <c r="F142" s="19" t="str">
        <f ca="1">IFERROR(__xludf.DUMMYFUNCTION("GOOGLETRANSLATE(C142,""ar"",""en"")"),"M4")</f>
        <v>M4</v>
      </c>
      <c r="G142" t="str">
        <f ca="1">VLOOKUP(F:F,matching_transelated_with_ref!A:C,2,0)</f>
        <v>M4</v>
      </c>
      <c r="H142" t="e">
        <f>VLOOKUP(C:C,Sheet4!A:C,2,0)</f>
        <v>#N/A</v>
      </c>
    </row>
    <row r="143" spans="1:8" ht="14.4">
      <c r="A143" s="18" t="s">
        <v>158</v>
      </c>
      <c r="B143" s="18" t="s">
        <v>158</v>
      </c>
      <c r="C143" s="18" t="s">
        <v>578</v>
      </c>
      <c r="D143" s="19" t="str">
        <f ca="1">IFERROR(__xludf.DUMMYFUNCTION("GOOGLETRANSLATE(A143, ""ar"", ""en"")"),"BMW")</f>
        <v>BMW</v>
      </c>
      <c r="E143" s="19" t="str">
        <f ca="1">IFERROR(__xludf.DUMMYFUNCTION("GOOGLETRANSLATE(B143,""ar"",""en"")"),"BMW")</f>
        <v>BMW</v>
      </c>
      <c r="F143" s="19" t="str">
        <f ca="1">IFERROR(__xludf.DUMMYFUNCTION("GOOGLETRANSLATE(C143,""ar"",""en"")"),"X4 30 i")</f>
        <v>X4 30 i</v>
      </c>
      <c r="G143" t="e">
        <f ca="1">VLOOKUP(F:F,matching_transelated_with_ref!A:C,2,0)</f>
        <v>#N/A</v>
      </c>
      <c r="H143" t="e">
        <f>VLOOKUP(C:C,Sheet4!A:C,2,0)</f>
        <v>#N/A</v>
      </c>
    </row>
    <row r="144" spans="1:8" ht="14.4">
      <c r="A144" s="18" t="s">
        <v>158</v>
      </c>
      <c r="B144" s="18" t="s">
        <v>158</v>
      </c>
      <c r="C144" s="18" t="s">
        <v>164</v>
      </c>
      <c r="D144" s="19" t="str">
        <f ca="1">IFERROR(__xludf.DUMMYFUNCTION("GOOGLETRANSLATE(A144, ""ar"", ""en"")"),"BMW")</f>
        <v>BMW</v>
      </c>
      <c r="E144" s="19" t="str">
        <f ca="1">IFERROR(__xludf.DUMMYFUNCTION("GOOGLETRANSLATE(B144,""ar"",""en"")"),"BMW")</f>
        <v>BMW</v>
      </c>
      <c r="F144" s="19" t="str">
        <f ca="1">IFERROR(__xludf.DUMMYFUNCTION("GOOGLETRANSLATE(C144,""ar"",""en"")"),"I320")</f>
        <v>I320</v>
      </c>
      <c r="G144" t="e">
        <f ca="1">VLOOKUP(F:F,matching_transelated_with_ref!A:C,2,0)</f>
        <v>#N/A</v>
      </c>
      <c r="H144" t="e">
        <f>VLOOKUP(C:C,Sheet4!A:C,2,0)</f>
        <v>#N/A</v>
      </c>
    </row>
    <row r="145" spans="1:8" ht="14.4">
      <c r="A145" s="18" t="s">
        <v>158</v>
      </c>
      <c r="B145" s="18" t="s">
        <v>158</v>
      </c>
      <c r="C145" s="18" t="s">
        <v>168</v>
      </c>
      <c r="D145" s="19" t="str">
        <f ca="1">IFERROR(__xludf.DUMMYFUNCTION("GOOGLETRANSLATE(A145, ""ar"", ""en"")"),"BMW")</f>
        <v>BMW</v>
      </c>
      <c r="E145" s="19" t="str">
        <f ca="1">IFERROR(__xludf.DUMMYFUNCTION("GOOGLETRANSLATE(B145,""ar"",""en"")"),"BMW")</f>
        <v>BMW</v>
      </c>
      <c r="F145" s="19" t="str">
        <f ca="1">IFERROR(__xludf.DUMMYFUNCTION("GOOGLETRANSLATE(C145,""ar"",""en"")"),"X 6-35 any")</f>
        <v>X 6-35 any</v>
      </c>
      <c r="G145" t="e">
        <f ca="1">VLOOKUP(F:F,matching_transelated_with_ref!A:C,2,0)</f>
        <v>#N/A</v>
      </c>
      <c r="H145" t="e">
        <f>VLOOKUP(C:C,Sheet4!A:C,2,0)</f>
        <v>#N/A</v>
      </c>
    </row>
    <row r="146" spans="1:8" ht="14.4">
      <c r="A146" s="18" t="s">
        <v>158</v>
      </c>
      <c r="B146" s="18" t="s">
        <v>158</v>
      </c>
      <c r="C146" s="18" t="s">
        <v>159</v>
      </c>
      <c r="D146" s="19" t="str">
        <f ca="1">IFERROR(__xludf.DUMMYFUNCTION("GOOGLETRANSLATE(A146, ""ar"", ""en"")"),"BMW")</f>
        <v>BMW</v>
      </c>
      <c r="E146" s="19" t="str">
        <f ca="1">IFERROR(__xludf.DUMMYFUNCTION("GOOGLETRANSLATE(B146,""ar"",""en"")"),"BMW")</f>
        <v>BMW</v>
      </c>
      <c r="F146" s="19" t="str">
        <f ca="1">IFERROR(__xludf.DUMMYFUNCTION("GOOGLETRANSLATE(C146,""ar"",""en"")"),"318 i")</f>
        <v>318 i</v>
      </c>
      <c r="G146" t="str">
        <f ca="1">VLOOKUP(F:F,matching_transelated_with_ref!A:C,2,0)</f>
        <v>318i</v>
      </c>
      <c r="H146" t="e">
        <f>VLOOKUP(C:C,Sheet4!A:C,2,0)</f>
        <v>#N/A</v>
      </c>
    </row>
    <row r="147" spans="1:8" ht="14.4">
      <c r="A147" s="18" t="s">
        <v>158</v>
      </c>
      <c r="B147" s="18" t="s">
        <v>158</v>
      </c>
      <c r="C147" s="18" t="s">
        <v>1304</v>
      </c>
      <c r="D147" s="19" t="str">
        <f ca="1">IFERROR(__xludf.DUMMYFUNCTION("GOOGLETRANSLATE(A147, ""ar"", ""en"")"),"BMW")</f>
        <v>BMW</v>
      </c>
      <c r="E147" s="19" t="str">
        <f ca="1">IFERROR(__xludf.DUMMYFUNCTION("GOOGLETRANSLATE(B147,""ar"",""en"")"),"BMW")</f>
        <v>BMW</v>
      </c>
      <c r="F147" s="19" t="str">
        <f ca="1">IFERROR(__xludf.DUMMYFUNCTION("GOOGLETRANSLATE(C147,""ar"",""en"")"),"Z 4 30 any")</f>
        <v>Z 4 30 any</v>
      </c>
      <c r="G147" t="e">
        <f ca="1">VLOOKUP(F:F,matching_transelated_with_ref!A:C,2,0)</f>
        <v>#N/A</v>
      </c>
      <c r="H147" t="e">
        <f>VLOOKUP(C:C,Sheet4!A:C,2,0)</f>
        <v>#N/A</v>
      </c>
    </row>
    <row r="148" spans="1:8" ht="14.4">
      <c r="A148" s="18" t="s">
        <v>158</v>
      </c>
      <c r="B148" s="18" t="s">
        <v>158</v>
      </c>
      <c r="C148" s="18" t="s">
        <v>165</v>
      </c>
      <c r="D148" s="19" t="str">
        <f ca="1">IFERROR(__xludf.DUMMYFUNCTION("GOOGLETRANSLATE(A148, ""ar"", ""en"")"),"BMW")</f>
        <v>BMW</v>
      </c>
      <c r="E148" s="19" t="str">
        <f ca="1">IFERROR(__xludf.DUMMYFUNCTION("GOOGLETRANSLATE(B148,""ar"",""en"")"),"BMW")</f>
        <v>BMW</v>
      </c>
      <c r="F148" s="19" t="str">
        <f ca="1">IFERROR(__xludf.DUMMYFUNCTION("GOOGLETRANSLATE(C148,""ar"",""en"")"),"X3 30 i")</f>
        <v>X3 30 i</v>
      </c>
      <c r="G148" t="e">
        <f ca="1">VLOOKUP(F:F,matching_transelated_with_ref!A:C,2,0)</f>
        <v>#N/A</v>
      </c>
      <c r="H148" t="e">
        <f>VLOOKUP(C:C,Sheet4!A:C,2,0)</f>
        <v>#N/A</v>
      </c>
    </row>
    <row r="149" spans="1:8" ht="14.4">
      <c r="A149" s="18" t="s">
        <v>158</v>
      </c>
      <c r="B149" s="18" t="s">
        <v>158</v>
      </c>
      <c r="C149" s="18" t="s">
        <v>166</v>
      </c>
      <c r="D149" s="19" t="str">
        <f ca="1">IFERROR(__xludf.DUMMYFUNCTION("GOOGLETRANSLATE(A149, ""ar"", ""en"")"),"BMW")</f>
        <v>BMW</v>
      </c>
      <c r="E149" s="19" t="str">
        <f ca="1">IFERROR(__xludf.DUMMYFUNCTION("GOOGLETRANSLATE(B149,""ar"",""en"")"),"BMW")</f>
        <v>BMW</v>
      </c>
      <c r="F149" s="19" t="str">
        <f ca="1">IFERROR(__xludf.DUMMYFUNCTION("GOOGLETRANSLATE(C149,""ar"",""en"")"),"X 4-28")</f>
        <v>X 4-28</v>
      </c>
      <c r="G149" t="str">
        <f ca="1">VLOOKUP(F:F,matching_transelated_with_ref!A:C,2,0)</f>
        <v>X4</v>
      </c>
      <c r="H149" t="e">
        <f>VLOOKUP(C:C,Sheet4!A:C,2,0)</f>
        <v>#N/A</v>
      </c>
    </row>
    <row r="150" spans="1:8" ht="14.4">
      <c r="A150" s="18" t="s">
        <v>158</v>
      </c>
      <c r="B150" s="18" t="s">
        <v>158</v>
      </c>
      <c r="C150" s="18" t="s">
        <v>167</v>
      </c>
      <c r="D150" s="19" t="str">
        <f ca="1">IFERROR(__xludf.DUMMYFUNCTION("GOOGLETRANSLATE(A150, ""ar"", ""en"")"),"BMW")</f>
        <v>BMW</v>
      </c>
      <c r="E150" s="19" t="str">
        <f ca="1">IFERROR(__xludf.DUMMYFUNCTION("GOOGLETRANSLATE(B150,""ar"",""en"")"),"BMW")</f>
        <v>BMW</v>
      </c>
      <c r="F150" s="19" t="str">
        <f ca="1">IFERROR(__xludf.DUMMYFUNCTION("GOOGLETRANSLATE(C150,""ar"",""en"")"),"X 5-35 any")</f>
        <v>X 5-35 any</v>
      </c>
      <c r="G150" t="e">
        <f ca="1">VLOOKUP(F:F,matching_transelated_with_ref!A:C,2,0)</f>
        <v>#N/A</v>
      </c>
      <c r="H150" t="e">
        <f>VLOOKUP(C:C,Sheet4!A:C,2,0)</f>
        <v>#N/A</v>
      </c>
    </row>
    <row r="151" spans="1:8" ht="14.4">
      <c r="A151" s="18" t="s">
        <v>158</v>
      </c>
      <c r="B151" s="18" t="s">
        <v>158</v>
      </c>
      <c r="C151" s="18" t="s">
        <v>160</v>
      </c>
      <c r="D151" s="19" t="str">
        <f ca="1">IFERROR(__xludf.DUMMYFUNCTION("GOOGLETRANSLATE(A151, ""ar"", ""en"")"),"BMW")</f>
        <v>BMW</v>
      </c>
      <c r="E151" s="19" t="str">
        <f ca="1">IFERROR(__xludf.DUMMYFUNCTION("GOOGLETRANSLATE(B151,""ar"",""en"")"),"BMW")</f>
        <v>BMW</v>
      </c>
      <c r="F151" s="19" t="str">
        <f ca="1">IFERROR(__xludf.DUMMYFUNCTION("GOOGLETRANSLATE(C151,""ar"",""en"")"),"520 i")</f>
        <v>520 i</v>
      </c>
      <c r="G151" t="str">
        <f ca="1">VLOOKUP(F:F,matching_transelated_with_ref!A:C,2,0)</f>
        <v>520i</v>
      </c>
      <c r="H151" t="e">
        <f>VLOOKUP(C:C,Sheet4!A:C,2,0)</f>
        <v>#N/A</v>
      </c>
    </row>
    <row r="152" spans="1:8" ht="14.4">
      <c r="A152" s="18" t="s">
        <v>158</v>
      </c>
      <c r="B152" s="18" t="s">
        <v>158</v>
      </c>
      <c r="C152" s="18" t="s">
        <v>1056</v>
      </c>
      <c r="D152" s="19" t="str">
        <f ca="1">IFERROR(__xludf.DUMMYFUNCTION("GOOGLETRANSLATE(A152, ""ar"", ""en"")"),"BMW")</f>
        <v>BMW</v>
      </c>
      <c r="E152" s="19" t="str">
        <f ca="1">IFERROR(__xludf.DUMMYFUNCTION("GOOGLETRANSLATE(B152,""ar"",""en"")"),"BMW")</f>
        <v>BMW</v>
      </c>
      <c r="F152" s="19" t="str">
        <f ca="1">IFERROR(__xludf.DUMMYFUNCTION("GOOGLETRANSLATE(C152,""ar"",""en"")"),"420 any")</f>
        <v>420 any</v>
      </c>
      <c r="G152" t="e">
        <f ca="1">VLOOKUP(F:F,matching_transelated_with_ref!A:C,2,0)</f>
        <v>#N/A</v>
      </c>
      <c r="H152" t="e">
        <f>VLOOKUP(C:C,Sheet4!A:C,2,0)</f>
        <v>#N/A</v>
      </c>
    </row>
    <row r="153" spans="1:8" ht="14.4">
      <c r="A153" s="18" t="s">
        <v>158</v>
      </c>
      <c r="B153" s="18" t="s">
        <v>158</v>
      </c>
      <c r="C153" s="18" t="s">
        <v>849</v>
      </c>
      <c r="D153" s="19" t="str">
        <f ca="1">IFERROR(__xludf.DUMMYFUNCTION("GOOGLETRANSLATE(A153, ""ar"", ""en"")"),"BMW")</f>
        <v>BMW</v>
      </c>
      <c r="E153" s="19" t="str">
        <f ca="1">IFERROR(__xludf.DUMMYFUNCTION("GOOGLETRANSLATE(B153,""ar"",""en"")"),"BMW")</f>
        <v>BMW</v>
      </c>
      <c r="F153" s="19" t="str">
        <f ca="1">IFERROR(__xludf.DUMMYFUNCTION("GOOGLETRANSLATE(C153,""ar"",""en"")"),"Z 4 20 any")</f>
        <v>Z 4 20 any</v>
      </c>
      <c r="G153" t="e">
        <f ca="1">VLOOKUP(F:F,matching_transelated_with_ref!A:C,2,0)</f>
        <v>#N/A</v>
      </c>
      <c r="H153" t="e">
        <f>VLOOKUP(C:C,Sheet4!A:C,2,0)</f>
        <v>#N/A</v>
      </c>
    </row>
    <row r="154" spans="1:8" ht="14.4">
      <c r="A154" s="18" t="s">
        <v>158</v>
      </c>
      <c r="B154" s="18" t="s">
        <v>158</v>
      </c>
      <c r="C154" s="18" t="s">
        <v>576</v>
      </c>
      <c r="D154" s="19" t="str">
        <f ca="1">IFERROR(__xludf.DUMMYFUNCTION("GOOGLETRANSLATE(A154, ""ar"", ""en"")"),"BMW")</f>
        <v>BMW</v>
      </c>
      <c r="E154" s="19" t="str">
        <f ca="1">IFERROR(__xludf.DUMMYFUNCTION("GOOGLETRANSLATE(B154,""ar"",""en"")"),"BMW")</f>
        <v>BMW</v>
      </c>
      <c r="F154" s="19" t="str">
        <f ca="1">IFERROR(__xludf.DUMMYFUNCTION("GOOGLETRANSLATE(C154,""ar"",""en"")"),"540 i")</f>
        <v>540 i</v>
      </c>
      <c r="G154" t="e">
        <f ca="1">VLOOKUP(F:F,matching_transelated_with_ref!A:C,2,0)</f>
        <v>#N/A</v>
      </c>
      <c r="H154" t="e">
        <f>VLOOKUP(C:C,Sheet4!A:C,2,0)</f>
        <v>#N/A</v>
      </c>
    </row>
    <row r="155" spans="1:8" ht="14.4">
      <c r="A155" s="18" t="s">
        <v>158</v>
      </c>
      <c r="B155" s="18" t="s">
        <v>158</v>
      </c>
      <c r="C155" s="18" t="s">
        <v>575</v>
      </c>
      <c r="D155" s="19" t="str">
        <f ca="1">IFERROR(__xludf.DUMMYFUNCTION("GOOGLETRANSLATE(A155, ""ar"", ""en"")"),"BMW")</f>
        <v>BMW</v>
      </c>
      <c r="E155" s="19" t="str">
        <f ca="1">IFERROR(__xludf.DUMMYFUNCTION("GOOGLETRANSLATE(B155,""ar"",""en"")"),"BMW")</f>
        <v>BMW</v>
      </c>
      <c r="F155" s="19" t="str">
        <f ca="1">IFERROR(__xludf.DUMMYFUNCTION("GOOGLETRANSLATE(C155,""ar"",""en"")"),"430 any")</f>
        <v>430 any</v>
      </c>
      <c r="G155" t="e">
        <f ca="1">VLOOKUP(F:F,matching_transelated_with_ref!A:C,2,0)</f>
        <v>#N/A</v>
      </c>
      <c r="H155" t="e">
        <f>VLOOKUP(C:C,Sheet4!A:C,2,0)</f>
        <v>#N/A</v>
      </c>
    </row>
    <row r="156" spans="1:8" ht="14.4">
      <c r="A156" s="18" t="s">
        <v>158</v>
      </c>
      <c r="B156" s="18" t="s">
        <v>158</v>
      </c>
      <c r="C156" s="18" t="s">
        <v>169</v>
      </c>
      <c r="D156" s="19" t="str">
        <f ca="1">IFERROR(__xludf.DUMMYFUNCTION("GOOGLETRANSLATE(A156, ""ar"", ""en"")"),"BMW")</f>
        <v>BMW</v>
      </c>
      <c r="E156" s="19" t="str">
        <f ca="1">IFERROR(__xludf.DUMMYFUNCTION("GOOGLETRANSLATE(B156,""ar"",""en"")"),"BMW")</f>
        <v>BMW</v>
      </c>
      <c r="F156" s="19" t="str">
        <f ca="1">IFERROR(__xludf.DUMMYFUNCTION("GOOGLETRANSLATE(C156,""ar"",""en"")"),"X2 20 i")</f>
        <v>X2 20 i</v>
      </c>
      <c r="G156" t="str">
        <f ca="1">VLOOKUP(F:F,matching_transelated_with_ref!A:C,2,0)</f>
        <v>X2</v>
      </c>
      <c r="H156" t="e">
        <f>VLOOKUP(C:C,Sheet4!A:C,2,0)</f>
        <v>#N/A</v>
      </c>
    </row>
    <row r="157" spans="1:8" ht="14.4">
      <c r="A157" s="18" t="s">
        <v>158</v>
      </c>
      <c r="B157" s="18" t="s">
        <v>158</v>
      </c>
      <c r="C157" s="18" t="s">
        <v>1302</v>
      </c>
      <c r="D157" s="19" t="str">
        <f ca="1">IFERROR(__xludf.DUMMYFUNCTION("GOOGLETRANSLATE(A157, ""ar"", ""en"")"),"BMW")</f>
        <v>BMW</v>
      </c>
      <c r="E157" s="19" t="str">
        <f ca="1">IFERROR(__xludf.DUMMYFUNCTION("GOOGLETRANSLATE(B157,""ar"",""en"")"),"BMW")</f>
        <v>BMW</v>
      </c>
      <c r="F157" s="19" t="str">
        <f ca="1">IFERROR(__xludf.DUMMYFUNCTION("GOOGLETRANSLATE(C157,""ar"",""en"")"),"750 LI")</f>
        <v>750 LI</v>
      </c>
      <c r="G157" t="str">
        <f ca="1">VLOOKUP(F:F,matching_transelated_with_ref!A:C,2,0)</f>
        <v>750Li</v>
      </c>
      <c r="H157" t="e">
        <f>VLOOKUP(C:C,Sheet4!A:C,2,0)</f>
        <v>#N/A</v>
      </c>
    </row>
    <row r="158" spans="1:8" ht="14.4">
      <c r="A158" s="18" t="s">
        <v>158</v>
      </c>
      <c r="B158" s="18" t="s">
        <v>158</v>
      </c>
      <c r="C158" s="18" t="s">
        <v>1055</v>
      </c>
      <c r="D158" s="19" t="str">
        <f ca="1">IFERROR(__xludf.DUMMYFUNCTION("GOOGLETRANSLATE(A158, ""ar"", ""en"")"),"BMW")</f>
        <v>BMW</v>
      </c>
      <c r="E158" s="19" t="str">
        <f ca="1">IFERROR(__xludf.DUMMYFUNCTION("GOOGLETRANSLATE(B158,""ar"",""en"")"),"BMW")</f>
        <v>BMW</v>
      </c>
      <c r="F158" s="19" t="str">
        <f ca="1">IFERROR(__xludf.DUMMYFUNCTION("GOOGLETRANSLATE(C158,""ar"",""en"")"),"320 i")</f>
        <v>320 i</v>
      </c>
      <c r="G158" t="str">
        <f ca="1">VLOOKUP(F:F,matching_transelated_with_ref!A:C,2,0)</f>
        <v>320i</v>
      </c>
      <c r="H158" t="e">
        <f>VLOOKUP(C:C,Sheet4!A:C,2,0)</f>
        <v>#N/A</v>
      </c>
    </row>
    <row r="159" spans="1:8" ht="14.4">
      <c r="A159" s="18" t="s">
        <v>158</v>
      </c>
      <c r="B159" s="18" t="s">
        <v>158</v>
      </c>
      <c r="C159" s="18" t="s">
        <v>1054</v>
      </c>
      <c r="D159" s="19" t="str">
        <f ca="1">IFERROR(__xludf.DUMMYFUNCTION("GOOGLETRANSLATE(A159, ""ar"", ""en"")"),"BMW")</f>
        <v>BMW</v>
      </c>
      <c r="E159" s="19" t="str">
        <f ca="1">IFERROR(__xludf.DUMMYFUNCTION("GOOGLETRANSLATE(B159,""ar"",""en"")"),"BMW")</f>
        <v>BMW</v>
      </c>
      <c r="F159" s="19" t="str">
        <f ca="1">IFERROR(__xludf.DUMMYFUNCTION("GOOGLETRANSLATE(C159,""ar"",""en"")"),"120 i")</f>
        <v>120 i</v>
      </c>
      <c r="G159" t="str">
        <f ca="1">VLOOKUP(F:F,matching_transelated_with_ref!A:C,2,0)</f>
        <v>120i</v>
      </c>
      <c r="H159" t="e">
        <f>VLOOKUP(C:C,Sheet4!A:C,2,0)</f>
        <v>#N/A</v>
      </c>
    </row>
    <row r="160" spans="1:8" ht="14.4">
      <c r="A160" s="18" t="s">
        <v>158</v>
      </c>
      <c r="B160" s="18" t="s">
        <v>158</v>
      </c>
      <c r="C160" s="18" t="s">
        <v>851</v>
      </c>
      <c r="D160" s="19" t="str">
        <f ca="1">IFERROR(__xludf.DUMMYFUNCTION("GOOGLETRANSLATE(A160, ""ar"", ""en"")"),"BMW")</f>
        <v>BMW</v>
      </c>
      <c r="E160" s="19" t="str">
        <f ca="1">IFERROR(__xludf.DUMMYFUNCTION("GOOGLETRANSLATE(B160,""ar"",""en"")"),"BMW")</f>
        <v>BMW</v>
      </c>
      <c r="F160" s="19" t="str">
        <f ca="1">IFERROR(__xludf.DUMMYFUNCTION("GOOGLETRANSLATE(C160,""ar"",""en"")"),"Mini Cooper S Country Ma")</f>
        <v>Mini Cooper S Country Ma</v>
      </c>
      <c r="G160" t="e">
        <f ca="1">VLOOKUP(F:F,matching_transelated_with_ref!A:C,2,0)</f>
        <v>#N/A</v>
      </c>
      <c r="H160" t="str">
        <f>VLOOKUP(C:C,Sheet4!A:C,2,0)</f>
        <v xml:space="preserve">ميني كوبر </v>
      </c>
    </row>
    <row r="161" spans="1:8" ht="14.4">
      <c r="A161" s="18" t="s">
        <v>158</v>
      </c>
      <c r="B161" s="18" t="s">
        <v>158</v>
      </c>
      <c r="C161" s="18" t="s">
        <v>846</v>
      </c>
      <c r="D161" s="19" t="str">
        <f ca="1">IFERROR(__xludf.DUMMYFUNCTION("GOOGLETRANSLATE(A161, ""ar"", ""en"")"),"BMW")</f>
        <v>BMW</v>
      </c>
      <c r="E161" s="19" t="str">
        <f ca="1">IFERROR(__xludf.DUMMYFUNCTION("GOOGLETRANSLATE(B161,""ar"",""en"")"),"BMW")</f>
        <v>BMW</v>
      </c>
      <c r="F161" s="19" t="str">
        <f ca="1">IFERROR(__xludf.DUMMYFUNCTION("GOOGLETRANSLATE(C161,""ar"",""en"")"),"Umm 5")</f>
        <v>Umm 5</v>
      </c>
      <c r="G161">
        <f ca="1">VLOOKUP(F:F,matching_transelated_with_ref!A:C,2,0)</f>
        <v>5</v>
      </c>
      <c r="H161">
        <f>VLOOKUP(C:C,Sheet4!A:C,2,0)</f>
        <v>5</v>
      </c>
    </row>
    <row r="162" spans="1:8" ht="14.4">
      <c r="A162" s="18" t="s">
        <v>158</v>
      </c>
      <c r="B162" s="18" t="s">
        <v>158</v>
      </c>
      <c r="C162" s="18" t="s">
        <v>847</v>
      </c>
      <c r="D162" s="19" t="str">
        <f ca="1">IFERROR(__xludf.DUMMYFUNCTION("GOOGLETRANSLATE(A162, ""ar"", ""en"")"),"BMW")</f>
        <v>BMW</v>
      </c>
      <c r="E162" s="19" t="str">
        <f ca="1">IFERROR(__xludf.DUMMYFUNCTION("GOOGLETRANSLATE(B162,""ar"",""en"")"),"BMW")</f>
        <v>BMW</v>
      </c>
      <c r="F162" s="19" t="str">
        <f ca="1">IFERROR(__xludf.DUMMYFUNCTION("GOOGLETRANSLATE(C162,""ar"",""en"")"),"M. 8")</f>
        <v>M. 8</v>
      </c>
      <c r="G162" t="str">
        <f ca="1">VLOOKUP(F:F,matching_transelated_with_ref!A:C,2,0)</f>
        <v>M8</v>
      </c>
      <c r="H162" t="e">
        <f>VLOOKUP(C:C,Sheet4!A:C,2,0)</f>
        <v>#N/A</v>
      </c>
    </row>
    <row r="163" spans="1:8" ht="14.4">
      <c r="A163" s="18" t="s">
        <v>158</v>
      </c>
      <c r="B163" s="18" t="s">
        <v>158</v>
      </c>
      <c r="C163" s="18" t="s">
        <v>842</v>
      </c>
      <c r="D163" s="19" t="str">
        <f ca="1">IFERROR(__xludf.DUMMYFUNCTION("GOOGLETRANSLATE(A163, ""ar"", ""en"")"),"BMW")</f>
        <v>BMW</v>
      </c>
      <c r="E163" s="19" t="str">
        <f ca="1">IFERROR(__xludf.DUMMYFUNCTION("GOOGLETRANSLATE(B163,""ar"",""en"")"),"BMW")</f>
        <v>BMW</v>
      </c>
      <c r="F163" s="19" t="str">
        <f ca="1">IFERROR(__xludf.DUMMYFUNCTION("GOOGLETRANSLATE(C163,""ar"",""en"")"),"330 i")</f>
        <v>330 i</v>
      </c>
      <c r="G163" t="str">
        <f ca="1">VLOOKUP(F:F,matching_transelated_with_ref!A:C,2,0)</f>
        <v>330i</v>
      </c>
      <c r="H163" t="e">
        <f>VLOOKUP(C:C,Sheet4!A:C,2,0)</f>
        <v>#N/A</v>
      </c>
    </row>
    <row r="164" spans="1:8" ht="14.4">
      <c r="A164" s="18" t="s">
        <v>158</v>
      </c>
      <c r="B164" s="18" t="s">
        <v>158</v>
      </c>
      <c r="C164" s="18" t="s">
        <v>577</v>
      </c>
      <c r="D164" s="19" t="str">
        <f ca="1">IFERROR(__xludf.DUMMYFUNCTION("GOOGLETRANSLATE(A164, ""ar"", ""en"")"),"BMW")</f>
        <v>BMW</v>
      </c>
      <c r="E164" s="19" t="str">
        <f ca="1">IFERROR(__xludf.DUMMYFUNCTION("GOOGLETRANSLATE(B164,""ar"",""en"")"),"BMW")</f>
        <v>BMW</v>
      </c>
      <c r="F164" s="19" t="str">
        <f ca="1">IFERROR(__xludf.DUMMYFUNCTION("GOOGLETRANSLATE(C164,""ar"",""en"")"),"X1 20 i")</f>
        <v>X1 20 i</v>
      </c>
      <c r="G164" t="str">
        <f ca="1">VLOOKUP(F:F,matching_transelated_with_ref!A:C,2,0)</f>
        <v>X1</v>
      </c>
      <c r="H164" t="e">
        <f>VLOOKUP(C:C,Sheet4!A:C,2,0)</f>
        <v>#N/A</v>
      </c>
    </row>
    <row r="165" spans="1:8" ht="14.4">
      <c r="A165" s="18" t="s">
        <v>158</v>
      </c>
      <c r="B165" s="18" t="s">
        <v>158</v>
      </c>
      <c r="C165" s="18" t="s">
        <v>848</v>
      </c>
      <c r="D165" s="19" t="str">
        <f ca="1">IFERROR(__xludf.DUMMYFUNCTION("GOOGLETRANSLATE(A165, ""ar"", ""en"")"),"BMW")</f>
        <v>BMW</v>
      </c>
      <c r="E165" s="19" t="str">
        <f ca="1">IFERROR(__xludf.DUMMYFUNCTION("GOOGLETRANSLATE(B165,""ar"",""en"")"),"BMW")</f>
        <v>BMW</v>
      </c>
      <c r="F165" s="19" t="str">
        <f ca="1">IFERROR(__xludf.DUMMYFUNCTION("GOOGLETRANSLATE(C165,""ar"",""en"")"),"Umm 850 i")</f>
        <v>Umm 850 i</v>
      </c>
      <c r="G165" t="e">
        <f ca="1">VLOOKUP(F:F,matching_transelated_with_ref!A:C,2,0)</f>
        <v>#N/A</v>
      </c>
      <c r="H165" t="e">
        <f>VLOOKUP(C:C,Sheet4!A:C,2,0)</f>
        <v>#N/A</v>
      </c>
    </row>
    <row r="166" spans="1:8" ht="14.4">
      <c r="A166" s="18" t="s">
        <v>158</v>
      </c>
      <c r="B166" s="18" t="s">
        <v>158</v>
      </c>
      <c r="C166" s="18" t="s">
        <v>1063</v>
      </c>
      <c r="D166" s="19" t="str">
        <f ca="1">IFERROR(__xludf.DUMMYFUNCTION("GOOGLETRANSLATE(A166, ""ar"", ""en"")"),"BMW")</f>
        <v>BMW</v>
      </c>
      <c r="E166" s="19" t="str">
        <f ca="1">IFERROR(__xludf.DUMMYFUNCTION("GOOGLETRANSLATE(B166,""ar"",""en"")"),"BMW")</f>
        <v>BMW</v>
      </c>
      <c r="F166" s="19" t="str">
        <f ca="1">IFERROR(__xludf.DUMMYFUNCTION("GOOGLETRANSLATE(C166,""ar"",""en"")"),"Umm 440 i")</f>
        <v>Umm 440 i</v>
      </c>
      <c r="G166" t="e">
        <f ca="1">VLOOKUP(F:F,matching_transelated_with_ref!A:C,2,0)</f>
        <v>#N/A</v>
      </c>
      <c r="H166" t="e">
        <f>VLOOKUP(C:C,Sheet4!A:C,2,0)</f>
        <v>#N/A</v>
      </c>
    </row>
    <row r="167" spans="1:8" ht="14.4">
      <c r="A167" s="18" t="s">
        <v>158</v>
      </c>
      <c r="B167" s="18" t="s">
        <v>158</v>
      </c>
      <c r="C167" s="18" t="s">
        <v>841</v>
      </c>
      <c r="D167" s="19" t="str">
        <f ca="1">IFERROR(__xludf.DUMMYFUNCTION("GOOGLETRANSLATE(A167, ""ar"", ""en"")"),"BMW")</f>
        <v>BMW</v>
      </c>
      <c r="E167" s="19" t="str">
        <f ca="1">IFERROR(__xludf.DUMMYFUNCTION("GOOGLETRANSLATE(B167,""ar"",""en"")"),"BMW")</f>
        <v>BMW</v>
      </c>
      <c r="F167" s="19" t="str">
        <f ca="1">IFERROR(__xludf.DUMMYFUNCTION("GOOGLETRANSLATE(C167,""ar"",""en"")"),"218 any")</f>
        <v>218 any</v>
      </c>
      <c r="G167" t="e">
        <f ca="1">VLOOKUP(F:F,matching_transelated_with_ref!A:C,2,0)</f>
        <v>#N/A</v>
      </c>
      <c r="H167" t="e">
        <f>VLOOKUP(C:C,Sheet4!A:C,2,0)</f>
        <v>#N/A</v>
      </c>
    </row>
    <row r="168" spans="1:8" ht="14.4">
      <c r="A168" s="18" t="s">
        <v>158</v>
      </c>
      <c r="B168" s="18" t="s">
        <v>158</v>
      </c>
      <c r="C168" s="18" t="s">
        <v>852</v>
      </c>
      <c r="D168" s="19" t="str">
        <f ca="1">IFERROR(__xludf.DUMMYFUNCTION("GOOGLETRANSLATE(A168, ""ar"", ""en"")"),"BMW")</f>
        <v>BMW</v>
      </c>
      <c r="E168" s="19" t="str">
        <f ca="1">IFERROR(__xludf.DUMMYFUNCTION("GOOGLETRANSLATE(B168,""ar"",""en"")"),"BMW")</f>
        <v>BMW</v>
      </c>
      <c r="F168" s="19" t="str">
        <f ca="1">IFERROR(__xludf.DUMMYFUNCTION("GOOGLETRANSLATE(C168,""ar"",""en"")"),"Mini Cooper Club Man")</f>
        <v>Mini Cooper Club Man</v>
      </c>
      <c r="G168" t="e">
        <f ca="1">VLOOKUP(F:F,matching_transelated_with_ref!A:C,2,0)</f>
        <v>#N/A</v>
      </c>
      <c r="H168" t="str">
        <f>VLOOKUP(C:C,Sheet4!A:C,2,0)</f>
        <v xml:space="preserve">ميني كوبر </v>
      </c>
    </row>
    <row r="169" spans="1:8" ht="14.4">
      <c r="A169" s="18" t="s">
        <v>158</v>
      </c>
      <c r="B169" s="18" t="s">
        <v>158</v>
      </c>
      <c r="C169" s="18" t="s">
        <v>1064</v>
      </c>
      <c r="D169" s="19" t="str">
        <f ca="1">IFERROR(__xludf.DUMMYFUNCTION("GOOGLETRANSLATE(A169, ""ar"", ""en"")"),"BMW")</f>
        <v>BMW</v>
      </c>
      <c r="E169" s="19" t="str">
        <f ca="1">IFERROR(__xludf.DUMMYFUNCTION("GOOGLETRANSLATE(B169,""ar"",""en"")"),"BMW")</f>
        <v>BMW</v>
      </c>
      <c r="F169" s="19" t="str">
        <f ca="1">IFERROR(__xludf.DUMMYFUNCTION("GOOGLETRANSLATE(C169,""ar"",""en"")"),"Mini John Cooper Worms")</f>
        <v>Mini John Cooper Worms</v>
      </c>
      <c r="G169" t="str">
        <f ca="1">VLOOKUP(F:F,matching_transelated_with_ref!A:C,2,0)</f>
        <v>JONH COOPER</v>
      </c>
      <c r="H169" t="str">
        <f>VLOOKUP(C:C,Sheet4!A:C,2,0)</f>
        <v xml:space="preserve">ميني كوبر </v>
      </c>
    </row>
    <row r="170" spans="1:8" ht="14.4">
      <c r="A170" s="18" t="s">
        <v>158</v>
      </c>
      <c r="B170" s="18" t="s">
        <v>158</v>
      </c>
      <c r="C170" s="18" t="s">
        <v>843</v>
      </c>
      <c r="D170" s="19" t="str">
        <f ca="1">IFERROR(__xludf.DUMMYFUNCTION("GOOGLETRANSLATE(A170, ""ar"", ""en"")"),"BMW")</f>
        <v>BMW</v>
      </c>
      <c r="E170" s="19" t="str">
        <f ca="1">IFERROR(__xludf.DUMMYFUNCTION("GOOGLETRANSLATE(B170,""ar"",""en"")"),"BMW")</f>
        <v>BMW</v>
      </c>
      <c r="F170" s="19" t="str">
        <f ca="1">IFERROR(__xludf.DUMMYFUNCTION("GOOGLETRANSLATE(C170,""ar"",""en"")"),"840 i")</f>
        <v>840 i</v>
      </c>
      <c r="G170" t="str">
        <f ca="1">VLOOKUP(F:F,matching_transelated_with_ref!A:C,2,0)</f>
        <v xml:space="preserve">840i </v>
      </c>
      <c r="H170" t="e">
        <f>VLOOKUP(C:C,Sheet4!A:C,2,0)</f>
        <v>#N/A</v>
      </c>
    </row>
    <row r="171" spans="1:8" ht="14.4">
      <c r="A171" s="18" t="s">
        <v>158</v>
      </c>
      <c r="B171" s="18" t="s">
        <v>158</v>
      </c>
      <c r="C171" s="18" t="s">
        <v>1057</v>
      </c>
      <c r="D171" s="19" t="str">
        <f ca="1">IFERROR(__xludf.DUMMYFUNCTION("GOOGLETRANSLATE(A171, ""ar"", ""en"")"),"BMW")</f>
        <v>BMW</v>
      </c>
      <c r="E171" s="19" t="str">
        <f ca="1">IFERROR(__xludf.DUMMYFUNCTION("GOOGLETRANSLATE(B171,""ar"",""en"")"),"BMW")</f>
        <v>BMW</v>
      </c>
      <c r="F171" s="19" t="str">
        <f ca="1">IFERROR(__xludf.DUMMYFUNCTION("GOOGLETRANSLATE(C171,""ar"",""en"")"),"X3 30 i")</f>
        <v>X3 30 i</v>
      </c>
      <c r="G171" t="e">
        <f ca="1">VLOOKUP(F:F,matching_transelated_with_ref!A:C,2,0)</f>
        <v>#N/A</v>
      </c>
      <c r="H171" t="e">
        <f>VLOOKUP(C:C,Sheet4!A:C,2,0)</f>
        <v>#N/A</v>
      </c>
    </row>
    <row r="172" spans="1:8" ht="14.4">
      <c r="A172" s="18" t="s">
        <v>158</v>
      </c>
      <c r="B172" s="18" t="s">
        <v>158</v>
      </c>
      <c r="C172" s="18" t="s">
        <v>844</v>
      </c>
      <c r="D172" s="19" t="str">
        <f ca="1">IFERROR(__xludf.DUMMYFUNCTION("GOOGLETRANSLATE(A172, ""ar"", ""en"")"),"BMW")</f>
        <v>BMW</v>
      </c>
      <c r="E172" s="19" t="str">
        <f ca="1">IFERROR(__xludf.DUMMYFUNCTION("GOOGLETRANSLATE(B172,""ar"",""en"")"),"BMW")</f>
        <v>BMW</v>
      </c>
      <c r="F172" s="19" t="str">
        <f ca="1">IFERROR(__xludf.DUMMYFUNCTION("GOOGLETRANSLATE(C172,""ar"",""en"")"),"X1 20 i")</f>
        <v>X1 20 i</v>
      </c>
      <c r="G172" t="str">
        <f ca="1">VLOOKUP(F:F,matching_transelated_with_ref!A:C,2,0)</f>
        <v>X1</v>
      </c>
      <c r="H172" t="e">
        <f>VLOOKUP(C:C,Sheet4!A:C,2,0)</f>
        <v>#N/A</v>
      </c>
    </row>
    <row r="173" spans="1:8" ht="14.4">
      <c r="A173" s="18" t="s">
        <v>158</v>
      </c>
      <c r="B173" s="18" t="s">
        <v>158</v>
      </c>
      <c r="C173" s="18" t="s">
        <v>582</v>
      </c>
      <c r="D173" s="19" t="str">
        <f ca="1">IFERROR(__xludf.DUMMYFUNCTION("GOOGLETRANSLATE(A173, ""ar"", ""en"")"),"BMW")</f>
        <v>BMW</v>
      </c>
      <c r="E173" s="19" t="str">
        <f ca="1">IFERROR(__xludf.DUMMYFUNCTION("GOOGLETRANSLATE(B173,""ar"",""en"")"),"BMW")</f>
        <v>BMW</v>
      </c>
      <c r="F173" s="19" t="str">
        <f ca="1">IFERROR(__xludf.DUMMYFUNCTION("GOOGLETRANSLATE(C173,""ar"",""en"")"),"Mini Cooper S")</f>
        <v>Mini Cooper S</v>
      </c>
      <c r="G173" t="e">
        <f ca="1">VLOOKUP(F:F,matching_transelated_with_ref!A:C,2,0)</f>
        <v>#N/A</v>
      </c>
      <c r="H173" t="str">
        <f>VLOOKUP(C:C,Sheet4!A:C,2,0)</f>
        <v xml:space="preserve">ميني كوبر </v>
      </c>
    </row>
    <row r="174" spans="1:8" ht="14.4">
      <c r="A174" s="18" t="s">
        <v>158</v>
      </c>
      <c r="B174" s="18" t="s">
        <v>158</v>
      </c>
      <c r="C174" s="18" t="s">
        <v>850</v>
      </c>
      <c r="D174" s="19" t="str">
        <f ca="1">IFERROR(__xludf.DUMMYFUNCTION("GOOGLETRANSLATE(A174, ""ar"", ""en"")"),"BMW")</f>
        <v>BMW</v>
      </c>
      <c r="E174" s="19" t="str">
        <f ca="1">IFERROR(__xludf.DUMMYFUNCTION("GOOGLETRANSLATE(B174,""ar"",""en"")"),"BMW")</f>
        <v>BMW</v>
      </c>
      <c r="F174" s="19" t="str">
        <f ca="1">IFERROR(__xludf.DUMMYFUNCTION("GOOGLETRANSLATE(C174,""ar"",""en"")"),"Mini Cooper")</f>
        <v>Mini Cooper</v>
      </c>
      <c r="G174" t="e">
        <f ca="1">VLOOKUP(F:F,matching_transelated_with_ref!A:C,2,0)</f>
        <v>#N/A</v>
      </c>
      <c r="H174" t="str">
        <f>VLOOKUP(C:C,Sheet4!A:C,2,0)</f>
        <v xml:space="preserve">ميني كوبر </v>
      </c>
    </row>
    <row r="175" spans="1:8" ht="14.4">
      <c r="A175" s="18" t="s">
        <v>158</v>
      </c>
      <c r="B175" s="18" t="s">
        <v>853</v>
      </c>
      <c r="C175" s="18" t="s">
        <v>1065</v>
      </c>
      <c r="D175" s="19" t="str">
        <f ca="1">IFERROR(__xludf.DUMMYFUNCTION("GOOGLETRANSLATE(A175, ""ar"", ""en"")"),"BMW")</f>
        <v>BMW</v>
      </c>
      <c r="E175" s="19" t="str">
        <f ca="1">IFERROR(__xludf.DUMMYFUNCTION("GOOGLETRANSLATE(B175,""ar"",""en"")"),"BMW fire bike")</f>
        <v>BMW fire bike</v>
      </c>
      <c r="F175" s="19" t="str">
        <f ca="1">IFERROR(__xludf.DUMMYFUNCTION("GOOGLETRANSLATE(C175,""ar"",""en"")"),"R 18")</f>
        <v>R 18</v>
      </c>
      <c r="G175" t="e">
        <f ca="1">VLOOKUP(F:F,matching_transelated_with_ref!A:C,2,0)</f>
        <v>#N/A</v>
      </c>
      <c r="H175" t="e">
        <f>VLOOKUP(C:C,Sheet4!A:C,2,0)</f>
        <v>#N/A</v>
      </c>
    </row>
    <row r="176" spans="1:8" ht="14.4">
      <c r="A176" s="18" t="s">
        <v>158</v>
      </c>
      <c r="B176" s="18" t="s">
        <v>853</v>
      </c>
      <c r="C176" s="18" t="s">
        <v>855</v>
      </c>
      <c r="D176" s="19" t="str">
        <f ca="1">IFERROR(__xludf.DUMMYFUNCTION("GOOGLETRANSLATE(A176, ""ar"", ""en"")"),"BMW")</f>
        <v>BMW</v>
      </c>
      <c r="E176" s="19" t="str">
        <f ca="1">IFERROR(__xludf.DUMMYFUNCTION("GOOGLETRANSLATE(B176,""ar"",""en"")"),"BMW fire bike")</f>
        <v>BMW fire bike</v>
      </c>
      <c r="F176" s="19" t="str">
        <f ca="1">IFERROR(__xludf.DUMMYFUNCTION("GOOGLETRANSLATE(C176,""ar"",""en"")"),"R1250 GS I built")</f>
        <v>R1250 GS I built</v>
      </c>
      <c r="G176" t="e">
        <f ca="1">VLOOKUP(F:F,matching_transelated_with_ref!A:C,2,0)</f>
        <v>#N/A</v>
      </c>
      <c r="H176" t="e">
        <f>VLOOKUP(C:C,Sheet4!A:C,2,0)</f>
        <v>#N/A</v>
      </c>
    </row>
    <row r="177" spans="1:8" ht="14.4">
      <c r="A177" s="18" t="s">
        <v>158</v>
      </c>
      <c r="B177" s="18" t="s">
        <v>853</v>
      </c>
      <c r="C177" s="18" t="s">
        <v>854</v>
      </c>
      <c r="D177" s="19" t="str">
        <f ca="1">IFERROR(__xludf.DUMMYFUNCTION("GOOGLETRANSLATE(A177, ""ar"", ""en"")"),"BMW")</f>
        <v>BMW</v>
      </c>
      <c r="E177" s="19" t="str">
        <f ca="1">IFERROR(__xludf.DUMMYFUNCTION("GOOGLETRANSLATE(B177,""ar"",""en"")"),"BMW fire bike")</f>
        <v>BMW fire bike</v>
      </c>
      <c r="F177" s="19" t="str">
        <f ca="1">IFERROR(__xludf.DUMMYFUNCTION("GOOGLETRANSLATE(C177,""ar"",""en"")"),"R1250 GS")</f>
        <v>R1250 GS</v>
      </c>
      <c r="G177" t="e">
        <f ca="1">VLOOKUP(F:F,matching_transelated_with_ref!A:C,2,0)</f>
        <v>#N/A</v>
      </c>
      <c r="H177" t="e">
        <f>VLOOKUP(C:C,Sheet4!A:C,2,0)</f>
        <v>#N/A</v>
      </c>
    </row>
    <row r="178" spans="1:8" ht="14.4">
      <c r="A178" s="18" t="s">
        <v>158</v>
      </c>
      <c r="B178" s="18" t="s">
        <v>853</v>
      </c>
      <c r="C178" s="18" t="s">
        <v>1066</v>
      </c>
      <c r="D178" s="19" t="str">
        <f ca="1">IFERROR(__xludf.DUMMYFUNCTION("GOOGLETRANSLATE(A178, ""ar"", ""en"")"),"BMW")</f>
        <v>BMW</v>
      </c>
      <c r="E178" s="19" t="str">
        <f ca="1">IFERROR(__xludf.DUMMYFUNCTION("GOOGLETRANSLATE(B178,""ar"",""en"")"),"BMW fire bike")</f>
        <v>BMW fire bike</v>
      </c>
      <c r="F178" s="19" t="str">
        <f ca="1">IFERROR(__xludf.DUMMYFUNCTION("GOOGLETRANSLATE(C178,""ar"",""en"")"),"S 1000 RR")</f>
        <v>S 1000 RR</v>
      </c>
      <c r="G178" t="str">
        <f ca="1">VLOOKUP(F:F,matching_transelated_with_ref!A:C,2,0)</f>
        <v>S</v>
      </c>
      <c r="H178" t="e">
        <f>VLOOKUP(C:C,Sheet4!A:C,2,0)</f>
        <v>#N/A</v>
      </c>
    </row>
    <row r="179" spans="1:8" ht="14.4">
      <c r="A179" s="18" t="s">
        <v>170</v>
      </c>
      <c r="B179" s="18" t="s">
        <v>171</v>
      </c>
      <c r="C179" s="18" t="s">
        <v>1313</v>
      </c>
      <c r="D179" s="19" t="str">
        <f ca="1">IFERROR(__xludf.DUMMYFUNCTION("GOOGLETRANSLATE(A179, ""ar"", ""en"")"),"Peugeot Atomobel")</f>
        <v>Peugeot Atomobel</v>
      </c>
      <c r="E179" s="19" t="str">
        <f ca="1">IFERROR(__xludf.DUMMYFUNCTION("GOOGLETRANSLATE(B179,""ar"",""en"")"),"Peugeot")</f>
        <v>Peugeot</v>
      </c>
      <c r="F179" s="19" t="str">
        <f ca="1">IFERROR(__xludf.DUMMYFUNCTION("GOOGLETRANSLATE(C179,""ar"",""en"")"),"GT 508")</f>
        <v>GT 508</v>
      </c>
      <c r="G179" t="str">
        <f ca="1">VLOOKUP(F:F,matching_transelated_with_ref!A:C,2,0)</f>
        <v>GT</v>
      </c>
      <c r="H179" t="e">
        <f>VLOOKUP(C:C,Sheet4!A:C,2,0)</f>
        <v>#N/A</v>
      </c>
    </row>
    <row r="180" spans="1:8" ht="14.4">
      <c r="A180" s="18" t="s">
        <v>170</v>
      </c>
      <c r="B180" s="18" t="s">
        <v>171</v>
      </c>
      <c r="C180" s="18" t="s">
        <v>1312</v>
      </c>
      <c r="D180" s="19" t="str">
        <f ca="1">IFERROR(__xludf.DUMMYFUNCTION("GOOGLETRANSLATE(A180, ""ar"", ""en"")"),"Peugeot Atomobel")</f>
        <v>Peugeot Atomobel</v>
      </c>
      <c r="E180" s="19" t="str">
        <f ca="1">IFERROR(__xludf.DUMMYFUNCTION("GOOGLETRANSLATE(B180,""ar"",""en"")"),"Peugeot")</f>
        <v>Peugeot</v>
      </c>
      <c r="F180" s="19" t="str">
        <f ca="1">IFERROR(__xludf.DUMMYFUNCTION("GOOGLETRANSLATE(C180,""ar"",""en"")"),"GT 5008")</f>
        <v>GT 5008</v>
      </c>
      <c r="G180">
        <f ca="1">VLOOKUP(F:F,matching_transelated_with_ref!A:C,2,0)</f>
        <v>5008</v>
      </c>
      <c r="H180">
        <f>VLOOKUP(C:C,Sheet4!A:C,2,0)</f>
        <v>5008</v>
      </c>
    </row>
    <row r="181" spans="1:8" ht="14.4">
      <c r="A181" s="18" t="s">
        <v>170</v>
      </c>
      <c r="B181" s="18" t="s">
        <v>171</v>
      </c>
      <c r="C181" s="18" t="s">
        <v>857</v>
      </c>
      <c r="D181" s="19" t="str">
        <f ca="1">IFERROR(__xludf.DUMMYFUNCTION("GOOGLETRANSLATE(A181, ""ar"", ""en"")"),"Peugeot Atomobel")</f>
        <v>Peugeot Atomobel</v>
      </c>
      <c r="E181" s="19" t="str">
        <f ca="1">IFERROR(__xludf.DUMMYFUNCTION("GOOGLETRANSLATE(B181,""ar"",""en"")"),"Peugeot")</f>
        <v>Peugeot</v>
      </c>
      <c r="F181" s="19" t="str">
        <f ca="1">IFERROR(__xludf.DUMMYFUNCTION("GOOGLETRANSLATE(C181,""ar"",""en"")"),"508 GT Line")</f>
        <v>508 GT Line</v>
      </c>
      <c r="G181" t="str">
        <f ca="1">VLOOKUP(F:F,matching_transelated_with_ref!A:C,2,0)</f>
        <v>GT</v>
      </c>
      <c r="H181" t="e">
        <f>VLOOKUP(C:C,Sheet4!A:C,2,0)</f>
        <v>#N/A</v>
      </c>
    </row>
    <row r="182" spans="1:8" ht="14.4">
      <c r="A182" s="18" t="s">
        <v>170</v>
      </c>
      <c r="B182" s="18" t="s">
        <v>171</v>
      </c>
      <c r="C182" s="18" t="s">
        <v>1311</v>
      </c>
      <c r="D182" s="19" t="str">
        <f ca="1">IFERROR(__xludf.DUMMYFUNCTION("GOOGLETRANSLATE(A182, ""ar"", ""en"")"),"Peugeot Atomobel")</f>
        <v>Peugeot Atomobel</v>
      </c>
      <c r="E182" s="19" t="str">
        <f ca="1">IFERROR(__xludf.DUMMYFUNCTION("GOOGLETRANSLATE(B182,""ar"",""en"")"),"Peugeot")</f>
        <v>Peugeot</v>
      </c>
      <c r="F182" s="19" t="str">
        <f ca="1">IFERROR(__xludf.DUMMYFUNCTION("GOOGLETRANSLATE(C182,""ar"",""en"")"),"GT 3008")</f>
        <v>GT 3008</v>
      </c>
      <c r="G182">
        <f ca="1">VLOOKUP(F:F,matching_transelated_with_ref!A:C,2,0)</f>
        <v>3008</v>
      </c>
      <c r="H182">
        <f>VLOOKUP(C:C,Sheet4!A:C,2,0)</f>
        <v>3008</v>
      </c>
    </row>
    <row r="183" spans="1:8" ht="14.4">
      <c r="A183" s="18" t="s">
        <v>170</v>
      </c>
      <c r="B183" s="18" t="s">
        <v>171</v>
      </c>
      <c r="C183" s="18" t="s">
        <v>856</v>
      </c>
      <c r="D183" s="19" t="str">
        <f ca="1">IFERROR(__xludf.DUMMYFUNCTION("GOOGLETRANSLATE(A183, ""ar"", ""en"")"),"Peugeot Atomobel")</f>
        <v>Peugeot Atomobel</v>
      </c>
      <c r="E183" s="19" t="str">
        <f ca="1">IFERROR(__xludf.DUMMYFUNCTION("GOOGLETRANSLATE(B183,""ar"",""en"")"),"Peugeot")</f>
        <v>Peugeot</v>
      </c>
      <c r="F183" s="19" t="str">
        <f ca="1">IFERROR(__xludf.DUMMYFUNCTION("GOOGLETRANSLATE(C183,""ar"",""en"")"),"508 Wr")</f>
        <v>508 Wr</v>
      </c>
      <c r="G183" t="e">
        <f ca="1">VLOOKUP(F:F,matching_transelated_with_ref!A:C,2,0)</f>
        <v>#N/A</v>
      </c>
      <c r="H183" t="e">
        <f>VLOOKUP(C:C,Sheet4!A:C,2,0)</f>
        <v>#N/A</v>
      </c>
    </row>
    <row r="184" spans="1:8" ht="14.4">
      <c r="A184" s="18" t="s">
        <v>170</v>
      </c>
      <c r="B184" s="18" t="s">
        <v>171</v>
      </c>
      <c r="C184" s="18" t="s">
        <v>1309</v>
      </c>
      <c r="D184" s="19" t="str">
        <f ca="1">IFERROR(__xludf.DUMMYFUNCTION("GOOGLETRANSLATE(A184, ""ar"", ""en"")"),"Peugeot Atomobel")</f>
        <v>Peugeot Atomobel</v>
      </c>
      <c r="E184" s="19" t="str">
        <f ca="1">IFERROR(__xludf.DUMMYFUNCTION("GOOGLETRANSLATE(B184,""ar"",""en"")"),"Peugeot")</f>
        <v>Peugeot</v>
      </c>
      <c r="F184" s="19" t="str">
        <f ca="1">IFERROR(__xludf.DUMMYFUNCTION("GOOGLETRANSLATE(C184,""ar"",""en"")"),"Lore 5008")</f>
        <v>Lore 5008</v>
      </c>
      <c r="G184">
        <f ca="1">VLOOKUP(F:F,matching_transelated_with_ref!A:C,2,0)</f>
        <v>5008</v>
      </c>
      <c r="H184" t="e">
        <f>VLOOKUP(C:C,Sheet4!A:C,2,0)</f>
        <v>#N/A</v>
      </c>
    </row>
    <row r="185" spans="1:8" ht="14.4">
      <c r="A185" s="18" t="s">
        <v>170</v>
      </c>
      <c r="B185" s="18" t="s">
        <v>171</v>
      </c>
      <c r="C185" s="18" t="s">
        <v>173</v>
      </c>
      <c r="D185" s="19" t="str">
        <f ca="1">IFERROR(__xludf.DUMMYFUNCTION("GOOGLETRANSLATE(A185, ""ar"", ""en"")"),"Peugeot Atomobel")</f>
        <v>Peugeot Atomobel</v>
      </c>
      <c r="E185" s="19" t="str">
        <f ca="1">IFERROR(__xludf.DUMMYFUNCTION("GOOGLETRANSLATE(B185,""ar"",""en"")"),"Peugeot")</f>
        <v>Peugeot</v>
      </c>
      <c r="F185" s="19" t="str">
        <f ca="1">IFERROR(__xludf.DUMMYFUNCTION("GOOGLETRANSLATE(C185,""ar"",""en"")"),"Peugeot 3008 GT Line Hat")</f>
        <v>Peugeot 3008 GT Line Hat</v>
      </c>
      <c r="G185" t="e">
        <f ca="1">VLOOKUP(F:F,matching_transelated_with_ref!A:C,2,0)</f>
        <v>#N/A</v>
      </c>
      <c r="H185">
        <f>VLOOKUP(C:C,Sheet4!A:C,2,0)</f>
        <v>3008</v>
      </c>
    </row>
    <row r="186" spans="1:8" ht="14.4">
      <c r="A186" s="18" t="s">
        <v>170</v>
      </c>
      <c r="B186" s="18" t="s">
        <v>171</v>
      </c>
      <c r="C186" s="18" t="s">
        <v>858</v>
      </c>
      <c r="D186" s="19" t="str">
        <f ca="1">IFERROR(__xludf.DUMMYFUNCTION("GOOGLETRANSLATE(A186, ""ar"", ""en"")"),"Peugeot Atomobel")</f>
        <v>Peugeot Atomobel</v>
      </c>
      <c r="E186" s="19" t="str">
        <f ca="1">IFERROR(__xludf.DUMMYFUNCTION("GOOGLETRANSLATE(B186,""ar"",""en"")"),"Peugeot")</f>
        <v>Peugeot</v>
      </c>
      <c r="F186" s="19" t="str">
        <f ca="1">IFERROR(__xludf.DUMMYFUNCTION("GOOGLETRANSLATE(C186,""ar"",""en"")"),"Lore 3008")</f>
        <v>Lore 3008</v>
      </c>
      <c r="G186">
        <f ca="1">VLOOKUP(F:F,matching_transelated_with_ref!A:C,2,0)</f>
        <v>3008</v>
      </c>
      <c r="H186">
        <f>VLOOKUP(C:C,Sheet4!A:C,2,0)</f>
        <v>3008</v>
      </c>
    </row>
    <row r="187" spans="1:8" ht="14.4">
      <c r="A187" s="18" t="s">
        <v>170</v>
      </c>
      <c r="B187" s="18" t="s">
        <v>171</v>
      </c>
      <c r="C187" s="18" t="s">
        <v>1069</v>
      </c>
      <c r="D187" s="19" t="str">
        <f ca="1">IFERROR(__xludf.DUMMYFUNCTION("GOOGLETRANSLATE(A187, ""ar"", ""en"")"),"Peugeot Atomobel")</f>
        <v>Peugeot Atomobel</v>
      </c>
      <c r="E187" s="19" t="str">
        <f ca="1">IFERROR(__xludf.DUMMYFUNCTION("GOOGLETRANSLATE(B187,""ar"",""en"")"),"Peugeot")</f>
        <v>Peugeot</v>
      </c>
      <c r="F187" s="19" t="str">
        <f ca="1">IFERROR(__xludf.DUMMYFUNCTION("GOOGLETRANSLATE(C187,""ar"",""en"")"),"GT Line 3008")</f>
        <v>GT Line 3008</v>
      </c>
      <c r="G187" t="e">
        <f ca="1">VLOOKUP(F:F,matching_transelated_with_ref!A:C,2,0)</f>
        <v>#N/A</v>
      </c>
      <c r="H187">
        <f>VLOOKUP(C:C,Sheet4!A:C,2,0)</f>
        <v>3008</v>
      </c>
    </row>
    <row r="188" spans="1:8" ht="14.4">
      <c r="A188" s="18" t="s">
        <v>170</v>
      </c>
      <c r="B188" s="18" t="s">
        <v>171</v>
      </c>
      <c r="C188" s="18" t="s">
        <v>1306</v>
      </c>
      <c r="D188" s="19" t="str">
        <f ca="1">IFERROR(__xludf.DUMMYFUNCTION("GOOGLETRANSLATE(A188, ""ar"", ""en"")"),"Peugeot Atomobel")</f>
        <v>Peugeot Atomobel</v>
      </c>
      <c r="E188" s="19" t="str">
        <f ca="1">IFERROR(__xludf.DUMMYFUNCTION("GOOGLETRANSLATE(B188,""ar"",""en"")"),"Peugeot")</f>
        <v>Peugeot</v>
      </c>
      <c r="F188" s="19" t="str">
        <f ca="1">IFERROR(__xludf.DUMMYFUNCTION("GOOGLETRANSLATE(C188,""ar"",""en"")"),"Activ 3008")</f>
        <v>Activ 3008</v>
      </c>
      <c r="G188">
        <f ca="1">VLOOKUP(F:F,matching_transelated_with_ref!A:C,2,0)</f>
        <v>3008</v>
      </c>
      <c r="H188">
        <f>VLOOKUP(C:C,Sheet4!A:C,2,0)</f>
        <v>3008</v>
      </c>
    </row>
    <row r="189" spans="1:8" ht="14.4">
      <c r="A189" s="18" t="s">
        <v>170</v>
      </c>
      <c r="B189" s="18" t="s">
        <v>171</v>
      </c>
      <c r="C189" s="18" t="s">
        <v>172</v>
      </c>
      <c r="D189" s="19" t="str">
        <f ca="1">IFERROR(__xludf.DUMMYFUNCTION("GOOGLETRANSLATE(A189, ""ar"", ""en"")"),"Peugeot Atomobel")</f>
        <v>Peugeot Atomobel</v>
      </c>
      <c r="E189" s="19" t="str">
        <f ca="1">IFERROR(__xludf.DUMMYFUNCTION("GOOGLETRANSLATE(B189,""ar"",""en"")"),"Peugeot")</f>
        <v>Peugeot</v>
      </c>
      <c r="F189" s="19" t="str">
        <f ca="1">IFERROR(__xludf.DUMMYFUNCTION("GOOGLETRANSLATE(C189,""ar"",""en"")"),"Pus")</f>
        <v>Pus</v>
      </c>
      <c r="G189" t="e">
        <f ca="1">VLOOKUP(F:F,matching_transelated_with_ref!A:C,2,0)</f>
        <v>#N/A</v>
      </c>
      <c r="H189" t="str">
        <f>VLOOKUP(C:C,Sheet4!A:C,2,0)</f>
        <v xml:space="preserve"> بوكستر</v>
      </c>
    </row>
    <row r="190" spans="1:8" ht="14.4">
      <c r="A190" s="18" t="s">
        <v>170</v>
      </c>
      <c r="B190" s="18" t="s">
        <v>171</v>
      </c>
      <c r="C190" s="18" t="s">
        <v>1310</v>
      </c>
      <c r="D190" s="19" t="str">
        <f ca="1">IFERROR(__xludf.DUMMYFUNCTION("GOOGLETRANSLATE(A190, ""ar"", ""en"")"),"Peugeot Atomobel")</f>
        <v>Peugeot Atomobel</v>
      </c>
      <c r="E190" s="19" t="str">
        <f ca="1">IFERROR(__xludf.DUMMYFUNCTION("GOOGLETRANSLATE(B190,""ar"",""en"")"),"Peugeot")</f>
        <v>Peugeot</v>
      </c>
      <c r="F190" s="19" t="str">
        <f ca="1">IFERROR(__xludf.DUMMYFUNCTION("GOOGLETRANSLATE(C190,""ar"",""en"")"),"GT 2008")</f>
        <v>GT 2008</v>
      </c>
      <c r="G190">
        <f ca="1">VLOOKUP(F:F,matching_transelated_with_ref!A:C,2,0)</f>
        <v>2008</v>
      </c>
      <c r="H190">
        <f>VLOOKUP(C:C,Sheet4!A:C,2,0)</f>
        <v>2008</v>
      </c>
    </row>
    <row r="191" spans="1:8" ht="14.4">
      <c r="A191" s="18" t="s">
        <v>170</v>
      </c>
      <c r="B191" s="18" t="s">
        <v>171</v>
      </c>
      <c r="C191" s="18" t="s">
        <v>1067</v>
      </c>
      <c r="D191" s="19" t="str">
        <f ca="1">IFERROR(__xludf.DUMMYFUNCTION("GOOGLETRANSLATE(A191, ""ar"", ""en"")"),"Peugeot Atomobel")</f>
        <v>Peugeot Atomobel</v>
      </c>
      <c r="E191" s="19" t="str">
        <f ca="1">IFERROR(__xludf.DUMMYFUNCTION("GOOGLETRANSLATE(B191,""ar"",""en"")"),"Peugeot")</f>
        <v>Peugeot</v>
      </c>
      <c r="F191" s="19" t="str">
        <f ca="1">IFERROR(__xludf.DUMMYFUNCTION("GOOGLETRANSLATE(C191,""ar"",""en"")"),"Express automatic")</f>
        <v>Express automatic</v>
      </c>
      <c r="G191" t="e">
        <f ca="1">VLOOKUP(F:F,matching_transelated_with_ref!A:C,2,0)</f>
        <v>#N/A</v>
      </c>
      <c r="H191" t="str">
        <f>VLOOKUP(C:C,Sheet4!A:C,2,0)</f>
        <v xml:space="preserve"> اكسبرت </v>
      </c>
    </row>
    <row r="192" spans="1:8" ht="14.4">
      <c r="A192" s="18" t="s">
        <v>170</v>
      </c>
      <c r="B192" s="18" t="s">
        <v>171</v>
      </c>
      <c r="C192" s="18" t="s">
        <v>1307</v>
      </c>
      <c r="D192" s="19" t="str">
        <f ca="1">IFERROR(__xludf.DUMMYFUNCTION("GOOGLETRANSLATE(A192, ""ar"", ""en"")"),"Peugeot Atomobel")</f>
        <v>Peugeot Atomobel</v>
      </c>
      <c r="E192" s="19" t="str">
        <f ca="1">IFERROR(__xludf.DUMMYFUNCTION("GOOGLETRANSLATE(B192,""ar"",""en"")"),"Peugeot")</f>
        <v>Peugeot</v>
      </c>
      <c r="F192" s="19" t="str">
        <f ca="1">IFERROR(__xludf.DUMMYFUNCTION("GOOGLETRANSLATE(C192,""ar"",""en"")"),"Lower 2008")</f>
        <v>Lower 2008</v>
      </c>
      <c r="G192">
        <f ca="1">VLOOKUP(F:F,matching_transelated_with_ref!A:C,2,0)</f>
        <v>2008</v>
      </c>
      <c r="H192">
        <f>VLOOKUP(C:C,Sheet4!A:C,2,0)</f>
        <v>2008</v>
      </c>
    </row>
    <row r="193" spans="1:8" ht="14.4">
      <c r="A193" s="18" t="s">
        <v>170</v>
      </c>
      <c r="B193" s="18" t="s">
        <v>171</v>
      </c>
      <c r="C193" s="18" t="s">
        <v>1308</v>
      </c>
      <c r="D193" s="19" t="str">
        <f ca="1">IFERROR(__xludf.DUMMYFUNCTION("GOOGLETRANSLATE(A193, ""ar"", ""en"")"),"Peugeot Atomobel")</f>
        <v>Peugeot Atomobel</v>
      </c>
      <c r="E193" s="19" t="str">
        <f ca="1">IFERROR(__xludf.DUMMYFUNCTION("GOOGLETRANSLATE(B193,""ar"",""en"")"),"Peugeot")</f>
        <v>Peugeot</v>
      </c>
      <c r="F193" s="19" t="str">
        <f ca="1">IFERROR(__xludf.DUMMYFUNCTION("GOOGLETRANSLATE(C193,""ar"",""en"")"),"Lower 2008")</f>
        <v>Lower 2008</v>
      </c>
      <c r="G193">
        <f ca="1">VLOOKUP(F:F,matching_transelated_with_ref!A:C,2,0)</f>
        <v>2008</v>
      </c>
      <c r="H193" t="e">
        <f>VLOOKUP(C:C,Sheet4!A:C,2,0)</f>
        <v>#N/A</v>
      </c>
    </row>
    <row r="194" spans="1:8" ht="14.4">
      <c r="A194" s="18" t="s">
        <v>170</v>
      </c>
      <c r="B194" s="18" t="s">
        <v>171</v>
      </c>
      <c r="C194" s="18" t="s">
        <v>1305</v>
      </c>
      <c r="D194" s="19" t="str">
        <f ca="1">IFERROR(__xludf.DUMMYFUNCTION("GOOGLETRANSLATE(A194, ""ar"", ""en"")"),"Peugeot Atomobel")</f>
        <v>Peugeot Atomobel</v>
      </c>
      <c r="E194" s="19" t="str">
        <f ca="1">IFERROR(__xludf.DUMMYFUNCTION("GOOGLETRANSLATE(B194,""ar"",""en"")"),"Peugeot")</f>
        <v>Peugeot</v>
      </c>
      <c r="F194" s="19" t="str">
        <f ca="1">IFERROR(__xludf.DUMMYFUNCTION("GOOGLETRANSLATE(C194,""ar"",""en"")"),"208")</f>
        <v>208</v>
      </c>
      <c r="G194" t="e">
        <f ca="1">VLOOKUP(F:F,matching_transelated_with_ref!A:C,2,0)</f>
        <v>#N/A</v>
      </c>
      <c r="H194" t="e">
        <f>VLOOKUP(C:C,Sheet4!A:C,2,0)</f>
        <v>#N/A</v>
      </c>
    </row>
    <row r="195" spans="1:8" ht="14.4">
      <c r="A195" s="18" t="s">
        <v>170</v>
      </c>
      <c r="B195" s="18" t="s">
        <v>171</v>
      </c>
      <c r="C195" s="18" t="s">
        <v>1068</v>
      </c>
      <c r="D195" s="19" t="str">
        <f ca="1">IFERROR(__xludf.DUMMYFUNCTION("GOOGLETRANSLATE(A195, ""ar"", ""en"")"),"Peugeot Atomobel")</f>
        <v>Peugeot Atomobel</v>
      </c>
      <c r="E195" s="19" t="str">
        <f ca="1">IFERROR(__xludf.DUMMYFUNCTION("GOOGLETRANSLATE(B195,""ar"",""en"")"),"Peugeot")</f>
        <v>Peugeot</v>
      </c>
      <c r="F195" s="19" t="str">
        <f ca="1">IFERROR(__xludf.DUMMYFUNCTION("GOOGLETRANSLATE(C195,""ar"",""en"")"),"Partner")</f>
        <v>Partner</v>
      </c>
      <c r="G195" t="e">
        <f ca="1">VLOOKUP(F:F,matching_transelated_with_ref!A:C,2,0)</f>
        <v>#N/A</v>
      </c>
      <c r="H195" t="e">
        <f>VLOOKUP(C:C,Sheet4!A:C,2,0)</f>
        <v>#N/A</v>
      </c>
    </row>
    <row r="196" spans="1:8" ht="14.4">
      <c r="A196" s="18" t="s">
        <v>174</v>
      </c>
      <c r="B196" s="18" t="s">
        <v>174</v>
      </c>
      <c r="C196" s="18" t="s">
        <v>583</v>
      </c>
      <c r="D196" s="19" t="str">
        <f ca="1">IFERROR(__xludf.DUMMYFUNCTION("GOOGLETRANSLATE(A196, ""ar"", ""en"")"),"Bentelly")</f>
        <v>Bentelly</v>
      </c>
      <c r="E196" s="19" t="str">
        <f ca="1">IFERROR(__xludf.DUMMYFUNCTION("GOOGLETRANSLATE(B196,""ar"",""en"")"),"Bentelly")</f>
        <v>Bentelly</v>
      </c>
      <c r="F196" s="19" t="str">
        <f ca="1">IFERROR(__xludf.DUMMYFUNCTION("GOOGLETRANSLATE(C196,""ar"",""en"")"),"Molsan iWB")</f>
        <v>Molsan iWB</v>
      </c>
      <c r="G196" t="e">
        <f ca="1">VLOOKUP(F:F,matching_transelated_with_ref!A:C,2,0)</f>
        <v>#N/A</v>
      </c>
      <c r="H196" t="e">
        <f>VLOOKUP(C:C,Sheet4!A:C,2,0)</f>
        <v>#N/A</v>
      </c>
    </row>
    <row r="197" spans="1:8" ht="14.4">
      <c r="A197" s="18" t="s">
        <v>174</v>
      </c>
      <c r="B197" s="18" t="s">
        <v>174</v>
      </c>
      <c r="C197" s="18" t="s">
        <v>859</v>
      </c>
      <c r="D197" s="19" t="str">
        <f ca="1">IFERROR(__xludf.DUMMYFUNCTION("GOOGLETRANSLATE(A197, ""ar"", ""en"")"),"Bentelly")</f>
        <v>Bentelly</v>
      </c>
      <c r="E197" s="19" t="str">
        <f ca="1">IFERROR(__xludf.DUMMYFUNCTION("GOOGLETRANSLATE(B197,""ar"",""en"")"),"Bentelly")</f>
        <v>Bentelly</v>
      </c>
      <c r="F197" s="19" t="str">
        <f ca="1">IFERROR(__xludf.DUMMYFUNCTION("GOOGLETRANSLATE(C197,""ar"",""en"")"),"Fly Speer WD 12")</f>
        <v>Fly Speer WD 12</v>
      </c>
      <c r="G197" t="e">
        <f ca="1">VLOOKUP(F:F,matching_transelated_with_ref!A:C,2,0)</f>
        <v>#N/A</v>
      </c>
      <c r="H197" t="e">
        <f>VLOOKUP(C:C,Sheet4!A:C,2,0)</f>
        <v>#N/A</v>
      </c>
    </row>
    <row r="198" spans="1:8" ht="14.4">
      <c r="A198" s="18" t="s">
        <v>174</v>
      </c>
      <c r="B198" s="18" t="s">
        <v>174</v>
      </c>
      <c r="C198" s="18" t="s">
        <v>860</v>
      </c>
      <c r="D198" s="19" t="str">
        <f ca="1">IFERROR(__xludf.DUMMYFUNCTION("GOOGLETRANSLATE(A198, ""ar"", ""en"")"),"Bentelly")</f>
        <v>Bentelly</v>
      </c>
      <c r="E198" s="19" t="str">
        <f ca="1">IFERROR(__xludf.DUMMYFUNCTION("GOOGLETRANSLATE(B198,""ar"",""en"")"),"Bentelly")</f>
        <v>Bentelly</v>
      </c>
      <c r="F198" s="19" t="str">
        <f ca="1">IFERROR(__xludf.DUMMYFUNCTION("GOOGLETRANSLATE(C198,""ar"",""en"")"),"Continental")</f>
        <v>Continental</v>
      </c>
      <c r="G198" t="e">
        <f ca="1">VLOOKUP(F:F,matching_transelated_with_ref!A:C,2,0)</f>
        <v>#N/A</v>
      </c>
      <c r="H198" t="str">
        <f>VLOOKUP(C:C,Sheet4!A:C,2,0)</f>
        <v xml:space="preserve">كونتيننتال - تاون </v>
      </c>
    </row>
    <row r="199" spans="1:8" ht="14.4">
      <c r="A199" s="18" t="s">
        <v>174</v>
      </c>
      <c r="B199" s="18" t="s">
        <v>174</v>
      </c>
      <c r="C199" s="18" t="s">
        <v>1314</v>
      </c>
      <c r="D199" s="19" t="str">
        <f ca="1">IFERROR(__xludf.DUMMYFUNCTION("GOOGLETRANSLATE(A199, ""ar"", ""en"")"),"Bentelly")</f>
        <v>Bentelly</v>
      </c>
      <c r="E199" s="19" t="str">
        <f ca="1">IFERROR(__xludf.DUMMYFUNCTION("GOOGLETRANSLATE(B199,""ar"",""en"")"),"Bentelly")</f>
        <v>Bentelly</v>
      </c>
      <c r="F199" s="19" t="str">
        <f ca="1">IFERROR(__xludf.DUMMYFUNCTION("GOOGLETRANSLATE(C199,""ar"",""en"")"),"Fly Speer in 8S")</f>
        <v>Fly Speer in 8S</v>
      </c>
      <c r="G199" t="e">
        <f ca="1">VLOOKUP(F:F,matching_transelated_with_ref!A:C,2,0)</f>
        <v>#N/A</v>
      </c>
      <c r="H199" t="e">
        <f>VLOOKUP(C:C,Sheet4!A:C,2,0)</f>
        <v>#N/A</v>
      </c>
    </row>
    <row r="200" spans="1:8" ht="14.4">
      <c r="A200" s="18" t="s">
        <v>174</v>
      </c>
      <c r="B200" s="18" t="s">
        <v>174</v>
      </c>
      <c r="C200" s="18" t="s">
        <v>175</v>
      </c>
      <c r="D200" s="19" t="str">
        <f ca="1">IFERROR(__xludf.DUMMYFUNCTION("GOOGLETRANSLATE(A200, ""ar"", ""en"")"),"Bentelly")</f>
        <v>Bentelly</v>
      </c>
      <c r="E200" s="19" t="str">
        <f ca="1">IFERROR(__xludf.DUMMYFUNCTION("GOOGLETRANSLATE(B200,""ar"",""en"")"),"Bentelly")</f>
        <v>Bentelly</v>
      </c>
      <c r="F200" s="19" t="str">
        <f ca="1">IFERROR(__xludf.DUMMYFUNCTION("GOOGLETRANSLATE(C200,""ar"",""en"")"),"Fly Spere in 8")</f>
        <v>Fly Spere in 8</v>
      </c>
      <c r="G200" t="e">
        <f ca="1">VLOOKUP(F:F,matching_transelated_with_ref!A:C,2,0)</f>
        <v>#N/A</v>
      </c>
      <c r="H200" t="e">
        <f>VLOOKUP(C:C,Sheet4!A:C,2,0)</f>
        <v>#N/A</v>
      </c>
    </row>
    <row r="201" spans="1:8" ht="14.4">
      <c r="A201" s="18" t="s">
        <v>861</v>
      </c>
      <c r="B201" s="18" t="s">
        <v>862</v>
      </c>
      <c r="C201" s="18" t="s">
        <v>1072</v>
      </c>
      <c r="D201" s="19" t="str">
        <f ca="1">IFERROR(__xludf.DUMMYFUNCTION("GOOGLETRANSLATE(A201, ""ar"", ""en"")"),"stammer")</f>
        <v>stammer</v>
      </c>
      <c r="E201" s="19" t="str">
        <f ca="1">IFERROR(__xludf.DUMMYFUNCTION("GOOGLETRANSLATE(B201,""ar"",""en"")"),"bus")</f>
        <v>bus</v>
      </c>
      <c r="F201" s="19" t="str">
        <f ca="1">IFERROR(__xludf.DUMMYFUNCTION("GOOGLETRANSLATE(C201,""ar"",""en"")"),"LB or 1618")</f>
        <v>LB or 1618</v>
      </c>
      <c r="G201" t="e">
        <f ca="1">VLOOKUP(F:F,matching_transelated_with_ref!A:C,2,0)</f>
        <v>#N/A</v>
      </c>
      <c r="H201" t="e">
        <f>VLOOKUP(C:C,Sheet4!A:C,2,0)</f>
        <v>#N/A</v>
      </c>
    </row>
    <row r="202" spans="1:8" ht="14.4">
      <c r="A202" s="18" t="s">
        <v>861</v>
      </c>
      <c r="B202" s="18" t="s">
        <v>862</v>
      </c>
      <c r="C202" s="18" t="s">
        <v>863</v>
      </c>
      <c r="D202" s="19" t="str">
        <f ca="1">IFERROR(__xludf.DUMMYFUNCTION("GOOGLETRANSLATE(A202, ""ar"", ""en"")"),"stammer")</f>
        <v>stammer</v>
      </c>
      <c r="E202" s="19" t="str">
        <f ca="1">IFERROR(__xludf.DUMMYFUNCTION("GOOGLETRANSLATE(B202,""ar"",""en"")"),"bus")</f>
        <v>bus</v>
      </c>
      <c r="F202" s="19" t="str">
        <f ca="1">IFERROR(__xludf.DUMMYFUNCTION("GOOGLETRANSLATE(C202,""ar"",""en"")"),"LB 613")</f>
        <v>LB 613</v>
      </c>
      <c r="G202" t="e">
        <f ca="1">VLOOKUP(F:F,matching_transelated_with_ref!A:C,2,0)</f>
        <v>#N/A</v>
      </c>
      <c r="H202" t="e">
        <f>VLOOKUP(C:C,Sheet4!A:C,2,0)</f>
        <v>#N/A</v>
      </c>
    </row>
    <row r="203" spans="1:8" ht="14.4">
      <c r="A203" s="18" t="s">
        <v>861</v>
      </c>
      <c r="B203" s="18" t="s">
        <v>8</v>
      </c>
      <c r="C203" s="18" t="s">
        <v>1070</v>
      </c>
      <c r="D203" s="19" t="str">
        <f ca="1">IFERROR(__xludf.DUMMYFUNCTION("GOOGLETRANSLATE(A203, ""ar"", ""en"")"),"stammer")</f>
        <v>stammer</v>
      </c>
      <c r="E203" s="19" t="str">
        <f ca="1">IFERROR(__xludf.DUMMYFUNCTION("GOOGLETRANSLATE(B203,""ar"",""en"")"),"-")</f>
        <v>-</v>
      </c>
      <c r="F203" s="19" t="str">
        <f ca="1">IFERROR(__xludf.DUMMYFUNCTION("GOOGLETRANSLATE(C203,""ar"",""en"")"),"Ultra 814")</f>
        <v>Ultra 814</v>
      </c>
      <c r="G203" t="e">
        <f ca="1">VLOOKUP(F:F,matching_transelated_with_ref!A:C,2,0)</f>
        <v>#N/A</v>
      </c>
      <c r="H203" t="e">
        <f>VLOOKUP(C:C,Sheet4!A:C,2,0)</f>
        <v>#N/A</v>
      </c>
    </row>
    <row r="204" spans="1:8" ht="14.4">
      <c r="A204" s="18" t="s">
        <v>861</v>
      </c>
      <c r="B204" s="18" t="s">
        <v>8</v>
      </c>
      <c r="C204" s="18" t="s">
        <v>1071</v>
      </c>
      <c r="D204" s="19" t="str">
        <f ca="1">IFERROR(__xludf.DUMMYFUNCTION("GOOGLETRANSLATE(A204, ""ar"", ""en"")"),"stammer")</f>
        <v>stammer</v>
      </c>
      <c r="E204" s="19" t="str">
        <f ca="1">IFERROR(__xludf.DUMMYFUNCTION("GOOGLETRANSLATE(B204,""ar"",""en"")"),"-")</f>
        <v>-</v>
      </c>
      <c r="F204" s="19" t="str">
        <f ca="1">IFERROR(__xludf.DUMMYFUNCTION("GOOGLETRANSLATE(C204,""ar"",""en"")"),"Xenon 2.2 liter diesel")</f>
        <v>Xenon 2.2 liter diesel</v>
      </c>
      <c r="G204" t="e">
        <f ca="1">VLOOKUP(F:F,matching_transelated_with_ref!A:C,2,0)</f>
        <v>#N/A</v>
      </c>
      <c r="H204">
        <f>VLOOKUP(C:C,Sheet4!A:C,2,0)</f>
        <v>2</v>
      </c>
    </row>
    <row r="205" spans="1:8" ht="14.4">
      <c r="A205" s="18" t="s">
        <v>1073</v>
      </c>
      <c r="B205" s="18" t="s">
        <v>114</v>
      </c>
      <c r="C205" s="18" t="s">
        <v>1074</v>
      </c>
      <c r="D205" s="19" t="str">
        <f ca="1">IFERROR(__xludf.DUMMYFUNCTION("GOOGLETRANSLATE(A205, ""ar"", ""en"")"),"Tata Daewoo")</f>
        <v>Tata Daewoo</v>
      </c>
      <c r="E205" s="19" t="str">
        <f ca="1">IFERROR(__xludf.DUMMYFUNCTION("GOOGLETRANSLATE(B205,""ar"",""en"")"),"a truck")</f>
        <v>a truck</v>
      </c>
      <c r="F205" s="19" t="str">
        <f ca="1">IFERROR(__xludf.DUMMYFUNCTION("GOOGLETRANSLATE(C205,""ar"",""en"")"),"M8C 4f")</f>
        <v>M8C 4f</v>
      </c>
      <c r="G205" t="e">
        <f ca="1">VLOOKUP(F:F,matching_transelated_with_ref!A:C,2,0)</f>
        <v>#N/A</v>
      </c>
      <c r="H205" t="e">
        <f>VLOOKUP(C:C,Sheet4!A:C,2,0)</f>
        <v>#N/A</v>
      </c>
    </row>
    <row r="206" spans="1:8" ht="14.4">
      <c r="A206" s="18" t="s">
        <v>27</v>
      </c>
      <c r="B206" s="18" t="s">
        <v>40</v>
      </c>
      <c r="C206" s="18" t="s">
        <v>225</v>
      </c>
      <c r="D206" s="19" t="str">
        <f ca="1">IFERROR(__xludf.DUMMYFUNCTION("GOOGLETRANSLATE(A206, ""ar"", ""en"")"),"Toyota")</f>
        <v>Toyota</v>
      </c>
      <c r="E206" s="19" t="str">
        <f ca="1">IFERROR(__xludf.DUMMYFUNCTION("GOOGLETRANSLATE(B206,""ar"",""en"")"),"Lexus")</f>
        <v>Lexus</v>
      </c>
      <c r="F206" s="19" t="str">
        <f ca="1">IFERROR(__xludf.DUMMYFUNCTION("GOOGLETRANSLATE(C206,""ar"",""en"")"),"LS 500")</f>
        <v>LS 500</v>
      </c>
      <c r="G206" t="str">
        <f ca="1">VLOOKUP(F:F,matching_transelated_with_ref!A:C,2,0)</f>
        <v>LS-500</v>
      </c>
      <c r="H206">
        <f>VLOOKUP(C:C,Sheet4!A:C,2,0)</f>
        <v>500</v>
      </c>
    </row>
    <row r="207" spans="1:8" ht="14.4">
      <c r="A207" s="18" t="s">
        <v>27</v>
      </c>
      <c r="B207" s="18" t="s">
        <v>40</v>
      </c>
      <c r="C207" s="18" t="s">
        <v>1343</v>
      </c>
      <c r="D207" s="19" t="str">
        <f ca="1">IFERROR(__xludf.DUMMYFUNCTION("GOOGLETRANSLATE(A207, ""ar"", ""en"")"),"Toyota")</f>
        <v>Toyota</v>
      </c>
      <c r="E207" s="19" t="str">
        <f ca="1">IFERROR(__xludf.DUMMYFUNCTION("GOOGLETRANSLATE(B207,""ar"",""en"")"),"Lexus")</f>
        <v>Lexus</v>
      </c>
      <c r="F207" s="19" t="str">
        <f ca="1">IFERROR(__xludf.DUMMYFUNCTION("GOOGLETRANSLATE(C207,""ar"",""en"")"),"Lux 600 3.5 liters pay Lord")</f>
        <v>Lux 600 3.5 liters pay Lord</v>
      </c>
      <c r="G207" t="e">
        <f ca="1">VLOOKUP(F:F,matching_transelated_with_ref!A:C,2,0)</f>
        <v>#N/A</v>
      </c>
      <c r="H207">
        <f>VLOOKUP(C:C,Sheet4!A:C,2,0)</f>
        <v>3</v>
      </c>
    </row>
    <row r="208" spans="1:8" ht="14.4">
      <c r="A208" s="18" t="s">
        <v>27</v>
      </c>
      <c r="B208" s="18" t="s">
        <v>40</v>
      </c>
      <c r="C208" s="18" t="s">
        <v>226</v>
      </c>
      <c r="D208" s="19" t="str">
        <f ca="1">IFERROR(__xludf.DUMMYFUNCTION("GOOGLETRANSLATE(A208, ""ar"", ""en"")"),"Toyota")</f>
        <v>Toyota</v>
      </c>
      <c r="E208" s="19" t="str">
        <f ca="1">IFERROR(__xludf.DUMMYFUNCTION("GOOGLETRANSLATE(B208,""ar"",""en"")"),"Lexus")</f>
        <v>Lexus</v>
      </c>
      <c r="F208" s="19" t="str">
        <f ca="1">IFERROR(__xludf.DUMMYFUNCTION("GOOGLETRANSLATE(C208,""ar"",""en"")"),"LS 500H")</f>
        <v>LS 500H</v>
      </c>
      <c r="G208" t="str">
        <f ca="1">VLOOKUP(F:F,matching_transelated_with_ref!A:C,2,0)</f>
        <v>LS-500</v>
      </c>
      <c r="H208">
        <f>VLOOKUP(C:C,Sheet4!A:C,2,0)</f>
        <v>500</v>
      </c>
    </row>
    <row r="209" spans="1:8" ht="14.4">
      <c r="A209" s="18" t="s">
        <v>27</v>
      </c>
      <c r="B209" s="18" t="s">
        <v>40</v>
      </c>
      <c r="C209" s="18" t="s">
        <v>1344</v>
      </c>
      <c r="D209" s="19" t="str">
        <f ca="1">IFERROR(__xludf.DUMMYFUNCTION("GOOGLETRANSLATE(A209, ""ar"", ""en"")"),"Toyota")</f>
        <v>Toyota</v>
      </c>
      <c r="E209" s="19" t="str">
        <f ca="1">IFERROR(__xludf.DUMMYFUNCTION("GOOGLETRANSLATE(B209,""ar"",""en"")"),"Lexus")</f>
        <v>Lexus</v>
      </c>
      <c r="F209" s="19" t="str">
        <f ca="1">IFERROR(__xludf.DUMMYFUNCTION("GOOGLETRANSLATE(C209,""ar"",""en"")"),"Lux 600 3.5 liters pay usury")</f>
        <v>Lux 600 3.5 liters pay usury</v>
      </c>
      <c r="G209" t="e">
        <f ca="1">VLOOKUP(F:F,matching_transelated_with_ref!A:C,2,0)</f>
        <v>#N/A</v>
      </c>
      <c r="H209">
        <f>VLOOKUP(C:C,Sheet4!A:C,2,0)</f>
        <v>3</v>
      </c>
    </row>
    <row r="210" spans="1:8" ht="14.4">
      <c r="A210" s="18" t="s">
        <v>27</v>
      </c>
      <c r="B210" s="18" t="s">
        <v>40</v>
      </c>
      <c r="C210" s="18" t="s">
        <v>593</v>
      </c>
      <c r="D210" s="19" t="str">
        <f ca="1">IFERROR(__xludf.DUMMYFUNCTION("GOOGLETRANSLATE(A210, ""ar"", ""en"")"),"Toyota")</f>
        <v>Toyota</v>
      </c>
      <c r="E210" s="19" t="str">
        <f ca="1">IFERROR(__xludf.DUMMYFUNCTION("GOOGLETRANSLATE(B210,""ar"",""en"")"),"Lexus")</f>
        <v>Lexus</v>
      </c>
      <c r="F210" s="19" t="str">
        <f ca="1">IFERROR(__xludf.DUMMYFUNCTION("GOOGLETRANSLATE(C210,""ar"",""en"")"),"LX 450 diesel")</f>
        <v>LX 450 diesel</v>
      </c>
      <c r="G210" t="e">
        <f ca="1">VLOOKUP(F:F,matching_transelated_with_ref!A:C,2,0)</f>
        <v>#N/A</v>
      </c>
      <c r="H210" t="e">
        <f>VLOOKUP(C:C,Sheet4!A:C,2,0)</f>
        <v>#N/A</v>
      </c>
    </row>
    <row r="211" spans="1:8" ht="14.4">
      <c r="A211" s="18" t="s">
        <v>27</v>
      </c>
      <c r="B211" s="18" t="s">
        <v>40</v>
      </c>
      <c r="C211" s="18" t="s">
        <v>220</v>
      </c>
      <c r="D211" s="19" t="str">
        <f ca="1">IFERROR(__xludf.DUMMYFUNCTION("GOOGLETRANSLATE(A211, ""ar"", ""en"")"),"Toyota")</f>
        <v>Toyota</v>
      </c>
      <c r="E211" s="19" t="str">
        <f ca="1">IFERROR(__xludf.DUMMYFUNCTION("GOOGLETRANSLATE(B211,""ar"",""en"")"),"Lexus")</f>
        <v>Lexus</v>
      </c>
      <c r="F211" s="19" t="str">
        <f ca="1">IFERROR(__xludf.DUMMYFUNCTION("GOOGLETRANSLATE(C211,""ar"",""en"")"),"570 LX")</f>
        <v>570 LX</v>
      </c>
      <c r="G211" t="e">
        <f ca="1">VLOOKUP(F:F,matching_transelated_with_ref!A:C,2,0)</f>
        <v>#N/A</v>
      </c>
      <c r="H211" t="e">
        <f>VLOOKUP(C:C,Sheet4!A:C,2,0)</f>
        <v>#N/A</v>
      </c>
    </row>
    <row r="212" spans="1:8" ht="14.4">
      <c r="A212" s="18" t="s">
        <v>27</v>
      </c>
      <c r="B212" s="18" t="s">
        <v>40</v>
      </c>
      <c r="C212" s="18" t="s">
        <v>224</v>
      </c>
      <c r="D212" s="19" t="str">
        <f ca="1">IFERROR(__xludf.DUMMYFUNCTION("GOOGLETRANSLATE(A212, ""ar"", ""en"")"),"Toyota")</f>
        <v>Toyota</v>
      </c>
      <c r="E212" s="19" t="str">
        <f ca="1">IFERROR(__xludf.DUMMYFUNCTION("GOOGLETRANSLATE(B212,""ar"",""en"")"),"Lexus")</f>
        <v>Lexus</v>
      </c>
      <c r="F212" s="19" t="str">
        <f ca="1">IFERROR(__xludf.DUMMYFUNCTION("GOOGLETRANSLATE(C212,""ar"",""en"")"),"LS 350")</f>
        <v>LS 350</v>
      </c>
      <c r="G212" t="str">
        <f ca="1">VLOOKUP(F:F,matching_transelated_with_ref!A:C,2,0)</f>
        <v xml:space="preserve"> LS350</v>
      </c>
      <c r="H212" t="e">
        <f>VLOOKUP(C:C,Sheet4!A:C,2,0)</f>
        <v>#N/A</v>
      </c>
    </row>
    <row r="213" spans="1:8" ht="14.4">
      <c r="A213" s="18" t="s">
        <v>27</v>
      </c>
      <c r="B213" s="18" t="s">
        <v>188</v>
      </c>
      <c r="C213" s="18" t="s">
        <v>218</v>
      </c>
      <c r="D213" s="19" t="str">
        <f ca="1">IFERROR(__xludf.DUMMYFUNCTION("GOOGLETRANSLATE(A213, ""ar"", ""en"")"),"Toyota")</f>
        <v>Toyota</v>
      </c>
      <c r="E213" s="19" t="str">
        <f ca="1">IFERROR(__xludf.DUMMYFUNCTION("GOOGLETRANSLATE(B213,""ar"",""en"")"),"Land Cruiser")</f>
        <v>Land Cruiser</v>
      </c>
      <c r="F213" s="19" t="str">
        <f ca="1">IFERROR(__xludf.DUMMYFUNCTION("GOOGLETRANSLATE(C213,""ar"",""en"")"),"In XR")</f>
        <v>In XR</v>
      </c>
      <c r="G213" t="e">
        <f ca="1">VLOOKUP(F:F,matching_transelated_with_ref!A:C,2,0)</f>
        <v>#N/A</v>
      </c>
      <c r="H213" t="e">
        <f>VLOOKUP(C:C,Sheet4!A:C,2,0)</f>
        <v>#N/A</v>
      </c>
    </row>
    <row r="214" spans="1:8" ht="14.4">
      <c r="A214" s="18" t="s">
        <v>27</v>
      </c>
      <c r="B214" s="18" t="s">
        <v>40</v>
      </c>
      <c r="C214" s="18" t="s">
        <v>223</v>
      </c>
      <c r="D214" s="19" t="str">
        <f ca="1">IFERROR(__xludf.DUMMYFUNCTION("GOOGLETRANSLATE(A214, ""ar"", ""en"")"),"Toyota")</f>
        <v>Toyota</v>
      </c>
      <c r="E214" s="19" t="str">
        <f ca="1">IFERROR(__xludf.DUMMYFUNCTION("GOOGLETRANSLATE(B214,""ar"",""en"")"),"Lexus")</f>
        <v>Lexus</v>
      </c>
      <c r="F214" s="19" t="str">
        <f ca="1">IFERROR(__xludf.DUMMYFUNCTION("GOOGLETRANSLATE(C214,""ar"",""en"")"),"RX 450 HL")</f>
        <v>RX 450 HL</v>
      </c>
      <c r="G214" t="e">
        <f ca="1">VLOOKUP(F:F,matching_transelated_with_ref!A:C,2,0)</f>
        <v>#N/A</v>
      </c>
      <c r="H214" t="e">
        <f>VLOOKUP(C:C,Sheet4!A:C,2,0)</f>
        <v>#N/A</v>
      </c>
    </row>
    <row r="215" spans="1:8" ht="14.4">
      <c r="A215" s="18" t="s">
        <v>27</v>
      </c>
      <c r="B215" s="18" t="s">
        <v>40</v>
      </c>
      <c r="C215" s="18" t="s">
        <v>233</v>
      </c>
      <c r="D215" s="19" t="str">
        <f ca="1">IFERROR(__xludf.DUMMYFUNCTION("GOOGLETRANSLATE(A215, ""ar"", ""en"")"),"Toyota")</f>
        <v>Toyota</v>
      </c>
      <c r="E215" s="19" t="str">
        <f ca="1">IFERROR(__xludf.DUMMYFUNCTION("GOOGLETRANSLATE(B215,""ar"",""en"")"),"Lexus")</f>
        <v>Lexus</v>
      </c>
      <c r="F215" s="19" t="str">
        <f ca="1">IFERROR(__xludf.DUMMYFUNCTION("GOOGLETRANSLATE(C215,""ar"",""en"")"),"GS 450H")</f>
        <v>GS 450H</v>
      </c>
      <c r="G215" t="e">
        <f ca="1">VLOOKUP(F:F,matching_transelated_with_ref!A:C,2,0)</f>
        <v>#N/A</v>
      </c>
      <c r="H215" t="e">
        <f>VLOOKUP(C:C,Sheet4!A:C,2,0)</f>
        <v>#N/A</v>
      </c>
    </row>
    <row r="216" spans="1:8" ht="14.4">
      <c r="A216" s="18" t="s">
        <v>27</v>
      </c>
      <c r="B216" s="18" t="s">
        <v>40</v>
      </c>
      <c r="C216" s="18" t="s">
        <v>222</v>
      </c>
      <c r="D216" s="19" t="str">
        <f ca="1">IFERROR(__xludf.DUMMYFUNCTION("GOOGLETRANSLATE(A216, ""ar"", ""en"")"),"Toyota")</f>
        <v>Toyota</v>
      </c>
      <c r="E216" s="19" t="str">
        <f ca="1">IFERROR(__xludf.DUMMYFUNCTION("GOOGLETRANSLATE(B216,""ar"",""en"")"),"Lexus")</f>
        <v>Lexus</v>
      </c>
      <c r="F216" s="19" t="str">
        <f ca="1">IFERROR(__xludf.DUMMYFUNCTION("GOOGLETRANSLATE(C216,""ar"",""en"")"),"RX 450H")</f>
        <v>RX 450H</v>
      </c>
      <c r="G216" t="e">
        <f ca="1">VLOOKUP(F:F,matching_transelated_with_ref!A:C,2,0)</f>
        <v>#N/A</v>
      </c>
      <c r="H216" t="e">
        <f>VLOOKUP(C:C,Sheet4!A:C,2,0)</f>
        <v>#N/A</v>
      </c>
    </row>
    <row r="217" spans="1:8" ht="14.4">
      <c r="A217" s="18" t="s">
        <v>27</v>
      </c>
      <c r="B217" s="18" t="s">
        <v>40</v>
      </c>
      <c r="C217" s="18" t="s">
        <v>232</v>
      </c>
      <c r="D217" s="19" t="str">
        <f ca="1">IFERROR(__xludf.DUMMYFUNCTION("GOOGLETRANSLATE(A217, ""ar"", ""en"")"),"Toyota")</f>
        <v>Toyota</v>
      </c>
      <c r="E217" s="19" t="str">
        <f ca="1">IFERROR(__xludf.DUMMYFUNCTION("GOOGLETRANSLATE(B217,""ar"",""en"")"),"Lexus")</f>
        <v>Lexus</v>
      </c>
      <c r="F217" s="19" t="str">
        <f ca="1">IFERROR(__xludf.DUMMYFUNCTION("GOOGLETRANSLATE(C217,""ar"",""en"")"),"GS 350")</f>
        <v>GS 350</v>
      </c>
      <c r="G217" t="str">
        <f ca="1">VLOOKUP(F:F,matching_transelated_with_ref!A:C,2,0)</f>
        <v>GS350</v>
      </c>
      <c r="H217" t="e">
        <f>VLOOKUP(C:C,Sheet4!A:C,2,0)</f>
        <v>#N/A</v>
      </c>
    </row>
    <row r="218" spans="1:8" ht="14.4">
      <c r="A218" s="18" t="s">
        <v>27</v>
      </c>
      <c r="B218" s="18" t="s">
        <v>40</v>
      </c>
      <c r="C218" s="18" t="s">
        <v>221</v>
      </c>
      <c r="D218" s="19" t="str">
        <f ca="1">IFERROR(__xludf.DUMMYFUNCTION("GOOGLETRANSLATE(A218, ""ar"", ""en"")"),"Toyota")</f>
        <v>Toyota</v>
      </c>
      <c r="E218" s="19" t="str">
        <f ca="1">IFERROR(__xludf.DUMMYFUNCTION("GOOGLETRANSLATE(B218,""ar"",""en"")"),"Lexus")</f>
        <v>Lexus</v>
      </c>
      <c r="F218" s="19" t="str">
        <f ca="1">IFERROR(__xludf.DUMMYFUNCTION("GOOGLETRANSLATE(C218,""ar"",""en"")"),"RX 350 th")</f>
        <v>RX 350 th</v>
      </c>
      <c r="G218" t="str">
        <f ca="1">VLOOKUP(F:F,matching_transelated_with_ref!A:C,2,0)</f>
        <v xml:space="preserve"> RX350</v>
      </c>
      <c r="H218" t="e">
        <f>VLOOKUP(C:C,Sheet4!A:C,2,0)</f>
        <v>#N/A</v>
      </c>
    </row>
    <row r="219" spans="1:8" ht="14.4">
      <c r="A219" s="18" t="s">
        <v>27</v>
      </c>
      <c r="B219" s="18" t="s">
        <v>40</v>
      </c>
      <c r="C219" s="18" t="s">
        <v>41</v>
      </c>
      <c r="D219" s="19" t="str">
        <f ca="1">IFERROR(__xludf.DUMMYFUNCTION("GOOGLETRANSLATE(A219, ""ar"", ""en"")"),"Toyota")</f>
        <v>Toyota</v>
      </c>
      <c r="E219" s="19" t="str">
        <f ca="1">IFERROR(__xludf.DUMMYFUNCTION("GOOGLETRANSLATE(B219,""ar"",""en"")"),"Lexus")</f>
        <v>Lexus</v>
      </c>
      <c r="F219" s="19" t="str">
        <f ca="1">IFERROR(__xludf.DUMMYFUNCTION("GOOGLETRANSLATE(C219,""ar"",""en"")"),"RX 350 pockets")</f>
        <v>RX 350 pockets</v>
      </c>
      <c r="G219" t="str">
        <f ca="1">VLOOKUP(F:F,matching_transelated_with_ref!A:C,2,0)</f>
        <v xml:space="preserve"> RX350</v>
      </c>
      <c r="H219" t="e">
        <f>VLOOKUP(C:C,Sheet4!A:C,2,0)</f>
        <v>#N/A</v>
      </c>
    </row>
    <row r="220" spans="1:8" ht="14.4">
      <c r="A220" s="18" t="s">
        <v>27</v>
      </c>
      <c r="B220" s="18" t="s">
        <v>188</v>
      </c>
      <c r="C220" s="18" t="s">
        <v>216</v>
      </c>
      <c r="D220" s="19" t="str">
        <f ca="1">IFERROR(__xludf.DUMMYFUNCTION("GOOGLETRANSLATE(A220, ""ar"", ""en"")"),"Toyota")</f>
        <v>Toyota</v>
      </c>
      <c r="E220" s="19" t="str">
        <f ca="1">IFERROR(__xludf.DUMMYFUNCTION("GOOGLETRANSLATE(B220,""ar"",""en"")"),"Land Cruiser")</f>
        <v>Land Cruiser</v>
      </c>
      <c r="F220" s="19" t="str">
        <f ca="1">IFERROR(__xludf.DUMMYFUNCTION("GOOGLETRANSLATE(C220,""ar"",""en"")"),"GXR")</f>
        <v>GXR</v>
      </c>
      <c r="G220" t="e">
        <f ca="1">VLOOKUP(F:F,matching_transelated_with_ref!A:C,2,0)</f>
        <v>#N/A</v>
      </c>
      <c r="H220" t="e">
        <f>VLOOKUP(C:C,Sheet4!A:C,2,0)</f>
        <v>#N/A</v>
      </c>
    </row>
    <row r="221" spans="1:8" ht="14.4">
      <c r="A221" s="18" t="s">
        <v>27</v>
      </c>
      <c r="B221" s="18" t="s">
        <v>40</v>
      </c>
      <c r="C221" s="18" t="s">
        <v>234</v>
      </c>
      <c r="D221" s="19" t="str">
        <f ca="1">IFERROR(__xludf.DUMMYFUNCTION("GOOGLETRANSLATE(A221, ""ar"", ""en"")"),"Toyota")</f>
        <v>Toyota</v>
      </c>
      <c r="E221" s="19" t="str">
        <f ca="1">IFERROR(__xludf.DUMMYFUNCTION("GOOGLETRANSLATE(B221,""ar"",""en"")"),"Lexus")</f>
        <v>Lexus</v>
      </c>
      <c r="F221" s="19" t="str">
        <f ca="1">IFERROR(__xludf.DUMMYFUNCTION("GOOGLETRANSLATE(C221,""ar"",""en"")"),"GX 460 460 liters")</f>
        <v>GX 460 460 liters</v>
      </c>
      <c r="G221" t="e">
        <f ca="1">VLOOKUP(F:F,matching_transelated_with_ref!A:C,2,0)</f>
        <v>#N/A</v>
      </c>
      <c r="H221" t="e">
        <f>VLOOKUP(C:C,Sheet4!A:C,2,0)</f>
        <v>#N/A</v>
      </c>
    </row>
    <row r="222" spans="1:8" ht="14.4">
      <c r="A222" s="18" t="s">
        <v>27</v>
      </c>
      <c r="B222" s="18" t="s">
        <v>27</v>
      </c>
      <c r="C222" s="18" t="s">
        <v>1327</v>
      </c>
      <c r="D222" s="19" t="str">
        <f ca="1">IFERROR(__xludf.DUMMYFUNCTION("GOOGLETRANSLATE(A222, ""ar"", ""en"")"),"Toyota")</f>
        <v>Toyota</v>
      </c>
      <c r="E222" s="19" t="str">
        <f ca="1">IFERROR(__xludf.DUMMYFUNCTION("GOOGLETRANSLATE(B222,""ar"",""en"")"),"Toyota")</f>
        <v>Toyota</v>
      </c>
      <c r="F222" s="19" t="str">
        <f ca="1">IFERROR(__xludf.DUMMYFUNCTION("GOOGLETRANSLATE(C222,""ar"",""en"")"),"Land Cruiser gasoline 3.5 l")</f>
        <v>Land Cruiser gasoline 3.5 l</v>
      </c>
      <c r="G222" t="e">
        <f ca="1">VLOOKUP(F:F,matching_transelated_with_ref!A:C,2,0)</f>
        <v>#N/A</v>
      </c>
      <c r="H222" t="str">
        <f>VLOOKUP(C:C,Sheet4!A:C,2,0)</f>
        <v xml:space="preserve">لاند كروزر  GXR - 3.5 بنزين </v>
      </c>
    </row>
    <row r="223" spans="1:8" ht="14.4">
      <c r="A223" s="18" t="s">
        <v>27</v>
      </c>
      <c r="B223" s="18" t="s">
        <v>188</v>
      </c>
      <c r="C223" s="18" t="s">
        <v>877</v>
      </c>
      <c r="D223" s="19" t="str">
        <f ca="1">IFERROR(__xludf.DUMMYFUNCTION("GOOGLETRANSLATE(A223, ""ar"", ""en"")"),"Toyota")</f>
        <v>Toyota</v>
      </c>
      <c r="E223" s="19" t="str">
        <f ca="1">IFERROR(__xludf.DUMMYFUNCTION("GOOGLETRANSLATE(B223,""ar"",""en"")"),"Land Cruiser")</f>
        <v>Land Cruiser</v>
      </c>
      <c r="F223" s="19" t="str">
        <f ca="1">IFERROR(__xludf.DUMMYFUNCTION("GOOGLETRANSLATE(C223,""ar"",""en"")"),"GXR 3")</f>
        <v>GXR 3</v>
      </c>
      <c r="G223" t="e">
        <f ca="1">VLOOKUP(F:F,matching_transelated_with_ref!A:C,2,0)</f>
        <v>#N/A</v>
      </c>
      <c r="H223" t="e">
        <f>VLOOKUP(C:C,Sheet4!A:C,2,0)</f>
        <v>#N/A</v>
      </c>
    </row>
    <row r="224" spans="1:8" ht="14.4">
      <c r="A224" s="18" t="s">
        <v>27</v>
      </c>
      <c r="B224" s="18" t="s">
        <v>40</v>
      </c>
      <c r="C224" s="18" t="s">
        <v>231</v>
      </c>
      <c r="D224" s="19" t="str">
        <f ca="1">IFERROR(__xludf.DUMMYFUNCTION("GOOGLETRANSLATE(A224, ""ar"", ""en"")"),"Toyota")</f>
        <v>Toyota</v>
      </c>
      <c r="E224" s="19" t="str">
        <f ca="1">IFERROR(__xludf.DUMMYFUNCTION("GOOGLETRANSLATE(B224,""ar"",""en"")"),"Lexus")</f>
        <v>Lexus</v>
      </c>
      <c r="F224" s="19" t="str">
        <f ca="1">IFERROR(__xludf.DUMMYFUNCTION("GOOGLETRANSLATE(C224,""ar"",""en"")"),"AS 350")</f>
        <v>AS 350</v>
      </c>
      <c r="G224" t="e">
        <f ca="1">VLOOKUP(F:F,matching_transelated_with_ref!A:C,2,0)</f>
        <v>#N/A</v>
      </c>
      <c r="H224" t="str">
        <f>VLOOKUP(C:C,Sheet4!A:C,2,0)</f>
        <v>اير</v>
      </c>
    </row>
    <row r="225" spans="1:8" ht="14.4">
      <c r="A225" s="18" t="s">
        <v>27</v>
      </c>
      <c r="B225" s="18" t="s">
        <v>27</v>
      </c>
      <c r="C225" s="18" t="s">
        <v>1332</v>
      </c>
      <c r="D225" s="19" t="str">
        <f ca="1">IFERROR(__xludf.DUMMYFUNCTION("GOOGLETRANSLATE(A225, ""ar"", ""en"")"),"Toyota")</f>
        <v>Toyota</v>
      </c>
      <c r="E225" s="19" t="str">
        <f ca="1">IFERROR(__xludf.DUMMYFUNCTION("GOOGLETRANSLATE(B225,""ar"",""en"")"),"Toyota")</f>
        <v>Toyota</v>
      </c>
      <c r="F225" s="19" t="str">
        <f ca="1">IFERROR(__xludf.DUMMYFUNCTION("GOOGLETRANSLATE(C225,""ar"",""en"")"),"Land Cruiser 3.3 liters pay Lord")</f>
        <v>Land Cruiser 3.3 liters pay Lord</v>
      </c>
      <c r="G225" t="e">
        <f ca="1">VLOOKUP(F:F,matching_transelated_with_ref!A:C,2,0)</f>
        <v>#N/A</v>
      </c>
      <c r="H225" t="e">
        <f>VLOOKUP(C:C,Sheet4!A:C,2,0)</f>
        <v>#N/A</v>
      </c>
    </row>
    <row r="226" spans="1:8" ht="14.4">
      <c r="A226" s="18" t="s">
        <v>27</v>
      </c>
      <c r="B226" s="18" t="s">
        <v>27</v>
      </c>
      <c r="C226" s="18" t="s">
        <v>1329</v>
      </c>
      <c r="D226" s="19" t="str">
        <f ca="1">IFERROR(__xludf.DUMMYFUNCTION("GOOGLETRANSLATE(A226, ""ar"", ""en"")"),"Toyota")</f>
        <v>Toyota</v>
      </c>
      <c r="E226" s="19" t="str">
        <f ca="1">IFERROR(__xludf.DUMMYFUNCTION("GOOGLETRANSLATE(B226,""ar"",""en"")"),"Toyota")</f>
        <v>Toyota</v>
      </c>
      <c r="F226" s="19" t="str">
        <f ca="1">IFERROR(__xludf.DUMMYFUNCTION("GOOGLETRANSLATE(C226,""ar"",""en"")"),"Land Cruiser 3.4 liters diesel d")</f>
        <v>Land Cruiser 3.4 liters diesel d</v>
      </c>
      <c r="G226" t="e">
        <f ca="1">VLOOKUP(F:F,matching_transelated_with_ref!A:C,2,0)</f>
        <v>#N/A</v>
      </c>
      <c r="H226">
        <f>VLOOKUP(C:C,Sheet4!A:C,2,0)</f>
        <v>3</v>
      </c>
    </row>
    <row r="227" spans="1:8" ht="14.4">
      <c r="A227" s="18" t="s">
        <v>27</v>
      </c>
      <c r="B227" s="18" t="s">
        <v>27</v>
      </c>
      <c r="C227" s="18" t="s">
        <v>1328</v>
      </c>
      <c r="D227" s="19" t="str">
        <f ca="1">IFERROR(__xludf.DUMMYFUNCTION("GOOGLETRANSLATE(A227, ""ar"", ""en"")"),"Toyota")</f>
        <v>Toyota</v>
      </c>
      <c r="E227" s="19" t="str">
        <f ca="1">IFERROR(__xludf.DUMMYFUNCTION("GOOGLETRANSLATE(B227,""ar"",""en"")"),"Toyota")</f>
        <v>Toyota</v>
      </c>
      <c r="F227" s="19" t="str">
        <f ca="1">IFERROR(__xludf.DUMMYFUNCTION("GOOGLETRANSLATE(C227,""ar"",""en"")"),"Land Cruiser 3.3 liters R.")</f>
        <v>Land Cruiser 3.3 liters R.</v>
      </c>
      <c r="G227" t="e">
        <f ca="1">VLOOKUP(F:F,matching_transelated_with_ref!A:C,2,0)</f>
        <v>#N/A</v>
      </c>
      <c r="H227">
        <f>VLOOKUP(C:C,Sheet4!A:C,2,0)</f>
        <v>3</v>
      </c>
    </row>
    <row r="228" spans="1:8" ht="14.4">
      <c r="A228" s="18" t="s">
        <v>27</v>
      </c>
      <c r="B228" s="18" t="s">
        <v>27</v>
      </c>
      <c r="C228" s="18" t="s">
        <v>866</v>
      </c>
      <c r="D228" s="19" t="str">
        <f ca="1">IFERROR(__xludf.DUMMYFUNCTION("GOOGLETRANSLATE(A228, ""ar"", ""en"")"),"Toyota")</f>
        <v>Toyota</v>
      </c>
      <c r="E228" s="19" t="str">
        <f ca="1">IFERROR(__xludf.DUMMYFUNCTION("GOOGLETRANSLATE(B228,""ar"",""en"")"),"Toyota")</f>
        <v>Toyota</v>
      </c>
      <c r="F228" s="19" t="str">
        <f ca="1">IFERROR(__xludf.DUMMYFUNCTION("GOOGLETRANSLATE(C228,""ar"",""en"")"),"Super")</f>
        <v>Super</v>
      </c>
      <c r="G228" t="e">
        <f ca="1">VLOOKUP(F:F,matching_transelated_with_ref!A:C,2,0)</f>
        <v>#N/A</v>
      </c>
      <c r="H228" t="str">
        <f>VLOOKUP(C:C,Sheet4!A:C,2,0)</f>
        <v>سوبرا</v>
      </c>
    </row>
    <row r="229" spans="1:8" ht="14.4">
      <c r="A229" s="18" t="s">
        <v>27</v>
      </c>
      <c r="B229" s="18" t="s">
        <v>40</v>
      </c>
      <c r="C229" s="18" t="s">
        <v>1346</v>
      </c>
      <c r="D229" s="19" t="str">
        <f ca="1">IFERROR(__xludf.DUMMYFUNCTION("GOOGLETRANSLATE(A229, ""ar"", ""en"")"),"Toyota")</f>
        <v>Toyota</v>
      </c>
      <c r="E229" s="19" t="str">
        <f ca="1">IFERROR(__xludf.DUMMYFUNCTION("GOOGLETRANSLATE(B229,""ar"",""en"")"),"Lexus")</f>
        <v>Lexus</v>
      </c>
      <c r="F229" s="19" t="str">
        <f ca="1">IFERROR(__xludf.DUMMYFUNCTION("GOOGLETRANSLATE(C229,""ar"",""en"")"),"Inc")</f>
        <v>Inc</v>
      </c>
      <c r="G229" t="e">
        <f ca="1">VLOOKUP(F:F,matching_transelated_with_ref!A:C,2,0)</f>
        <v>#N/A</v>
      </c>
      <c r="H229" t="e">
        <f>VLOOKUP(C:C,Sheet4!A:C,2,0)</f>
        <v>#N/A</v>
      </c>
    </row>
    <row r="230" spans="1:8" ht="14.4">
      <c r="A230" s="18" t="s">
        <v>27</v>
      </c>
      <c r="B230" s="18" t="s">
        <v>188</v>
      </c>
      <c r="C230" s="18" t="s">
        <v>215</v>
      </c>
      <c r="D230" s="19" t="str">
        <f ca="1">IFERROR(__xludf.DUMMYFUNCTION("GOOGLETRANSLATE(A230, ""ar"", ""en"")"),"Toyota")</f>
        <v>Toyota</v>
      </c>
      <c r="E230" s="19" t="str">
        <f ca="1">IFERROR(__xludf.DUMMYFUNCTION("GOOGLETRANSLATE(B230,""ar"",""en"")"),"Land Cruiser")</f>
        <v>Land Cruiser</v>
      </c>
      <c r="F230" s="19" t="str">
        <f ca="1">IFERROR(__xludf.DUMMYFUNCTION("GOOGLETRANSLATE(C230,""ar"",""en"")"),"GXR Diesel")</f>
        <v>GXR Diesel</v>
      </c>
      <c r="G230" t="e">
        <f ca="1">VLOOKUP(F:F,matching_transelated_with_ref!A:C,2,0)</f>
        <v>#N/A</v>
      </c>
      <c r="H230" t="e">
        <f>VLOOKUP(C:C,Sheet4!A:C,2,0)</f>
        <v>#N/A</v>
      </c>
    </row>
    <row r="231" spans="1:8" ht="14.4">
      <c r="A231" s="18" t="s">
        <v>27</v>
      </c>
      <c r="B231" s="18" t="s">
        <v>40</v>
      </c>
      <c r="C231" s="18" t="s">
        <v>42</v>
      </c>
      <c r="D231" s="19" t="str">
        <f ca="1">IFERROR(__xludf.DUMMYFUNCTION("GOOGLETRANSLATE(A231, ""ar"", ""en"")"),"Toyota")</f>
        <v>Toyota</v>
      </c>
      <c r="E231" s="19" t="str">
        <f ca="1">IFERROR(__xludf.DUMMYFUNCTION("GOOGLETRANSLATE(B231,""ar"",""en"")"),"Lexus")</f>
        <v>Lexus</v>
      </c>
      <c r="F231" s="19" t="str">
        <f ca="1">IFERROR(__xludf.DUMMYFUNCTION("GOOGLETRANSLATE(C231,""ar"",""en"")"),"RX 350")</f>
        <v>RX 350</v>
      </c>
      <c r="G231" t="str">
        <f ca="1">VLOOKUP(F:F,matching_transelated_with_ref!A:C,2,0)</f>
        <v xml:space="preserve"> RX350</v>
      </c>
      <c r="H231" t="e">
        <f>VLOOKUP(C:C,Sheet4!A:C,2,0)</f>
        <v>#N/A</v>
      </c>
    </row>
    <row r="232" spans="1:8" ht="14.4">
      <c r="A232" s="18" t="s">
        <v>27</v>
      </c>
      <c r="B232" s="18" t="s">
        <v>188</v>
      </c>
      <c r="C232" s="18" t="s">
        <v>214</v>
      </c>
      <c r="D232" s="19" t="str">
        <f ca="1">IFERROR(__xludf.DUMMYFUNCTION("GOOGLETRANSLATE(A232, ""ar"", ""en"")"),"Toyota")</f>
        <v>Toyota</v>
      </c>
      <c r="E232" s="19" t="str">
        <f ca="1">IFERROR(__xludf.DUMMYFUNCTION("GOOGLETRANSLATE(B232,""ar"",""en"")"),"Land Cruiser")</f>
        <v>Land Cruiser</v>
      </c>
      <c r="F232" s="19" t="str">
        <f ca="1">IFERROR(__xludf.DUMMYFUNCTION("GOOGLETRANSLATE(C232,""ar"",""en"")"),"GXR 2")</f>
        <v>GXR 2</v>
      </c>
      <c r="G232" t="e">
        <f ca="1">VLOOKUP(F:F,matching_transelated_with_ref!A:C,2,0)</f>
        <v>#N/A</v>
      </c>
      <c r="H232" t="e">
        <f>VLOOKUP(C:C,Sheet4!A:C,2,0)</f>
        <v>#N/A</v>
      </c>
    </row>
    <row r="233" spans="1:8" ht="14.4">
      <c r="A233" s="18" t="s">
        <v>27</v>
      </c>
      <c r="B233" s="18" t="s">
        <v>188</v>
      </c>
      <c r="C233" s="18" t="s">
        <v>211</v>
      </c>
      <c r="D233" s="19" t="str">
        <f ca="1">IFERROR(__xludf.DUMMYFUNCTION("GOOGLETRANSLATE(A233, ""ar"", ""en"")"),"Toyota")</f>
        <v>Toyota</v>
      </c>
      <c r="E233" s="19" t="str">
        <f ca="1">IFERROR(__xludf.DUMMYFUNCTION("GOOGLETRANSLATE(B233,""ar"",""en"")"),"Land Cruiser")</f>
        <v>Land Cruiser</v>
      </c>
      <c r="F233" s="19" t="str">
        <f ca="1">IFERROR(__xludf.DUMMYFUNCTION("GOOGLETRANSLATE(C233,""ar"",""en"")"),"Prado in X")</f>
        <v>Prado in X</v>
      </c>
      <c r="G233" t="str">
        <f ca="1">VLOOKUP(F:F,matching_transelated_with_ref!A:C,2,0)</f>
        <v>X</v>
      </c>
      <c r="H233" t="e">
        <f>VLOOKUP(C:C,Sheet4!A:C,2,0)</f>
        <v>#N/A</v>
      </c>
    </row>
    <row r="234" spans="1:8" ht="14.4">
      <c r="A234" s="18" t="s">
        <v>27</v>
      </c>
      <c r="B234" s="18" t="s">
        <v>27</v>
      </c>
      <c r="C234" s="18" t="s">
        <v>187</v>
      </c>
      <c r="D234" s="19" t="str">
        <f ca="1">IFERROR(__xludf.DUMMYFUNCTION("GOOGLETRANSLATE(A234, ""ar"", ""en"")"),"Toyota")</f>
        <v>Toyota</v>
      </c>
      <c r="E234" s="19" t="str">
        <f ca="1">IFERROR(__xludf.DUMMYFUNCTION("GOOGLETRANSLATE(B234,""ar"",""en"")"),"Toyota")</f>
        <v>Toyota</v>
      </c>
      <c r="F234" s="19" t="str">
        <f ca="1">IFERROR(__xludf.DUMMYFUNCTION("GOOGLETRANSLATE(C234,""ar"",""en"")"),"Coster")</f>
        <v>Coster</v>
      </c>
      <c r="G234" t="e">
        <f ca="1">VLOOKUP(F:F,matching_transelated_with_ref!A:C,2,0)</f>
        <v>#N/A</v>
      </c>
      <c r="H234" t="str">
        <f>VLOOKUP(C:C,Sheet4!A:C,2,0)</f>
        <v>باص - كوستر  30 راكب</v>
      </c>
    </row>
    <row r="235" spans="1:8" ht="14.4">
      <c r="A235" s="18" t="s">
        <v>27</v>
      </c>
      <c r="B235" s="18" t="s">
        <v>27</v>
      </c>
      <c r="C235" s="18" t="s">
        <v>864</v>
      </c>
      <c r="D235" s="19" t="str">
        <f ca="1">IFERROR(__xludf.DUMMYFUNCTION("GOOGLETRANSLATE(A235, ""ar"", ""en"")"),"Toyota")</f>
        <v>Toyota</v>
      </c>
      <c r="E235" s="19" t="str">
        <f ca="1">IFERROR(__xludf.DUMMYFUNCTION("GOOGLETRANSLATE(B235,""ar"",""en"")"),"Toyota")</f>
        <v>Toyota</v>
      </c>
      <c r="F235" s="19" t="str">
        <f ca="1">IFERROR(__xludf.DUMMYFUNCTION("GOOGLETRANSLATE(C235,""ar"",""en"")"),"Granavia 3.5 liters pushed behind")</f>
        <v>Granavia 3.5 liters pushed behind</v>
      </c>
      <c r="G235" t="e">
        <f ca="1">VLOOKUP(F:F,matching_transelated_with_ref!A:C,2,0)</f>
        <v>#N/A</v>
      </c>
      <c r="H235">
        <f>VLOOKUP(C:C,Sheet4!A:C,2,0)</f>
        <v>3</v>
      </c>
    </row>
    <row r="236" spans="1:8" ht="14.4">
      <c r="A236" s="18" t="s">
        <v>27</v>
      </c>
      <c r="B236" s="18" t="s">
        <v>27</v>
      </c>
      <c r="C236" s="18" t="s">
        <v>1079</v>
      </c>
      <c r="D236" s="19" t="str">
        <f ca="1">IFERROR(__xludf.DUMMYFUNCTION("GOOGLETRANSLATE(A236, ""ar"", ""en"")"),"Toyota")</f>
        <v>Toyota</v>
      </c>
      <c r="E236" s="19" t="str">
        <f ca="1">IFERROR(__xludf.DUMMYFUNCTION("GOOGLETRANSLATE(B236,""ar"",""en"")"),"Toyota")</f>
        <v>Toyota</v>
      </c>
      <c r="F236" s="19" t="str">
        <f ca="1">IFERROR(__xludf.DUMMYFUNCTION("GOOGLETRANSLATE(C236,""ar"",""en"")"),"Land Cruiser")</f>
        <v>Land Cruiser</v>
      </c>
      <c r="G236" t="e">
        <f ca="1">VLOOKUP(F:F,matching_transelated_with_ref!A:C,2,0)</f>
        <v>#N/A</v>
      </c>
      <c r="H236" t="str">
        <f>VLOOKUP(C:C,Sheet4!A:C,2,0)</f>
        <v>لاند كروزر VXS - 5.7</v>
      </c>
    </row>
    <row r="237" spans="1:8" ht="14.4">
      <c r="A237" s="18" t="s">
        <v>27</v>
      </c>
      <c r="B237" s="18" t="s">
        <v>40</v>
      </c>
      <c r="C237" s="18" t="s">
        <v>1345</v>
      </c>
      <c r="D237" s="19" t="str">
        <f ca="1">IFERROR(__xludf.DUMMYFUNCTION("GOOGLETRANSLATE(A237, ""ar"", ""en"")"),"Toyota")</f>
        <v>Toyota</v>
      </c>
      <c r="E237" s="19" t="str">
        <f ca="1">IFERROR(__xludf.DUMMYFUNCTION("GOOGLETRANSLATE(B237,""ar"",""en"")"),"Lexus")</f>
        <v>Lexus</v>
      </c>
      <c r="F237" s="19" t="str">
        <f ca="1">IFERROR(__xludf.DUMMYFUNCTION("GOOGLETRANSLATE(C237,""ar"",""en"")"),"An X 350 is four -wheel drive")</f>
        <v>An X 350 is four -wheel drive</v>
      </c>
      <c r="G237" t="e">
        <f ca="1">VLOOKUP(F:F,matching_transelated_with_ref!A:C,2,0)</f>
        <v>#N/A</v>
      </c>
      <c r="H237" t="e">
        <f>VLOOKUP(C:C,Sheet4!A:C,2,0)</f>
        <v>#N/A</v>
      </c>
    </row>
    <row r="238" spans="1:8" ht="14.4">
      <c r="A238" s="18" t="s">
        <v>27</v>
      </c>
      <c r="B238" s="18" t="s">
        <v>188</v>
      </c>
      <c r="C238" s="18" t="s">
        <v>213</v>
      </c>
      <c r="D238" s="19" t="str">
        <f ca="1">IFERROR(__xludf.DUMMYFUNCTION("GOOGLETRANSLATE(A238, ""ar"", ""en"")"),"Toyota")</f>
        <v>Toyota</v>
      </c>
      <c r="E238" s="19" t="str">
        <f ca="1">IFERROR(__xludf.DUMMYFUNCTION("GOOGLETRANSLATE(B238,""ar"",""en"")"),"Land Cruiser")</f>
        <v>Land Cruiser</v>
      </c>
      <c r="F238" s="19" t="str">
        <f ca="1">IFERROR(__xludf.DUMMYFUNCTION("GOOGLETRANSLATE(C238,""ar"",""en"")"),"GXR 1")</f>
        <v>GXR 1</v>
      </c>
      <c r="G238" t="e">
        <f ca="1">VLOOKUP(F:F,matching_transelated_with_ref!A:C,2,0)</f>
        <v>#N/A</v>
      </c>
      <c r="H238" t="e">
        <f>VLOOKUP(C:C,Sheet4!A:C,2,0)</f>
        <v>#N/A</v>
      </c>
    </row>
    <row r="239" spans="1:8" ht="14.4">
      <c r="A239" s="18" t="s">
        <v>27</v>
      </c>
      <c r="B239" s="18" t="s">
        <v>40</v>
      </c>
      <c r="C239" s="18" t="s">
        <v>230</v>
      </c>
      <c r="D239" s="19" t="str">
        <f ca="1">IFERROR(__xludf.DUMMYFUNCTION("GOOGLETRANSLATE(A239, ""ar"", ""en"")"),"Toyota")</f>
        <v>Toyota</v>
      </c>
      <c r="E239" s="19" t="str">
        <f ca="1">IFERROR(__xludf.DUMMYFUNCTION("GOOGLETRANSLATE(B239,""ar"",""en"")"),"Lexus")</f>
        <v>Lexus</v>
      </c>
      <c r="F239" s="19" t="str">
        <f ca="1">IFERROR(__xludf.DUMMYFUNCTION("GOOGLETRANSLATE(C239,""ar"",""en"")"),"IS 350")</f>
        <v>IS 350</v>
      </c>
      <c r="G239" t="str">
        <f ca="1">VLOOKUP(F:F,matching_transelated_with_ref!A:C,2,0)</f>
        <v>is350</v>
      </c>
      <c r="H239" t="e">
        <f>VLOOKUP(C:C,Sheet4!A:C,2,0)</f>
        <v>#N/A</v>
      </c>
    </row>
    <row r="240" spans="1:8" ht="14.4">
      <c r="A240" s="18" t="s">
        <v>27</v>
      </c>
      <c r="B240" s="18" t="s">
        <v>40</v>
      </c>
      <c r="C240" s="18" t="s">
        <v>594</v>
      </c>
      <c r="D240" s="19" t="str">
        <f ca="1">IFERROR(__xludf.DUMMYFUNCTION("GOOGLETRANSLATE(A240, ""ar"", ""en"")"),"Toyota")</f>
        <v>Toyota</v>
      </c>
      <c r="E240" s="19" t="str">
        <f ca="1">IFERROR(__xludf.DUMMYFUNCTION("GOOGLETRANSLATE(B240,""ar"",""en"")"),"Lexus")</f>
        <v>Lexus</v>
      </c>
      <c r="F240" s="19" t="str">
        <f ca="1">IFERROR(__xludf.DUMMYFUNCTION("GOOGLETRANSLATE(C240,""ar"",""en"")"),"IS 300 H Hybrid")</f>
        <v>IS 300 H Hybrid</v>
      </c>
      <c r="G240" t="e">
        <f ca="1">VLOOKUP(F:F,matching_transelated_with_ref!A:C,2,0)</f>
        <v>#N/A</v>
      </c>
      <c r="H240" t="e">
        <f>VLOOKUP(C:C,Sheet4!A:C,2,0)</f>
        <v>#N/A</v>
      </c>
    </row>
    <row r="241" spans="1:8" ht="14.4">
      <c r="A241" s="18" t="s">
        <v>27</v>
      </c>
      <c r="B241" s="18" t="s">
        <v>27</v>
      </c>
      <c r="C241" s="18" t="s">
        <v>871</v>
      </c>
      <c r="D241" s="19" t="str">
        <f ca="1">IFERROR(__xludf.DUMMYFUNCTION("GOOGLETRANSLATE(A241, ""ar"", ""en"")"),"Toyota")</f>
        <v>Toyota</v>
      </c>
      <c r="E241" s="19" t="str">
        <f ca="1">IFERROR(__xludf.DUMMYFUNCTION("GOOGLETRANSLATE(B241,""ar"",""en"")"),"Toyota")</f>
        <v>Toyota</v>
      </c>
      <c r="F241" s="19" t="str">
        <f ca="1">IFERROR(__xludf.DUMMYFUNCTION("GOOGLETRANSLATE(C241,""ar"",""en"")"),"Hailander Hybrid Pay R.")</f>
        <v>Hailander Hybrid Pay R.</v>
      </c>
      <c r="G241" t="e">
        <f ca="1">VLOOKUP(F:F,matching_transelated_with_ref!A:C,2,0)</f>
        <v>#N/A</v>
      </c>
      <c r="H241" t="str">
        <f>VLOOKUP(C:C,Sheet4!A:C,2,0)</f>
        <v>هايلاندر</v>
      </c>
    </row>
    <row r="242" spans="1:8" ht="14.4">
      <c r="A242" s="18" t="s">
        <v>27</v>
      </c>
      <c r="B242" s="18" t="s">
        <v>40</v>
      </c>
      <c r="C242" s="18" t="s">
        <v>227</v>
      </c>
      <c r="D242" s="19" t="str">
        <f ca="1">IFERROR(__xludf.DUMMYFUNCTION("GOOGLETRANSLATE(A242, ""ar"", ""en"")"),"Toyota")</f>
        <v>Toyota</v>
      </c>
      <c r="E242" s="19" t="str">
        <f ca="1">IFERROR(__xludf.DUMMYFUNCTION("GOOGLETRANSLATE(B242,""ar"",""en"")"),"Lexus")</f>
        <v>Lexus</v>
      </c>
      <c r="F242" s="19" t="str">
        <f ca="1">IFERROR(__xludf.DUMMYFUNCTION("GOOGLETRANSLATE(C242,""ar"",""en"")"),"Inc 300")</f>
        <v>Inc 300</v>
      </c>
      <c r="G242" t="e">
        <f ca="1">VLOOKUP(F:F,matching_transelated_with_ref!A:C,2,0)</f>
        <v>#N/A</v>
      </c>
      <c r="H242" t="e">
        <f>VLOOKUP(C:C,Sheet4!A:C,2,0)</f>
        <v>#N/A</v>
      </c>
    </row>
    <row r="243" spans="1:8" ht="14.4">
      <c r="A243" s="18" t="s">
        <v>27</v>
      </c>
      <c r="B243" s="18" t="s">
        <v>188</v>
      </c>
      <c r="C243" s="18" t="s">
        <v>210</v>
      </c>
      <c r="D243" s="19" t="str">
        <f ca="1">IFERROR(__xludf.DUMMYFUNCTION("GOOGLETRANSLATE(A243, ""ar"", ""en"")"),"Toyota")</f>
        <v>Toyota</v>
      </c>
      <c r="E243" s="19" t="str">
        <f ca="1">IFERROR(__xludf.DUMMYFUNCTION("GOOGLETRANSLATE(B243,""ar"",""en"")"),"Land Cruiser")</f>
        <v>Land Cruiser</v>
      </c>
      <c r="F243" s="19" t="str">
        <f ca="1">IFERROR(__xludf.DUMMYFUNCTION("GOOGLETRANSLATE(C243,""ar"",""en"")"),"Prado TX does")</f>
        <v>Prado TX does</v>
      </c>
      <c r="G243" t="e">
        <f ca="1">VLOOKUP(F:F,matching_transelated_with_ref!A:C,2,0)</f>
        <v>#N/A</v>
      </c>
      <c r="H243" t="e">
        <f>VLOOKUP(C:C,Sheet4!A:C,2,0)</f>
        <v>#N/A</v>
      </c>
    </row>
    <row r="244" spans="1:8" ht="14.4">
      <c r="A244" s="18" t="s">
        <v>27</v>
      </c>
      <c r="B244" s="18" t="s">
        <v>40</v>
      </c>
      <c r="C244" s="18" t="s">
        <v>228</v>
      </c>
      <c r="D244" s="19" t="str">
        <f ca="1">IFERROR(__xludf.DUMMYFUNCTION("GOOGLETRANSLATE(A244, ""ar"", ""en"")"),"Toyota")</f>
        <v>Toyota</v>
      </c>
      <c r="E244" s="19" t="str">
        <f ca="1">IFERROR(__xludf.DUMMYFUNCTION("GOOGLETRANSLATE(B244,""ar"",""en"")"),"Lexus")</f>
        <v>Lexus</v>
      </c>
      <c r="F244" s="19" t="str">
        <f ca="1">IFERROR(__xludf.DUMMYFUNCTION("GOOGLETRANSLATE(C244,""ar"",""en"")"),"IS 250")</f>
        <v>IS 250</v>
      </c>
      <c r="G244" t="e">
        <f ca="1">VLOOKUP(F:F,matching_transelated_with_ref!A:C,2,0)</f>
        <v>#N/A</v>
      </c>
      <c r="H244" t="e">
        <f>VLOOKUP(C:C,Sheet4!A:C,2,0)</f>
        <v>#N/A</v>
      </c>
    </row>
    <row r="245" spans="1:8" ht="14.4">
      <c r="A245" s="18" t="s">
        <v>27</v>
      </c>
      <c r="B245" s="18" t="s">
        <v>27</v>
      </c>
      <c r="C245" s="18" t="s">
        <v>1075</v>
      </c>
      <c r="D245" s="19" t="str">
        <f ca="1">IFERROR(__xludf.DUMMYFUNCTION("GOOGLETRANSLATE(A245, ""ar"", ""en"")"),"Toyota")</f>
        <v>Toyota</v>
      </c>
      <c r="E245" s="19" t="str">
        <f ca="1">IFERROR(__xludf.DUMMYFUNCTION("GOOGLETRANSLATE(B245,""ar"",""en"")"),"Toyota")</f>
        <v>Toyota</v>
      </c>
      <c r="F245" s="19" t="str">
        <f ca="1">IFERROR(__xludf.DUMMYFUNCTION("GOOGLETRANSLATE(C245,""ar"",""en"")"),"Prado 2.8 liter diesel payment")</f>
        <v>Prado 2.8 liter diesel payment</v>
      </c>
      <c r="G245" t="e">
        <f ca="1">VLOOKUP(F:F,matching_transelated_with_ref!A:C,2,0)</f>
        <v>#N/A</v>
      </c>
      <c r="H245" t="str">
        <f>VLOOKUP(C:C,Sheet4!A:C,2,0)</f>
        <v xml:space="preserve"> برادو- 2.8 - 4X4  ديزل</v>
      </c>
    </row>
    <row r="246" spans="1:8" ht="14.4">
      <c r="A246" s="18" t="s">
        <v>27</v>
      </c>
      <c r="B246" s="18" t="s">
        <v>27</v>
      </c>
      <c r="C246" s="18" t="s">
        <v>182</v>
      </c>
      <c r="D246" s="19" t="str">
        <f ca="1">IFERROR(__xludf.DUMMYFUNCTION("GOOGLETRANSLATE(A246, ""ar"", ""en"")"),"Toyota")</f>
        <v>Toyota</v>
      </c>
      <c r="E246" s="19" t="str">
        <f ca="1">IFERROR(__xludf.DUMMYFUNCTION("GOOGLETRANSLATE(B246,""ar"",""en"")"),"Toyota")</f>
        <v>Toyota</v>
      </c>
      <c r="F246" s="19" t="str">
        <f ca="1">IFERROR(__xludf.DUMMYFUNCTION("GOOGLETRANSLATE(C246,""ar"",""en"")"),"Fortnar")</f>
        <v>Fortnar</v>
      </c>
      <c r="G246" t="e">
        <f ca="1">VLOOKUP(F:F,matching_transelated_with_ref!A:C,2,0)</f>
        <v>#N/A</v>
      </c>
      <c r="H246" t="str">
        <f>VLOOKUP(C:C,Sheet4!A:C,2,0)</f>
        <v xml:space="preserve"> فورشنر-GX 2.4 - 4X4   ديزل</v>
      </c>
    </row>
    <row r="247" spans="1:8" ht="14.4">
      <c r="A247" s="18" t="s">
        <v>27</v>
      </c>
      <c r="B247" s="18" t="s">
        <v>179</v>
      </c>
      <c r="C247" s="18" t="s">
        <v>180</v>
      </c>
      <c r="D247" s="19" t="str">
        <f ca="1">IFERROR(__xludf.DUMMYFUNCTION("GOOGLETRANSLATE(A247, ""ar"", ""en"")"),"Toyota")</f>
        <v>Toyota</v>
      </c>
      <c r="E247" s="19" t="str">
        <f ca="1">IFERROR(__xludf.DUMMYFUNCTION("GOOGLETRANSLATE(B247,""ar"",""en"")"),"Prado")</f>
        <v>Prado</v>
      </c>
      <c r="F247" s="19" t="str">
        <f ca="1">IFERROR(__xludf.DUMMYFUNCTION("GOOGLETRANSLATE(C247,""ar"",""en"")"),"TX Diesel")</f>
        <v>TX Diesel</v>
      </c>
      <c r="G247" t="e">
        <f ca="1">VLOOKUP(F:F,matching_transelated_with_ref!A:C,2,0)</f>
        <v>#N/A</v>
      </c>
      <c r="H247" t="e">
        <f>VLOOKUP(C:C,Sheet4!A:C,2,0)</f>
        <v>#N/A</v>
      </c>
    </row>
    <row r="248" spans="1:8" ht="14.4">
      <c r="A248" s="18" t="s">
        <v>27</v>
      </c>
      <c r="B248" s="18" t="s">
        <v>27</v>
      </c>
      <c r="C248" s="18" t="s">
        <v>1326</v>
      </c>
      <c r="D248" s="19" t="str">
        <f ca="1">IFERROR(__xludf.DUMMYFUNCTION("GOOGLETRANSLATE(A248, ""ar"", ""en"")"),"Toyota")</f>
        <v>Toyota</v>
      </c>
      <c r="E248" s="19" t="str">
        <f ca="1">IFERROR(__xludf.DUMMYFUNCTION("GOOGLETRANSLATE(B248,""ar"",""en"")"),"Toyota")</f>
        <v>Toyota</v>
      </c>
      <c r="F248" s="19" t="str">
        <f ca="1">IFERROR(__xludf.DUMMYFUNCTION("GOOGLETRANSLATE(C248,""ar"",""en"")"),"Land Cruiser Prado Pay R.")</f>
        <v>Land Cruiser Prado Pay R.</v>
      </c>
      <c r="G248" t="e">
        <f ca="1">VLOOKUP(F:F,matching_transelated_with_ref!A:C,2,0)</f>
        <v>#N/A</v>
      </c>
      <c r="H248" t="e">
        <f>VLOOKUP(C:C,Sheet4!A:C,2,0)</f>
        <v>#N/A</v>
      </c>
    </row>
    <row r="249" spans="1:8" ht="14.4">
      <c r="A249" s="18" t="s">
        <v>27</v>
      </c>
      <c r="B249" s="18" t="s">
        <v>27</v>
      </c>
      <c r="C249" s="18" t="s">
        <v>1080</v>
      </c>
      <c r="D249" s="19" t="str">
        <f ca="1">IFERROR(__xludf.DUMMYFUNCTION("GOOGLETRANSLATE(A249, ""ar"", ""en"")"),"Toyota")</f>
        <v>Toyota</v>
      </c>
      <c r="E249" s="19" t="str">
        <f ca="1">IFERROR(__xludf.DUMMYFUNCTION("GOOGLETRANSLATE(B249,""ar"",""en"")"),"Toyota")</f>
        <v>Toyota</v>
      </c>
      <c r="F249" s="19" t="str">
        <f ca="1">IFERROR(__xludf.DUMMYFUNCTION("GOOGLETRANSLATE(C249,""ar"",""en"")"),"Land Cruiser Prado")</f>
        <v>Land Cruiser Prado</v>
      </c>
      <c r="G249" t="e">
        <f ca="1">VLOOKUP(F:F,matching_transelated_with_ref!A:C,2,0)</f>
        <v>#N/A</v>
      </c>
      <c r="H249" t="e">
        <f>VLOOKUP(C:C,Sheet4!A:C,2,0)</f>
        <v>#N/A</v>
      </c>
    </row>
    <row r="250" spans="1:8" ht="14.4">
      <c r="A250" s="18" t="s">
        <v>27</v>
      </c>
      <c r="B250" s="18" t="s">
        <v>40</v>
      </c>
      <c r="C250" s="18" t="s">
        <v>229</v>
      </c>
      <c r="D250" s="19" t="str">
        <f ca="1">IFERROR(__xludf.DUMMYFUNCTION("GOOGLETRANSLATE(A250, ""ar"", ""en"")"),"Toyota")</f>
        <v>Toyota</v>
      </c>
      <c r="E250" s="19" t="str">
        <f ca="1">IFERROR(__xludf.DUMMYFUNCTION("GOOGLETRANSLATE(B250,""ar"",""en"")"),"Lexus")</f>
        <v>Lexus</v>
      </c>
      <c r="F250" s="19" t="str">
        <f ca="1">IFERROR(__xludf.DUMMYFUNCTION("GOOGLETRANSLATE(C250,""ar"",""en"")"),"IS 300")</f>
        <v>IS 300</v>
      </c>
      <c r="G250" t="str">
        <f ca="1">VLOOKUP(F:F,matching_transelated_with_ref!A:C,2,0)</f>
        <v>is300</v>
      </c>
      <c r="H250" t="e">
        <f>VLOOKUP(C:C,Sheet4!A:C,2,0)</f>
        <v>#N/A</v>
      </c>
    </row>
    <row r="251" spans="1:8" ht="14.4">
      <c r="A251" s="18" t="s">
        <v>27</v>
      </c>
      <c r="B251" s="18" t="s">
        <v>188</v>
      </c>
      <c r="C251" s="18" t="s">
        <v>209</v>
      </c>
      <c r="D251" s="19" t="str">
        <f ca="1">IFERROR(__xludf.DUMMYFUNCTION("GOOGLETRANSLATE(A251, ""ar"", ""en"")"),"Toyota")</f>
        <v>Toyota</v>
      </c>
      <c r="E251" s="19" t="str">
        <f ca="1">IFERROR(__xludf.DUMMYFUNCTION("GOOGLETRANSLATE(B251,""ar"",""en"")"),"Land Cruiser")</f>
        <v>Land Cruiser</v>
      </c>
      <c r="F251" s="19" t="str">
        <f ca="1">IFERROR(__xludf.DUMMYFUNCTION("GOOGLETRANSLATE(C251,""ar"",""en"")"),"Prado TXL")</f>
        <v>Prado TXL</v>
      </c>
      <c r="G251" t="e">
        <f ca="1">VLOOKUP(F:F,matching_transelated_with_ref!A:C,2,0)</f>
        <v>#N/A</v>
      </c>
      <c r="H251" t="e">
        <f>VLOOKUP(C:C,Sheet4!A:C,2,0)</f>
        <v>#N/A</v>
      </c>
    </row>
    <row r="252" spans="1:8" ht="14.4">
      <c r="A252" s="18" t="s">
        <v>27</v>
      </c>
      <c r="B252" s="18" t="s">
        <v>182</v>
      </c>
      <c r="C252" s="18" t="s">
        <v>1087</v>
      </c>
      <c r="D252" s="19" t="str">
        <f ca="1">IFERROR(__xludf.DUMMYFUNCTION("GOOGLETRANSLATE(A252, ""ar"", ""en"")"),"Toyota")</f>
        <v>Toyota</v>
      </c>
      <c r="E252" s="19" t="str">
        <f ca="1">IFERROR(__xludf.DUMMYFUNCTION("GOOGLETRANSLATE(B252,""ar"",""en"")"),"Fortnar")</f>
        <v>Fortnar</v>
      </c>
      <c r="F252" s="19" t="str">
        <f ca="1">IFERROR(__xludf.DUMMYFUNCTION("GOOGLETRANSLATE(C252,""ar"",""en"")"),"In X")</f>
        <v>In X</v>
      </c>
      <c r="G252" t="str">
        <f ca="1">VLOOKUP(F:F,matching_transelated_with_ref!A:C,2,0)</f>
        <v>X</v>
      </c>
      <c r="H252" t="e">
        <f>VLOOKUP(C:C,Sheet4!A:C,2,0)</f>
        <v>#N/A</v>
      </c>
    </row>
    <row r="253" spans="1:8" ht="14.4">
      <c r="A253" s="18" t="s">
        <v>27</v>
      </c>
      <c r="B253" s="18" t="s">
        <v>27</v>
      </c>
      <c r="C253" s="18" t="s">
        <v>1081</v>
      </c>
      <c r="D253" s="19" t="str">
        <f ca="1">IFERROR(__xludf.DUMMYFUNCTION("GOOGLETRANSLATE(A253, ""ar"", ""en"")"),"Toyota")</f>
        <v>Toyota</v>
      </c>
      <c r="E253" s="19" t="str">
        <f ca="1">IFERROR(__xludf.DUMMYFUNCTION("GOOGLETRANSLATE(B253,""ar"",""en"")"),"Toyota")</f>
        <v>Toyota</v>
      </c>
      <c r="F253" s="19" t="str">
        <f ca="1">IFERROR(__xludf.DUMMYFUNCTION("GOOGLETRANSLATE(C253,""ar"",""en"")"),"Land Cruiser is normal diesel")</f>
        <v>Land Cruiser is normal diesel</v>
      </c>
      <c r="G253" t="e">
        <f ca="1">VLOOKUP(F:F,matching_transelated_with_ref!A:C,2,0)</f>
        <v>#N/A</v>
      </c>
      <c r="H253" t="str">
        <f>VLOOKUP(C:C,Sheet4!A:C,2,0)</f>
        <v xml:space="preserve">لاند كروزر  GXR  -  3.3  ديزل  </v>
      </c>
    </row>
    <row r="254" spans="1:8" ht="14.4">
      <c r="A254" s="18" t="s">
        <v>27</v>
      </c>
      <c r="B254" s="18" t="s">
        <v>40</v>
      </c>
      <c r="C254" s="18" t="s">
        <v>595</v>
      </c>
      <c r="D254" s="19" t="str">
        <f ca="1">IFERROR(__xludf.DUMMYFUNCTION("GOOGLETRANSLATE(A254, ""ar"", ""en"")"),"Toyota")</f>
        <v>Toyota</v>
      </c>
      <c r="E254" s="19" t="str">
        <f ca="1">IFERROR(__xludf.DUMMYFUNCTION("GOOGLETRANSLATE(B254,""ar"",""en"")"),"Lexus")</f>
        <v>Lexus</v>
      </c>
      <c r="F254" s="19" t="str">
        <f ca="1">IFERROR(__xludf.DUMMYFUNCTION("GOOGLETRANSLATE(C254,""ar"",""en"")"),"UX 200")</f>
        <v>UX 200</v>
      </c>
      <c r="G254" t="str">
        <f ca="1">VLOOKUP(F:F,matching_transelated_with_ref!A:C,2,0)</f>
        <v>UX200</v>
      </c>
      <c r="H254" t="e">
        <f>VLOOKUP(C:C,Sheet4!A:C,2,0)</f>
        <v>#N/A</v>
      </c>
    </row>
    <row r="255" spans="1:8" ht="14.4">
      <c r="A255" s="18" t="s">
        <v>27</v>
      </c>
      <c r="B255" s="18" t="s">
        <v>28</v>
      </c>
      <c r="C255" s="18" t="s">
        <v>30</v>
      </c>
      <c r="D255" s="19" t="str">
        <f ca="1">IFERROR(__xludf.DUMMYFUNCTION("GOOGLETRANSLATE(A255, ""ar"", ""en"")"),"Toyota")</f>
        <v>Toyota</v>
      </c>
      <c r="E255" s="19" t="str">
        <f ca="1">IFERROR(__xludf.DUMMYFUNCTION("GOOGLETRANSLATE(B255,""ar"",""en"")"),"Avalon")</f>
        <v>Avalon</v>
      </c>
      <c r="F255" s="19" t="str">
        <f ca="1">IFERROR(__xludf.DUMMYFUNCTION("GOOGLETRANSLATE(C255,""ar"",""en"")"),"Limited")</f>
        <v>Limited</v>
      </c>
      <c r="G255" t="str">
        <f ca="1">VLOOKUP(F:F,matching_transelated_with_ref!A:C,2,0)</f>
        <v>افالون - LIMITED</v>
      </c>
      <c r="H255" t="e">
        <f>VLOOKUP(C:C,Sheet4!A:C,2,0)</f>
        <v>#N/A</v>
      </c>
    </row>
    <row r="256" spans="1:8" ht="14.4">
      <c r="A256" s="18" t="s">
        <v>27</v>
      </c>
      <c r="B256" s="18" t="s">
        <v>27</v>
      </c>
      <c r="C256" s="18" t="s">
        <v>1336</v>
      </c>
      <c r="D256" s="19" t="str">
        <f ca="1">IFERROR(__xludf.DUMMYFUNCTION("GOOGLETRANSLATE(A256, ""ar"", ""en"")"),"Toyota")</f>
        <v>Toyota</v>
      </c>
      <c r="E256" s="19" t="str">
        <f ca="1">IFERROR(__xludf.DUMMYFUNCTION("GOOGLETRANSLATE(B256,""ar"",""en"")"),"Toyota")</f>
        <v>Toyota</v>
      </c>
      <c r="F256" s="19" t="str">
        <f ca="1">IFERROR(__xludf.DUMMYFUNCTION("GOOGLETRANSLATE(C256,""ar"",""en"")"),"Hayes automatic")</f>
        <v>Hayes automatic</v>
      </c>
      <c r="G256" t="e">
        <f ca="1">VLOOKUP(F:F,matching_transelated_with_ref!A:C,2,0)</f>
        <v>#N/A</v>
      </c>
      <c r="H256" t="e">
        <f>VLOOKUP(C:C,Sheet4!A:C,2,0)</f>
        <v>#N/A</v>
      </c>
    </row>
    <row r="257" spans="1:8" ht="14.4">
      <c r="A257" s="18" t="s">
        <v>27</v>
      </c>
      <c r="B257" s="18" t="s">
        <v>27</v>
      </c>
      <c r="C257" s="18" t="s">
        <v>1331</v>
      </c>
      <c r="D257" s="19" t="str">
        <f ca="1">IFERROR(__xludf.DUMMYFUNCTION("GOOGLETRANSLATE(A257, ""ar"", ""en"")"),"Toyota")</f>
        <v>Toyota</v>
      </c>
      <c r="E257" s="19" t="str">
        <f ca="1">IFERROR(__xludf.DUMMYFUNCTION("GOOGLETRANSLATE(B257,""ar"",""en"")"),"Toyota")</f>
        <v>Toyota</v>
      </c>
      <c r="F257" s="19" t="str">
        <f ca="1">IFERROR(__xludf.DUMMYFUNCTION("GOOGLETRANSLATE(C257,""ar"",""en"")"),"Land Cruiser Prado Pay R.")</f>
        <v>Land Cruiser Prado Pay R.</v>
      </c>
      <c r="G257" t="e">
        <f ca="1">VLOOKUP(F:F,matching_transelated_with_ref!A:C,2,0)</f>
        <v>#N/A</v>
      </c>
      <c r="H257" t="e">
        <f>VLOOKUP(C:C,Sheet4!A:C,2,0)</f>
        <v>#N/A</v>
      </c>
    </row>
    <row r="258" spans="1:8" ht="14.4">
      <c r="A258" s="18" t="s">
        <v>27</v>
      </c>
      <c r="B258" s="18" t="s">
        <v>27</v>
      </c>
      <c r="C258" s="18" t="s">
        <v>1324</v>
      </c>
      <c r="D258" s="19" t="str">
        <f ca="1">IFERROR(__xludf.DUMMYFUNCTION("GOOGLETRANSLATE(A258, ""ar"", ""en"")"),"Toyota")</f>
        <v>Toyota</v>
      </c>
      <c r="E258" s="19" t="str">
        <f ca="1">IFERROR(__xludf.DUMMYFUNCTION("GOOGLETRANSLATE(B258,""ar"",""en"")"),"Toyota")</f>
        <v>Toyota</v>
      </c>
      <c r="F258" s="19" t="str">
        <f ca="1">IFERROR(__xludf.DUMMYFUNCTION("GOOGLETRANSLATE(C258,""ar"",""en"")"),"Fortuner four -wheel drive 2.8 l")</f>
        <v>Fortuner four -wheel drive 2.8 l</v>
      </c>
      <c r="G258" t="e">
        <f ca="1">VLOOKUP(F:F,matching_transelated_with_ref!A:C,2,0)</f>
        <v>#N/A</v>
      </c>
      <c r="H258">
        <f>VLOOKUP(C:C,Sheet4!A:C,2,0)</f>
        <v>2</v>
      </c>
    </row>
    <row r="259" spans="1:8" ht="14.4">
      <c r="A259" s="18" t="s">
        <v>27</v>
      </c>
      <c r="B259" s="18" t="s">
        <v>182</v>
      </c>
      <c r="C259" s="18" t="s">
        <v>201</v>
      </c>
      <c r="D259" s="19" t="str">
        <f ca="1">IFERROR(__xludf.DUMMYFUNCTION("GOOGLETRANSLATE(A259, ""ar"", ""en"")"),"Toyota")</f>
        <v>Toyota</v>
      </c>
      <c r="E259" s="19" t="str">
        <f ca="1">IFERROR(__xludf.DUMMYFUNCTION("GOOGLETRANSLATE(B259,""ar"",""en"")"),"Fortnar")</f>
        <v>Fortnar</v>
      </c>
      <c r="F259" s="19" t="str">
        <f ca="1">IFERROR(__xludf.DUMMYFUNCTION("GOOGLETRANSLATE(C259,""ar"",""en"")"),"In X2")</f>
        <v>In X2</v>
      </c>
      <c r="G259" t="str">
        <f ca="1">VLOOKUP(F:F,matching_transelated_with_ref!A:C,2,0)</f>
        <v>X2</v>
      </c>
      <c r="H259" t="e">
        <f>VLOOKUP(C:C,Sheet4!A:C,2,0)</f>
        <v>#N/A</v>
      </c>
    </row>
    <row r="260" spans="1:8" ht="14.4">
      <c r="A260" s="18" t="s">
        <v>27</v>
      </c>
      <c r="B260" s="18" t="s">
        <v>188</v>
      </c>
      <c r="C260" s="18" t="s">
        <v>208</v>
      </c>
      <c r="D260" s="19" t="str">
        <f ca="1">IFERROR(__xludf.DUMMYFUNCTION("GOOGLETRANSLATE(A260, ""ar"", ""en"")"),"Toyota")</f>
        <v>Toyota</v>
      </c>
      <c r="E260" s="19" t="str">
        <f ca="1">IFERROR(__xludf.DUMMYFUNCTION("GOOGLETRANSLATE(B260,""ar"",""en"")"),"Land Cruiser")</f>
        <v>Land Cruiser</v>
      </c>
      <c r="F260" s="19" t="str">
        <f ca="1">IFERROR(__xludf.DUMMYFUNCTION("GOOGLETRANSLATE(C260,""ar"",""en"")"),"Prado TX")</f>
        <v>Prado TX</v>
      </c>
      <c r="G260" t="e">
        <f ca="1">VLOOKUP(F:F,matching_transelated_with_ref!A:C,2,0)</f>
        <v>#N/A</v>
      </c>
      <c r="H260" t="e">
        <f>VLOOKUP(C:C,Sheet4!A:C,2,0)</f>
        <v>#N/A</v>
      </c>
    </row>
    <row r="261" spans="1:8" ht="14.4">
      <c r="A261" s="18" t="s">
        <v>27</v>
      </c>
      <c r="B261" s="18" t="s">
        <v>27</v>
      </c>
      <c r="C261" s="18" t="s">
        <v>1083</v>
      </c>
      <c r="D261" s="19" t="str">
        <f ca="1">IFERROR(__xludf.DUMMYFUNCTION("GOOGLETRANSLATE(A261, ""ar"", ""en"")"),"Toyota")</f>
        <v>Toyota</v>
      </c>
      <c r="E261" s="19" t="str">
        <f ca="1">IFERROR(__xludf.DUMMYFUNCTION("GOOGLETRANSLATE(B261,""ar"",""en"")"),"Toyota")</f>
        <v>Toyota</v>
      </c>
      <c r="F261" s="19" t="str">
        <f ca="1">IFERROR(__xludf.DUMMYFUNCTION("GOOGLETRANSLATE(C261,""ar"",""en"")"),"Hilux four -wheel drive Ban")</f>
        <v>Hilux four -wheel drive Ban</v>
      </c>
      <c r="G261" t="e">
        <f ca="1">VLOOKUP(F:F,matching_transelated_with_ref!A:C,2,0)</f>
        <v>#N/A</v>
      </c>
      <c r="H261" t="e">
        <f>VLOOKUP(C:C,Sheet4!A:C,2,0)</f>
        <v>#N/A</v>
      </c>
    </row>
    <row r="262" spans="1:8" ht="14.4">
      <c r="A262" s="18" t="s">
        <v>27</v>
      </c>
      <c r="B262" s="18" t="s">
        <v>27</v>
      </c>
      <c r="C262" s="18" t="s">
        <v>873</v>
      </c>
      <c r="D262" s="19" t="str">
        <f ca="1">IFERROR(__xludf.DUMMYFUNCTION("GOOGLETRANSLATE(A262, ""ar"", ""en"")"),"Toyota")</f>
        <v>Toyota</v>
      </c>
      <c r="E262" s="19" t="str">
        <f ca="1">IFERROR(__xludf.DUMMYFUNCTION("GOOGLETRANSLATE(B262,""ar"",""en"")"),"Toyota")</f>
        <v>Toyota</v>
      </c>
      <c r="F262" s="19" t="str">
        <f ca="1">IFERROR(__xludf.DUMMYFUNCTION("GOOGLETRANSLATE(C262,""ar"",""en"")"),"Hailander Hybrid Pay R.")</f>
        <v>Hailander Hybrid Pay R.</v>
      </c>
      <c r="G262" t="e">
        <f ca="1">VLOOKUP(F:F,matching_transelated_with_ref!A:C,2,0)</f>
        <v>#N/A</v>
      </c>
      <c r="H262" t="str">
        <f>VLOOKUP(C:C,Sheet4!A:C,2,0)</f>
        <v>هايلاندر</v>
      </c>
    </row>
    <row r="263" spans="1:8" ht="14.4">
      <c r="A263" s="18" t="s">
        <v>27</v>
      </c>
      <c r="B263" s="18" t="s">
        <v>27</v>
      </c>
      <c r="C263" s="18" t="s">
        <v>1325</v>
      </c>
      <c r="D263" s="19" t="str">
        <f ca="1">IFERROR(__xludf.DUMMYFUNCTION("GOOGLETRANSLATE(A263, ""ar"", ""en"")"),"Toyota")</f>
        <v>Toyota</v>
      </c>
      <c r="E263" s="19" t="str">
        <f ca="1">IFERROR(__xludf.DUMMYFUNCTION("GOOGLETRANSLATE(B263,""ar"",""en"")"),"Toyota")</f>
        <v>Toyota</v>
      </c>
      <c r="F263" s="19" t="str">
        <f ca="1">IFERROR(__xludf.DUMMYFUNCTION("GOOGLETRANSLATE(C263,""ar"",""en"")"),"Fortuner four -liter payment 4 liters")</f>
        <v>Fortuner four -liter payment 4 liters</v>
      </c>
      <c r="G263" t="e">
        <f ca="1">VLOOKUP(F:F,matching_transelated_with_ref!A:C,2,0)</f>
        <v>#N/A</v>
      </c>
      <c r="H263" t="e">
        <f>VLOOKUP(C:C,Sheet4!A:C,2,0)</f>
        <v>#N/A</v>
      </c>
    </row>
    <row r="264" spans="1:8" ht="14.4">
      <c r="A264" s="18" t="s">
        <v>27</v>
      </c>
      <c r="B264" s="18" t="s">
        <v>182</v>
      </c>
      <c r="C264" s="18" t="s">
        <v>200</v>
      </c>
      <c r="D264" s="19" t="str">
        <f ca="1">IFERROR(__xludf.DUMMYFUNCTION("GOOGLETRANSLATE(A264, ""ar"", ""en"")"),"Toyota")</f>
        <v>Toyota</v>
      </c>
      <c r="E264" s="19" t="str">
        <f ca="1">IFERROR(__xludf.DUMMYFUNCTION("GOOGLETRANSLATE(B264,""ar"",""en"")"),"Fortnar")</f>
        <v>Fortnar</v>
      </c>
      <c r="F264" s="19" t="str">
        <f ca="1">IFERROR(__xludf.DUMMYFUNCTION("GOOGLETRANSLATE(C264,""ar"",""en"")"),"In X1")</f>
        <v>In X1</v>
      </c>
      <c r="G264" t="str">
        <f ca="1">VLOOKUP(F:F,matching_transelated_with_ref!A:C,2,0)</f>
        <v>X1</v>
      </c>
      <c r="H264" t="e">
        <f>VLOOKUP(C:C,Sheet4!A:C,2,0)</f>
        <v>#N/A</v>
      </c>
    </row>
    <row r="265" spans="1:8" ht="14.4">
      <c r="A265" s="18" t="s">
        <v>27</v>
      </c>
      <c r="B265" s="18" t="s">
        <v>27</v>
      </c>
      <c r="C265" s="18" t="s">
        <v>189</v>
      </c>
      <c r="D265" s="19" t="str">
        <f ca="1">IFERROR(__xludf.DUMMYFUNCTION("GOOGLETRANSLATE(A265, ""ar"", ""en"")"),"Toyota")</f>
        <v>Toyota</v>
      </c>
      <c r="E265" s="19" t="str">
        <f ca="1">IFERROR(__xludf.DUMMYFUNCTION("GOOGLETRANSLATE(B265,""ar"",""en"")"),"Toyota")</f>
        <v>Toyota</v>
      </c>
      <c r="F265" s="19" t="str">
        <f ca="1">IFERROR(__xludf.DUMMYFUNCTION("GOOGLETRANSLATE(C265,""ar"",""en"")"),"Land Cruiser is normal diesel")</f>
        <v>Land Cruiser is normal diesel</v>
      </c>
      <c r="G265" t="e">
        <f ca="1">VLOOKUP(F:F,matching_transelated_with_ref!A:C,2,0)</f>
        <v>#N/A</v>
      </c>
      <c r="H265" t="str">
        <f>VLOOKUP(C:C,Sheet4!A:C,2,0)</f>
        <v xml:space="preserve">لاند كروزر  GXR  -  3.3  ديزل  </v>
      </c>
    </row>
    <row r="266" spans="1:8" ht="14.4">
      <c r="A266" s="18" t="s">
        <v>27</v>
      </c>
      <c r="B266" s="18" t="s">
        <v>27</v>
      </c>
      <c r="C266" s="18" t="s">
        <v>35</v>
      </c>
      <c r="D266" s="19" t="str">
        <f ca="1">IFERROR(__xludf.DUMMYFUNCTION("GOOGLETRANSLATE(A266, ""ar"", ""en"")"),"Toyota")</f>
        <v>Toyota</v>
      </c>
      <c r="E266" s="19" t="str">
        <f ca="1">IFERROR(__xludf.DUMMYFUNCTION("GOOGLETRANSLATE(B266,""ar"",""en"")"),"Toyota")</f>
        <v>Toyota</v>
      </c>
      <c r="F266" s="19" t="str">
        <f ca="1">IFERROR(__xludf.DUMMYFUNCTION("GOOGLETRANSLATE(C266,""ar"",""en"")"),"FJ Cruiser")</f>
        <v>FJ Cruiser</v>
      </c>
      <c r="G266" t="e">
        <f ca="1">VLOOKUP(F:F,matching_transelated_with_ref!A:C,2,0)</f>
        <v>#N/A</v>
      </c>
      <c r="H266" t="e">
        <f>VLOOKUP(C:C,Sheet4!A:C,2,0)</f>
        <v>#N/A</v>
      </c>
    </row>
    <row r="267" spans="1:8" ht="14.4">
      <c r="A267" s="18" t="s">
        <v>27</v>
      </c>
      <c r="B267" s="18" t="s">
        <v>27</v>
      </c>
      <c r="C267" s="18" t="s">
        <v>872</v>
      </c>
      <c r="D267" s="19" t="str">
        <f ca="1">IFERROR(__xludf.DUMMYFUNCTION("GOOGLETRANSLATE(A267, ""ar"", ""en"")"),"Toyota")</f>
        <v>Toyota</v>
      </c>
      <c r="E267" s="19" t="str">
        <f ca="1">IFERROR(__xludf.DUMMYFUNCTION("GOOGLETRANSLATE(B267,""ar"",""en"")"),"Toyota")</f>
        <v>Toyota</v>
      </c>
      <c r="F267" s="19" t="str">
        <f ca="1">IFERROR(__xludf.DUMMYFUNCTION("GOOGLETRANSLATE(C267,""ar"",""en"")"),"Hailander Hybrid pushed a")</f>
        <v>Hailander Hybrid pushed a</v>
      </c>
      <c r="G267" t="e">
        <f ca="1">VLOOKUP(F:F,matching_transelated_with_ref!A:C,2,0)</f>
        <v>#N/A</v>
      </c>
      <c r="H267" t="str">
        <f>VLOOKUP(C:C,Sheet4!A:C,2,0)</f>
        <v>هايلاندر</v>
      </c>
    </row>
    <row r="268" spans="1:8" ht="14.4">
      <c r="A268" s="18" t="s">
        <v>27</v>
      </c>
      <c r="B268" s="18" t="s">
        <v>27</v>
      </c>
      <c r="C268" s="18" t="s">
        <v>592</v>
      </c>
      <c r="D268" s="19" t="str">
        <f ca="1">IFERROR(__xludf.DUMMYFUNCTION("GOOGLETRANSLATE(A268, ""ar"", ""en"")"),"Toyota")</f>
        <v>Toyota</v>
      </c>
      <c r="E268" s="19" t="str">
        <f ca="1">IFERROR(__xludf.DUMMYFUNCTION("GOOGLETRANSLATE(B268,""ar"",""en"")"),"Toyota")</f>
        <v>Toyota</v>
      </c>
      <c r="F268" s="19" t="str">
        <f ca="1">IFERROR(__xludf.DUMMYFUNCTION("GOOGLETRANSLATE(C268,""ar"",""en"")"),"Hayes Hands")</f>
        <v>Hayes Hands</v>
      </c>
      <c r="G268" t="e">
        <f ca="1">VLOOKUP(F:F,matching_transelated_with_ref!A:C,2,0)</f>
        <v>#N/A</v>
      </c>
      <c r="H268" t="e">
        <f>VLOOKUP(C:C,Sheet4!A:C,2,0)</f>
        <v>#N/A</v>
      </c>
    </row>
    <row r="269" spans="1:8" ht="14.4">
      <c r="A269" s="18" t="s">
        <v>27</v>
      </c>
      <c r="B269" s="18" t="s">
        <v>239</v>
      </c>
      <c r="C269" s="18" t="s">
        <v>246</v>
      </c>
      <c r="D269" s="19" t="str">
        <f ca="1">IFERROR(__xludf.DUMMYFUNCTION("GOOGLETRANSLATE(A269, ""ar"", ""en"")"),"Toyota")</f>
        <v>Toyota</v>
      </c>
      <c r="E269" s="19" t="str">
        <f ca="1">IFERROR(__xludf.DUMMYFUNCTION("GOOGLETRANSLATE(B269,""ar"",""en"")"),"Hilux")</f>
        <v>Hilux</v>
      </c>
      <c r="F269" s="19" t="str">
        <f ca="1">IFERROR(__xludf.DUMMYFUNCTION("GOOGLETRANSLATE(C269,""ar"",""en"")"),"TRD")</f>
        <v>TRD</v>
      </c>
      <c r="G269" t="e">
        <f ca="1">VLOOKUP(F:F,matching_transelated_with_ref!A:C,2,0)</f>
        <v>#N/A</v>
      </c>
      <c r="H269" t="e">
        <f>VLOOKUP(C:C,Sheet4!A:C,2,0)</f>
        <v>#N/A</v>
      </c>
    </row>
    <row r="270" spans="1:8" ht="14.4">
      <c r="A270" s="18" t="s">
        <v>27</v>
      </c>
      <c r="B270" s="18" t="s">
        <v>27</v>
      </c>
      <c r="C270" s="18" t="s">
        <v>1321</v>
      </c>
      <c r="D270" s="19" t="str">
        <f ca="1">IFERROR(__xludf.DUMMYFUNCTION("GOOGLETRANSLATE(A270, ""ar"", ""en"")"),"Toyota")</f>
        <v>Toyota</v>
      </c>
      <c r="E270" s="19" t="str">
        <f ca="1">IFERROR(__xludf.DUMMYFUNCTION("GOOGLETRANSLATE(B270,""ar"",""en"")"),"Toyota")</f>
        <v>Toyota</v>
      </c>
      <c r="F270" s="19" t="str">
        <f ca="1">IFERROR(__xludf.DUMMYFUNCTION("GOOGLETRANSLATE(C270,""ar"",""en"")"),"Fortnar 2.4 liters of four -wheel drive")</f>
        <v>Fortnar 2.4 liters of four -wheel drive</v>
      </c>
      <c r="G270" t="e">
        <f ca="1">VLOOKUP(F:F,matching_transelated_with_ref!A:C,2,0)</f>
        <v>#N/A</v>
      </c>
      <c r="H270">
        <f>VLOOKUP(C:C,Sheet4!A:C,2,0)</f>
        <v>2</v>
      </c>
    </row>
    <row r="271" spans="1:8" ht="14.4">
      <c r="A271" s="18" t="s">
        <v>27</v>
      </c>
      <c r="B271" s="18" t="s">
        <v>43</v>
      </c>
      <c r="C271" s="18" t="s">
        <v>238</v>
      </c>
      <c r="D271" s="19" t="str">
        <f ca="1">IFERROR(__xludf.DUMMYFUNCTION("GOOGLETRANSLATE(A271, ""ar"", ""en"")"),"Toyota")</f>
        <v>Toyota</v>
      </c>
      <c r="E271" s="19" t="str">
        <f ca="1">IFERROR(__xludf.DUMMYFUNCTION("GOOGLETRANSLATE(B271,""ar"",""en"")"),"stomach")</f>
        <v>stomach</v>
      </c>
      <c r="F271" s="19" t="str">
        <f ca="1">IFERROR(__xludf.DUMMYFUNCTION("GOOGLETRANSLATE(C271,""ar"",""en"")"),"The 45 DF8")</f>
        <v>The 45 DF8</v>
      </c>
      <c r="G271" t="e">
        <f ca="1">VLOOKUP(F:F,matching_transelated_with_ref!A:C,2,0)</f>
        <v>#N/A</v>
      </c>
      <c r="H271" t="e">
        <f>VLOOKUP(C:C,Sheet4!A:C,2,0)</f>
        <v>#N/A</v>
      </c>
    </row>
    <row r="272" spans="1:8" ht="14.4">
      <c r="A272" s="18" t="s">
        <v>27</v>
      </c>
      <c r="B272" s="18" t="s">
        <v>27</v>
      </c>
      <c r="C272" s="18" t="s">
        <v>191</v>
      </c>
      <c r="D272" s="19" t="str">
        <f ca="1">IFERROR(__xludf.DUMMYFUNCTION("GOOGLETRANSLATE(A272, ""ar"", ""en"")"),"Toyota")</f>
        <v>Toyota</v>
      </c>
      <c r="E272" s="19" t="str">
        <f ca="1">IFERROR(__xludf.DUMMYFUNCTION("GOOGLETRANSLATE(B272,""ar"",""en"")"),"Toyota")</f>
        <v>Toyota</v>
      </c>
      <c r="F272" s="19" t="str">
        <f ca="1">IFERROR(__xludf.DUMMYFUNCTION("GOOGLETRANSLATE(C272,""ar"",""en"")"),"Hayes 4*2")</f>
        <v>Hayes 4*2</v>
      </c>
      <c r="G272" t="e">
        <f ca="1">VLOOKUP(F:F,matching_transelated_with_ref!A:C,2,0)</f>
        <v>#N/A</v>
      </c>
      <c r="H272" t="e">
        <f>VLOOKUP(C:C,Sheet4!A:C,2,0)</f>
        <v>#N/A</v>
      </c>
    </row>
    <row r="273" spans="1:8" ht="14.4">
      <c r="A273" s="18" t="s">
        <v>27</v>
      </c>
      <c r="B273" s="18" t="s">
        <v>239</v>
      </c>
      <c r="C273" s="18" t="s">
        <v>250</v>
      </c>
      <c r="D273" s="19" t="str">
        <f ca="1">IFERROR(__xludf.DUMMYFUNCTION("GOOGLETRANSLATE(A273, ""ar"", ""en"")"),"Toyota")</f>
        <v>Toyota</v>
      </c>
      <c r="E273" s="19" t="str">
        <f ca="1">IFERROR(__xludf.DUMMYFUNCTION("GOOGLETRANSLATE(B273,""ar"",""en"")"),"Hilux")</f>
        <v>Hilux</v>
      </c>
      <c r="F273" s="19" t="str">
        <f ca="1">IFERROR(__xludf.DUMMYFUNCTION("GOOGLETRANSLATE(C273,""ar"",""en"")"),"Super GLX")</f>
        <v>Super GLX</v>
      </c>
      <c r="G273" t="e">
        <f ca="1">VLOOKUP(F:F,matching_transelated_with_ref!A:C,2,0)</f>
        <v>#N/A</v>
      </c>
      <c r="H273" t="e">
        <f>VLOOKUP(C:C,Sheet4!A:C,2,0)</f>
        <v>#N/A</v>
      </c>
    </row>
    <row r="274" spans="1:8" ht="14.4">
      <c r="A274" s="18" t="s">
        <v>27</v>
      </c>
      <c r="B274" s="18" t="s">
        <v>27</v>
      </c>
      <c r="C274" s="18" t="s">
        <v>584</v>
      </c>
      <c r="D274" s="19" t="str">
        <f ca="1">IFERROR(__xludf.DUMMYFUNCTION("GOOGLETRANSLATE(A274, ""ar"", ""en"")"),"Toyota")</f>
        <v>Toyota</v>
      </c>
      <c r="E274" s="19" t="str">
        <f ca="1">IFERROR(__xludf.DUMMYFUNCTION("GOOGLETRANSLATE(B274,""ar"",""en"")"),"Toyota")</f>
        <v>Toyota</v>
      </c>
      <c r="F274" s="19" t="str">
        <f ca="1">IFERROR(__xludf.DUMMYFUNCTION("GOOGLETRANSLATE(C274,""ar"",""en"")"),"Avalon 3.5 liters")</f>
        <v>Avalon 3.5 liters</v>
      </c>
      <c r="G274" t="e">
        <f ca="1">VLOOKUP(F:F,matching_transelated_with_ref!A:C,2,0)</f>
        <v>#N/A</v>
      </c>
      <c r="H274" t="e">
        <f>VLOOKUP(C:C,Sheet4!A:C,2,0)</f>
        <v>#N/A</v>
      </c>
    </row>
    <row r="275" spans="1:8" ht="14.4">
      <c r="A275" s="18" t="s">
        <v>27</v>
      </c>
      <c r="B275" s="18" t="s">
        <v>27</v>
      </c>
      <c r="C275" s="18" t="s">
        <v>190</v>
      </c>
      <c r="D275" s="19" t="str">
        <f ca="1">IFERROR(__xludf.DUMMYFUNCTION("GOOGLETRANSLATE(A275, ""ar"", ""en"")"),"Toyota")</f>
        <v>Toyota</v>
      </c>
      <c r="E275" s="19" t="str">
        <f ca="1">IFERROR(__xludf.DUMMYFUNCTION("GOOGLETRANSLATE(B275,""ar"",""en"")"),"Toyota")</f>
        <v>Toyota</v>
      </c>
      <c r="F275" s="19" t="str">
        <f ca="1">IFERROR(__xludf.DUMMYFUNCTION("GOOGLETRANSLATE(C275,""ar"",""en"")"),"Hayes Gear automatic")</f>
        <v>Hayes Gear automatic</v>
      </c>
      <c r="G275" t="e">
        <f ca="1">VLOOKUP(F:F,matching_transelated_with_ref!A:C,2,0)</f>
        <v>#N/A</v>
      </c>
      <c r="H275" t="e">
        <f>VLOOKUP(C:C,Sheet4!A:C,2,0)</f>
        <v>#N/A</v>
      </c>
    </row>
    <row r="276" spans="1:8" ht="14.4">
      <c r="A276" s="18" t="s">
        <v>27</v>
      </c>
      <c r="B276" s="18" t="s">
        <v>27</v>
      </c>
      <c r="C276" s="18" t="s">
        <v>870</v>
      </c>
      <c r="D276" s="19" t="str">
        <f ca="1">IFERROR(__xludf.DUMMYFUNCTION("GOOGLETRANSLATE(A276, ""ar"", ""en"")"),"Toyota")</f>
        <v>Toyota</v>
      </c>
      <c r="E276" s="19" t="str">
        <f ca="1">IFERROR(__xludf.DUMMYFUNCTION("GOOGLETRANSLATE(B276,""ar"",""en"")"),"Toyota")</f>
        <v>Toyota</v>
      </c>
      <c r="F276" s="19" t="str">
        <f ca="1">IFERROR(__xludf.DUMMYFUNCTION("GOOGLETRANSLATE(C276,""ar"",""en"")"),"Land Cruiser Pickup Benzi")</f>
        <v>Land Cruiser Pickup Benzi</v>
      </c>
      <c r="G276" t="e">
        <f ca="1">VLOOKUP(F:F,matching_transelated_with_ref!A:C,2,0)</f>
        <v>#N/A</v>
      </c>
      <c r="H276" t="str">
        <f>VLOOKUP(C:C,Sheet4!A:C,2,0)</f>
        <v xml:space="preserve">كروز </v>
      </c>
    </row>
    <row r="277" spans="1:8" ht="14.4">
      <c r="A277" s="18" t="s">
        <v>27</v>
      </c>
      <c r="B277" s="18" t="s">
        <v>239</v>
      </c>
      <c r="C277" s="18" t="s">
        <v>251</v>
      </c>
      <c r="D277" s="19" t="str">
        <f ca="1">IFERROR(__xludf.DUMMYFUNCTION("GOOGLETRANSLATE(A277, ""ar"", ""en"")"),"Toyota")</f>
        <v>Toyota</v>
      </c>
      <c r="E277" s="19" t="str">
        <f ca="1">IFERROR(__xludf.DUMMYFUNCTION("GOOGLETRANSLATE(B277,""ar"",""en"")"),"Hilux")</f>
        <v>Hilux</v>
      </c>
      <c r="F277" s="19" t="str">
        <f ca="1">IFERROR(__xludf.DUMMYFUNCTION("GOOGLETRANSLATE(C277,""ar"",""en"")"),"Super GLX 2.4 Atoma")</f>
        <v>Super GLX 2.4 Atoma</v>
      </c>
      <c r="G277" t="e">
        <f ca="1">VLOOKUP(F:F,matching_transelated_with_ref!A:C,2,0)</f>
        <v>#N/A</v>
      </c>
      <c r="H277" t="str">
        <f>VLOOKUP(C:C,Sheet4!A:C,2,0)</f>
        <v>سوبرا</v>
      </c>
    </row>
    <row r="278" spans="1:8" ht="14.4">
      <c r="A278" s="18" t="s">
        <v>27</v>
      </c>
      <c r="B278" s="18" t="s">
        <v>27</v>
      </c>
      <c r="C278" s="18" t="s">
        <v>1335</v>
      </c>
      <c r="D278" s="19" t="str">
        <f ca="1">IFERROR(__xludf.DUMMYFUNCTION("GOOGLETRANSLATE(A278, ""ar"", ""en"")"),"Toyota")</f>
        <v>Toyota</v>
      </c>
      <c r="E278" s="19" t="str">
        <f ca="1">IFERROR(__xludf.DUMMYFUNCTION("GOOGLETRANSLATE(B278,""ar"",""en"")"),"Toyota")</f>
        <v>Toyota</v>
      </c>
      <c r="F278" s="19" t="str">
        <f ca="1">IFERROR(__xludf.DUMMYFUNCTION("GOOGLETRANSLATE(C278,""ar"",""en"")"),"Hi S high roof 2.8 liters d")</f>
        <v>Hi S high roof 2.8 liters d</v>
      </c>
      <c r="G278" t="e">
        <f ca="1">VLOOKUP(F:F,matching_transelated_with_ref!A:C,2,0)</f>
        <v>#N/A</v>
      </c>
      <c r="H278">
        <f>VLOOKUP(C:C,Sheet4!A:C,2,0)</f>
        <v>2</v>
      </c>
    </row>
    <row r="279" spans="1:8" ht="14.4">
      <c r="A279" s="18" t="s">
        <v>27</v>
      </c>
      <c r="B279" s="18" t="s">
        <v>27</v>
      </c>
      <c r="C279" s="18" t="s">
        <v>36</v>
      </c>
      <c r="D279" s="19" t="str">
        <f ca="1">IFERROR(__xludf.DUMMYFUNCTION("GOOGLETRANSLATE(A279, ""ar"", ""en"")"),"Toyota")</f>
        <v>Toyota</v>
      </c>
      <c r="E279" s="19" t="str">
        <f ca="1">IFERROR(__xludf.DUMMYFUNCTION("GOOGLETRANSLATE(B279,""ar"",""en"")"),"Toyota")</f>
        <v>Toyota</v>
      </c>
      <c r="F279" s="19" t="str">
        <f ca="1">IFERROR(__xludf.DUMMYFUNCTION("GOOGLETRANSLATE(C279,""ar"",""en"")"),"Hess")</f>
        <v>Hess</v>
      </c>
      <c r="G279" t="e">
        <f ca="1">VLOOKUP(F:F,matching_transelated_with_ref!A:C,2,0)</f>
        <v>#N/A</v>
      </c>
      <c r="H279" t="str">
        <f>VLOOKUP(C:C,Sheet4!A:C,2,0)</f>
        <v>هايس مني باص 13 راكب</v>
      </c>
    </row>
    <row r="280" spans="1:8" ht="14.4">
      <c r="A280" s="18" t="s">
        <v>27</v>
      </c>
      <c r="B280" s="18" t="s">
        <v>188</v>
      </c>
      <c r="C280" s="18" t="s">
        <v>217</v>
      </c>
      <c r="D280" s="19" t="str">
        <f ca="1">IFERROR(__xludf.DUMMYFUNCTION("GOOGLETRANSLATE(A280, ""ar"", ""en"")"),"Toyota")</f>
        <v>Toyota</v>
      </c>
      <c r="E280" s="19" t="str">
        <f ca="1">IFERROR(__xludf.DUMMYFUNCTION("GOOGLETRANSLATE(B280,""ar"",""en"")"),"Land Cruiser")</f>
        <v>Land Cruiser</v>
      </c>
      <c r="F280" s="19" t="str">
        <f ca="1">IFERROR(__xludf.DUMMYFUNCTION("GOOGLETRANSLATE(C280,""ar"",""en"")"),"Deluxe long")</f>
        <v>Deluxe long</v>
      </c>
      <c r="G280" t="e">
        <f ca="1">VLOOKUP(F:F,matching_transelated_with_ref!A:C,2,0)</f>
        <v>#N/A</v>
      </c>
      <c r="H280" t="e">
        <f>VLOOKUP(C:C,Sheet4!A:C,2,0)</f>
        <v>#N/A</v>
      </c>
    </row>
    <row r="281" spans="1:8" ht="14.4">
      <c r="A281" s="18" t="s">
        <v>27</v>
      </c>
      <c r="B281" s="18" t="s">
        <v>182</v>
      </c>
      <c r="C281" s="18" t="s">
        <v>196</v>
      </c>
      <c r="D281" s="19" t="str">
        <f ca="1">IFERROR(__xludf.DUMMYFUNCTION("GOOGLETRANSLATE(A281, ""ar"", ""en"")"),"Toyota")</f>
        <v>Toyota</v>
      </c>
      <c r="E281" s="19" t="str">
        <f ca="1">IFERROR(__xludf.DUMMYFUNCTION("GOOGLETRANSLATE(B281,""ar"",""en"")"),"Fortnar")</f>
        <v>Fortnar</v>
      </c>
      <c r="F281" s="19" t="str">
        <f ca="1">IFERROR(__xludf.DUMMYFUNCTION("GOOGLETRANSLATE(C281,""ar"",""en"")"),"GX 1")</f>
        <v>GX 1</v>
      </c>
      <c r="G281" t="e">
        <f ca="1">VLOOKUP(F:F,matching_transelated_with_ref!A:C,2,0)</f>
        <v>#N/A</v>
      </c>
      <c r="H281" t="e">
        <f>VLOOKUP(C:C,Sheet4!A:C,2,0)</f>
        <v>#N/A</v>
      </c>
    </row>
    <row r="282" spans="1:8" ht="14.4">
      <c r="A282" s="18" t="s">
        <v>27</v>
      </c>
      <c r="B282" s="18" t="s">
        <v>27</v>
      </c>
      <c r="C282" s="18" t="s">
        <v>868</v>
      </c>
      <c r="D282" s="19" t="str">
        <f ca="1">IFERROR(__xludf.DUMMYFUNCTION("GOOGLETRANSLATE(A282, ""ar"", ""en"")"),"Toyota")</f>
        <v>Toyota</v>
      </c>
      <c r="E282" s="19" t="str">
        <f ca="1">IFERROR(__xludf.DUMMYFUNCTION("GOOGLETRANSLATE(B282,""ar"",""en"")"),"Toyota")</f>
        <v>Toyota</v>
      </c>
      <c r="F282" s="19" t="str">
        <f ca="1">IFERROR(__xludf.DUMMYFUNCTION("GOOGLETRANSLATE(C282,""ar"",""en"")"),"Fortuner four -wheel drive")</f>
        <v>Fortuner four -wheel drive</v>
      </c>
      <c r="G282" t="e">
        <f ca="1">VLOOKUP(F:F,matching_transelated_with_ref!A:C,2,0)</f>
        <v>#N/A</v>
      </c>
      <c r="H282" t="e">
        <f>VLOOKUP(C:C,Sheet4!A:C,2,0)</f>
        <v>#N/A</v>
      </c>
    </row>
    <row r="283" spans="1:8" ht="14.4">
      <c r="A283" s="18" t="s">
        <v>27</v>
      </c>
      <c r="B283" s="18" t="s">
        <v>27</v>
      </c>
      <c r="C283" s="18" t="s">
        <v>188</v>
      </c>
      <c r="D283" s="19" t="str">
        <f ca="1">IFERROR(__xludf.DUMMYFUNCTION("GOOGLETRANSLATE(A283, ""ar"", ""en"")"),"Toyota")</f>
        <v>Toyota</v>
      </c>
      <c r="E283" s="19" t="str">
        <f ca="1">IFERROR(__xludf.DUMMYFUNCTION("GOOGLETRANSLATE(B283,""ar"",""en"")"),"Toyota")</f>
        <v>Toyota</v>
      </c>
      <c r="F283" s="19" t="str">
        <f ca="1">IFERROR(__xludf.DUMMYFUNCTION("GOOGLETRANSLATE(C283,""ar"",""en"")"),"Land Cruiser")</f>
        <v>Land Cruiser</v>
      </c>
      <c r="G283" t="e">
        <f ca="1">VLOOKUP(F:F,matching_transelated_with_ref!A:C,2,0)</f>
        <v>#N/A</v>
      </c>
      <c r="H283" t="str">
        <f>VLOOKUP(C:C,Sheet4!A:C,2,0)</f>
        <v>لاند كروزر VXS - 5.7</v>
      </c>
    </row>
    <row r="284" spans="1:8" ht="14.4">
      <c r="A284" s="18" t="s">
        <v>27</v>
      </c>
      <c r="B284" s="18" t="s">
        <v>27</v>
      </c>
      <c r="C284" s="18" t="s">
        <v>1323</v>
      </c>
      <c r="D284" s="19" t="str">
        <f ca="1">IFERROR(__xludf.DUMMYFUNCTION("GOOGLETRANSLATE(A284, ""ar"", ""en"")"),"Toyota")</f>
        <v>Toyota</v>
      </c>
      <c r="E284" s="19" t="str">
        <f ca="1">IFERROR(__xludf.DUMMYFUNCTION("GOOGLETRANSLATE(B284,""ar"",""en"")"),"Toyota")</f>
        <v>Toyota</v>
      </c>
      <c r="F284" s="19" t="str">
        <f ca="1">IFERROR(__xludf.DUMMYFUNCTION("GOOGLETRANSLATE(C284,""ar"",""en"")"),"Fortuner four -wheel drive 2.7 l")</f>
        <v>Fortuner four -wheel drive 2.7 l</v>
      </c>
      <c r="G284" t="e">
        <f ca="1">VLOOKUP(F:F,matching_transelated_with_ref!A:C,2,0)</f>
        <v>#N/A</v>
      </c>
      <c r="H284">
        <f>VLOOKUP(C:C,Sheet4!A:C,2,0)</f>
        <v>2</v>
      </c>
    </row>
    <row r="285" spans="1:8" ht="14.4">
      <c r="A285" s="18" t="s">
        <v>27</v>
      </c>
      <c r="B285" s="18" t="s">
        <v>239</v>
      </c>
      <c r="C285" s="18" t="s">
        <v>240</v>
      </c>
      <c r="D285" s="19" t="str">
        <f ca="1">IFERROR(__xludf.DUMMYFUNCTION("GOOGLETRANSLATE(A285, ""ar"", ""en"")"),"Toyota")</f>
        <v>Toyota</v>
      </c>
      <c r="E285" s="19" t="str">
        <f ca="1">IFERROR(__xludf.DUMMYFUNCTION("GOOGLETRANSLATE(B285,""ar"",""en"")"),"Hilux")</f>
        <v>Hilux</v>
      </c>
      <c r="F285" s="19" t="str">
        <f ca="1">IFERROR(__xludf.DUMMYFUNCTION("GOOGLETRANSLATE(C285,""ar"",""en"")"),"2.4 Super GLX Rus R.")</f>
        <v>2.4 Super GLX Rus R.</v>
      </c>
      <c r="G285" t="e">
        <f ca="1">VLOOKUP(F:F,matching_transelated_with_ref!A:C,2,0)</f>
        <v>#N/A</v>
      </c>
      <c r="H285" t="str">
        <f>VLOOKUP(C:C,Sheet4!A:C,2,0)</f>
        <v>سوبرا</v>
      </c>
    </row>
    <row r="286" spans="1:8" ht="14.4">
      <c r="A286" s="18" t="s">
        <v>27</v>
      </c>
      <c r="B286" s="18" t="s">
        <v>27</v>
      </c>
      <c r="C286" s="18" t="s">
        <v>1340</v>
      </c>
      <c r="D286" s="19" t="str">
        <f ca="1">IFERROR(__xludf.DUMMYFUNCTION("GOOGLETRANSLATE(A286, ""ar"", ""en"")"),"Toyota")</f>
        <v>Toyota</v>
      </c>
      <c r="E286" s="19" t="str">
        <f ca="1">IFERROR(__xludf.DUMMYFUNCTION("GOOGLETRANSLATE(B286,""ar"",""en"")"),"Toyota")</f>
        <v>Toyota</v>
      </c>
      <c r="F286" s="19" t="str">
        <f ca="1">IFERROR(__xludf.DUMMYFUNCTION("GOOGLETRANSLATE(C286,""ar"",""en"")"),"Hilux 2.7 liter petrol d")</f>
        <v>Hilux 2.7 liter petrol d</v>
      </c>
      <c r="G286" t="e">
        <f ca="1">VLOOKUP(F:F,matching_transelated_with_ref!A:C,2,0)</f>
        <v>#N/A</v>
      </c>
      <c r="H286" t="e">
        <f>VLOOKUP(C:C,Sheet4!A:C,2,0)</f>
        <v>#N/A</v>
      </c>
    </row>
    <row r="287" spans="1:8" ht="14.4">
      <c r="A287" s="18" t="s">
        <v>27</v>
      </c>
      <c r="B287" s="18" t="s">
        <v>27</v>
      </c>
      <c r="C287" s="18" t="s">
        <v>1333</v>
      </c>
      <c r="D287" s="19" t="str">
        <f ca="1">IFERROR(__xludf.DUMMYFUNCTION("GOOGLETRANSLATE(A287, ""ar"", ""en"")"),"Toyota")</f>
        <v>Toyota</v>
      </c>
      <c r="E287" s="19" t="str">
        <f ca="1">IFERROR(__xludf.DUMMYFUNCTION("GOOGLETRANSLATE(B287,""ar"",""en"")"),"Toyota")</f>
        <v>Toyota</v>
      </c>
      <c r="F287" s="19" t="str">
        <f ca="1">IFERROR(__xludf.DUMMYFUNCTION("GOOGLETRANSLATE(C287,""ar"",""en"")"),"Hi S 2.8 liter rear -wheel drive")</f>
        <v>Hi S 2.8 liter rear -wheel drive</v>
      </c>
      <c r="G287" t="e">
        <f ca="1">VLOOKUP(F:F,matching_transelated_with_ref!A:C,2,0)</f>
        <v>#N/A</v>
      </c>
      <c r="H287">
        <f>VLOOKUP(C:C,Sheet4!A:C,2,0)</f>
        <v>2</v>
      </c>
    </row>
    <row r="288" spans="1:8" ht="14.4">
      <c r="A288" s="18" t="s">
        <v>27</v>
      </c>
      <c r="B288" s="18" t="s">
        <v>27</v>
      </c>
      <c r="C288" s="18" t="s">
        <v>183</v>
      </c>
      <c r="D288" s="19" t="str">
        <f ca="1">IFERROR(__xludf.DUMMYFUNCTION("GOOGLETRANSLATE(A288, ""ar"", ""en"")"),"Toyota")</f>
        <v>Toyota</v>
      </c>
      <c r="E288" s="19" t="str">
        <f ca="1">IFERROR(__xludf.DUMMYFUNCTION("GOOGLETRANSLATE(B288,""ar"",""en"")"),"Toyota")</f>
        <v>Toyota</v>
      </c>
      <c r="F288" s="19" t="str">
        <f ca="1">IFERROR(__xludf.DUMMYFUNCTION("GOOGLETRANSLATE(C288,""ar"",""en"")"),"Fortnar 4*4")</f>
        <v>Fortnar 4*4</v>
      </c>
      <c r="G288" t="e">
        <f ca="1">VLOOKUP(F:F,matching_transelated_with_ref!A:C,2,0)</f>
        <v>#N/A</v>
      </c>
      <c r="H288" t="e">
        <f>VLOOKUP(C:C,Sheet4!A:C,2,0)</f>
        <v>#N/A</v>
      </c>
    </row>
    <row r="289" spans="1:8" ht="14.4">
      <c r="A289" s="18" t="s">
        <v>27</v>
      </c>
      <c r="B289" s="18" t="s">
        <v>28</v>
      </c>
      <c r="C289" s="18" t="s">
        <v>29</v>
      </c>
      <c r="D289" s="19" t="str">
        <f ca="1">IFERROR(__xludf.DUMMYFUNCTION("GOOGLETRANSLATE(A289, ""ar"", ""en"")"),"Toyota")</f>
        <v>Toyota</v>
      </c>
      <c r="E289" s="19" t="str">
        <f ca="1">IFERROR(__xludf.DUMMYFUNCTION("GOOGLETRANSLATE(B289,""ar"",""en"")"),"Avalon")</f>
        <v>Avalon</v>
      </c>
      <c r="F289" s="19" t="str">
        <f ca="1">IFERROR(__xludf.DUMMYFUNCTION("GOOGLETRANSLATE(C289,""ar"",""en"")"),"X Sidan")</f>
        <v>X Sidan</v>
      </c>
      <c r="G289" t="str">
        <f ca="1">VLOOKUP(F:F,matching_transelated_with_ref!A:C,2,0)</f>
        <v>X</v>
      </c>
      <c r="H289" t="e">
        <f>VLOOKUP(C:C,Sheet4!A:C,2,0)</f>
        <v>#N/A</v>
      </c>
    </row>
    <row r="290" spans="1:8" ht="14.4">
      <c r="A290" s="18" t="s">
        <v>27</v>
      </c>
      <c r="B290" s="18" t="s">
        <v>27</v>
      </c>
      <c r="C290" s="18" t="s">
        <v>186</v>
      </c>
      <c r="D290" s="19" t="str">
        <f ca="1">IFERROR(__xludf.DUMMYFUNCTION("GOOGLETRANSLATE(A290, ""ar"", ""en"")"),"Toyota")</f>
        <v>Toyota</v>
      </c>
      <c r="E290" s="19" t="str">
        <f ca="1">IFERROR(__xludf.DUMMYFUNCTION("GOOGLETRANSLATE(B290,""ar"",""en"")"),"Toyota")</f>
        <v>Toyota</v>
      </c>
      <c r="F290" s="19" t="str">
        <f ca="1">IFERROR(__xludf.DUMMYFUNCTION("GOOGLETRANSLATE(C290,""ar"",""en"")"),"Camry 3.5 liters")</f>
        <v>Camry 3.5 liters</v>
      </c>
      <c r="G290" t="e">
        <f ca="1">VLOOKUP(F:F,matching_transelated_with_ref!A:C,2,0)</f>
        <v>#N/A</v>
      </c>
      <c r="H290" t="str">
        <f>VLOOKUP(C:C,Sheet4!A:C,2,0)</f>
        <v xml:space="preserve">كامري - SE - 6V - 3.5   </v>
      </c>
    </row>
    <row r="291" spans="1:8" ht="14.4">
      <c r="A291" s="18" t="s">
        <v>27</v>
      </c>
      <c r="B291" s="18" t="s">
        <v>188</v>
      </c>
      <c r="C291" s="18" t="s">
        <v>219</v>
      </c>
      <c r="D291" s="19" t="str">
        <f ca="1">IFERROR(__xludf.DUMMYFUNCTION("GOOGLETRANSLATE(A291, ""ar"", ""en"")"),"Toyota")</f>
        <v>Toyota</v>
      </c>
      <c r="E291" s="19" t="str">
        <f ca="1">IFERROR(__xludf.DUMMYFUNCTION("GOOGLETRANSLATE(B291,""ar"",""en"")"),"Land Cruiser")</f>
        <v>Land Cruiser</v>
      </c>
      <c r="F291" s="19" t="str">
        <f ca="1">IFERROR(__xludf.DUMMYFUNCTION("GOOGLETRANSLATE(C291,""ar"",""en"")"),"short")</f>
        <v>short</v>
      </c>
      <c r="G291" t="e">
        <f ca="1">VLOOKUP(F:F,matching_transelated_with_ref!A:C,2,0)</f>
        <v>#N/A</v>
      </c>
      <c r="H291" t="e">
        <f>VLOOKUP(C:C,Sheet4!A:C,2,0)</f>
        <v>#N/A</v>
      </c>
    </row>
    <row r="292" spans="1:8" ht="14.4">
      <c r="A292" s="18" t="s">
        <v>27</v>
      </c>
      <c r="B292" s="18" t="s">
        <v>239</v>
      </c>
      <c r="C292" s="18" t="s">
        <v>242</v>
      </c>
      <c r="D292" s="19" t="str">
        <f ca="1">IFERROR(__xludf.DUMMYFUNCTION("GOOGLETRANSLATE(A292, ""ar"", ""en"")"),"Toyota")</f>
        <v>Toyota</v>
      </c>
      <c r="E292" s="19" t="str">
        <f ca="1">IFERROR(__xludf.DUMMYFUNCTION("GOOGLETRANSLATE(B292,""ar"",""en"")"),"Hilux")</f>
        <v>Hilux</v>
      </c>
      <c r="F292" s="19" t="str">
        <f ca="1">IFERROR(__xludf.DUMMYFUNCTION("GOOGLETRANSLATE(C292,""ar"",""en"")"),"2.7 Super GLX Rus R.")</f>
        <v>2.7 Super GLX Rus R.</v>
      </c>
      <c r="G292" t="e">
        <f ca="1">VLOOKUP(F:F,matching_transelated_with_ref!A:C,2,0)</f>
        <v>#N/A</v>
      </c>
      <c r="H292" t="str">
        <f>VLOOKUP(C:C,Sheet4!A:C,2,0)</f>
        <v>سوبرا</v>
      </c>
    </row>
    <row r="293" spans="1:8" ht="14.4">
      <c r="A293" s="18" t="s">
        <v>27</v>
      </c>
      <c r="B293" s="18" t="s">
        <v>27</v>
      </c>
      <c r="C293" s="18" t="s">
        <v>1330</v>
      </c>
      <c r="D293" s="19" t="str">
        <f ca="1">IFERROR(__xludf.DUMMYFUNCTION("GOOGLETRANSLATE(A293, ""ar"", ""en"")"),"Toyota")</f>
        <v>Toyota</v>
      </c>
      <c r="E293" s="19" t="str">
        <f ca="1">IFERROR(__xludf.DUMMYFUNCTION("GOOGLETRANSLATE(B293,""ar"",""en"")"),"Toyota")</f>
        <v>Toyota</v>
      </c>
      <c r="F293" s="19" t="str">
        <f ca="1">IFERROR(__xludf.DUMMYFUNCTION("GOOGLETRANSLATE(C293,""ar"",""en"")"),"Land Cruiser 4 liters normal b")</f>
        <v>Land Cruiser 4 liters normal b</v>
      </c>
      <c r="G293" t="e">
        <f ca="1">VLOOKUP(F:F,matching_transelated_with_ref!A:C,2,0)</f>
        <v>#N/A</v>
      </c>
      <c r="H293" t="e">
        <f>VLOOKUP(C:C,Sheet4!A:C,2,0)</f>
        <v>#N/A</v>
      </c>
    </row>
    <row r="294" spans="1:8" ht="14.4">
      <c r="A294" s="18" t="s">
        <v>27</v>
      </c>
      <c r="B294" s="18" t="s">
        <v>188</v>
      </c>
      <c r="C294" s="18" t="s">
        <v>212</v>
      </c>
      <c r="D294" s="19" t="str">
        <f ca="1">IFERROR(__xludf.DUMMYFUNCTION("GOOGLETRANSLATE(A294, ""ar"", ""en"")"),"Toyota")</f>
        <v>Toyota</v>
      </c>
      <c r="E294" s="19" t="str">
        <f ca="1">IFERROR(__xludf.DUMMYFUNCTION("GOOGLETRANSLATE(B294,""ar"",""en"")"),"Land Cruiser")</f>
        <v>Land Cruiser</v>
      </c>
      <c r="F294" s="19" t="str">
        <f ca="1">IFERROR(__xludf.DUMMYFUNCTION("GOOGLETRANSLATE(C294,""ar"",""en"")"),"Cub")</f>
        <v>Cub</v>
      </c>
      <c r="G294" t="e">
        <f ca="1">VLOOKUP(F:F,matching_transelated_with_ref!A:C,2,0)</f>
        <v>#N/A</v>
      </c>
      <c r="H294" t="e">
        <f>VLOOKUP(C:C,Sheet4!A:C,2,0)</f>
        <v>#N/A</v>
      </c>
    </row>
    <row r="295" spans="1:8" ht="14.4">
      <c r="A295" s="18" t="s">
        <v>27</v>
      </c>
      <c r="B295" s="18" t="s">
        <v>27</v>
      </c>
      <c r="C295" s="18" t="s">
        <v>1084</v>
      </c>
      <c r="D295" s="19" t="str">
        <f ca="1">IFERROR(__xludf.DUMMYFUNCTION("GOOGLETRANSLATE(A295, ""ar"", ""en"")"),"Toyota")</f>
        <v>Toyota</v>
      </c>
      <c r="E295" s="19" t="str">
        <f ca="1">IFERROR(__xludf.DUMMYFUNCTION("GOOGLETRANSLATE(B295,""ar"",""en"")"),"Toyota")</f>
        <v>Toyota</v>
      </c>
      <c r="F295" s="19" t="str">
        <f ca="1">IFERROR(__xludf.DUMMYFUNCTION("GOOGLETRANSLATE(C295,""ar"",""en"")"),"Hilux four -wheel drive Ban")</f>
        <v>Hilux four -wheel drive Ban</v>
      </c>
      <c r="G295" t="e">
        <f ca="1">VLOOKUP(F:F,matching_transelated_with_ref!A:C,2,0)</f>
        <v>#N/A</v>
      </c>
      <c r="H295" t="e">
        <f>VLOOKUP(C:C,Sheet4!A:C,2,0)</f>
        <v>#N/A</v>
      </c>
    </row>
    <row r="296" spans="1:8" ht="14.4">
      <c r="A296" s="18" t="s">
        <v>27</v>
      </c>
      <c r="B296" s="18" t="s">
        <v>182</v>
      </c>
      <c r="C296" s="18" t="s">
        <v>199</v>
      </c>
      <c r="D296" s="19" t="str">
        <f ca="1">IFERROR(__xludf.DUMMYFUNCTION("GOOGLETRANSLATE(A296, ""ar"", ""en"")"),"Toyota")</f>
        <v>Toyota</v>
      </c>
      <c r="E296" s="19" t="str">
        <f ca="1">IFERROR(__xludf.DUMMYFUNCTION("GOOGLETRANSLATE(B296,""ar"",""en"")"),"Fortnar")</f>
        <v>Fortnar</v>
      </c>
      <c r="F296" s="19" t="str">
        <f ca="1">IFERROR(__xludf.DUMMYFUNCTION("GOOGLETRANSLATE(C296,""ar"",""en"")"),"Swimming automatic payment b")</f>
        <v>Swimming automatic payment b</v>
      </c>
      <c r="G296" t="e">
        <f ca="1">VLOOKUP(F:F,matching_transelated_with_ref!A:C,2,0)</f>
        <v>#N/A</v>
      </c>
      <c r="H296" t="e">
        <f>VLOOKUP(C:C,Sheet4!A:C,2,0)</f>
        <v>#N/A</v>
      </c>
    </row>
    <row r="297" spans="1:8" ht="14.4">
      <c r="A297" s="18" t="s">
        <v>27</v>
      </c>
      <c r="B297" s="18" t="s">
        <v>27</v>
      </c>
      <c r="C297" s="18" t="s">
        <v>586</v>
      </c>
      <c r="D297" s="19" t="str">
        <f ca="1">IFERROR(__xludf.DUMMYFUNCTION("GOOGLETRANSLATE(A297, ""ar"", ""en"")"),"Toyota")</f>
        <v>Toyota</v>
      </c>
      <c r="E297" s="19" t="str">
        <f ca="1">IFERROR(__xludf.DUMMYFUNCTION("GOOGLETRANSLATE(B297,""ar"",""en"")"),"Toyota")</f>
        <v>Toyota</v>
      </c>
      <c r="F297" s="19" t="str">
        <f ca="1">IFERROR(__xludf.DUMMYFUNCTION("GOOGLETRANSLATE(C297,""ar"",""en"")"),"Rav for 2.5 Hybrid Pay R.")</f>
        <v>Rav for 2.5 Hybrid Pay R.</v>
      </c>
      <c r="G297" t="e">
        <f ca="1">VLOOKUP(F:F,matching_transelated_with_ref!A:C,2,0)</f>
        <v>#N/A</v>
      </c>
      <c r="H297" t="e">
        <f>VLOOKUP(C:C,Sheet4!A:C,2,0)</f>
        <v>#N/A</v>
      </c>
    </row>
    <row r="298" spans="1:8" ht="14.4">
      <c r="A298" s="18" t="s">
        <v>27</v>
      </c>
      <c r="B298" s="18" t="s">
        <v>27</v>
      </c>
      <c r="C298" s="18" t="s">
        <v>1322</v>
      </c>
      <c r="D298" s="19" t="str">
        <f ca="1">IFERROR(__xludf.DUMMYFUNCTION("GOOGLETRANSLATE(A298, ""ar"", ""en"")"),"Toyota")</f>
        <v>Toyota</v>
      </c>
      <c r="E298" s="19" t="str">
        <f ca="1">IFERROR(__xludf.DUMMYFUNCTION("GOOGLETRANSLATE(B298,""ar"",""en"")"),"Toyota")</f>
        <v>Toyota</v>
      </c>
      <c r="F298" s="19" t="str">
        <f ca="1">IFERROR(__xludf.DUMMYFUNCTION("GOOGLETRANSLATE(C298,""ar"",""en"")"),"Fortuner Back Pay 2.7 LT")</f>
        <v>Fortuner Back Pay 2.7 LT</v>
      </c>
      <c r="G298" t="e">
        <f ca="1">VLOOKUP(F:F,matching_transelated_with_ref!A:C,2,0)</f>
        <v>#N/A</v>
      </c>
      <c r="H298">
        <f>VLOOKUP(C:C,Sheet4!A:C,2,0)</f>
        <v>2</v>
      </c>
    </row>
    <row r="299" spans="1:8" ht="14.4">
      <c r="A299" s="18" t="s">
        <v>27</v>
      </c>
      <c r="B299" s="18" t="s">
        <v>27</v>
      </c>
      <c r="C299" s="18" t="s">
        <v>1076</v>
      </c>
      <c r="D299" s="19" t="str">
        <f ca="1">IFERROR(__xludf.DUMMYFUNCTION("GOOGLETRANSLATE(A299, ""ar"", ""en"")"),"Toyota")</f>
        <v>Toyota</v>
      </c>
      <c r="E299" s="19" t="str">
        <f ca="1">IFERROR(__xludf.DUMMYFUNCTION("GOOGLETRANSLATE(B299,""ar"",""en"")"),"Toyota")</f>
        <v>Toyota</v>
      </c>
      <c r="F299" s="19" t="str">
        <f ca="1">IFERROR(__xludf.DUMMYFUNCTION("GOOGLETRANSLATE(C299,""ar"",""en"")"),"Fortnar SUV Diesel")</f>
        <v>Fortnar SUV Diesel</v>
      </c>
      <c r="G299" t="e">
        <f ca="1">VLOOKUP(F:F,matching_transelated_with_ref!A:C,2,0)</f>
        <v>#N/A</v>
      </c>
      <c r="H299" t="e">
        <f>VLOOKUP(C:C,Sheet4!A:C,2,0)</f>
        <v>#N/A</v>
      </c>
    </row>
    <row r="300" spans="1:8" ht="14.4">
      <c r="A300" s="18" t="s">
        <v>27</v>
      </c>
      <c r="B300" s="18" t="s">
        <v>45</v>
      </c>
      <c r="C300" s="18" t="s">
        <v>46</v>
      </c>
      <c r="D300" s="19" t="str">
        <f ca="1">IFERROR(__xludf.DUMMYFUNCTION("GOOGLETRANSLATE(A300, ""ar"", ""en"")"),"Toyota")</f>
        <v>Toyota</v>
      </c>
      <c r="E300" s="19" t="str">
        <f ca="1">IFERROR(__xludf.DUMMYFUNCTION("GOOGLETRANSLATE(B300,""ar"",""en"")"),"Hi S.")</f>
        <v>Hi S.</v>
      </c>
      <c r="F300" s="19" t="str">
        <f ca="1">IFERROR(__xludf.DUMMYFUNCTION("GOOGLETRANSLATE(C300,""ar"",""en"")"),"High ceiling")</f>
        <v>High ceiling</v>
      </c>
      <c r="G300" t="e">
        <f ca="1">VLOOKUP(F:F,matching_transelated_with_ref!A:C,2,0)</f>
        <v>#N/A</v>
      </c>
      <c r="H300" t="e">
        <f>VLOOKUP(C:C,Sheet4!A:C,2,0)</f>
        <v>#N/A</v>
      </c>
    </row>
    <row r="301" spans="1:8" ht="14.4">
      <c r="A301" s="18" t="s">
        <v>27</v>
      </c>
      <c r="B301" s="18" t="s">
        <v>182</v>
      </c>
      <c r="C301" s="18" t="s">
        <v>197</v>
      </c>
      <c r="D301" s="19" t="str">
        <f ca="1">IFERROR(__xludf.DUMMYFUNCTION("GOOGLETRANSLATE(A301, ""ar"", ""en"")"),"Toyota")</f>
        <v>Toyota</v>
      </c>
      <c r="E301" s="19" t="str">
        <f ca="1">IFERROR(__xludf.DUMMYFUNCTION("GOOGLETRANSLATE(B301,""ar"",""en"")"),"Fortnar")</f>
        <v>Fortnar</v>
      </c>
      <c r="F301" s="19" t="str">
        <f ca="1">IFERROR(__xludf.DUMMYFUNCTION("GOOGLETRANSLATE(C301,""ar"",""en"")"),"GX 2")</f>
        <v>GX 2</v>
      </c>
      <c r="G301" t="e">
        <f ca="1">VLOOKUP(F:F,matching_transelated_with_ref!A:C,2,0)</f>
        <v>#N/A</v>
      </c>
      <c r="H301" t="e">
        <f>VLOOKUP(C:C,Sheet4!A:C,2,0)</f>
        <v>#N/A</v>
      </c>
    </row>
    <row r="302" spans="1:8" ht="14.4">
      <c r="A302" s="18" t="s">
        <v>27</v>
      </c>
      <c r="B302" s="18" t="s">
        <v>27</v>
      </c>
      <c r="C302" s="18" t="s">
        <v>1317</v>
      </c>
      <c r="D302" s="19" t="str">
        <f ca="1">IFERROR(__xludf.DUMMYFUNCTION("GOOGLETRANSLATE(A302, ""ar"", ""en"")"),"Toyota")</f>
        <v>Toyota</v>
      </c>
      <c r="E302" s="19" t="str">
        <f ca="1">IFERROR(__xludf.DUMMYFUNCTION("GOOGLETRANSLATE(B302,""ar"",""en"")"),"Toyota")</f>
        <v>Toyota</v>
      </c>
      <c r="F302" s="19" t="str">
        <f ca="1">IFERROR(__xludf.DUMMYFUNCTION("GOOGLETRANSLATE(C302,""ar"",""en"")"),"Rav for 2.5 liters of gasoline")</f>
        <v>Rav for 2.5 liters of gasoline</v>
      </c>
      <c r="G302" t="e">
        <f ca="1">VLOOKUP(F:F,matching_transelated_with_ref!A:C,2,0)</f>
        <v>#N/A</v>
      </c>
      <c r="H302" t="e">
        <f>VLOOKUP(C:C,Sheet4!A:C,2,0)</f>
        <v>#N/A</v>
      </c>
    </row>
    <row r="303" spans="1:8" ht="14.4">
      <c r="A303" s="18" t="s">
        <v>27</v>
      </c>
      <c r="B303" s="18" t="s">
        <v>27</v>
      </c>
      <c r="C303" s="18" t="s">
        <v>1334</v>
      </c>
      <c r="D303" s="19" t="str">
        <f ca="1">IFERROR(__xludf.DUMMYFUNCTION("GOOGLETRANSLATE(A303, ""ar"", ""en"")"),"Toyota")</f>
        <v>Toyota</v>
      </c>
      <c r="E303" s="19" t="str">
        <f ca="1">IFERROR(__xludf.DUMMYFUNCTION("GOOGLETRANSLATE(B303,""ar"",""en"")"),"Toyota")</f>
        <v>Toyota</v>
      </c>
      <c r="F303" s="19" t="str">
        <f ca="1">IFERROR(__xludf.DUMMYFUNCTION("GOOGLETRANSLATE(C303,""ar"",""en"")"),"Hi S 2.8 liter rear -wheel drive e")</f>
        <v>Hi S 2.8 liter rear -wheel drive e</v>
      </c>
      <c r="G303" t="e">
        <f ca="1">VLOOKUP(F:F,matching_transelated_with_ref!A:C,2,0)</f>
        <v>#N/A</v>
      </c>
      <c r="H303">
        <f>VLOOKUP(C:C,Sheet4!A:C,2,0)</f>
        <v>2</v>
      </c>
    </row>
    <row r="304" spans="1:8" ht="14.4">
      <c r="A304" s="18" t="s">
        <v>27</v>
      </c>
      <c r="B304" s="18" t="s">
        <v>27</v>
      </c>
      <c r="C304" s="18" t="s">
        <v>1342</v>
      </c>
      <c r="D304" s="19" t="str">
        <f ca="1">IFERROR(__xludf.DUMMYFUNCTION("GOOGLETRANSLATE(A304, ""ar"", ""en"")"),"Toyota")</f>
        <v>Toyota</v>
      </c>
      <c r="E304" s="19" t="str">
        <f ca="1">IFERROR(__xludf.DUMMYFUNCTION("GOOGLETRANSLATE(B304,""ar"",""en"")"),"Toyota")</f>
        <v>Toyota</v>
      </c>
      <c r="F304" s="19" t="str">
        <f ca="1">IFERROR(__xludf.DUMMYFUNCTION("GOOGLETRANSLATE(C304,""ar"",""en"")"),"Hilux 2.8 liter diesel payment")</f>
        <v>Hilux 2.8 liter diesel payment</v>
      </c>
      <c r="G304" t="e">
        <f ca="1">VLOOKUP(F:F,matching_transelated_with_ref!A:C,2,0)</f>
        <v>#N/A</v>
      </c>
      <c r="H304" t="e">
        <f>VLOOKUP(C:C,Sheet4!A:C,2,0)</f>
        <v>#N/A</v>
      </c>
    </row>
    <row r="305" spans="1:8" ht="14.4">
      <c r="A305" s="18" t="s">
        <v>27</v>
      </c>
      <c r="B305" s="18" t="s">
        <v>182</v>
      </c>
      <c r="C305" s="18" t="s">
        <v>198</v>
      </c>
      <c r="D305" s="19" t="str">
        <f ca="1">IFERROR(__xludf.DUMMYFUNCTION("GOOGLETRANSLATE(A305, ""ar"", ""en"")"),"Toyota")</f>
        <v>Toyota</v>
      </c>
      <c r="E305" s="19" t="str">
        <f ca="1">IFERROR(__xludf.DUMMYFUNCTION("GOOGLETRANSLATE(B305,""ar"",""en"")"),"Fortnar")</f>
        <v>Fortnar</v>
      </c>
      <c r="F305" s="19" t="str">
        <f ca="1">IFERROR(__xludf.DUMMYFUNCTION("GOOGLETRANSLATE(C305,""ar"",""en"")"),"Jeep 4*2 automatic")</f>
        <v>Jeep 4*2 automatic</v>
      </c>
      <c r="G305" t="e">
        <f ca="1">VLOOKUP(F:F,matching_transelated_with_ref!A:C,2,0)</f>
        <v>#N/A</v>
      </c>
      <c r="H305" t="e">
        <f>VLOOKUP(C:C,Sheet4!A:C,2,0)</f>
        <v>#N/A</v>
      </c>
    </row>
    <row r="306" spans="1:8" ht="14.4">
      <c r="A306" s="18" t="s">
        <v>27</v>
      </c>
      <c r="B306" s="18" t="s">
        <v>27</v>
      </c>
      <c r="C306" s="18" t="s">
        <v>1316</v>
      </c>
      <c r="D306" s="19" t="str">
        <f ca="1">IFERROR(__xludf.DUMMYFUNCTION("GOOGLETRANSLATE(A306, ""ar"", ""en"")"),"Toyota")</f>
        <v>Toyota</v>
      </c>
      <c r="E306" s="19" t="str">
        <f ca="1">IFERROR(__xludf.DUMMYFUNCTION("GOOGLETRANSLATE(B306,""ar"",""en"")"),"Toyota")</f>
        <v>Toyota</v>
      </c>
      <c r="F306" s="19" t="str">
        <f ca="1">IFERROR(__xludf.DUMMYFUNCTION("GOOGLETRANSLATE(C306,""ar"",""en"")"),"Anofa Pay Diesel 2.8")</f>
        <v>Anofa Pay Diesel 2.8</v>
      </c>
      <c r="G306" t="e">
        <f ca="1">VLOOKUP(F:F,matching_transelated_with_ref!A:C,2,0)</f>
        <v>#N/A</v>
      </c>
      <c r="H306" t="str">
        <f>VLOOKUP(C:C,Sheet4!A:C,2,0)</f>
        <v xml:space="preserve"> انوفا</v>
      </c>
    </row>
    <row r="307" spans="1:8" ht="14.4">
      <c r="A307" s="18" t="s">
        <v>27</v>
      </c>
      <c r="B307" s="18" t="s">
        <v>27</v>
      </c>
      <c r="C307" s="18" t="s">
        <v>585</v>
      </c>
      <c r="D307" s="19" t="str">
        <f ca="1">IFERROR(__xludf.DUMMYFUNCTION("GOOGLETRANSLATE(A307, ""ar"", ""en"")"),"Toyota")</f>
        <v>Toyota</v>
      </c>
      <c r="E307" s="19" t="str">
        <f ca="1">IFERROR(__xludf.DUMMYFUNCTION("GOOGLETRANSLATE(B307,""ar"",""en"")"),"Toyota")</f>
        <v>Toyota</v>
      </c>
      <c r="F307" s="19" t="str">
        <f ca="1">IFERROR(__xludf.DUMMYFUNCTION("GOOGLETRANSLATE(C307,""ar"",""en"")"),"Anova 2.8 liters")</f>
        <v>Anova 2.8 liters</v>
      </c>
      <c r="G307" t="e">
        <f ca="1">VLOOKUP(F:F,matching_transelated_with_ref!A:C,2,0)</f>
        <v>#N/A</v>
      </c>
      <c r="H307" t="str">
        <f>VLOOKUP(C:C,Sheet4!A:C,2,0)</f>
        <v xml:space="preserve"> انوفا</v>
      </c>
    </row>
    <row r="308" spans="1:8" ht="14.4">
      <c r="A308" s="18" t="s">
        <v>27</v>
      </c>
      <c r="B308" s="18" t="s">
        <v>177</v>
      </c>
      <c r="C308" s="18" t="s">
        <v>178</v>
      </c>
      <c r="D308" s="19" t="str">
        <f ca="1">IFERROR(__xludf.DUMMYFUNCTION("GOOGLETRANSLATE(A308, ""ar"", ""en"")"),"Toyota")</f>
        <v>Toyota</v>
      </c>
      <c r="E308" s="19" t="str">
        <f ca="1">IFERROR(__xludf.DUMMYFUNCTION("GOOGLETRANSLATE(B308,""ar"",""en"")"),"Anofa")</f>
        <v>Anofa</v>
      </c>
      <c r="F308" s="19" t="str">
        <f ca="1">IFERROR(__xludf.DUMMYFUNCTION("GOOGLETRANSLATE(C308,""ar"",""en"")"),"XL")</f>
        <v>XL</v>
      </c>
      <c r="G308" t="e">
        <f ca="1">VLOOKUP(F:F,matching_transelated_with_ref!A:C,2,0)</f>
        <v>#N/A</v>
      </c>
      <c r="H308" t="e">
        <f>VLOOKUP(C:C,Sheet4!A:C,2,0)</f>
        <v>#N/A</v>
      </c>
    </row>
    <row r="309" spans="1:8" ht="14.4">
      <c r="A309" s="18" t="s">
        <v>27</v>
      </c>
      <c r="B309" s="18" t="s">
        <v>27</v>
      </c>
      <c r="C309" s="18" t="s">
        <v>1085</v>
      </c>
      <c r="D309" s="19" t="str">
        <f ca="1">IFERROR(__xludf.DUMMYFUNCTION("GOOGLETRANSLATE(A309, ""ar"", ""en"")"),"Toyota")</f>
        <v>Toyota</v>
      </c>
      <c r="E309" s="19" t="str">
        <f ca="1">IFERROR(__xludf.DUMMYFUNCTION("GOOGLETRANSLATE(B309,""ar"",""en"")"),"Toyota")</f>
        <v>Toyota</v>
      </c>
      <c r="F309" s="19" t="str">
        <f ca="1">IFERROR(__xludf.DUMMYFUNCTION("GOOGLETRANSLATE(C309,""ar"",""en"")"),"Hilux four -wheel drive dies")</f>
        <v>Hilux four -wheel drive dies</v>
      </c>
      <c r="G309" t="e">
        <f ca="1">VLOOKUP(F:F,matching_transelated_with_ref!A:C,2,0)</f>
        <v>#N/A</v>
      </c>
      <c r="H309" t="e">
        <f>VLOOKUP(C:C,Sheet4!A:C,2,0)</f>
        <v>#N/A</v>
      </c>
    </row>
    <row r="310" spans="1:8" ht="14.4">
      <c r="A310" s="18" t="s">
        <v>27</v>
      </c>
      <c r="B310" s="18" t="s">
        <v>239</v>
      </c>
      <c r="C310" s="18" t="s">
        <v>247</v>
      </c>
      <c r="D310" s="19" t="str">
        <f ca="1">IFERROR(__xludf.DUMMYFUNCTION("GOOGLETRANSLATE(A310, ""ar"", ""en"")"),"Toyota")</f>
        <v>Toyota</v>
      </c>
      <c r="E310" s="19" t="str">
        <f ca="1">IFERROR(__xludf.DUMMYFUNCTION("GOOGLETRANSLATE(B310,""ar"",""en"")"),"Hilux")</f>
        <v>Hilux</v>
      </c>
      <c r="F310" s="19" t="str">
        <f ca="1">IFERROR(__xludf.DUMMYFUNCTION("GOOGLETRANSLATE(C310,""ar"",""en"")"),"GL 2")</f>
        <v>GL 2</v>
      </c>
      <c r="G310" t="e">
        <f ca="1">VLOOKUP(F:F,matching_transelated_with_ref!A:C,2,0)</f>
        <v>#N/A</v>
      </c>
      <c r="H310" t="e">
        <f>VLOOKUP(C:C,Sheet4!A:C,2,0)</f>
        <v>#N/A</v>
      </c>
    </row>
    <row r="311" spans="1:8" ht="14.4">
      <c r="A311" s="18" t="s">
        <v>27</v>
      </c>
      <c r="B311" s="18" t="s">
        <v>27</v>
      </c>
      <c r="C311" s="18" t="s">
        <v>874</v>
      </c>
      <c r="D311" s="19" t="str">
        <f ca="1">IFERROR(__xludf.DUMMYFUNCTION("GOOGLETRANSLATE(A311, ""ar"", ""en"")"),"Toyota")</f>
        <v>Toyota</v>
      </c>
      <c r="E311" s="19" t="str">
        <f ca="1">IFERROR(__xludf.DUMMYFUNCTION("GOOGLETRANSLATE(B311,""ar"",""en"")"),"Toyota")</f>
        <v>Toyota</v>
      </c>
      <c r="F311" s="19" t="str">
        <f ca="1">IFERROR(__xludf.DUMMYFUNCTION("GOOGLETRANSLATE(C311,""ar"",""en"")"),"Hilux 2.8 liter diesel")</f>
        <v>Hilux 2.8 liter diesel</v>
      </c>
      <c r="G311" t="e">
        <f ca="1">VLOOKUP(F:F,matching_transelated_with_ref!A:C,2,0)</f>
        <v>#N/A</v>
      </c>
      <c r="H311" t="e">
        <f>VLOOKUP(C:C,Sheet4!A:C,2,0)</f>
        <v>#N/A</v>
      </c>
    </row>
    <row r="312" spans="1:8" ht="14.4">
      <c r="A312" s="18" t="s">
        <v>27</v>
      </c>
      <c r="B312" s="18" t="s">
        <v>27</v>
      </c>
      <c r="C312" s="18" t="s">
        <v>1318</v>
      </c>
      <c r="D312" s="19" t="str">
        <f ca="1">IFERROR(__xludf.DUMMYFUNCTION("GOOGLETRANSLATE(A312, ""ar"", ""en"")"),"Toyota")</f>
        <v>Toyota</v>
      </c>
      <c r="E312" s="19" t="str">
        <f ca="1">IFERROR(__xludf.DUMMYFUNCTION("GOOGLETRANSLATE(B312,""ar"",""en"")"),"Toyota")</f>
        <v>Toyota</v>
      </c>
      <c r="F312" s="19" t="str">
        <f ca="1">IFERROR(__xludf.DUMMYFUNCTION("GOOGLETRANSLATE(C312,""ar"",""en"")"),"RAF for Hybrid 2.5 liters of Daf")</f>
        <v>RAF for Hybrid 2.5 liters of Daf</v>
      </c>
      <c r="G312" t="e">
        <f ca="1">VLOOKUP(F:F,matching_transelated_with_ref!A:C,2,0)</f>
        <v>#N/A</v>
      </c>
      <c r="H312" t="e">
        <f>VLOOKUP(C:C,Sheet4!A:C,2,0)</f>
        <v>#N/A</v>
      </c>
    </row>
    <row r="313" spans="1:8" ht="14.4">
      <c r="A313" s="18" t="s">
        <v>27</v>
      </c>
      <c r="B313" s="18" t="s">
        <v>27</v>
      </c>
      <c r="C313" s="18" t="s">
        <v>1315</v>
      </c>
      <c r="D313" s="19" t="str">
        <f ca="1">IFERROR(__xludf.DUMMYFUNCTION("GOOGLETRANSLATE(A313, ""ar"", ""en"")"),"Toyota")</f>
        <v>Toyota</v>
      </c>
      <c r="E313" s="19" t="str">
        <f ca="1">IFERROR(__xludf.DUMMYFUNCTION("GOOGLETRANSLATE(B313,""ar"",""en"")"),"Toyota")</f>
        <v>Toyota</v>
      </c>
      <c r="F313" s="19" t="str">
        <f ca="1">IFERROR(__xludf.DUMMYFUNCTION("GOOGLETRANSLATE(C313,""ar"",""en"")"),"Anofa pushed back from gasoline 2.")</f>
        <v>Anofa pushed back from gasoline 2.</v>
      </c>
      <c r="G313" t="e">
        <f ca="1">VLOOKUP(F:F,matching_transelated_with_ref!A:C,2,0)</f>
        <v>#N/A</v>
      </c>
      <c r="H313" t="str">
        <f>VLOOKUP(C:C,Sheet4!A:C,2,0)</f>
        <v xml:space="preserve"> انوفا</v>
      </c>
    </row>
    <row r="314" spans="1:8" ht="14.4">
      <c r="A314" s="18" t="s">
        <v>27</v>
      </c>
      <c r="B314" s="18" t="s">
        <v>27</v>
      </c>
      <c r="C314" s="18" t="s">
        <v>181</v>
      </c>
      <c r="D314" s="19" t="str">
        <f ca="1">IFERROR(__xludf.DUMMYFUNCTION("GOOGLETRANSLATE(A314, ""ar"", ""en"")"),"Toyota")</f>
        <v>Toyota</v>
      </c>
      <c r="E314" s="19" t="str">
        <f ca="1">IFERROR(__xludf.DUMMYFUNCTION("GOOGLETRANSLATE(B314,""ar"",""en"")"),"Toyota")</f>
        <v>Toyota</v>
      </c>
      <c r="F314" s="19" t="str">
        <f ca="1">IFERROR(__xludf.DUMMYFUNCTION("GOOGLETRANSLATE(C314,""ar"",""en"")"),"Innova")</f>
        <v>Innova</v>
      </c>
      <c r="G314" t="e">
        <f ca="1">VLOOKUP(F:F,matching_transelated_with_ref!A:C,2,0)</f>
        <v>#N/A</v>
      </c>
      <c r="H314" t="str">
        <f>VLOOKUP(C:C,Sheet4!A:C,2,0)</f>
        <v xml:space="preserve"> انوفا</v>
      </c>
    </row>
    <row r="315" spans="1:8" ht="14.4">
      <c r="A315" s="18" t="s">
        <v>27</v>
      </c>
      <c r="B315" s="18" t="s">
        <v>27</v>
      </c>
      <c r="C315" s="18" t="s">
        <v>1078</v>
      </c>
      <c r="D315" s="19" t="str">
        <f ca="1">IFERROR(__xludf.DUMMYFUNCTION("GOOGLETRANSLATE(A315, ""ar"", ""en"")"),"Toyota")</f>
        <v>Toyota</v>
      </c>
      <c r="E315" s="19" t="str">
        <f ca="1">IFERROR(__xludf.DUMMYFUNCTION("GOOGLETRANSLATE(B315,""ar"",""en"")"),"Toyota")</f>
        <v>Toyota</v>
      </c>
      <c r="F315" s="19" t="str">
        <f ca="1">IFERROR(__xludf.DUMMYFUNCTION("GOOGLETRANSLATE(C315,""ar"",""en"")"),"Corolla Cross 1.8 liters Hap")</f>
        <v>Corolla Cross 1.8 liters Hap</v>
      </c>
      <c r="G315" t="e">
        <f ca="1">VLOOKUP(F:F,matching_transelated_with_ref!A:C,2,0)</f>
        <v>#N/A</v>
      </c>
      <c r="H315" t="str">
        <f>VLOOKUP(C:C,Sheet4!A:C,2,0)</f>
        <v>كورلا - 1.8</v>
      </c>
    </row>
    <row r="316" spans="1:8" ht="14.4">
      <c r="A316" s="18" t="s">
        <v>27</v>
      </c>
      <c r="B316" s="18" t="s">
        <v>27</v>
      </c>
      <c r="C316" s="18" t="s">
        <v>1082</v>
      </c>
      <c r="D316" s="19" t="str">
        <f ca="1">IFERROR(__xludf.DUMMYFUNCTION("GOOGLETRANSLATE(A316, ""ar"", ""en"")"),"Toyota")</f>
        <v>Toyota</v>
      </c>
      <c r="E316" s="19" t="str">
        <f ca="1">IFERROR(__xludf.DUMMYFUNCTION("GOOGLETRANSLATE(B316,""ar"",""en"")"),"Toyota")</f>
        <v>Toyota</v>
      </c>
      <c r="F316" s="19" t="str">
        <f ca="1">IFERROR(__xludf.DUMMYFUNCTION("GOOGLETRANSLATE(C316,""ar"",""en"")"),"Hilux 2.4 liters normal")</f>
        <v>Hilux 2.4 liters normal</v>
      </c>
      <c r="G316" t="e">
        <f ca="1">VLOOKUP(F:F,matching_transelated_with_ref!A:C,2,0)</f>
        <v>#N/A</v>
      </c>
      <c r="H316" t="e">
        <f>VLOOKUP(C:C,Sheet4!A:C,2,0)</f>
        <v>#N/A</v>
      </c>
    </row>
    <row r="317" spans="1:8" ht="14.4">
      <c r="A317" s="18" t="s">
        <v>27</v>
      </c>
      <c r="B317" s="18" t="s">
        <v>239</v>
      </c>
      <c r="C317" s="18" t="s">
        <v>249</v>
      </c>
      <c r="D317" s="19" t="str">
        <f ca="1">IFERROR(__xludf.DUMMYFUNCTION("GOOGLETRANSLATE(A317, ""ar"", ""en"")"),"Toyota")</f>
        <v>Toyota</v>
      </c>
      <c r="E317" s="19" t="str">
        <f ca="1">IFERROR(__xludf.DUMMYFUNCTION("GOOGLETRANSLATE(B317,""ar"",""en"")"),"Hilux")</f>
        <v>Hilux</v>
      </c>
      <c r="F317" s="19" t="str">
        <f ca="1">IFERROR(__xludf.DUMMYFUNCTION("GOOGLETRANSLATE(C317,""ar"",""en"")"),"GLX")</f>
        <v>GLX</v>
      </c>
      <c r="G317" t="e">
        <f ca="1">VLOOKUP(F:F,matching_transelated_with_ref!A:C,2,0)</f>
        <v>#N/A</v>
      </c>
      <c r="H317" t="e">
        <f>VLOOKUP(C:C,Sheet4!A:C,2,0)</f>
        <v>#N/A</v>
      </c>
    </row>
    <row r="318" spans="1:8" ht="14.4">
      <c r="A318" s="18" t="s">
        <v>27</v>
      </c>
      <c r="B318" s="18" t="s">
        <v>27</v>
      </c>
      <c r="C318" s="18" t="s">
        <v>875</v>
      </c>
      <c r="D318" s="19" t="str">
        <f ca="1">IFERROR(__xludf.DUMMYFUNCTION("GOOGLETRANSLATE(A318, ""ar"", ""en"")"),"Toyota")</f>
        <v>Toyota</v>
      </c>
      <c r="E318" s="19" t="str">
        <f ca="1">IFERROR(__xludf.DUMMYFUNCTION("GOOGLETRANSLATE(B318,""ar"",""en"")"),"Toyota")</f>
        <v>Toyota</v>
      </c>
      <c r="F318" s="19" t="str">
        <f ca="1">IFERROR(__xludf.DUMMYFUNCTION("GOOGLETRANSLATE(C318,""ar"",""en"")"),"Hilux gasoline 2.7 liters d")</f>
        <v>Hilux gasoline 2.7 liters d</v>
      </c>
      <c r="G318" t="e">
        <f ca="1">VLOOKUP(F:F,matching_transelated_with_ref!A:C,2,0)</f>
        <v>#N/A</v>
      </c>
      <c r="H318" t="e">
        <f>VLOOKUP(C:C,Sheet4!A:C,2,0)</f>
        <v>#N/A</v>
      </c>
    </row>
    <row r="319" spans="1:8" ht="14.4">
      <c r="A319" s="18" t="s">
        <v>27</v>
      </c>
      <c r="B319" s="18" t="s">
        <v>27</v>
      </c>
      <c r="C319" s="18" t="s">
        <v>867</v>
      </c>
      <c r="D319" s="19" t="str">
        <f ca="1">IFERROR(__xludf.DUMMYFUNCTION("GOOGLETRANSLATE(A319, ""ar"", ""en"")"),"Toyota")</f>
        <v>Toyota</v>
      </c>
      <c r="E319" s="19" t="str">
        <f ca="1">IFERROR(__xludf.DUMMYFUNCTION("GOOGLETRANSLATE(B319,""ar"",""en"")"),"Toyota")</f>
        <v>Toyota</v>
      </c>
      <c r="F319" s="19" t="str">
        <f ca="1">IFERROR(__xludf.DUMMYFUNCTION("GOOGLETRANSLATE(C319,""ar"",""en"")"),"CHR Hybrid Atoma")</f>
        <v>CHR Hybrid Atoma</v>
      </c>
      <c r="G319" t="str">
        <f ca="1">VLOOKUP(F:F,matching_transelated_with_ref!A:C,2,0)</f>
        <v xml:space="preserve">C-HR </v>
      </c>
      <c r="H319" t="e">
        <f>VLOOKUP(C:C,Sheet4!A:C,2,0)</f>
        <v>#N/A</v>
      </c>
    </row>
    <row r="320" spans="1:8" ht="14.4">
      <c r="A320" s="18" t="s">
        <v>27</v>
      </c>
      <c r="B320" s="18" t="s">
        <v>192</v>
      </c>
      <c r="C320" s="18" t="s">
        <v>193</v>
      </c>
      <c r="D320" s="19" t="str">
        <f ca="1">IFERROR(__xludf.DUMMYFUNCTION("GOOGLETRANSLATE(A320, ""ar"", ""en"")"),"Toyota")</f>
        <v>Toyota</v>
      </c>
      <c r="E320" s="19" t="str">
        <f ca="1">IFERROR(__xludf.DUMMYFUNCTION("GOOGLETRANSLATE(B320,""ar"",""en"")"),"Rav for")</f>
        <v>Rav for</v>
      </c>
      <c r="F320" s="19" t="str">
        <f ca="1">IFERROR(__xludf.DUMMYFUNCTION("GOOGLETRANSLATE(C320,""ar"",""en"")"),"4*4")</f>
        <v>4*4</v>
      </c>
      <c r="G320" t="e">
        <f ca="1">VLOOKUP(F:F,matching_transelated_with_ref!A:C,2,0)</f>
        <v>#N/A</v>
      </c>
      <c r="H320" t="e">
        <f>VLOOKUP(C:C,Sheet4!A:C,2,0)</f>
        <v>#N/A</v>
      </c>
    </row>
    <row r="321" spans="1:8" ht="14.4">
      <c r="A321" s="18" t="s">
        <v>27</v>
      </c>
      <c r="B321" s="18" t="s">
        <v>27</v>
      </c>
      <c r="C321" s="18" t="s">
        <v>1339</v>
      </c>
      <c r="D321" s="19" t="str">
        <f ca="1">IFERROR(__xludf.DUMMYFUNCTION("GOOGLETRANSLATE(A321, ""ar"", ""en"")"),"Toyota")</f>
        <v>Toyota</v>
      </c>
      <c r="E321" s="19" t="str">
        <f ca="1">IFERROR(__xludf.DUMMYFUNCTION("GOOGLETRANSLATE(B321,""ar"",""en"")"),"Toyota")</f>
        <v>Toyota</v>
      </c>
      <c r="F321" s="19" t="str">
        <f ca="1">IFERROR(__xludf.DUMMYFUNCTION("GOOGLETRANSLATE(C321,""ar"",""en"")"),"Hilux 2.4 liter diesel payment")</f>
        <v>Hilux 2.4 liter diesel payment</v>
      </c>
      <c r="G321" t="e">
        <f ca="1">VLOOKUP(F:F,matching_transelated_with_ref!A:C,2,0)</f>
        <v>#N/A</v>
      </c>
      <c r="H321" t="e">
        <f>VLOOKUP(C:C,Sheet4!A:C,2,0)</f>
        <v>#N/A</v>
      </c>
    </row>
    <row r="322" spans="1:8" ht="14.4">
      <c r="A322" s="18" t="s">
        <v>27</v>
      </c>
      <c r="B322" s="18" t="s">
        <v>27</v>
      </c>
      <c r="C322" s="18" t="s">
        <v>591</v>
      </c>
      <c r="D322" s="19" t="str">
        <f ca="1">IFERROR(__xludf.DUMMYFUNCTION("GOOGLETRANSLATE(A322, ""ar"", ""en"")"),"Toyota")</f>
        <v>Toyota</v>
      </c>
      <c r="E322" s="19" t="str">
        <f ca="1">IFERROR(__xludf.DUMMYFUNCTION("GOOGLETRANSLATE(B322,""ar"",""en"")"),"Toyota")</f>
        <v>Toyota</v>
      </c>
      <c r="F322" s="19" t="str">
        <f ca="1">IFERROR(__xludf.DUMMYFUNCTION("GOOGLETRANSLATE(C322,""ar"",""en"")"),"Corolla 2 liter automatic")</f>
        <v>Corolla 2 liter automatic</v>
      </c>
      <c r="G322" t="e">
        <f ca="1">VLOOKUP(F:F,matching_transelated_with_ref!A:C,2,0)</f>
        <v>#N/A</v>
      </c>
      <c r="H322">
        <f>VLOOKUP(C:C,Sheet4!A:C,2,0)</f>
        <v>2</v>
      </c>
    </row>
    <row r="323" spans="1:8" ht="14.4">
      <c r="A323" s="18" t="s">
        <v>27</v>
      </c>
      <c r="B323" s="18" t="s">
        <v>27</v>
      </c>
      <c r="C323" s="18" t="s">
        <v>865</v>
      </c>
      <c r="D323" s="19" t="str">
        <f ca="1">IFERROR(__xludf.DUMMYFUNCTION("GOOGLETRANSLATE(A323, ""ar"", ""en"")"),"Toyota")</f>
        <v>Toyota</v>
      </c>
      <c r="E323" s="19" t="str">
        <f ca="1">IFERROR(__xludf.DUMMYFUNCTION("GOOGLETRANSLATE(B323,""ar"",""en"")"),"Toyota")</f>
        <v>Toyota</v>
      </c>
      <c r="F323" s="19" t="str">
        <f ca="1">IFERROR(__xludf.DUMMYFUNCTION("GOOGLETRANSLATE(C323,""ar"",""en"")"),"Rav for 2 liters of petrol payment")</f>
        <v>Rav for 2 liters of petrol payment</v>
      </c>
      <c r="G323" t="e">
        <f ca="1">VLOOKUP(F:F,matching_transelated_with_ref!A:C,2,0)</f>
        <v>#N/A</v>
      </c>
      <c r="H323" t="e">
        <f>VLOOKUP(C:C,Sheet4!A:C,2,0)</f>
        <v>#N/A</v>
      </c>
    </row>
    <row r="324" spans="1:8" ht="14.4">
      <c r="A324" s="18" t="s">
        <v>27</v>
      </c>
      <c r="B324" s="18" t="s">
        <v>45</v>
      </c>
      <c r="C324" s="18" t="s">
        <v>47</v>
      </c>
      <c r="D324" s="19" t="str">
        <f ca="1">IFERROR(__xludf.DUMMYFUNCTION("GOOGLETRANSLATE(A324, ""ar"", ""en"")"),"Toyota")</f>
        <v>Toyota</v>
      </c>
      <c r="E324" s="19" t="str">
        <f ca="1">IFERROR(__xludf.DUMMYFUNCTION("GOOGLETRANSLATE(B324,""ar"",""en"")"),"Hi S.")</f>
        <v>Hi S.</v>
      </c>
      <c r="F324" s="19" t="str">
        <f ca="1">IFERROR(__xludf.DUMMYFUNCTION("GOOGLETRANSLATE(C324,""ar"",""en"")"),"Van")</f>
        <v>Van</v>
      </c>
      <c r="G324" t="e">
        <f ca="1">VLOOKUP(F:F,matching_transelated_with_ref!A:C,2,0)</f>
        <v>#N/A</v>
      </c>
      <c r="H324" t="e">
        <f>VLOOKUP(C:C,Sheet4!A:C,2,0)</f>
        <v>#N/A</v>
      </c>
    </row>
    <row r="325" spans="1:8" ht="14.4">
      <c r="A325" s="18" t="s">
        <v>27</v>
      </c>
      <c r="B325" s="18" t="s">
        <v>239</v>
      </c>
      <c r="C325" s="18" t="s">
        <v>243</v>
      </c>
      <c r="D325" s="19" t="str">
        <f ca="1">IFERROR(__xludf.DUMMYFUNCTION("GOOGLETRANSLATE(A325, ""ar"", ""en"")"),"Toyota")</f>
        <v>Toyota</v>
      </c>
      <c r="E325" s="19" t="str">
        <f ca="1">IFERROR(__xludf.DUMMYFUNCTION("GOOGLETRANSLATE(B325,""ar"",""en"")"),"Hilux")</f>
        <v>Hilux</v>
      </c>
      <c r="F325" s="19" t="str">
        <f ca="1">IFERROR(__xludf.DUMMYFUNCTION("GOOGLETRANSLATE(C325,""ar"",""en"")"),"Bkb, long -term 2700 c")</f>
        <v>Bkb, long -term 2700 c</v>
      </c>
      <c r="G325" t="e">
        <f ca="1">VLOOKUP(F:F,matching_transelated_with_ref!A:C,2,0)</f>
        <v>#N/A</v>
      </c>
      <c r="H325" t="e">
        <f>VLOOKUP(C:C,Sheet4!A:C,2,0)</f>
        <v>#N/A</v>
      </c>
    </row>
    <row r="326" spans="1:8" ht="14.4">
      <c r="A326" s="18" t="s">
        <v>27</v>
      </c>
      <c r="B326" s="18" t="s">
        <v>33</v>
      </c>
      <c r="C326" s="18" t="s">
        <v>34</v>
      </c>
      <c r="D326" s="19" t="str">
        <f ca="1">IFERROR(__xludf.DUMMYFUNCTION("GOOGLETRANSLATE(A326, ""ar"", ""en"")"),"Toyota")</f>
        <v>Toyota</v>
      </c>
      <c r="E326" s="19" t="str">
        <f ca="1">IFERROR(__xludf.DUMMYFUNCTION("GOOGLETRANSLATE(B326,""ar"",""en"")"),"Prius")</f>
        <v>Prius</v>
      </c>
      <c r="F326" s="19" t="str">
        <f ca="1">IFERROR(__xludf.DUMMYFUNCTION("GOOGLETRANSLATE(C326,""ar"",""en"")"),"Hatch hybrid")</f>
        <v>Hatch hybrid</v>
      </c>
      <c r="G326" t="e">
        <f ca="1">VLOOKUP(F:F,matching_transelated_with_ref!A:C,2,0)</f>
        <v>#N/A</v>
      </c>
      <c r="H326" t="e">
        <f>VLOOKUP(C:C,Sheet4!A:C,2,0)</f>
        <v>#N/A</v>
      </c>
    </row>
    <row r="327" spans="1:8" ht="14.4">
      <c r="A327" s="18" t="s">
        <v>27</v>
      </c>
      <c r="B327" s="18" t="s">
        <v>202</v>
      </c>
      <c r="C327" s="18" t="s">
        <v>207</v>
      </c>
      <c r="D327" s="19" t="str">
        <f ca="1">IFERROR(__xludf.DUMMYFUNCTION("GOOGLETRANSLATE(A327, ""ar"", ""en"")"),"Toyota")</f>
        <v>Toyota</v>
      </c>
      <c r="E327" s="19" t="str">
        <f ca="1">IFERROR(__xludf.DUMMYFUNCTION("GOOGLETRANSLATE(B327,""ar"",""en"")"),"Corolla")</f>
        <v>Corolla</v>
      </c>
      <c r="F327" s="19" t="str">
        <f ca="1">IFERROR(__xludf.DUMMYFUNCTION("GOOGLETRANSLATE(C327,""ar"",""en"")"),"GLI 2.0 automatic")</f>
        <v>GLI 2.0 automatic</v>
      </c>
      <c r="G327" t="e">
        <f ca="1">VLOOKUP(F:F,matching_transelated_with_ref!A:C,2,0)</f>
        <v>#N/A</v>
      </c>
      <c r="H327" t="e">
        <f>VLOOKUP(C:C,Sheet4!A:C,2,0)</f>
        <v>#N/A</v>
      </c>
    </row>
    <row r="328" spans="1:8" ht="14.4">
      <c r="A328" s="18" t="s">
        <v>27</v>
      </c>
      <c r="B328" s="18" t="s">
        <v>27</v>
      </c>
      <c r="C328" s="18" t="s">
        <v>185</v>
      </c>
      <c r="D328" s="19" t="str">
        <f ca="1">IFERROR(__xludf.DUMMYFUNCTION("GOOGLETRANSLATE(A328, ""ar"", ""en"")"),"Toyota")</f>
        <v>Toyota</v>
      </c>
      <c r="E328" s="19" t="str">
        <f ca="1">IFERROR(__xludf.DUMMYFUNCTION("GOOGLETRANSLATE(B328,""ar"",""en"")"),"Toyota")</f>
        <v>Toyota</v>
      </c>
      <c r="F328" s="19" t="str">
        <f ca="1">IFERROR(__xludf.DUMMYFUNCTION("GOOGLETRANSLATE(C328,""ar"",""en"")"),"Camry 2.5 liter Hybrid")</f>
        <v>Camry 2.5 liter Hybrid</v>
      </c>
      <c r="G328" t="e">
        <f ca="1">VLOOKUP(F:F,matching_transelated_with_ref!A:C,2,0)</f>
        <v>#N/A</v>
      </c>
      <c r="H328" t="str">
        <f>VLOOKUP(C:C,Sheet4!A:C,2,0)</f>
        <v>كامري- 2.5 - هايبرد - LE</v>
      </c>
    </row>
    <row r="329" spans="1:8" ht="14.4">
      <c r="A329" s="18" t="s">
        <v>27</v>
      </c>
      <c r="B329" s="18" t="s">
        <v>239</v>
      </c>
      <c r="C329" s="18" t="s">
        <v>241</v>
      </c>
      <c r="D329" s="19" t="str">
        <f ca="1">IFERROR(__xludf.DUMMYFUNCTION("GOOGLETRANSLATE(A329, ""ar"", ""en"")"),"Toyota")</f>
        <v>Toyota</v>
      </c>
      <c r="E329" s="19" t="str">
        <f ca="1">IFERROR(__xludf.DUMMYFUNCTION("GOOGLETRANSLATE(B329,""ar"",""en"")"),"Hilux")</f>
        <v>Hilux</v>
      </c>
      <c r="F329" s="19" t="str">
        <f ca="1">IFERROR(__xludf.DUMMYFUNCTION("GOOGLETRANSLATE(C329,""ar"",""en"")"),"2.7 GLX dualist")</f>
        <v>2.7 GLX dualist</v>
      </c>
      <c r="G329" t="e">
        <f ca="1">VLOOKUP(F:F,matching_transelated_with_ref!A:C,2,0)</f>
        <v>#N/A</v>
      </c>
      <c r="H329" t="e">
        <f>VLOOKUP(C:C,Sheet4!A:C,2,0)</f>
        <v>#N/A</v>
      </c>
    </row>
    <row r="330" spans="1:8" ht="14.4">
      <c r="A330" s="18" t="s">
        <v>27</v>
      </c>
      <c r="B330" s="18" t="s">
        <v>27</v>
      </c>
      <c r="C330" s="18" t="s">
        <v>1338</v>
      </c>
      <c r="D330" s="19" t="str">
        <f ca="1">IFERROR(__xludf.DUMMYFUNCTION("GOOGLETRANSLATE(A330, ""ar"", ""en"")"),"Toyota")</f>
        <v>Toyota</v>
      </c>
      <c r="E330" s="19" t="str">
        <f ca="1">IFERROR(__xludf.DUMMYFUNCTION("GOOGLETRANSLATE(B330,""ar"",""en"")"),"Toyota")</f>
        <v>Toyota</v>
      </c>
      <c r="F330" s="19" t="str">
        <f ca="1">IFERROR(__xludf.DUMMYFUNCTION("GOOGLETRANSLATE(C330,""ar"",""en"")"),"Hilux 2.4 liter diesel")</f>
        <v>Hilux 2.4 liter diesel</v>
      </c>
      <c r="G330" t="e">
        <f ca="1">VLOOKUP(F:F,matching_transelated_with_ref!A:C,2,0)</f>
        <v>#N/A</v>
      </c>
      <c r="H330" t="e">
        <f>VLOOKUP(C:C,Sheet4!A:C,2,0)</f>
        <v>#N/A</v>
      </c>
    </row>
    <row r="331" spans="1:8" ht="14.4">
      <c r="A331" s="18" t="s">
        <v>27</v>
      </c>
      <c r="B331" s="18" t="s">
        <v>27</v>
      </c>
      <c r="C331" s="18" t="s">
        <v>876</v>
      </c>
      <c r="D331" s="19" t="str">
        <f ca="1">IFERROR(__xludf.DUMMYFUNCTION("GOOGLETRANSLATE(A331, ""ar"", ""en"")"),"Toyota")</f>
        <v>Toyota</v>
      </c>
      <c r="E331" s="19" t="str">
        <f ca="1">IFERROR(__xludf.DUMMYFUNCTION("GOOGLETRANSLATE(B331,""ar"",""en"")"),"Toyota")</f>
        <v>Toyota</v>
      </c>
      <c r="F331" s="19" t="str">
        <f ca="1">IFERROR(__xludf.DUMMYFUNCTION("GOOGLETRANSLATE(C331,""ar"",""en"")"),"Hilux gasoline pushed behind")</f>
        <v>Hilux gasoline pushed behind</v>
      </c>
      <c r="G331" t="e">
        <f ca="1">VLOOKUP(F:F,matching_transelated_with_ref!A:C,2,0)</f>
        <v>#N/A</v>
      </c>
      <c r="H331" t="e">
        <f>VLOOKUP(C:C,Sheet4!A:C,2,0)</f>
        <v>#N/A</v>
      </c>
    </row>
    <row r="332" spans="1:8" ht="14.4">
      <c r="A332" s="18" t="s">
        <v>27</v>
      </c>
      <c r="B332" s="18" t="s">
        <v>43</v>
      </c>
      <c r="C332" s="18" t="s">
        <v>235</v>
      </c>
      <c r="D332" s="19" t="str">
        <f ca="1">IFERROR(__xludf.DUMMYFUNCTION("GOOGLETRANSLATE(A332, ""ar"", ""en"")"),"Toyota")</f>
        <v>Toyota</v>
      </c>
      <c r="E332" s="19" t="str">
        <f ca="1">IFERROR(__xludf.DUMMYFUNCTION("GOOGLETRANSLATE(B332,""ar"",""en"")"),"stomach")</f>
        <v>stomach</v>
      </c>
      <c r="F332" s="19" t="str">
        <f ca="1">IFERROR(__xludf.DUMMYFUNCTION("GOOGLETRANSLATE(C332,""ar"",""en"")"),"30 D62.8")</f>
        <v>30 D62.8</v>
      </c>
      <c r="G332" t="e">
        <f ca="1">VLOOKUP(F:F,matching_transelated_with_ref!A:C,2,0)</f>
        <v>#N/A</v>
      </c>
      <c r="H332" t="e">
        <f>VLOOKUP(C:C,Sheet4!A:C,2,0)</f>
        <v>#N/A</v>
      </c>
    </row>
    <row r="333" spans="1:8" ht="14.4">
      <c r="A333" s="18" t="s">
        <v>27</v>
      </c>
      <c r="B333" s="18" t="s">
        <v>239</v>
      </c>
      <c r="C333" s="18" t="s">
        <v>248</v>
      </c>
      <c r="D333" s="19" t="str">
        <f ca="1">IFERROR(__xludf.DUMMYFUNCTION("GOOGLETRANSLATE(A333, ""ar"", ""en"")"),"Toyota")</f>
        <v>Toyota</v>
      </c>
      <c r="E333" s="19" t="str">
        <f ca="1">IFERROR(__xludf.DUMMYFUNCTION("GOOGLETRANSLATE(B333,""ar"",""en"")"),"Hilux")</f>
        <v>Hilux</v>
      </c>
      <c r="F333" s="19" t="str">
        <f ca="1">IFERROR(__xludf.DUMMYFUNCTION("GOOGLETRANSLATE(C333,""ar"",""en"")"),"GL 2.4")</f>
        <v>GL 2.4</v>
      </c>
      <c r="G333" t="e">
        <f ca="1">VLOOKUP(F:F,matching_transelated_with_ref!A:C,2,0)</f>
        <v>#N/A</v>
      </c>
      <c r="H333" t="e">
        <f>VLOOKUP(C:C,Sheet4!A:C,2,0)</f>
        <v>#N/A</v>
      </c>
    </row>
    <row r="334" spans="1:8" ht="14.4">
      <c r="A334" s="18" t="s">
        <v>27</v>
      </c>
      <c r="B334" s="18" t="s">
        <v>27</v>
      </c>
      <c r="C334" s="18" t="s">
        <v>869</v>
      </c>
      <c r="D334" s="19" t="str">
        <f ca="1">IFERROR(__xludf.DUMMYFUNCTION("GOOGLETRANSLATE(A334, ""ar"", ""en"")"),"Toyota")</f>
        <v>Toyota</v>
      </c>
      <c r="E334" s="19" t="str">
        <f ca="1">IFERROR(__xludf.DUMMYFUNCTION("GOOGLETRANSLATE(B334,""ar"",""en"")"),"Toyota")</f>
        <v>Toyota</v>
      </c>
      <c r="F334" s="19" t="str">
        <f ca="1">IFERROR(__xludf.DUMMYFUNCTION("GOOGLETRANSLATE(C334,""ar"",""en"")"),"Corolla Hybrid 1.8 liters a")</f>
        <v>Corolla Hybrid 1.8 liters a</v>
      </c>
      <c r="G334" t="e">
        <f ca="1">VLOOKUP(F:F,matching_transelated_with_ref!A:C,2,0)</f>
        <v>#N/A</v>
      </c>
      <c r="H334" t="str">
        <f>VLOOKUP(C:C,Sheet4!A:C,2,0)</f>
        <v>كورلا - 1.8</v>
      </c>
    </row>
    <row r="335" spans="1:8" ht="14.4">
      <c r="A335" s="18" t="s">
        <v>27</v>
      </c>
      <c r="B335" s="18" t="s">
        <v>43</v>
      </c>
      <c r="C335" s="18" t="s">
        <v>236</v>
      </c>
      <c r="D335" s="19" t="str">
        <f ca="1">IFERROR(__xludf.DUMMYFUNCTION("GOOGLETRANSLATE(A335, ""ar"", ""en"")"),"Toyota")</f>
        <v>Toyota</v>
      </c>
      <c r="E335" s="19" t="str">
        <f ca="1">IFERROR(__xludf.DUMMYFUNCTION("GOOGLETRANSLATE(B335,""ar"",""en"")"),"stomach")</f>
        <v>stomach</v>
      </c>
      <c r="F335" s="19" t="str">
        <f ca="1">IFERROR(__xludf.DUMMYFUNCTION("GOOGLETRANSLATE(C335,""ar"",""en"")"),"8 FBE 20")</f>
        <v>8 FBE 20</v>
      </c>
      <c r="G335" t="e">
        <f ca="1">VLOOKUP(F:F,matching_transelated_with_ref!A:C,2,0)</f>
        <v>#N/A</v>
      </c>
      <c r="H335" t="e">
        <f>VLOOKUP(C:C,Sheet4!A:C,2,0)</f>
        <v>#N/A</v>
      </c>
    </row>
    <row r="336" spans="1:8" ht="14.4">
      <c r="A336" s="18" t="s">
        <v>27</v>
      </c>
      <c r="B336" s="18" t="s">
        <v>43</v>
      </c>
      <c r="C336" s="18" t="s">
        <v>44</v>
      </c>
      <c r="D336" s="19" t="str">
        <f ca="1">IFERROR(__xludf.DUMMYFUNCTION("GOOGLETRANSLATE(A336, ""ar"", ""en"")"),"Toyota")</f>
        <v>Toyota</v>
      </c>
      <c r="E336" s="19" t="str">
        <f ca="1">IFERROR(__xludf.DUMMYFUNCTION("GOOGLETRANSLATE(B336,""ar"",""en"")"),"stomach")</f>
        <v>stomach</v>
      </c>
      <c r="F336" s="19" t="str">
        <f ca="1">IFERROR(__xludf.DUMMYFUNCTION("GOOGLETRANSLATE(C336,""ar"",""en"")"),"25 GF 32.8")</f>
        <v>25 GF 32.8</v>
      </c>
      <c r="G336" t="e">
        <f ca="1">VLOOKUP(F:F,matching_transelated_with_ref!A:C,2,0)</f>
        <v>#N/A</v>
      </c>
      <c r="H336" t="str">
        <f>VLOOKUP(C:C,Sheet4!A:C,2,0)</f>
        <v>اف جي</v>
      </c>
    </row>
    <row r="337" spans="1:8" ht="14.4">
      <c r="A337" s="18" t="s">
        <v>27</v>
      </c>
      <c r="B337" s="18" t="s">
        <v>43</v>
      </c>
      <c r="C337" s="18" t="s">
        <v>237</v>
      </c>
      <c r="D337" s="19" t="str">
        <f ca="1">IFERROR(__xludf.DUMMYFUNCTION("GOOGLETRANSLATE(A337, ""ar"", ""en"")"),"Toyota")</f>
        <v>Toyota</v>
      </c>
      <c r="E337" s="19" t="str">
        <f ca="1">IFERROR(__xludf.DUMMYFUNCTION("GOOGLETRANSLATE(B337,""ar"",""en"")"),"stomach")</f>
        <v>stomach</v>
      </c>
      <c r="F337" s="19" t="str">
        <f ca="1">IFERROR(__xludf.DUMMYFUNCTION("GOOGLETRANSLATE(C337,""ar"",""en"")"),"8 FBN 25")</f>
        <v>8 FBN 25</v>
      </c>
      <c r="G337" t="e">
        <f ca="1">VLOOKUP(F:F,matching_transelated_with_ref!A:C,2,0)</f>
        <v>#N/A</v>
      </c>
      <c r="H337" t="e">
        <f>VLOOKUP(C:C,Sheet4!A:C,2,0)</f>
        <v>#N/A</v>
      </c>
    </row>
    <row r="338" spans="1:8" ht="14.4">
      <c r="A338" s="18" t="s">
        <v>27</v>
      </c>
      <c r="B338" s="18" t="s">
        <v>37</v>
      </c>
      <c r="C338" s="18" t="s">
        <v>39</v>
      </c>
      <c r="D338" s="19" t="str">
        <f ca="1">IFERROR(__xludf.DUMMYFUNCTION("GOOGLETRANSLATE(A338, ""ar"", ""en"")"),"Toyota")</f>
        <v>Toyota</v>
      </c>
      <c r="E338" s="19" t="str">
        <f ca="1">IFERROR(__xludf.DUMMYFUNCTION("GOOGLETRANSLATE(B338,""ar"",""en"")"),"Camry")</f>
        <v>Camry</v>
      </c>
      <c r="F338" s="19" t="str">
        <f ca="1">IFERROR(__xludf.DUMMYFUNCTION("GOOGLETRANSLATE(C338,""ar"",""en"")"),"GLX")</f>
        <v>GLX</v>
      </c>
      <c r="G338" t="e">
        <f ca="1">VLOOKUP(F:F,matching_transelated_with_ref!A:C,2,0)</f>
        <v>#N/A</v>
      </c>
      <c r="H338" t="e">
        <f>VLOOKUP(C:C,Sheet4!A:C,2,0)</f>
        <v>#N/A</v>
      </c>
    </row>
    <row r="339" spans="1:8" ht="14.4">
      <c r="A339" s="18" t="s">
        <v>27</v>
      </c>
      <c r="B339" s="18" t="s">
        <v>27</v>
      </c>
      <c r="C339" s="18" t="s">
        <v>1341</v>
      </c>
      <c r="D339" s="19" t="str">
        <f ca="1">IFERROR(__xludf.DUMMYFUNCTION("GOOGLETRANSLATE(A339, ""ar"", ""en"")"),"Toyota")</f>
        <v>Toyota</v>
      </c>
      <c r="E339" s="19" t="str">
        <f ca="1">IFERROR(__xludf.DUMMYFUNCTION("GOOGLETRANSLATE(B339,""ar"",""en"")"),"Toyota")</f>
        <v>Toyota</v>
      </c>
      <c r="F339" s="19" t="str">
        <f ca="1">IFERROR(__xludf.DUMMYFUNCTION("GOOGLETRANSLATE(C339,""ar"",""en"")"),"Hilux 2.7 liters of Duffar gasoline")</f>
        <v>Hilux 2.7 liters of Duffar gasoline</v>
      </c>
      <c r="G339" t="e">
        <f ca="1">VLOOKUP(F:F,matching_transelated_with_ref!A:C,2,0)</f>
        <v>#N/A</v>
      </c>
      <c r="H339" t="e">
        <f>VLOOKUP(C:C,Sheet4!A:C,2,0)</f>
        <v>#N/A</v>
      </c>
    </row>
    <row r="340" spans="1:8" ht="14.4">
      <c r="A340" s="18" t="s">
        <v>27</v>
      </c>
      <c r="B340" s="18" t="s">
        <v>27</v>
      </c>
      <c r="C340" s="18" t="s">
        <v>184</v>
      </c>
      <c r="D340" s="19" t="str">
        <f ca="1">IFERROR(__xludf.DUMMYFUNCTION("GOOGLETRANSLATE(A340, ""ar"", ""en"")"),"Toyota")</f>
        <v>Toyota</v>
      </c>
      <c r="E340" s="19" t="str">
        <f ca="1">IFERROR(__xludf.DUMMYFUNCTION("GOOGLETRANSLATE(B340,""ar"",""en"")"),"Toyota")</f>
        <v>Toyota</v>
      </c>
      <c r="F340" s="19" t="str">
        <f ca="1">IFERROR(__xludf.DUMMYFUNCTION("GOOGLETRANSLATE(C340,""ar"",""en"")"),"Camry 2.5 liters")</f>
        <v>Camry 2.5 liters</v>
      </c>
      <c r="G340" t="e">
        <f ca="1">VLOOKUP(F:F,matching_transelated_with_ref!A:C,2,0)</f>
        <v>#N/A</v>
      </c>
      <c r="H340" t="str">
        <f>VLOOKUP(C:C,Sheet4!A:C,2,0)</f>
        <v xml:space="preserve">كامري- 2.5 -LE </v>
      </c>
    </row>
    <row r="341" spans="1:8" ht="14.4">
      <c r="A341" s="18" t="s">
        <v>27</v>
      </c>
      <c r="B341" s="18" t="s">
        <v>239</v>
      </c>
      <c r="C341" s="18" t="s">
        <v>244</v>
      </c>
      <c r="D341" s="19" t="str">
        <f ca="1">IFERROR(__xludf.DUMMYFUNCTION("GOOGLETRANSLATE(A341, ""ar"", ""en"")"),"Toyota")</f>
        <v>Toyota</v>
      </c>
      <c r="E341" s="19" t="str">
        <f ca="1">IFERROR(__xludf.DUMMYFUNCTION("GOOGLETRANSLATE(B341,""ar"",""en"")"),"Hilux")</f>
        <v>Hilux</v>
      </c>
      <c r="F341" s="19" t="str">
        <f ca="1">IFERROR(__xludf.DUMMYFUNCTION("GOOGLETRANSLATE(C341,""ar"",""en"")"),"Bakkbara short 2700 c")</f>
        <v>Bakkbara short 2700 c</v>
      </c>
      <c r="G341" t="e">
        <f ca="1">VLOOKUP(F:F,matching_transelated_with_ref!A:C,2,0)</f>
        <v>#N/A</v>
      </c>
      <c r="H341" t="e">
        <f>VLOOKUP(C:C,Sheet4!A:C,2,0)</f>
        <v>#N/A</v>
      </c>
    </row>
    <row r="342" spans="1:8" ht="14.4">
      <c r="A342" s="18" t="s">
        <v>27</v>
      </c>
      <c r="B342" s="18" t="s">
        <v>27</v>
      </c>
      <c r="C342" s="18" t="s">
        <v>1337</v>
      </c>
      <c r="D342" s="19" t="str">
        <f ca="1">IFERROR(__xludf.DUMMYFUNCTION("GOOGLETRANSLATE(A342, ""ar"", ""en"")"),"Toyota")</f>
        <v>Toyota</v>
      </c>
      <c r="E342" s="19" t="str">
        <f ca="1">IFERROR(__xludf.DUMMYFUNCTION("GOOGLETRANSLATE(B342,""ar"",""en"")"),"Toyota")</f>
        <v>Toyota</v>
      </c>
      <c r="F342" s="19" t="str">
        <f ca="1">IFERROR(__xludf.DUMMYFUNCTION("GOOGLETRANSLATE(C342,""ar"",""en"")"),"Hilux Ghamr Payment Payment")</f>
        <v>Hilux Ghamr Payment Payment</v>
      </c>
      <c r="G342" t="e">
        <f ca="1">VLOOKUP(F:F,matching_transelated_with_ref!A:C,2,0)</f>
        <v>#N/A</v>
      </c>
      <c r="H342" t="e">
        <f>VLOOKUP(C:C,Sheet4!A:C,2,0)</f>
        <v>#N/A</v>
      </c>
    </row>
    <row r="343" spans="1:8" ht="14.4">
      <c r="A343" s="18" t="s">
        <v>27</v>
      </c>
      <c r="B343" s="18" t="s">
        <v>194</v>
      </c>
      <c r="C343" s="18" t="s">
        <v>195</v>
      </c>
      <c r="D343" s="19" t="str">
        <f ca="1">IFERROR(__xludf.DUMMYFUNCTION("GOOGLETRANSLATE(A343, ""ar"", ""en"")"),"Toyota")</f>
        <v>Toyota</v>
      </c>
      <c r="E343" s="19" t="str">
        <f ca="1">IFERROR(__xludf.DUMMYFUNCTION("GOOGLETRANSLATE(B343,""ar"",""en"")"),"Forklift")</f>
        <v>Forklift</v>
      </c>
      <c r="F343" s="19" t="str">
        <f ca="1">IFERROR(__xludf.DUMMYFUNCTION("GOOGLETRANSLATE(C343,""ar"",""en"")"),"8 FBI 15")</f>
        <v>8 FBI 15</v>
      </c>
      <c r="G343" t="e">
        <f ca="1">VLOOKUP(F:F,matching_transelated_with_ref!A:C,2,0)</f>
        <v>#N/A</v>
      </c>
      <c r="H343" t="e">
        <f>VLOOKUP(C:C,Sheet4!A:C,2,0)</f>
        <v>#N/A</v>
      </c>
    </row>
    <row r="344" spans="1:8" ht="14.4">
      <c r="A344" s="18" t="s">
        <v>27</v>
      </c>
      <c r="B344" s="18" t="s">
        <v>202</v>
      </c>
      <c r="C344" s="18" t="s">
        <v>206</v>
      </c>
      <c r="D344" s="19" t="str">
        <f ca="1">IFERROR(__xludf.DUMMYFUNCTION("GOOGLETRANSLATE(A344, ""ar"", ""en"")"),"Toyota")</f>
        <v>Toyota</v>
      </c>
      <c r="E344" s="19" t="str">
        <f ca="1">IFERROR(__xludf.DUMMYFUNCTION("GOOGLETRANSLATE(B344,""ar"",""en"")"),"Corolla")</f>
        <v>Corolla</v>
      </c>
      <c r="F344" s="19" t="str">
        <f ca="1">IFERROR(__xludf.DUMMYFUNCTION("GOOGLETRANSLATE(C344,""ar"",""en"")"),"GLI 1.6 automatic")</f>
        <v>GLI 1.6 automatic</v>
      </c>
      <c r="G344" t="e">
        <f ca="1">VLOOKUP(F:F,matching_transelated_with_ref!A:C,2,0)</f>
        <v>#N/A</v>
      </c>
      <c r="H344" t="e">
        <f>VLOOKUP(C:C,Sheet4!A:C,2,0)</f>
        <v>#N/A</v>
      </c>
    </row>
    <row r="345" spans="1:8" ht="14.4">
      <c r="A345" s="18" t="s">
        <v>27</v>
      </c>
      <c r="B345" s="18" t="s">
        <v>239</v>
      </c>
      <c r="C345" s="18" t="s">
        <v>252</v>
      </c>
      <c r="D345" s="19" t="str">
        <f ca="1">IFERROR(__xludf.DUMMYFUNCTION("GOOGLETRANSLATE(A345, ""ar"", ""en"")"),"Toyota")</f>
        <v>Toyota</v>
      </c>
      <c r="E345" s="19" t="str">
        <f ca="1">IFERROR(__xludf.DUMMYFUNCTION("GOOGLETRANSLATE(B345,""ar"",""en"")"),"Hilux")</f>
        <v>Hilux</v>
      </c>
      <c r="F345" s="19" t="str">
        <f ca="1">IFERROR(__xludf.DUMMYFUNCTION("GOOGLETRANSLATE(C345,""ar"",""en"")"),"Ghambara Bakb 2000 CC/ J")</f>
        <v>Ghambara Bakb 2000 CC/ J</v>
      </c>
      <c r="G345" t="e">
        <f ca="1">VLOOKUP(F:F,matching_transelated_with_ref!A:C,2,0)</f>
        <v>#N/A</v>
      </c>
      <c r="H345" t="e">
        <f>VLOOKUP(C:C,Sheet4!A:C,2,0)</f>
        <v>#N/A</v>
      </c>
    </row>
    <row r="346" spans="1:8" ht="14.4">
      <c r="A346" s="18" t="s">
        <v>27</v>
      </c>
      <c r="B346" s="18" t="s">
        <v>202</v>
      </c>
      <c r="C346" s="18" t="s">
        <v>205</v>
      </c>
      <c r="D346" s="19" t="str">
        <f ca="1">IFERROR(__xludf.DUMMYFUNCTION("GOOGLETRANSLATE(A346, ""ar"", ""en"")"),"Toyota")</f>
        <v>Toyota</v>
      </c>
      <c r="E346" s="19" t="str">
        <f ca="1">IFERROR(__xludf.DUMMYFUNCTION("GOOGLETRANSLATE(B346,""ar"",""en"")"),"Corolla")</f>
        <v>Corolla</v>
      </c>
      <c r="F346" s="19" t="str">
        <f ca="1">IFERROR(__xludf.DUMMYFUNCTION("GOOGLETRANSLATE(C346,""ar"",""en"")"),"XL 2.0 automatic")</f>
        <v>XL 2.0 automatic</v>
      </c>
      <c r="G346" t="e">
        <f ca="1">VLOOKUP(F:F,matching_transelated_with_ref!A:C,2,0)</f>
        <v>#N/A</v>
      </c>
      <c r="H346" t="e">
        <f>VLOOKUP(C:C,Sheet4!A:C,2,0)</f>
        <v>#N/A</v>
      </c>
    </row>
    <row r="347" spans="1:8" ht="14.4">
      <c r="A347" s="18" t="s">
        <v>27</v>
      </c>
      <c r="B347" s="18" t="s">
        <v>43</v>
      </c>
      <c r="C347" s="18" t="s">
        <v>596</v>
      </c>
      <c r="D347" s="19" t="str">
        <f ca="1">IFERROR(__xludf.DUMMYFUNCTION("GOOGLETRANSLATE(A347, ""ar"", ""en"")"),"Toyota")</f>
        <v>Toyota</v>
      </c>
      <c r="E347" s="19" t="str">
        <f ca="1">IFERROR(__xludf.DUMMYFUNCTION("GOOGLETRANSLATE(B347,""ar"",""en"")"),"stomach")</f>
        <v>stomach</v>
      </c>
      <c r="F347" s="19" t="str">
        <f ca="1">IFERROR(__xludf.DUMMYFUNCTION("GOOGLETRANSLATE(C347,""ar"",""en"")"),"15 GF 32.8")</f>
        <v>15 GF 32.8</v>
      </c>
      <c r="G347" t="e">
        <f ca="1">VLOOKUP(F:F,matching_transelated_with_ref!A:C,2,0)</f>
        <v>#N/A</v>
      </c>
      <c r="H347" t="e">
        <f>VLOOKUP(C:C,Sheet4!A:C,2,0)</f>
        <v>#N/A</v>
      </c>
    </row>
    <row r="348" spans="1:8" ht="14.4">
      <c r="A348" s="18" t="s">
        <v>27</v>
      </c>
      <c r="B348" s="18" t="s">
        <v>31</v>
      </c>
      <c r="C348" s="18" t="s">
        <v>176</v>
      </c>
      <c r="D348" s="19" t="str">
        <f ca="1">IFERROR(__xludf.DUMMYFUNCTION("GOOGLETRANSLATE(A348, ""ar"", ""en"")"),"Toyota")</f>
        <v>Toyota</v>
      </c>
      <c r="E348" s="19" t="str">
        <f ca="1">IFERROR(__xludf.DUMMYFUNCTION("GOOGLETRANSLATE(B348,""ar"",""en"")"),"Avanza")</f>
        <v>Avanza</v>
      </c>
      <c r="F348" s="19" t="str">
        <f ca="1">IFERROR(__xludf.DUMMYFUNCTION("GOOGLETRANSLATE(C348,""ar"",""en"")"),"Xal automatic")</f>
        <v>Xal automatic</v>
      </c>
      <c r="G348" t="e">
        <f ca="1">VLOOKUP(F:F,matching_transelated_with_ref!A:C,2,0)</f>
        <v>#N/A</v>
      </c>
      <c r="H348" t="e">
        <f>VLOOKUP(C:C,Sheet4!A:C,2,0)</f>
        <v>#N/A</v>
      </c>
    </row>
    <row r="349" spans="1:8" ht="14.4">
      <c r="A349" s="18" t="s">
        <v>27</v>
      </c>
      <c r="B349" s="18" t="s">
        <v>239</v>
      </c>
      <c r="C349" s="18" t="s">
        <v>245</v>
      </c>
      <c r="D349" s="19" t="str">
        <f ca="1">IFERROR(__xludf.DUMMYFUNCTION("GOOGLETRANSLATE(A349, ""ar"", ""en"")"),"Toyota")</f>
        <v>Toyota</v>
      </c>
      <c r="E349" s="19" t="str">
        <f ca="1">IFERROR(__xludf.DUMMYFUNCTION("GOOGLETRANSLATE(B349,""ar"",""en"")"),"Hilux")</f>
        <v>Hilux</v>
      </c>
      <c r="F349" s="19" t="str">
        <f ca="1">IFERROR(__xludf.DUMMYFUNCTION("GOOGLETRANSLATE(C349,""ar"",""en"")"),"Bakbah Ghamra gasoline 2700 c")</f>
        <v>Bakbah Ghamra gasoline 2700 c</v>
      </c>
      <c r="G349" t="e">
        <f ca="1">VLOOKUP(F:F,matching_transelated_with_ref!A:C,2,0)</f>
        <v>#N/A</v>
      </c>
      <c r="H349" t="e">
        <f>VLOOKUP(C:C,Sheet4!A:C,2,0)</f>
        <v>#N/A</v>
      </c>
    </row>
    <row r="350" spans="1:8" ht="14.4">
      <c r="A350" s="18" t="s">
        <v>27</v>
      </c>
      <c r="B350" s="18" t="s">
        <v>31</v>
      </c>
      <c r="C350" s="18" t="s">
        <v>32</v>
      </c>
      <c r="D350" s="19" t="str">
        <f ca="1">IFERROR(__xludf.DUMMYFUNCTION("GOOGLETRANSLATE(A350, ""ar"", ""en"")"),"Toyota")</f>
        <v>Toyota</v>
      </c>
      <c r="E350" s="19" t="str">
        <f ca="1">IFERROR(__xludf.DUMMYFUNCTION("GOOGLETRANSLATE(B350,""ar"",""en"")"),"Avanza")</f>
        <v>Avanza</v>
      </c>
      <c r="F350" s="19" t="str">
        <f ca="1">IFERROR(__xludf.DUMMYFUNCTION("GOOGLETRANSLATE(C350,""ar"",""en"")"),"Automatic Autandic")</f>
        <v>Automatic Autandic</v>
      </c>
      <c r="G350" t="e">
        <f ca="1">VLOOKUP(F:F,matching_transelated_with_ref!A:C,2,0)</f>
        <v>#N/A</v>
      </c>
      <c r="H350" t="e">
        <f>VLOOKUP(C:C,Sheet4!A:C,2,0)</f>
        <v>#N/A</v>
      </c>
    </row>
    <row r="351" spans="1:8" ht="14.4">
      <c r="A351" s="18" t="s">
        <v>27</v>
      </c>
      <c r="B351" s="18" t="s">
        <v>27</v>
      </c>
      <c r="C351" s="18" t="s">
        <v>1077</v>
      </c>
      <c r="D351" s="19" t="str">
        <f ca="1">IFERROR(__xludf.DUMMYFUNCTION("GOOGLETRANSLATE(A351, ""ar"", ""en"")"),"Toyota")</f>
        <v>Toyota</v>
      </c>
      <c r="E351" s="19" t="str">
        <f ca="1">IFERROR(__xludf.DUMMYFUNCTION("GOOGLETRANSLATE(B351,""ar"",""en"")"),"Toyota")</f>
        <v>Toyota</v>
      </c>
      <c r="F351" s="19" t="str">
        <f ca="1">IFERROR(__xludf.DUMMYFUNCTION("GOOGLETRANSLATE(C351,""ar"",""en"")"),"Corolla 1.5 liters automatic")</f>
        <v>Corolla 1.5 liters automatic</v>
      </c>
      <c r="G351" t="e">
        <f ca="1">VLOOKUP(F:F,matching_transelated_with_ref!A:C,2,0)</f>
        <v>#N/A</v>
      </c>
      <c r="H351" t="str">
        <f>VLOOKUP(C:C,Sheet4!A:C,2,0)</f>
        <v>كورلا - 1.5</v>
      </c>
    </row>
    <row r="352" spans="1:8" ht="14.4">
      <c r="A352" s="18" t="s">
        <v>27</v>
      </c>
      <c r="B352" s="18" t="s">
        <v>27</v>
      </c>
      <c r="C352" s="18" t="s">
        <v>588</v>
      </c>
      <c r="D352" s="19" t="str">
        <f ca="1">IFERROR(__xludf.DUMMYFUNCTION("GOOGLETRANSLATE(A352, ""ar"", ""en"")"),"Toyota")</f>
        <v>Toyota</v>
      </c>
      <c r="E352" s="19" t="str">
        <f ca="1">IFERROR(__xludf.DUMMYFUNCTION("GOOGLETRANSLATE(B352,""ar"",""en"")"),"Toyota")</f>
        <v>Toyota</v>
      </c>
      <c r="F352" s="19" t="str">
        <f ca="1">IFERROR(__xludf.DUMMYFUNCTION("GOOGLETRANSLATE(C352,""ar"",""en"")"),"FF 800 LI spray")</f>
        <v>FF 800 LI spray</v>
      </c>
      <c r="G352" t="e">
        <f ca="1">VLOOKUP(F:F,matching_transelated_with_ref!A:C,2,0)</f>
        <v>#N/A</v>
      </c>
      <c r="H352" t="e">
        <f>VLOOKUP(C:C,Sheet4!A:C,2,0)</f>
        <v>#N/A</v>
      </c>
    </row>
    <row r="353" spans="1:8" ht="14.4">
      <c r="A353" s="18" t="s">
        <v>27</v>
      </c>
      <c r="B353" s="18" t="s">
        <v>27</v>
      </c>
      <c r="C353" s="18" t="s">
        <v>587</v>
      </c>
      <c r="D353" s="19" t="str">
        <f ca="1">IFERROR(__xludf.DUMMYFUNCTION("GOOGLETRANSLATE(A353, ""ar"", ""en"")"),"Toyota")</f>
        <v>Toyota</v>
      </c>
      <c r="E353" s="19" t="str">
        <f ca="1">IFERROR(__xludf.DUMMYFUNCTION("GOOGLETRANSLATE(B353,""ar"",""en"")"),"Toyota")</f>
        <v>Toyota</v>
      </c>
      <c r="F353" s="19" t="str">
        <f ca="1">IFERROR(__xludf.DUMMYFUNCTION("GOOGLETRANSLATE(C353,""ar"",""en"")"),"spray")</f>
        <v>spray</v>
      </c>
      <c r="G353" t="e">
        <f ca="1">VLOOKUP(F:F,matching_transelated_with_ref!A:C,2,0)</f>
        <v>#N/A</v>
      </c>
      <c r="H353" t="e">
        <f>VLOOKUP(C:C,Sheet4!A:C,2,0)</f>
        <v>#N/A</v>
      </c>
    </row>
    <row r="354" spans="1:8" ht="14.4">
      <c r="A354" s="18" t="s">
        <v>27</v>
      </c>
      <c r="B354" s="18" t="s">
        <v>37</v>
      </c>
      <c r="C354" s="18" t="s">
        <v>38</v>
      </c>
      <c r="D354" s="19" t="str">
        <f ca="1">IFERROR(__xludf.DUMMYFUNCTION("GOOGLETRANSLATE(A354, ""ar"", ""en"")"),"Toyota")</f>
        <v>Toyota</v>
      </c>
      <c r="E354" s="19" t="str">
        <f ca="1">IFERROR(__xludf.DUMMYFUNCTION("GOOGLETRANSLATE(B354,""ar"",""en"")"),"Camry")</f>
        <v>Camry</v>
      </c>
      <c r="F354" s="19" t="str">
        <f ca="1">IFERROR(__xludf.DUMMYFUNCTION("GOOGLETRANSLATE(C354,""ar"",""en"")"),"GL automatic")</f>
        <v>GL automatic</v>
      </c>
      <c r="G354" t="e">
        <f ca="1">VLOOKUP(F:F,matching_transelated_with_ref!A:C,2,0)</f>
        <v>#N/A</v>
      </c>
      <c r="H354" t="e">
        <f>VLOOKUP(C:C,Sheet4!A:C,2,0)</f>
        <v>#N/A</v>
      </c>
    </row>
    <row r="355" spans="1:8" ht="14.4">
      <c r="A355" s="18" t="s">
        <v>27</v>
      </c>
      <c r="B355" s="18" t="s">
        <v>27</v>
      </c>
      <c r="C355" s="18" t="s">
        <v>589</v>
      </c>
      <c r="D355" s="19" t="str">
        <f ca="1">IFERROR(__xludf.DUMMYFUNCTION("GOOGLETRANSLATE(A355, ""ar"", ""en"")"),"Toyota")</f>
        <v>Toyota</v>
      </c>
      <c r="E355" s="19" t="str">
        <f ca="1">IFERROR(__xludf.DUMMYFUNCTION("GOOGLETRANSLATE(B355,""ar"",""en"")"),"Toyota")</f>
        <v>Toyota</v>
      </c>
      <c r="F355" s="19" t="str">
        <f ca="1">IFERROR(__xludf.DUMMYFUNCTION("GOOGLETRANSLATE(C355,""ar"",""en"")"),"Corolla 1.6 liter automatic")</f>
        <v>Corolla 1.6 liter automatic</v>
      </c>
      <c r="G355" t="e">
        <f ca="1">VLOOKUP(F:F,matching_transelated_with_ref!A:C,2,0)</f>
        <v>#N/A</v>
      </c>
      <c r="H355" t="e">
        <f>VLOOKUP(C:C,Sheet4!A:C,2,0)</f>
        <v>#N/A</v>
      </c>
    </row>
    <row r="356" spans="1:8" ht="14.4">
      <c r="A356" s="18" t="s">
        <v>27</v>
      </c>
      <c r="B356" s="18" t="s">
        <v>27</v>
      </c>
      <c r="C356" s="18" t="s">
        <v>1319</v>
      </c>
      <c r="D356" s="19" t="str">
        <f ca="1">IFERROR(__xludf.DUMMYFUNCTION("GOOGLETRANSLATE(A356, ""ar"", ""en"")"),"Toyota")</f>
        <v>Toyota</v>
      </c>
      <c r="E356" s="19" t="str">
        <f ca="1">IFERROR(__xludf.DUMMYFUNCTION("GOOGLETRANSLATE(B356,""ar"",""en"")"),"Toyota")</f>
        <v>Toyota</v>
      </c>
      <c r="F356" s="19" t="str">
        <f ca="1">IFERROR(__xludf.DUMMYFUNCTION("GOOGLETRANSLATE(C356,""ar"",""en"")"),"Rose 1 liter automatic d")</f>
        <v>Rose 1 liter automatic d</v>
      </c>
      <c r="G356" t="e">
        <f ca="1">VLOOKUP(F:F,matching_transelated_with_ref!A:C,2,0)</f>
        <v>#N/A</v>
      </c>
      <c r="H356" t="str">
        <f>VLOOKUP(C:C,Sheet4!A:C,2,0)</f>
        <v>رايز</v>
      </c>
    </row>
    <row r="357" spans="1:8" ht="14.4">
      <c r="A357" s="18" t="s">
        <v>27</v>
      </c>
      <c r="B357" s="18" t="s">
        <v>202</v>
      </c>
      <c r="C357" s="18" t="s">
        <v>204</v>
      </c>
      <c r="D357" s="19" t="str">
        <f ca="1">IFERROR(__xludf.DUMMYFUNCTION("GOOGLETRANSLATE(A357, ""ar"", ""en"")"),"Toyota")</f>
        <v>Toyota</v>
      </c>
      <c r="E357" s="19" t="str">
        <f ca="1">IFERROR(__xludf.DUMMYFUNCTION("GOOGLETRANSLATE(B357,""ar"",""en"")"),"Corolla")</f>
        <v>Corolla</v>
      </c>
      <c r="F357" s="19" t="str">
        <f ca="1">IFERROR(__xludf.DUMMYFUNCTION("GOOGLETRANSLATE(C357,""ar"",""en"")"),"XLI 1.6 is normal")</f>
        <v>XLI 1.6 is normal</v>
      </c>
      <c r="G357" t="e">
        <f ca="1">VLOOKUP(F:F,matching_transelated_with_ref!A:C,2,0)</f>
        <v>#N/A</v>
      </c>
      <c r="H357" t="e">
        <f>VLOOKUP(C:C,Sheet4!A:C,2,0)</f>
        <v>#N/A</v>
      </c>
    </row>
    <row r="358" spans="1:8" ht="14.4">
      <c r="A358" s="18" t="s">
        <v>27</v>
      </c>
      <c r="B358" s="18" t="s">
        <v>202</v>
      </c>
      <c r="C358" s="18" t="s">
        <v>203</v>
      </c>
      <c r="D358" s="19" t="str">
        <f ca="1">IFERROR(__xludf.DUMMYFUNCTION("GOOGLETRANSLATE(A358, ""ar"", ""en"")"),"Toyota")</f>
        <v>Toyota</v>
      </c>
      <c r="E358" s="19" t="str">
        <f ca="1">IFERROR(__xludf.DUMMYFUNCTION("GOOGLETRANSLATE(B358,""ar"",""en"")"),"Corolla")</f>
        <v>Corolla</v>
      </c>
      <c r="F358" s="19" t="str">
        <f ca="1">IFERROR(__xludf.DUMMYFUNCTION("GOOGLETRANSLATE(C358,""ar"",""en"")"),"XL AE 1.6 automatic")</f>
        <v>XL AE 1.6 automatic</v>
      </c>
      <c r="G358" t="e">
        <f ca="1">VLOOKUP(F:F,matching_transelated_with_ref!A:C,2,0)</f>
        <v>#N/A</v>
      </c>
      <c r="H358" t="e">
        <f>VLOOKUP(C:C,Sheet4!A:C,2,0)</f>
        <v>#N/A</v>
      </c>
    </row>
    <row r="359" spans="1:8" ht="14.4">
      <c r="A359" s="18" t="s">
        <v>27</v>
      </c>
      <c r="B359" s="18" t="s">
        <v>27</v>
      </c>
      <c r="C359" s="18" t="s">
        <v>48</v>
      </c>
      <c r="D359" s="19" t="str">
        <f ca="1">IFERROR(__xludf.DUMMYFUNCTION("GOOGLETRANSLATE(A359, ""ar"", ""en"")"),"Toyota")</f>
        <v>Toyota</v>
      </c>
      <c r="E359" s="19" t="str">
        <f ca="1">IFERROR(__xludf.DUMMYFUNCTION("GOOGLETRANSLATE(B359,""ar"",""en"")"),"Toyota")</f>
        <v>Toyota</v>
      </c>
      <c r="F359" s="19" t="str">
        <f ca="1">IFERROR(__xludf.DUMMYFUNCTION("GOOGLETRANSLATE(C359,""ar"",""en"")"),"Yars")</f>
        <v>Yars</v>
      </c>
      <c r="G359" t="e">
        <f ca="1">VLOOKUP(F:F,matching_transelated_with_ref!A:C,2,0)</f>
        <v>#N/A</v>
      </c>
      <c r="H359" t="str">
        <f>VLOOKUP(C:C,Sheet4!A:C,2,0)</f>
        <v>يارس</v>
      </c>
    </row>
    <row r="360" spans="1:8" ht="14.4">
      <c r="A360" s="18" t="s">
        <v>27</v>
      </c>
      <c r="B360" s="18" t="s">
        <v>27</v>
      </c>
      <c r="C360" s="18" t="s">
        <v>1320</v>
      </c>
      <c r="D360" s="19" t="str">
        <f ca="1">IFERROR(__xludf.DUMMYFUNCTION("GOOGLETRANSLATE(A360, ""ar"", ""en"")"),"Toyota")</f>
        <v>Toyota</v>
      </c>
      <c r="E360" s="19" t="str">
        <f ca="1">IFERROR(__xludf.DUMMYFUNCTION("GOOGLETRANSLATE(B360,""ar"",""en"")"),"Toyota")</f>
        <v>Toyota</v>
      </c>
      <c r="F360" s="19" t="str">
        <f ca="1">IFERROR(__xludf.DUMMYFUNCTION("GOOGLETRANSLATE(C360,""ar"",""en"")"),"Rose 1.2 liters automatic d")</f>
        <v>Rose 1.2 liters automatic d</v>
      </c>
      <c r="G360" t="e">
        <f ca="1">VLOOKUP(F:F,matching_transelated_with_ref!A:C,2,0)</f>
        <v>#N/A</v>
      </c>
      <c r="H360" t="str">
        <f>VLOOKUP(C:C,Sheet4!A:C,2,0)</f>
        <v>رايز</v>
      </c>
    </row>
    <row r="361" spans="1:8" ht="14.4">
      <c r="A361" s="18" t="s">
        <v>27</v>
      </c>
      <c r="B361" s="18" t="s">
        <v>27</v>
      </c>
      <c r="C361" s="18" t="s">
        <v>590</v>
      </c>
      <c r="D361" s="19" t="str">
        <f ca="1">IFERROR(__xludf.DUMMYFUNCTION("GOOGLETRANSLATE(A361, ""ar"", ""en"")"),"Toyota")</f>
        <v>Toyota</v>
      </c>
      <c r="E361" s="19" t="str">
        <f ca="1">IFERROR(__xludf.DUMMYFUNCTION("GOOGLETRANSLATE(B361,""ar"",""en"")"),"Toyota")</f>
        <v>Toyota</v>
      </c>
      <c r="F361" s="19" t="str">
        <f ca="1">IFERROR(__xludf.DUMMYFUNCTION("GOOGLETRANSLATE(C361,""ar"",""en"")"),"Corolla 1.6 liter normal")</f>
        <v>Corolla 1.6 liter normal</v>
      </c>
      <c r="G361" t="e">
        <f ca="1">VLOOKUP(F:F,matching_transelated_with_ref!A:C,2,0)</f>
        <v>#N/A</v>
      </c>
      <c r="H361" t="e">
        <f>VLOOKUP(C:C,Sheet4!A:C,2,0)</f>
        <v>#N/A</v>
      </c>
    </row>
    <row r="362" spans="1:8" ht="14.4">
      <c r="A362" s="18" t="s">
        <v>27</v>
      </c>
      <c r="B362" s="18" t="s">
        <v>48</v>
      </c>
      <c r="C362" s="18" t="s">
        <v>255</v>
      </c>
      <c r="D362" s="19" t="str">
        <f ca="1">IFERROR(__xludf.DUMMYFUNCTION("GOOGLETRANSLATE(A362, ""ar"", ""en"")"),"Toyota")</f>
        <v>Toyota</v>
      </c>
      <c r="E362" s="19" t="str">
        <f ca="1">IFERROR(__xludf.DUMMYFUNCTION("GOOGLETRANSLATE(B362,""ar"",""en"")"),"Yars")</f>
        <v>Yars</v>
      </c>
      <c r="F362" s="19" t="str">
        <f ca="1">IFERROR(__xludf.DUMMYFUNCTION("GOOGLETRANSLATE(C362,""ar"",""en"")"),"AX 1.5")</f>
        <v>AX 1.5</v>
      </c>
      <c r="G362" t="e">
        <f ca="1">VLOOKUP(F:F,matching_transelated_with_ref!A:C,2,0)</f>
        <v>#N/A</v>
      </c>
      <c r="H362" t="e">
        <f>VLOOKUP(C:C,Sheet4!A:C,2,0)</f>
        <v>#N/A</v>
      </c>
    </row>
    <row r="363" spans="1:8" ht="14.4">
      <c r="A363" s="18" t="s">
        <v>27</v>
      </c>
      <c r="B363" s="18" t="s">
        <v>48</v>
      </c>
      <c r="C363" s="18" t="s">
        <v>51</v>
      </c>
      <c r="D363" s="19" t="str">
        <f ca="1">IFERROR(__xludf.DUMMYFUNCTION("GOOGLETRANSLATE(A363, ""ar"", ""en"")"),"Toyota")</f>
        <v>Toyota</v>
      </c>
      <c r="E363" s="19" t="str">
        <f ca="1">IFERROR(__xludf.DUMMYFUNCTION("GOOGLETRANSLATE(B363,""ar"",""en"")"),"Yars")</f>
        <v>Yars</v>
      </c>
      <c r="F363" s="19" t="str">
        <f ca="1">IFERROR(__xludf.DUMMYFUNCTION("GOOGLETRANSLATE(C363,""ar"",""en"")"),"AX 1.3")</f>
        <v>AX 1.3</v>
      </c>
      <c r="G363" t="e">
        <f ca="1">VLOOKUP(F:F,matching_transelated_with_ref!A:C,2,0)</f>
        <v>#N/A</v>
      </c>
      <c r="H363" t="e">
        <f>VLOOKUP(C:C,Sheet4!A:C,2,0)</f>
        <v>#N/A</v>
      </c>
    </row>
    <row r="364" spans="1:8" ht="14.4">
      <c r="A364" s="18" t="s">
        <v>27</v>
      </c>
      <c r="B364" s="18" t="s">
        <v>27</v>
      </c>
      <c r="C364" s="18" t="s">
        <v>1086</v>
      </c>
      <c r="D364" s="19" t="str">
        <f ca="1">IFERROR(__xludf.DUMMYFUNCTION("GOOGLETRANSLATE(A364, ""ar"", ""en"")"),"Toyota")</f>
        <v>Toyota</v>
      </c>
      <c r="E364" s="19" t="str">
        <f ca="1">IFERROR(__xludf.DUMMYFUNCTION("GOOGLETRANSLATE(B364,""ar"",""en"")"),"Toyota")</f>
        <v>Toyota</v>
      </c>
      <c r="F364" s="19" t="str">
        <f ca="1">IFERROR(__xludf.DUMMYFUNCTION("GOOGLETRANSLATE(C364,""ar"",""en"")"),"Yaris 1.5 liters in front of me")</f>
        <v>Yaris 1.5 liters in front of me</v>
      </c>
      <c r="G364" t="e">
        <f ca="1">VLOOKUP(F:F,matching_transelated_with_ref!A:C,2,0)</f>
        <v>#N/A</v>
      </c>
      <c r="H364" t="str">
        <f>VLOOKUP(C:C,Sheet4!A:C,2,0)</f>
        <v>يارس</v>
      </c>
    </row>
    <row r="365" spans="1:8" ht="14.4">
      <c r="A365" s="18" t="s">
        <v>27</v>
      </c>
      <c r="B365" s="18" t="s">
        <v>48</v>
      </c>
      <c r="C365" s="18" t="s">
        <v>52</v>
      </c>
      <c r="D365" s="19" t="str">
        <f ca="1">IFERROR(__xludf.DUMMYFUNCTION("GOOGLETRANSLATE(A365, ""ar"", ""en"")"),"Toyota")</f>
        <v>Toyota</v>
      </c>
      <c r="E365" s="19" t="str">
        <f ca="1">IFERROR(__xludf.DUMMYFUNCTION("GOOGLETRANSLATE(B365,""ar"",""en"")"),"Yars")</f>
        <v>Yars</v>
      </c>
      <c r="F365" s="19" t="str">
        <f ca="1">IFERROR(__xludf.DUMMYFUNCTION("GOOGLETRANSLATE(C365,""ar"",""en"")"),"Yaris 1.3")</f>
        <v>Yaris 1.3</v>
      </c>
      <c r="G365" t="e">
        <f ca="1">VLOOKUP(F:F,matching_transelated_with_ref!A:C,2,0)</f>
        <v>#N/A</v>
      </c>
      <c r="H365" t="str">
        <f>VLOOKUP(C:C,Sheet4!A:C,2,0)</f>
        <v>يارس</v>
      </c>
    </row>
    <row r="366" spans="1:8" ht="14.4">
      <c r="A366" s="18" t="s">
        <v>27</v>
      </c>
      <c r="B366" s="18" t="s">
        <v>48</v>
      </c>
      <c r="C366" s="18" t="s">
        <v>253</v>
      </c>
      <c r="D366" s="19" t="str">
        <f ca="1">IFERROR(__xludf.DUMMYFUNCTION("GOOGLETRANSLATE(A366, ""ar"", ""en"")"),"Toyota")</f>
        <v>Toyota</v>
      </c>
      <c r="E366" s="19" t="str">
        <f ca="1">IFERROR(__xludf.DUMMYFUNCTION("GOOGLETRANSLATE(B366,""ar"",""en"")"),"Yars")</f>
        <v>Yars</v>
      </c>
      <c r="F366" s="19" t="str">
        <f ca="1">IFERROR(__xludf.DUMMYFUNCTION("GOOGLETRANSLATE(C366,""ar"",""en"")"),"Way 1.5")</f>
        <v>Way 1.5</v>
      </c>
      <c r="G366" t="e">
        <f ca="1">VLOOKUP(F:F,matching_transelated_with_ref!A:C,2,0)</f>
        <v>#N/A</v>
      </c>
      <c r="H366" t="str">
        <f>VLOOKUP(C:C,Sheet4!A:C,2,0)</f>
        <v>كورلا - 1.5</v>
      </c>
    </row>
    <row r="367" spans="1:8" ht="14.4">
      <c r="A367" s="18" t="s">
        <v>27</v>
      </c>
      <c r="B367" s="18" t="s">
        <v>48</v>
      </c>
      <c r="C367" s="18" t="s">
        <v>254</v>
      </c>
      <c r="D367" s="19" t="str">
        <f ca="1">IFERROR(__xludf.DUMMYFUNCTION("GOOGLETRANSLATE(A367, ""ar"", ""en"")"),"Toyota")</f>
        <v>Toyota</v>
      </c>
      <c r="E367" s="19" t="str">
        <f ca="1">IFERROR(__xludf.DUMMYFUNCTION("GOOGLETRANSLATE(B367,""ar"",""en"")"),"Yars")</f>
        <v>Yars</v>
      </c>
      <c r="F367" s="19" t="str">
        <f ca="1">IFERROR(__xludf.DUMMYFUNCTION("GOOGLETRANSLATE(C367,""ar"",""en"")"),"And any automatic")</f>
        <v>And any automatic</v>
      </c>
      <c r="G367" t="e">
        <f ca="1">VLOOKUP(F:F,matching_transelated_with_ref!A:C,2,0)</f>
        <v>#N/A</v>
      </c>
      <c r="H367" t="e">
        <f>VLOOKUP(C:C,Sheet4!A:C,2,0)</f>
        <v>#N/A</v>
      </c>
    </row>
    <row r="368" spans="1:8" ht="14.4">
      <c r="A368" s="18" t="s">
        <v>27</v>
      </c>
      <c r="B368" s="18" t="s">
        <v>48</v>
      </c>
      <c r="C368" s="18" t="s">
        <v>49</v>
      </c>
      <c r="D368" s="19" t="str">
        <f ca="1">IFERROR(__xludf.DUMMYFUNCTION("GOOGLETRANSLATE(A368, ""ar"", ""en"")"),"Toyota")</f>
        <v>Toyota</v>
      </c>
      <c r="E368" s="19" t="str">
        <f ca="1">IFERROR(__xludf.DUMMYFUNCTION("GOOGLETRANSLATE(B368,""ar"",""en"")"),"Yars")</f>
        <v>Yars</v>
      </c>
      <c r="F368" s="19" t="str">
        <f ca="1">IFERROR(__xludf.DUMMYFUNCTION("GOOGLETRANSLATE(C368,""ar"",""en"")"),"1.3")</f>
        <v>1.3</v>
      </c>
      <c r="G368" t="e">
        <f ca="1">VLOOKUP(F:F,matching_transelated_with_ref!A:C,2,0)</f>
        <v>#N/A</v>
      </c>
      <c r="H368" t="e">
        <f>VLOOKUP(C:C,Sheet4!A:C,2,0)</f>
        <v>#N/A</v>
      </c>
    </row>
    <row r="369" spans="1:8" ht="14.4">
      <c r="A369" s="18" t="s">
        <v>27</v>
      </c>
      <c r="B369" s="18" t="s">
        <v>48</v>
      </c>
      <c r="C369" s="18" t="s">
        <v>50</v>
      </c>
      <c r="D369" s="19" t="str">
        <f ca="1">IFERROR(__xludf.DUMMYFUNCTION("GOOGLETRANSLATE(A369, ""ar"", ""en"")"),"Toyota")</f>
        <v>Toyota</v>
      </c>
      <c r="E369" s="19" t="str">
        <f ca="1">IFERROR(__xludf.DUMMYFUNCTION("GOOGLETRANSLATE(B369,""ar"",""en"")"),"Yars")</f>
        <v>Yars</v>
      </c>
      <c r="F369" s="19" t="str">
        <f ca="1">IFERROR(__xludf.DUMMYFUNCTION("GOOGLETRANSLATE(C369,""ar"",""en"")"),"Way 1.3")</f>
        <v>Way 1.3</v>
      </c>
      <c r="G369" t="e">
        <f ca="1">VLOOKUP(F:F,matching_transelated_with_ref!A:C,2,0)</f>
        <v>#N/A</v>
      </c>
      <c r="H369" t="e">
        <f>VLOOKUP(C:C,Sheet4!A:C,2,0)</f>
        <v>#N/A</v>
      </c>
    </row>
    <row r="370" spans="1:8" ht="14.4">
      <c r="A370" s="18" t="s">
        <v>256</v>
      </c>
      <c r="B370" s="18" t="s">
        <v>256</v>
      </c>
      <c r="C370" s="18" t="s">
        <v>597</v>
      </c>
      <c r="D370" s="19" t="str">
        <f ca="1">IFERROR(__xludf.DUMMYFUNCTION("GOOGLETRANSLATE(A370, ""ar"", ""en"")"),"Jacur")</f>
        <v>Jacur</v>
      </c>
      <c r="E370" s="19" t="str">
        <f ca="1">IFERROR(__xludf.DUMMYFUNCTION("GOOGLETRANSLATE(B370,""ar"",""en"")"),"Jacur")</f>
        <v>Jacur</v>
      </c>
      <c r="F370" s="19" t="str">
        <f ca="1">IFERROR(__xludf.DUMMYFUNCTION("GOOGLETRANSLATE(C370,""ar"",""en"")"),"X -JL L does not")</f>
        <v>X -JL L does not</v>
      </c>
      <c r="G370" t="e">
        <f ca="1">VLOOKUP(F:F,matching_transelated_with_ref!A:C,2,0)</f>
        <v>#N/A</v>
      </c>
      <c r="H370" t="e">
        <f>VLOOKUP(C:C,Sheet4!A:C,2,0)</f>
        <v>#N/A</v>
      </c>
    </row>
    <row r="371" spans="1:8" ht="14.4">
      <c r="A371" s="18" t="s">
        <v>256</v>
      </c>
      <c r="B371" s="18" t="s">
        <v>256</v>
      </c>
      <c r="C371" s="18" t="s">
        <v>258</v>
      </c>
      <c r="D371" s="19" t="str">
        <f ca="1">IFERROR(__xludf.DUMMYFUNCTION("GOOGLETRANSLATE(A371, ""ar"", ""en"")"),"Jacur")</f>
        <v>Jacur</v>
      </c>
      <c r="E371" s="19" t="str">
        <f ca="1">IFERROR(__xludf.DUMMYFUNCTION("GOOGLETRANSLATE(B371,""ar"",""en"")"),"Jacur")</f>
        <v>Jacur</v>
      </c>
      <c r="F371" s="19" t="str">
        <f ca="1">IFERROR(__xludf.DUMMYFUNCTION("GOOGLETRANSLATE(C371,""ar"",""en"")"),"F -Type R Denmak")</f>
        <v>F -Type R Denmak</v>
      </c>
      <c r="G371" t="e">
        <f ca="1">VLOOKUP(F:F,matching_transelated_with_ref!A:C,2,0)</f>
        <v>#N/A</v>
      </c>
      <c r="H371" t="e">
        <f>VLOOKUP(C:C,Sheet4!A:C,2,0)</f>
        <v>#N/A</v>
      </c>
    </row>
    <row r="372" spans="1:8" ht="14.4">
      <c r="A372" s="18" t="s">
        <v>256</v>
      </c>
      <c r="B372" s="18" t="s">
        <v>256</v>
      </c>
      <c r="C372" s="18" t="s">
        <v>257</v>
      </c>
      <c r="D372" s="19" t="str">
        <f ca="1">IFERROR(__xludf.DUMMYFUNCTION("GOOGLETRANSLATE(A372, ""ar"", ""en"")"),"Jacur")</f>
        <v>Jacur</v>
      </c>
      <c r="E372" s="19" t="str">
        <f ca="1">IFERROR(__xludf.DUMMYFUNCTION("GOOGLETRANSLATE(B372,""ar"",""en"")"),"Jacur")</f>
        <v>Jacur</v>
      </c>
      <c r="F372" s="19" t="str">
        <f ca="1">IFERROR(__xludf.DUMMYFUNCTION("GOOGLETRANSLATE(C372,""ar"",""en"")"),"FESS Sport")</f>
        <v>FESS Sport</v>
      </c>
      <c r="G372" t="e">
        <f ca="1">VLOOKUP(F:F,matching_transelated_with_ref!A:C,2,0)</f>
        <v>#N/A</v>
      </c>
      <c r="H372" t="e">
        <f>VLOOKUP(C:C,Sheet4!A:C,2,0)</f>
        <v>#N/A</v>
      </c>
    </row>
    <row r="373" spans="1:8" ht="14.4">
      <c r="A373" s="18" t="s">
        <v>256</v>
      </c>
      <c r="B373" s="18" t="s">
        <v>256</v>
      </c>
      <c r="C373" s="18" t="s">
        <v>259</v>
      </c>
      <c r="D373" s="19" t="str">
        <f ca="1">IFERROR(__xludf.DUMMYFUNCTION("GOOGLETRANSLATE(A373, ""ar"", ""en"")"),"Jacur")</f>
        <v>Jacur</v>
      </c>
      <c r="E373" s="19" t="str">
        <f ca="1">IFERROR(__xludf.DUMMYFUNCTION("GOOGLETRANSLATE(B373,""ar"",""en"")"),"Jacur")</f>
        <v>Jacur</v>
      </c>
      <c r="F373" s="19" t="str">
        <f ca="1">IFERROR(__xludf.DUMMYFUNCTION("GOOGLETRANSLATE(C373,""ar"",""en"")"),"XF Prestige")</f>
        <v>XF Prestige</v>
      </c>
      <c r="G373" t="str">
        <f ca="1">VLOOKUP(F:F,matching_transelated_with_ref!A:C,2,0)</f>
        <v>XF</v>
      </c>
      <c r="H373" t="e">
        <f>VLOOKUP(C:C,Sheet4!A:C,2,0)</f>
        <v>#N/A</v>
      </c>
    </row>
    <row r="374" spans="1:8" ht="14.4">
      <c r="A374" s="18" t="s">
        <v>256</v>
      </c>
      <c r="B374" s="18" t="s">
        <v>256</v>
      </c>
      <c r="C374" s="18" t="s">
        <v>260</v>
      </c>
      <c r="D374" s="19" t="str">
        <f ca="1">IFERROR(__xludf.DUMMYFUNCTION("GOOGLETRANSLATE(A374, ""ar"", ""en"")"),"Jacur")</f>
        <v>Jacur</v>
      </c>
      <c r="E374" s="19" t="str">
        <f ca="1">IFERROR(__xludf.DUMMYFUNCTION("GOOGLETRANSLATE(B374,""ar"",""en"")"),"Jacur")</f>
        <v>Jacur</v>
      </c>
      <c r="F374" s="19" t="str">
        <f ca="1">IFERROR(__xludf.DUMMYFUNCTION("GOOGLETRANSLATE(C374,""ar"",""en"")"),"I-PES R. Denmak S")</f>
        <v>I-PES R. Denmak S</v>
      </c>
      <c r="G374" t="e">
        <f ca="1">VLOOKUP(F:F,matching_transelated_with_ref!A:C,2,0)</f>
        <v>#N/A</v>
      </c>
      <c r="H374" t="e">
        <f>VLOOKUP(C:C,Sheet4!A:C,2,0)</f>
        <v>#N/A</v>
      </c>
    </row>
    <row r="375" spans="1:8" ht="14.4">
      <c r="A375" s="18" t="s">
        <v>256</v>
      </c>
      <c r="B375" s="18" t="s">
        <v>256</v>
      </c>
      <c r="C375" s="18" t="s">
        <v>878</v>
      </c>
      <c r="D375" s="19" t="str">
        <f ca="1">IFERROR(__xludf.DUMMYFUNCTION("GOOGLETRANSLATE(A375, ""ar"", ""en"")"),"Jacur")</f>
        <v>Jacur</v>
      </c>
      <c r="E375" s="19" t="str">
        <f ca="1">IFERROR(__xludf.DUMMYFUNCTION("GOOGLETRANSLATE(B375,""ar"",""en"")"),"Jacur")</f>
        <v>Jacur</v>
      </c>
      <c r="F375" s="19" t="str">
        <f ca="1">IFERROR(__xludf.DUMMYFUNCTION("GOOGLETRANSLATE(C375,""ar"",""en"")"),"X-E")</f>
        <v>X-E</v>
      </c>
      <c r="G375" t="str">
        <f ca="1">VLOOKUP(F:F,matching_transelated_with_ref!A:C,2,0)</f>
        <v>XE</v>
      </c>
      <c r="H375" t="e">
        <f>VLOOKUP(C:C,Sheet4!A:C,2,0)</f>
        <v>#N/A</v>
      </c>
    </row>
    <row r="376" spans="1:8" ht="14.4">
      <c r="A376" s="18" t="s">
        <v>256</v>
      </c>
      <c r="B376" s="18" t="s">
        <v>256</v>
      </c>
      <c r="C376" s="18" t="s">
        <v>598</v>
      </c>
      <c r="D376" s="19" t="str">
        <f ca="1">IFERROR(__xludf.DUMMYFUNCTION("GOOGLETRANSLATE(A376, ""ar"", ""en"")"),"Jacur")</f>
        <v>Jacur</v>
      </c>
      <c r="E376" s="19" t="str">
        <f ca="1">IFERROR(__xludf.DUMMYFUNCTION("GOOGLETRANSLATE(B376,""ar"",""en"")"),"Jacur")</f>
        <v>Jacur</v>
      </c>
      <c r="F376" s="19" t="str">
        <f ca="1">IFERROR(__xludf.DUMMYFUNCTION("GOOGLETRANSLATE(C376,""ar"",""en"")"),"IS Standard")</f>
        <v>IS Standard</v>
      </c>
      <c r="G376" t="e">
        <f ca="1">VLOOKUP(F:F,matching_transelated_with_ref!A:C,2,0)</f>
        <v>#N/A</v>
      </c>
      <c r="H376" t="e">
        <f>VLOOKUP(C:C,Sheet4!A:C,2,0)</f>
        <v>#N/A</v>
      </c>
    </row>
    <row r="377" spans="1:8" ht="14.4">
      <c r="A377" s="18" t="s">
        <v>599</v>
      </c>
      <c r="B377" s="18" t="s">
        <v>8</v>
      </c>
      <c r="C377" s="18" t="s">
        <v>880</v>
      </c>
      <c r="D377" s="19" t="str">
        <f ca="1">IFERROR(__xludf.DUMMYFUNCTION("GOOGLETRANSLATE(A377, ""ar"", ""en"")"),"Great Wall")</f>
        <v>Great Wall</v>
      </c>
      <c r="E377" s="19" t="str">
        <f ca="1">IFERROR(__xludf.DUMMYFUNCTION("GOOGLETRANSLATE(B377,""ar"",""en"")"),"-")</f>
        <v>-</v>
      </c>
      <c r="F377" s="19" t="str">
        <f ca="1">IFERROR(__xludf.DUMMYFUNCTION("GOOGLETRANSLATE(C377,""ar"",""en"")"),"Haval H9 for WW d")</f>
        <v>Haval H9 for WW d</v>
      </c>
      <c r="G377" t="e">
        <f ca="1">VLOOKUP(F:F,matching_transelated_with_ref!A:C,2,0)</f>
        <v>#N/A</v>
      </c>
      <c r="H377" t="e">
        <f>VLOOKUP(C:C,Sheet4!A:C,2,0)</f>
        <v>#N/A</v>
      </c>
    </row>
    <row r="378" spans="1:8" ht="14.4">
      <c r="A378" s="18" t="s">
        <v>599</v>
      </c>
      <c r="B378" s="18" t="s">
        <v>8</v>
      </c>
      <c r="C378" s="18" t="s">
        <v>1088</v>
      </c>
      <c r="D378" s="19" t="str">
        <f ca="1">IFERROR(__xludf.DUMMYFUNCTION("GOOGLETRANSLATE(A378, ""ar"", ""en"")"),"Great Wall")</f>
        <v>Great Wall</v>
      </c>
      <c r="E378" s="19" t="str">
        <f ca="1">IFERROR(__xludf.DUMMYFUNCTION("GOOGLETRANSLATE(B378,""ar"",""en"")"),"-")</f>
        <v>-</v>
      </c>
      <c r="F378" s="19" t="str">
        <f ca="1">IFERROR(__xludf.DUMMYFUNCTION("GOOGLETRANSLATE(C378,""ar"",""en"")"),"Port 4 x 4")</f>
        <v>Port 4 x 4</v>
      </c>
      <c r="G378" t="e">
        <f ca="1">VLOOKUP(F:F,matching_transelated_with_ref!A:C,2,0)</f>
        <v>#N/A</v>
      </c>
      <c r="H378" t="e">
        <f>VLOOKUP(C:C,Sheet4!A:C,2,0)</f>
        <v>#N/A</v>
      </c>
    </row>
    <row r="379" spans="1:8" ht="14.4">
      <c r="A379" s="18" t="s">
        <v>599</v>
      </c>
      <c r="B379" s="18" t="s">
        <v>8</v>
      </c>
      <c r="C379" s="18" t="s">
        <v>600</v>
      </c>
      <c r="D379" s="19" t="str">
        <f ca="1">IFERROR(__xludf.DUMMYFUNCTION("GOOGLETRANSLATE(A379, ""ar"", ""en"")"),"Great Wall")</f>
        <v>Great Wall</v>
      </c>
      <c r="E379" s="19" t="str">
        <f ca="1">IFERROR(__xludf.DUMMYFUNCTION("GOOGLETRANSLATE(B379,""ar"",""en"")"),"-")</f>
        <v>-</v>
      </c>
      <c r="F379" s="19" t="str">
        <f ca="1">IFERROR(__xludf.DUMMYFUNCTION("GOOGLETRANSLATE(C379,""ar"",""en"")"),"Haval H6")</f>
        <v>Haval H6</v>
      </c>
      <c r="G379" t="str">
        <f ca="1">VLOOKUP(F:F,matching_transelated_with_ref!A:C,2,0)</f>
        <v>H6</v>
      </c>
      <c r="H379">
        <f>VLOOKUP(C:C,Sheet4!A:C,2,0)</f>
        <v>6</v>
      </c>
    </row>
    <row r="380" spans="1:8" ht="14.4">
      <c r="A380" s="18" t="s">
        <v>599</v>
      </c>
      <c r="B380" s="18" t="s">
        <v>8</v>
      </c>
      <c r="C380" s="18" t="s">
        <v>1347</v>
      </c>
      <c r="D380" s="19" t="str">
        <f ca="1">IFERROR(__xludf.DUMMYFUNCTION("GOOGLETRANSLATE(A380, ""ar"", ""en"")"),"Great Wall")</f>
        <v>Great Wall</v>
      </c>
      <c r="E380" s="19" t="str">
        <f ca="1">IFERROR(__xludf.DUMMYFUNCTION("GOOGLETRANSLATE(B380,""ar"",""en"")"),"-")</f>
        <v>-</v>
      </c>
      <c r="F380" s="19" t="str">
        <f ca="1">IFERROR(__xludf.DUMMYFUNCTION("GOOGLETRANSLATE(C380,""ar"",""en"")"),"Haval H6 4 x 2")</f>
        <v>Haval H6 4 x 2</v>
      </c>
      <c r="G380" t="e">
        <f ca="1">VLOOKUP(F:F,matching_transelated_with_ref!A:C,2,0)</f>
        <v>#N/A</v>
      </c>
      <c r="H380">
        <f>VLOOKUP(C:C,Sheet4!A:C,2,0)</f>
        <v>6</v>
      </c>
    </row>
    <row r="381" spans="1:8" ht="14.4">
      <c r="A381" s="18" t="s">
        <v>599</v>
      </c>
      <c r="B381" s="18" t="s">
        <v>8</v>
      </c>
      <c r="C381" s="18" t="s">
        <v>1348</v>
      </c>
      <c r="D381" s="19" t="str">
        <f ca="1">IFERROR(__xludf.DUMMYFUNCTION("GOOGLETRANSLATE(A381, ""ar"", ""en"")"),"Great Wall")</f>
        <v>Great Wall</v>
      </c>
      <c r="E381" s="19" t="str">
        <f ca="1">IFERROR(__xludf.DUMMYFUNCTION("GOOGLETRANSLATE(B381,""ar"",""en"")"),"-")</f>
        <v>-</v>
      </c>
      <c r="F381" s="19" t="str">
        <f ca="1">IFERROR(__xludf.DUMMYFUNCTION("GOOGLETRANSLATE(C381,""ar"",""en"")"),"Haval H6 4 x 4")</f>
        <v>Haval H6 4 x 4</v>
      </c>
      <c r="G381" t="e">
        <f ca="1">VLOOKUP(F:F,matching_transelated_with_ref!A:C,2,0)</f>
        <v>#N/A</v>
      </c>
      <c r="H381">
        <f>VLOOKUP(C:C,Sheet4!A:C,2,0)</f>
        <v>6</v>
      </c>
    </row>
    <row r="382" spans="1:8" ht="14.4">
      <c r="A382" s="18" t="s">
        <v>599</v>
      </c>
      <c r="B382" s="18" t="s">
        <v>8</v>
      </c>
      <c r="C382" s="18" t="s">
        <v>879</v>
      </c>
      <c r="D382" s="19" t="str">
        <f ca="1">IFERROR(__xludf.DUMMYFUNCTION("GOOGLETRANSLATE(A382, ""ar"", ""en"")"),"Great Wall")</f>
        <v>Great Wall</v>
      </c>
      <c r="E382" s="19" t="str">
        <f ca="1">IFERROR(__xludf.DUMMYFUNCTION("GOOGLETRANSLATE(B382,""ar"",""en"")"),"-")</f>
        <v>-</v>
      </c>
      <c r="F382" s="19" t="str">
        <f ca="1">IFERROR(__xludf.DUMMYFUNCTION("GOOGLETRANSLATE(C382,""ar"",""en"")"),"Haval H2FWD")</f>
        <v>Haval H2FWD</v>
      </c>
      <c r="G382" t="e">
        <f ca="1">VLOOKUP(F:F,matching_transelated_with_ref!A:C,2,0)</f>
        <v>#N/A</v>
      </c>
      <c r="H382" t="e">
        <f>VLOOKUP(C:C,Sheet4!A:C,2,0)</f>
        <v>#N/A</v>
      </c>
    </row>
    <row r="383" spans="1:8" ht="14.4">
      <c r="A383" s="18" t="s">
        <v>599</v>
      </c>
      <c r="B383" s="18" t="s">
        <v>8</v>
      </c>
      <c r="C383" s="18" t="s">
        <v>1089</v>
      </c>
      <c r="D383" s="19" t="str">
        <f ca="1">IFERROR(__xludf.DUMMYFUNCTION("GOOGLETRANSLATE(A383, ""ar"", ""en"")"),"Great Wall")</f>
        <v>Great Wall</v>
      </c>
      <c r="E383" s="19" t="str">
        <f ca="1">IFERROR(__xludf.DUMMYFUNCTION("GOOGLETRANSLATE(B383,""ar"",""en"")"),"-")</f>
        <v>-</v>
      </c>
      <c r="F383" s="19" t="str">
        <f ca="1">IFERROR(__xludf.DUMMYFUNCTION("GOOGLETRANSLATE(C383,""ar"",""en"")"),"Haval Julian")</f>
        <v>Haval Julian</v>
      </c>
      <c r="G383" t="e">
        <f ca="1">VLOOKUP(F:F,matching_transelated_with_ref!A:C,2,0)</f>
        <v>#N/A</v>
      </c>
      <c r="H383" t="e">
        <f>VLOOKUP(C:C,Sheet4!A:C,2,0)</f>
        <v>#N/A</v>
      </c>
    </row>
    <row r="384" spans="1:8" ht="14.4">
      <c r="A384" s="18" t="s">
        <v>599</v>
      </c>
      <c r="B384" s="18" t="s">
        <v>8</v>
      </c>
      <c r="C384" s="18" t="s">
        <v>882</v>
      </c>
      <c r="D384" s="19" t="str">
        <f ca="1">IFERROR(__xludf.DUMMYFUNCTION("GOOGLETRANSLATE(A384, ""ar"", ""en"")"),"Great Wall")</f>
        <v>Great Wall</v>
      </c>
      <c r="E384" s="19" t="str">
        <f ca="1">IFERROR(__xludf.DUMMYFUNCTION("GOOGLETRANSLATE(B384,""ar"",""en"")"),"-")</f>
        <v>-</v>
      </c>
      <c r="F384" s="19" t="str">
        <f ca="1">IFERROR(__xludf.DUMMYFUNCTION("GOOGLETRANSLATE(C384,""ar"",""en"")"),"Winjel 7 four -wheel drive")</f>
        <v>Winjel 7 four -wheel drive</v>
      </c>
      <c r="G384" t="e">
        <f ca="1">VLOOKUP(F:F,matching_transelated_with_ref!A:C,2,0)</f>
        <v>#N/A</v>
      </c>
      <c r="H384" t="str">
        <f>VLOOKUP(C:C,Sheet4!A:C,2,0)</f>
        <v xml:space="preserve"> وينجل7</v>
      </c>
    </row>
    <row r="385" spans="1:8" ht="14.4">
      <c r="A385" s="18" t="s">
        <v>599</v>
      </c>
      <c r="B385" s="18" t="s">
        <v>8</v>
      </c>
      <c r="C385" s="18" t="s">
        <v>881</v>
      </c>
      <c r="D385" s="19" t="str">
        <f ca="1">IFERROR(__xludf.DUMMYFUNCTION("GOOGLETRANSLATE(A385, ""ar"", ""en"")"),"Great Wall")</f>
        <v>Great Wall</v>
      </c>
      <c r="E385" s="19" t="str">
        <f ca="1">IFERROR(__xludf.DUMMYFUNCTION("GOOGLETRANSLATE(B385,""ar"",""en"")"),"-")</f>
        <v>-</v>
      </c>
      <c r="F385" s="19" t="str">
        <f ca="1">IFERROR(__xludf.DUMMYFUNCTION("GOOGLETRANSLATE(C385,""ar"",""en"")"),"Winjel 7 4*2")</f>
        <v>Winjel 7 4*2</v>
      </c>
      <c r="G385" t="e">
        <f ca="1">VLOOKUP(F:F,matching_transelated_with_ref!A:C,2,0)</f>
        <v>#N/A</v>
      </c>
      <c r="H385" t="str">
        <f>VLOOKUP(C:C,Sheet4!A:C,2,0)</f>
        <v xml:space="preserve"> وينجل7</v>
      </c>
    </row>
    <row r="386" spans="1:8" ht="14.4">
      <c r="A386" s="18" t="s">
        <v>599</v>
      </c>
      <c r="B386" s="18" t="s">
        <v>8</v>
      </c>
      <c r="C386" s="18" t="s">
        <v>1349</v>
      </c>
      <c r="D386" s="19" t="str">
        <f ca="1">IFERROR(__xludf.DUMMYFUNCTION("GOOGLETRANSLATE(A386, ""ar"", ""en"")"),"Great Wall")</f>
        <v>Great Wall</v>
      </c>
      <c r="E386" s="19" t="str">
        <f ca="1">IFERROR(__xludf.DUMMYFUNCTION("GOOGLETRANSLATE(B386,""ar"",""en"")"),"-")</f>
        <v>-</v>
      </c>
      <c r="F386" s="19" t="str">
        <f ca="1">IFERROR(__xludf.DUMMYFUNCTION("GOOGLETRANSLATE(C386,""ar"",""en"")"),"Winjel 5 RWD")</f>
        <v>Winjel 5 RWD</v>
      </c>
      <c r="G386">
        <f ca="1">VLOOKUP(F:F,matching_transelated_with_ref!A:C,2,0)</f>
        <v>5</v>
      </c>
      <c r="H386" t="e">
        <f>VLOOKUP(C:C,Sheet4!A:C,2,0)</f>
        <v>#N/A</v>
      </c>
    </row>
    <row r="387" spans="1:8" ht="14.4">
      <c r="A387" s="18" t="s">
        <v>53</v>
      </c>
      <c r="B387" s="18" t="s">
        <v>54</v>
      </c>
      <c r="C387" s="18" t="s">
        <v>1367</v>
      </c>
      <c r="D387" s="19" t="str">
        <f ca="1">IFERROR(__xludf.DUMMYFUNCTION("GOOGLETRANSLATE(A387, ""ar"", ""en"")"),"General Motors")</f>
        <v>General Motors</v>
      </c>
      <c r="E387" s="19" t="str">
        <f ca="1">IFERROR(__xludf.DUMMYFUNCTION("GOOGLETRANSLATE(B387,""ar"",""en"")"),"Cadillac")</f>
        <v>Cadillac</v>
      </c>
      <c r="F387" s="19" t="str">
        <f ca="1">IFERROR(__xludf.DUMMYFUNCTION("GOOGLETRANSLATE(C387,""ar"",""en"")"),"Escalade 4 x 4")</f>
        <v>Escalade 4 x 4</v>
      </c>
      <c r="G387" t="str">
        <f ca="1">VLOOKUP(F:F,matching_transelated_with_ref!A:C,2,0)</f>
        <v xml:space="preserve"> ESCALADE</v>
      </c>
      <c r="H387" t="e">
        <f>VLOOKUP(C:C,Sheet4!A:C,2,0)</f>
        <v>#N/A</v>
      </c>
    </row>
    <row r="388" spans="1:8" ht="14.4">
      <c r="A388" s="18" t="s">
        <v>53</v>
      </c>
      <c r="B388" s="18" t="s">
        <v>54</v>
      </c>
      <c r="C388" s="18" t="s">
        <v>55</v>
      </c>
      <c r="D388" s="19" t="str">
        <f ca="1">IFERROR(__xludf.DUMMYFUNCTION("GOOGLETRANSLATE(A388, ""ar"", ""en"")"),"General Motors")</f>
        <v>General Motors</v>
      </c>
      <c r="E388" s="19" t="str">
        <f ca="1">IFERROR(__xludf.DUMMYFUNCTION("GOOGLETRANSLATE(B388,""ar"",""en"")"),"Cadillac")</f>
        <v>Cadillac</v>
      </c>
      <c r="F388" s="19" t="str">
        <f ca="1">IFERROR(__xludf.DUMMYFUNCTION("GOOGLETRANSLATE(C388,""ar"",""en"")"),"Escalade")</f>
        <v>Escalade</v>
      </c>
      <c r="G388" t="str">
        <f ca="1">VLOOKUP(F:F,matching_transelated_with_ref!A:C,2,0)</f>
        <v xml:space="preserve"> ESCALADE</v>
      </c>
      <c r="H388" t="e">
        <f>VLOOKUP(C:C,Sheet4!A:C,2,0)</f>
        <v>#N/A</v>
      </c>
    </row>
    <row r="389" spans="1:8" ht="14.4">
      <c r="A389" s="18" t="s">
        <v>53</v>
      </c>
      <c r="B389" s="18" t="s">
        <v>54</v>
      </c>
      <c r="C389" s="18" t="s">
        <v>295</v>
      </c>
      <c r="D389" s="19" t="str">
        <f ca="1">IFERROR(__xludf.DUMMYFUNCTION("GOOGLETRANSLATE(A389, ""ar"", ""en"")"),"General Motors")</f>
        <v>General Motors</v>
      </c>
      <c r="E389" s="19" t="str">
        <f ca="1">IFERROR(__xludf.DUMMYFUNCTION("GOOGLETRANSLATE(B389,""ar"",""en"")"),"Cadillac")</f>
        <v>Cadillac</v>
      </c>
      <c r="F389" s="19" t="str">
        <f ca="1">IFERROR(__xludf.DUMMYFUNCTION("GOOGLETRANSLATE(C389,""ar"",""en"")"),"Escalade 4*4")</f>
        <v>Escalade 4*4</v>
      </c>
      <c r="G389" t="str">
        <f ca="1">VLOOKUP(F:F,matching_transelated_with_ref!A:C,2,0)</f>
        <v xml:space="preserve"> ESCALADE</v>
      </c>
      <c r="H389" t="e">
        <f>VLOOKUP(C:C,Sheet4!A:C,2,0)</f>
        <v>#N/A</v>
      </c>
    </row>
    <row r="390" spans="1:8" ht="14.4">
      <c r="A390" s="18" t="s">
        <v>53</v>
      </c>
      <c r="B390" s="18" t="s">
        <v>57</v>
      </c>
      <c r="C390" s="18" t="s">
        <v>1352</v>
      </c>
      <c r="D390" s="19" t="str">
        <f ca="1">IFERROR(__xludf.DUMMYFUNCTION("GOOGLETRANSLATE(A390, ""ar"", ""en"")"),"General Motors")</f>
        <v>General Motors</v>
      </c>
      <c r="E390" s="19" t="str">
        <f ca="1">IFERROR(__xludf.DUMMYFUNCTION("GOOGLETRANSLATE(B390,""ar"",""en"")"),"GMC")</f>
        <v>GMC</v>
      </c>
      <c r="F390" s="19" t="str">
        <f ca="1">IFERROR(__xludf.DUMMYFUNCTION("GOOGLETRANSLATE(C390,""ar"",""en"")"),"Yukon XL Denali does not")</f>
        <v>Yukon XL Denali does not</v>
      </c>
      <c r="G390" t="e">
        <f ca="1">VLOOKUP(F:F,matching_transelated_with_ref!A:C,2,0)</f>
        <v>#N/A</v>
      </c>
      <c r="H390" t="e">
        <f>VLOOKUP(C:C,Sheet4!A:C,2,0)</f>
        <v>#N/A</v>
      </c>
    </row>
    <row r="391" spans="1:8" ht="14.4">
      <c r="A391" s="18" t="s">
        <v>53</v>
      </c>
      <c r="B391" s="18" t="s">
        <v>57</v>
      </c>
      <c r="C391" s="18" t="s">
        <v>1096</v>
      </c>
      <c r="D391" s="19" t="str">
        <f ca="1">IFERROR(__xludf.DUMMYFUNCTION("GOOGLETRANSLATE(A391, ""ar"", ""en"")"),"General Motors")</f>
        <v>General Motors</v>
      </c>
      <c r="E391" s="19" t="str">
        <f ca="1">IFERROR(__xludf.DUMMYFUNCTION("GOOGLETRANSLATE(B391,""ar"",""en"")"),"GMC")</f>
        <v>GMC</v>
      </c>
      <c r="F391" s="19" t="str">
        <f ca="1">IFERROR(__xludf.DUMMYFUNCTION("GOOGLETRANSLATE(C391,""ar"",""en"")"),"Yukon four -wheel drive Denal")</f>
        <v>Yukon four -wheel drive Denal</v>
      </c>
      <c r="G391" t="e">
        <f ca="1">VLOOKUP(F:F,matching_transelated_with_ref!A:C,2,0)</f>
        <v>#N/A</v>
      </c>
      <c r="H391" t="e">
        <f>VLOOKUP(C:C,Sheet4!A:C,2,0)</f>
        <v>#N/A</v>
      </c>
    </row>
    <row r="392" spans="1:8" ht="14.4">
      <c r="A392" s="18" t="s">
        <v>53</v>
      </c>
      <c r="B392" s="18" t="s">
        <v>57</v>
      </c>
      <c r="C392" s="18" t="s">
        <v>274</v>
      </c>
      <c r="D392" s="19" t="str">
        <f ca="1">IFERROR(__xludf.DUMMYFUNCTION("GOOGLETRANSLATE(A392, ""ar"", ""en"")"),"General Motors")</f>
        <v>General Motors</v>
      </c>
      <c r="E392" s="19" t="str">
        <f ca="1">IFERROR(__xludf.DUMMYFUNCTION("GOOGLETRANSLATE(B392,""ar"",""en"")"),"GMC")</f>
        <v>GMC</v>
      </c>
      <c r="F392" s="19" t="str">
        <f ca="1">IFERROR(__xludf.DUMMYFUNCTION("GOOGLETRANSLATE(C392,""ar"",""en"")"),"Yukon XL Denali")</f>
        <v>Yukon XL Denali</v>
      </c>
      <c r="G392" t="e">
        <f ca="1">VLOOKUP(F:F,matching_transelated_with_ref!A:C,2,0)</f>
        <v>#N/A</v>
      </c>
      <c r="H392" t="e">
        <f>VLOOKUP(C:C,Sheet4!A:C,2,0)</f>
        <v>#N/A</v>
      </c>
    </row>
    <row r="393" spans="1:8" ht="14.4">
      <c r="A393" s="18" t="s">
        <v>53</v>
      </c>
      <c r="B393" s="18" t="s">
        <v>57</v>
      </c>
      <c r="C393" s="18" t="s">
        <v>1098</v>
      </c>
      <c r="D393" s="19" t="str">
        <f ca="1">IFERROR(__xludf.DUMMYFUNCTION("GOOGLETRANSLATE(A393, ""ar"", ""en"")"),"General Motors")</f>
        <v>General Motors</v>
      </c>
      <c r="E393" s="19" t="str">
        <f ca="1">IFERROR(__xludf.DUMMYFUNCTION("GOOGLETRANSLATE(B393,""ar"",""en"")"),"GMC")</f>
        <v>GMC</v>
      </c>
      <c r="F393" s="19" t="str">
        <f ca="1">IFERROR(__xludf.DUMMYFUNCTION("GOOGLETRANSLATE(C393,""ar"",""en"")"),"Yukon Denali pay a quadrant")</f>
        <v>Yukon Denali pay a quadrant</v>
      </c>
      <c r="G393" t="e">
        <f ca="1">VLOOKUP(F:F,matching_transelated_with_ref!A:C,2,0)</f>
        <v>#N/A</v>
      </c>
      <c r="H393" t="e">
        <f>VLOOKUP(C:C,Sheet4!A:C,2,0)</f>
        <v>#N/A</v>
      </c>
    </row>
    <row r="394" spans="1:8" ht="14.4">
      <c r="A394" s="18" t="s">
        <v>53</v>
      </c>
      <c r="B394" s="18" t="s">
        <v>276</v>
      </c>
      <c r="C394" s="18" t="s">
        <v>1356</v>
      </c>
      <c r="D394" s="19" t="str">
        <f ca="1">IFERROR(__xludf.DUMMYFUNCTION("GOOGLETRANSLATE(A394, ""ar"", ""en"")"),"General Motors")</f>
        <v>General Motors</v>
      </c>
      <c r="E394" s="19" t="str">
        <f ca="1">IFERROR(__xludf.DUMMYFUNCTION("GOOGLETRANSLATE(B394,""ar"",""en"")"),"Chevrolet")</f>
        <v>Chevrolet</v>
      </c>
      <c r="F394" s="19" t="str">
        <f ca="1">IFERROR(__xludf.DUMMYFUNCTION("GOOGLETRANSLATE(C394,""ar"",""en"")"),"Tahoe quad -paying 6.2 liters")</f>
        <v>Tahoe quad -paying 6.2 liters</v>
      </c>
      <c r="G394" t="e">
        <f ca="1">VLOOKUP(F:F,matching_transelated_with_ref!A:C,2,0)</f>
        <v>#N/A</v>
      </c>
      <c r="H394">
        <f>VLOOKUP(C:C,Sheet4!A:C,2,0)</f>
        <v>6</v>
      </c>
    </row>
    <row r="395" spans="1:8" ht="14.4">
      <c r="A395" s="18" t="s">
        <v>53</v>
      </c>
      <c r="B395" s="18" t="s">
        <v>57</v>
      </c>
      <c r="C395" s="18" t="s">
        <v>275</v>
      </c>
      <c r="D395" s="19" t="str">
        <f ca="1">IFERROR(__xludf.DUMMYFUNCTION("GOOGLETRANSLATE(A395, ""ar"", ""en"")"),"General Motors")</f>
        <v>General Motors</v>
      </c>
      <c r="E395" s="19" t="str">
        <f ca="1">IFERROR(__xludf.DUMMYFUNCTION("GOOGLETRANSLATE(B395,""ar"",""en"")"),"GMC")</f>
        <v>GMC</v>
      </c>
      <c r="F395" s="19" t="str">
        <f ca="1">IFERROR(__xludf.DUMMYFUNCTION("GOOGLETRANSLATE(C395,""ar"",""en"")"),"Yukon Denali")</f>
        <v>Yukon Denali</v>
      </c>
      <c r="G395" t="e">
        <f ca="1">VLOOKUP(F:F,matching_transelated_with_ref!A:C,2,0)</f>
        <v>#N/A</v>
      </c>
      <c r="H395" t="e">
        <f>VLOOKUP(C:C,Sheet4!A:C,2,0)</f>
        <v>#N/A</v>
      </c>
    </row>
    <row r="396" spans="1:8" ht="14.4">
      <c r="A396" s="18" t="s">
        <v>53</v>
      </c>
      <c r="B396" s="18" t="s">
        <v>57</v>
      </c>
      <c r="C396" s="18" t="s">
        <v>1351</v>
      </c>
      <c r="D396" s="19" t="str">
        <f ca="1">IFERROR(__xludf.DUMMYFUNCTION("GOOGLETRANSLATE(A396, ""ar"", ""en"")"),"General Motors")</f>
        <v>General Motors</v>
      </c>
      <c r="E396" s="19" t="str">
        <f ca="1">IFERROR(__xludf.DUMMYFUNCTION("GOOGLETRANSLATE(B396,""ar"",""en"")"),"GMC")</f>
        <v>GMC</v>
      </c>
      <c r="F396" s="19" t="str">
        <f ca="1">IFERROR(__xludf.DUMMYFUNCTION("GOOGLETRANSLATE(C396,""ar"",""en"")"),"Yukon XL Large Pay")</f>
        <v>Yukon XL Large Pay</v>
      </c>
      <c r="G396" t="e">
        <f ca="1">VLOOKUP(F:F,matching_transelated_with_ref!A:C,2,0)</f>
        <v>#N/A</v>
      </c>
      <c r="H396" t="e">
        <f>VLOOKUP(C:C,Sheet4!A:C,2,0)</f>
        <v>#N/A</v>
      </c>
    </row>
    <row r="397" spans="1:8" ht="14.4">
      <c r="A397" s="18" t="s">
        <v>53</v>
      </c>
      <c r="B397" s="18" t="s">
        <v>57</v>
      </c>
      <c r="C397" s="18" t="s">
        <v>1091</v>
      </c>
      <c r="D397" s="19" t="str">
        <f ca="1">IFERROR(__xludf.DUMMYFUNCTION("GOOGLETRANSLATE(A397, ""ar"", ""en"")"),"General Motors")</f>
        <v>General Motors</v>
      </c>
      <c r="E397" s="19" t="str">
        <f ca="1">IFERROR(__xludf.DUMMYFUNCTION("GOOGLETRANSLATE(B397,""ar"",""en"")"),"GMC")</f>
        <v>GMC</v>
      </c>
      <c r="F397" s="19" t="str">
        <f ca="1">IFERROR(__xludf.DUMMYFUNCTION("GOOGLETRANSLATE(C397,""ar"",""en"")"),"Yukon XL is a four -wheel drive")</f>
        <v>Yukon XL is a four -wheel drive</v>
      </c>
      <c r="G397" t="e">
        <f ca="1">VLOOKUP(F:F,matching_transelated_with_ref!A:C,2,0)</f>
        <v>#N/A</v>
      </c>
      <c r="H397" t="e">
        <f>VLOOKUP(C:C,Sheet4!A:C,2,0)</f>
        <v>#N/A</v>
      </c>
    </row>
    <row r="398" spans="1:8" ht="14.4">
      <c r="A398" s="18" t="s">
        <v>53</v>
      </c>
      <c r="B398" s="18" t="s">
        <v>57</v>
      </c>
      <c r="C398" s="18" t="s">
        <v>1092</v>
      </c>
      <c r="D398" s="19" t="str">
        <f ca="1">IFERROR(__xludf.DUMMYFUNCTION("GOOGLETRANSLATE(A398, ""ar"", ""en"")"),"General Motors")</f>
        <v>General Motors</v>
      </c>
      <c r="E398" s="19" t="str">
        <f ca="1">IFERROR(__xludf.DUMMYFUNCTION("GOOGLETRANSLATE(B398,""ar"",""en"")"),"GMC")</f>
        <v>GMC</v>
      </c>
      <c r="F398" s="19" t="str">
        <f ca="1">IFERROR(__xludf.DUMMYFUNCTION("GOOGLETRANSLATE(C398,""ar"",""en"")"),"Yukon XL Large Pay")</f>
        <v>Yukon XL Large Pay</v>
      </c>
      <c r="G398" t="e">
        <f ca="1">VLOOKUP(F:F,matching_transelated_with_ref!A:C,2,0)</f>
        <v>#N/A</v>
      </c>
      <c r="H398" t="e">
        <f>VLOOKUP(C:C,Sheet4!A:C,2,0)</f>
        <v>#N/A</v>
      </c>
    </row>
    <row r="399" spans="1:8" ht="14.4">
      <c r="A399" s="18" t="s">
        <v>53</v>
      </c>
      <c r="B399" s="18" t="s">
        <v>57</v>
      </c>
      <c r="C399" s="18" t="s">
        <v>1353</v>
      </c>
      <c r="D399" s="19" t="str">
        <f ca="1">IFERROR(__xludf.DUMMYFUNCTION("GOOGLETRANSLATE(A399, ""ar"", ""en"")"),"General Motors")</f>
        <v>General Motors</v>
      </c>
      <c r="E399" s="19" t="str">
        <f ca="1">IFERROR(__xludf.DUMMYFUNCTION("GOOGLETRANSLATE(B399,""ar"",""en"")"),"GMC")</f>
        <v>GMC</v>
      </c>
      <c r="F399" s="19" t="str">
        <f ca="1">IFERROR(__xludf.DUMMYFUNCTION("GOOGLETRANSLATE(C399,""ar"",""en"")"),"Yukon XL Large Pay")</f>
        <v>Yukon XL Large Pay</v>
      </c>
      <c r="G399" t="e">
        <f ca="1">VLOOKUP(F:F,matching_transelated_with_ref!A:C,2,0)</f>
        <v>#N/A</v>
      </c>
      <c r="H399" t="e">
        <f>VLOOKUP(C:C,Sheet4!A:C,2,0)</f>
        <v>#N/A</v>
      </c>
    </row>
    <row r="400" spans="1:8" ht="14.4">
      <c r="A400" s="18" t="s">
        <v>53</v>
      </c>
      <c r="B400" s="18" t="s">
        <v>276</v>
      </c>
      <c r="C400" s="18" t="s">
        <v>1364</v>
      </c>
      <c r="D400" s="19" t="str">
        <f ca="1">IFERROR(__xludf.DUMMYFUNCTION("GOOGLETRANSLATE(A400, ""ar"", ""en"")"),"General Motors")</f>
        <v>General Motors</v>
      </c>
      <c r="E400" s="19" t="str">
        <f ca="1">IFERROR(__xludf.DUMMYFUNCTION("GOOGLETRANSLATE(B400,""ar"",""en"")"),"Chevrolet")</f>
        <v>Chevrolet</v>
      </c>
      <c r="F400" s="19" t="str">
        <f ca="1">IFERROR(__xludf.DUMMYFUNCTION("GOOGLETRANSLATE(C400,""ar"",""en"")"),"Supban four -wheel drive 5.3 l")</f>
        <v>Supban four -wheel drive 5.3 l</v>
      </c>
      <c r="G400" t="e">
        <f ca="1">VLOOKUP(F:F,matching_transelated_with_ref!A:C,2,0)</f>
        <v>#N/A</v>
      </c>
      <c r="H400" t="str">
        <f>VLOOKUP(C:C,Sheet4!A:C,2,0)</f>
        <v xml:space="preserve"> سوبربان </v>
      </c>
    </row>
    <row r="401" spans="1:8" ht="14.4">
      <c r="A401" s="18" t="s">
        <v>53</v>
      </c>
      <c r="B401" s="18" t="s">
        <v>57</v>
      </c>
      <c r="C401" s="18" t="s">
        <v>1090</v>
      </c>
      <c r="D401" s="19" t="str">
        <f ca="1">IFERROR(__xludf.DUMMYFUNCTION("GOOGLETRANSLATE(A401, ""ar"", ""en"")"),"General Motors")</f>
        <v>General Motors</v>
      </c>
      <c r="E401" s="19" t="str">
        <f ca="1">IFERROR(__xludf.DUMMYFUNCTION("GOOGLETRANSLATE(B401,""ar"",""en"")"),"GMC")</f>
        <v>GMC</v>
      </c>
      <c r="F401" s="19" t="str">
        <f ca="1">IFERROR(__xludf.DUMMYFUNCTION("GOOGLETRANSLATE(C401,""ar"",""en"")"),"Yukon X does not pay back")</f>
        <v>Yukon X does not pay back</v>
      </c>
      <c r="G401" t="e">
        <f ca="1">VLOOKUP(F:F,matching_transelated_with_ref!A:C,2,0)</f>
        <v>#N/A</v>
      </c>
      <c r="H401" t="e">
        <f>VLOOKUP(C:C,Sheet4!A:C,2,0)</f>
        <v>#N/A</v>
      </c>
    </row>
    <row r="402" spans="1:8" ht="14.4">
      <c r="A402" s="18" t="s">
        <v>53</v>
      </c>
      <c r="B402" s="18" t="s">
        <v>57</v>
      </c>
      <c r="C402" s="18" t="s">
        <v>1094</v>
      </c>
      <c r="D402" s="19" t="str">
        <f ca="1">IFERROR(__xludf.DUMMYFUNCTION("GOOGLETRANSLATE(A402, ""ar"", ""en"")"),"General Motors")</f>
        <v>General Motors</v>
      </c>
      <c r="E402" s="19" t="str">
        <f ca="1">IFERROR(__xludf.DUMMYFUNCTION("GOOGLETRANSLATE(B402,""ar"",""en"")"),"GMC")</f>
        <v>GMC</v>
      </c>
      <c r="F402" s="19" t="str">
        <f ca="1">IFERROR(__xludf.DUMMYFUNCTION("GOOGLETRANSLATE(C402,""ar"",""en"")"),"Yukon four -wheel drive")</f>
        <v>Yukon four -wheel drive</v>
      </c>
      <c r="G402" t="e">
        <f ca="1">VLOOKUP(F:F,matching_transelated_with_ref!A:C,2,0)</f>
        <v>#N/A</v>
      </c>
      <c r="H402" t="e">
        <f>VLOOKUP(C:C,Sheet4!A:C,2,0)</f>
        <v>#N/A</v>
      </c>
    </row>
    <row r="403" spans="1:8" ht="14.4">
      <c r="A403" s="18" t="s">
        <v>53</v>
      </c>
      <c r="B403" s="18" t="s">
        <v>57</v>
      </c>
      <c r="C403" s="18" t="s">
        <v>1095</v>
      </c>
      <c r="D403" s="19" t="str">
        <f ca="1">IFERROR(__xludf.DUMMYFUNCTION("GOOGLETRANSLATE(A403, ""ar"", ""en"")"),"General Motors")</f>
        <v>General Motors</v>
      </c>
      <c r="E403" s="19" t="str">
        <f ca="1">IFERROR(__xludf.DUMMYFUNCTION("GOOGLETRANSLATE(B403,""ar"",""en"")"),"GMC")</f>
        <v>GMC</v>
      </c>
      <c r="F403" s="19" t="str">
        <f ca="1">IFERROR(__xludf.DUMMYFUNCTION("GOOGLETRANSLATE(C403,""ar"",""en"")"),"Yukon four -wheel drive 5.3 liters")</f>
        <v>Yukon four -wheel drive 5.3 liters</v>
      </c>
      <c r="G403" t="e">
        <f ca="1">VLOOKUP(F:F,matching_transelated_with_ref!A:C,2,0)</f>
        <v>#N/A</v>
      </c>
      <c r="H403">
        <f>VLOOKUP(C:C,Sheet4!A:C,2,0)</f>
        <v>3</v>
      </c>
    </row>
    <row r="404" spans="1:8" ht="14.4">
      <c r="A404" s="18" t="s">
        <v>53</v>
      </c>
      <c r="B404" s="18" t="s">
        <v>276</v>
      </c>
      <c r="C404" s="18" t="s">
        <v>1363</v>
      </c>
      <c r="D404" s="19" t="str">
        <f ca="1">IFERROR(__xludf.DUMMYFUNCTION("GOOGLETRANSLATE(A404, ""ar"", ""en"")"),"General Motors")</f>
        <v>General Motors</v>
      </c>
      <c r="E404" s="19" t="str">
        <f ca="1">IFERROR(__xludf.DUMMYFUNCTION("GOOGLETRANSLATE(B404,""ar"",""en"")"),"Chevrolet")</f>
        <v>Chevrolet</v>
      </c>
      <c r="F404" s="19" t="str">
        <f ca="1">IFERROR(__xludf.DUMMYFUNCTION("GOOGLETRANSLATE(C404,""ar"",""en"")"),"Supban Back Pay 6.2 LT")</f>
        <v>Supban Back Pay 6.2 LT</v>
      </c>
      <c r="G404" t="e">
        <f ca="1">VLOOKUP(F:F,matching_transelated_with_ref!A:C,2,0)</f>
        <v>#N/A</v>
      </c>
      <c r="H404" t="str">
        <f>VLOOKUP(C:C,Sheet4!A:C,2,0)</f>
        <v xml:space="preserve"> سوبربان </v>
      </c>
    </row>
    <row r="405" spans="1:8" ht="14.4">
      <c r="A405" s="18" t="s">
        <v>53</v>
      </c>
      <c r="B405" s="18" t="s">
        <v>276</v>
      </c>
      <c r="C405" s="18" t="s">
        <v>1362</v>
      </c>
      <c r="D405" s="19" t="str">
        <f ca="1">IFERROR(__xludf.DUMMYFUNCTION("GOOGLETRANSLATE(A405, ""ar"", ""en"")"),"General Motors")</f>
        <v>General Motors</v>
      </c>
      <c r="E405" s="19" t="str">
        <f ca="1">IFERROR(__xludf.DUMMYFUNCTION("GOOGLETRANSLATE(B405,""ar"",""en"")"),"Chevrolet")</f>
        <v>Chevrolet</v>
      </c>
      <c r="F405" s="19" t="str">
        <f ca="1">IFERROR(__xludf.DUMMYFUNCTION("GOOGLETRANSLATE(C405,""ar"",""en"")"),"Super Back Back")</f>
        <v>Super Back Back</v>
      </c>
      <c r="G405" t="e">
        <f ca="1">VLOOKUP(F:F,matching_transelated_with_ref!A:C,2,0)</f>
        <v>#N/A</v>
      </c>
      <c r="H405" t="str">
        <f>VLOOKUP(C:C,Sheet4!A:C,2,0)</f>
        <v xml:space="preserve"> سوبربان </v>
      </c>
    </row>
    <row r="406" spans="1:8" ht="14.4">
      <c r="A406" s="18" t="s">
        <v>53</v>
      </c>
      <c r="B406" s="18" t="s">
        <v>276</v>
      </c>
      <c r="C406" s="18" t="s">
        <v>1104</v>
      </c>
      <c r="D406" s="19" t="str">
        <f ca="1">IFERROR(__xludf.DUMMYFUNCTION("GOOGLETRANSLATE(A406, ""ar"", ""en"")"),"General Motors")</f>
        <v>General Motors</v>
      </c>
      <c r="E406" s="19" t="str">
        <f ca="1">IFERROR(__xludf.DUMMYFUNCTION("GOOGLETRANSLATE(B406,""ar"",""en"")"),"Chevrolet")</f>
        <v>Chevrolet</v>
      </c>
      <c r="F406" s="19" t="str">
        <f ca="1">IFERROR(__xludf.DUMMYFUNCTION("GOOGLETRANSLATE(C406,""ar"",""en"")"),"Superbian backpack")</f>
        <v>Superbian backpack</v>
      </c>
      <c r="G406" t="e">
        <f ca="1">VLOOKUP(F:F,matching_transelated_with_ref!A:C,2,0)</f>
        <v>#N/A</v>
      </c>
      <c r="H406" t="str">
        <f>VLOOKUP(C:C,Sheet4!A:C,2,0)</f>
        <v xml:space="preserve"> سوبربان </v>
      </c>
    </row>
    <row r="407" spans="1:8" ht="14.4">
      <c r="A407" s="18" t="s">
        <v>53</v>
      </c>
      <c r="B407" s="18" t="s">
        <v>276</v>
      </c>
      <c r="C407" s="18" t="s">
        <v>1103</v>
      </c>
      <c r="D407" s="19" t="str">
        <f ca="1">IFERROR(__xludf.DUMMYFUNCTION("GOOGLETRANSLATE(A407, ""ar"", ""en"")"),"General Motors")</f>
        <v>General Motors</v>
      </c>
      <c r="E407" s="19" t="str">
        <f ca="1">IFERROR(__xludf.DUMMYFUNCTION("GOOGLETRANSLATE(B407,""ar"",""en"")"),"Chevrolet")</f>
        <v>Chevrolet</v>
      </c>
      <c r="F407" s="19" t="str">
        <f ca="1">IFERROR(__xludf.DUMMYFUNCTION("GOOGLETRANSLATE(C407,""ar"",""en"")"),"Tahoe four -wheel drive")</f>
        <v>Tahoe four -wheel drive</v>
      </c>
      <c r="G407" t="e">
        <f ca="1">VLOOKUP(F:F,matching_transelated_with_ref!A:C,2,0)</f>
        <v>#N/A</v>
      </c>
      <c r="H407" t="e">
        <f>VLOOKUP(C:C,Sheet4!A:C,2,0)</f>
        <v>#N/A</v>
      </c>
    </row>
    <row r="408" spans="1:8" ht="14.4">
      <c r="A408" s="18" t="s">
        <v>53</v>
      </c>
      <c r="B408" s="18" t="s">
        <v>57</v>
      </c>
      <c r="C408" s="18" t="s">
        <v>1093</v>
      </c>
      <c r="D408" s="19" t="str">
        <f ca="1">IFERROR(__xludf.DUMMYFUNCTION("GOOGLETRANSLATE(A408, ""ar"", ""en"")"),"General Motors")</f>
        <v>General Motors</v>
      </c>
      <c r="E408" s="19" t="str">
        <f ca="1">IFERROR(__xludf.DUMMYFUNCTION("GOOGLETRANSLATE(B408,""ar"",""en"")"),"GMC")</f>
        <v>GMC</v>
      </c>
      <c r="F408" s="19" t="str">
        <f ca="1">IFERROR(__xludf.DUMMYFUNCTION("GOOGLETRANSLATE(C408,""ar"",""en"")"),"Yukon backpack")</f>
        <v>Yukon backpack</v>
      </c>
      <c r="G408" t="e">
        <f ca="1">VLOOKUP(F:F,matching_transelated_with_ref!A:C,2,0)</f>
        <v>#N/A</v>
      </c>
      <c r="H408" t="e">
        <f>VLOOKUP(C:C,Sheet4!A:C,2,0)</f>
        <v>#N/A</v>
      </c>
    </row>
    <row r="409" spans="1:8" ht="14.4">
      <c r="A409" s="18" t="s">
        <v>53</v>
      </c>
      <c r="B409" s="18" t="s">
        <v>57</v>
      </c>
      <c r="C409" s="18" t="s">
        <v>884</v>
      </c>
      <c r="D409" s="19" t="str">
        <f ca="1">IFERROR(__xludf.DUMMYFUNCTION("GOOGLETRANSLATE(A409, ""ar"", ""en"")"),"General Motors")</f>
        <v>General Motors</v>
      </c>
      <c r="E409" s="19" t="str">
        <f ca="1">IFERROR(__xludf.DUMMYFUNCTION("GOOGLETRANSLATE(B409,""ar"",""en"")"),"GMC")</f>
        <v>GMC</v>
      </c>
      <c r="F409" s="19" t="str">
        <f ca="1">IFERROR(__xludf.DUMMYFUNCTION("GOOGLETRANSLATE(C409,""ar"",""en"")"),"Sierra")</f>
        <v>Sierra</v>
      </c>
      <c r="G409" t="e">
        <f ca="1">VLOOKUP(F:F,matching_transelated_with_ref!A:C,2,0)</f>
        <v>#N/A</v>
      </c>
      <c r="H409" t="str">
        <f>VLOOKUP(C:C,Sheet4!A:C,2,0)</f>
        <v>سييرا - غمارة - V8- 5.3L</v>
      </c>
    </row>
    <row r="410" spans="1:8" ht="14.4">
      <c r="A410" s="18" t="s">
        <v>53</v>
      </c>
      <c r="B410" s="18" t="s">
        <v>57</v>
      </c>
      <c r="C410" s="18" t="s">
        <v>611</v>
      </c>
      <c r="D410" s="19" t="str">
        <f ca="1">IFERROR(__xludf.DUMMYFUNCTION("GOOGLETRANSLATE(A410, ""ar"", ""en"")"),"General Motors")</f>
        <v>General Motors</v>
      </c>
      <c r="E410" s="19" t="str">
        <f ca="1">IFERROR(__xludf.DUMMYFUNCTION("GOOGLETRANSLATE(B410,""ar"",""en"")"),"GMC")</f>
        <v>GMC</v>
      </c>
      <c r="F410" s="19" t="str">
        <f ca="1">IFERROR(__xludf.DUMMYFUNCTION("GOOGLETRANSLATE(C410,""ar"",""en"")"),"Yukon 4 x 4")</f>
        <v>Yukon 4 x 4</v>
      </c>
      <c r="G410" t="e">
        <f ca="1">VLOOKUP(F:F,matching_transelated_with_ref!A:C,2,0)</f>
        <v>#N/A</v>
      </c>
      <c r="H410" t="e">
        <f>VLOOKUP(C:C,Sheet4!A:C,2,0)</f>
        <v>#N/A</v>
      </c>
    </row>
    <row r="411" spans="1:8" ht="14.4">
      <c r="A411" s="18" t="s">
        <v>53</v>
      </c>
      <c r="B411" s="18" t="s">
        <v>57</v>
      </c>
      <c r="C411" s="18" t="s">
        <v>263</v>
      </c>
      <c r="D411" s="19" t="str">
        <f ca="1">IFERROR(__xludf.DUMMYFUNCTION("GOOGLETRANSLATE(A411, ""ar"", ""en"")"),"General Motors")</f>
        <v>General Motors</v>
      </c>
      <c r="E411" s="19" t="str">
        <f ca="1">IFERROR(__xludf.DUMMYFUNCTION("GOOGLETRANSLATE(B411,""ar"",""en"")"),"GMC")</f>
        <v>GMC</v>
      </c>
      <c r="F411" s="19" t="str">
        <f ca="1">IFERROR(__xludf.DUMMYFUNCTION("GOOGLETRANSLATE(C411,""ar"",""en"")"),"XL 4 x 4")</f>
        <v>XL 4 x 4</v>
      </c>
      <c r="G411" t="e">
        <f ca="1">VLOOKUP(F:F,matching_transelated_with_ref!A:C,2,0)</f>
        <v>#N/A</v>
      </c>
      <c r="H411" t="e">
        <f>VLOOKUP(C:C,Sheet4!A:C,2,0)</f>
        <v>#N/A</v>
      </c>
    </row>
    <row r="412" spans="1:8" ht="14.4">
      <c r="A412" s="18" t="s">
        <v>53</v>
      </c>
      <c r="B412" s="18" t="s">
        <v>276</v>
      </c>
      <c r="C412" s="18" t="s">
        <v>1355</v>
      </c>
      <c r="D412" s="19" t="str">
        <f ca="1">IFERROR(__xludf.DUMMYFUNCTION("GOOGLETRANSLATE(A412, ""ar"", ""en"")"),"General Motors")</f>
        <v>General Motors</v>
      </c>
      <c r="E412" s="19" t="str">
        <f ca="1">IFERROR(__xludf.DUMMYFUNCTION("GOOGLETRANSLATE(B412,""ar"",""en"")"),"Chevrolet")</f>
        <v>Chevrolet</v>
      </c>
      <c r="F412" s="19" t="str">
        <f ca="1">IFERROR(__xludf.DUMMYFUNCTION("GOOGLETRANSLATE(C412,""ar"",""en"")"),"Tahoe backpack 5.3")</f>
        <v>Tahoe backpack 5.3</v>
      </c>
      <c r="G412" t="e">
        <f ca="1">VLOOKUP(F:F,matching_transelated_with_ref!A:C,2,0)</f>
        <v>#N/A</v>
      </c>
      <c r="H412">
        <f>VLOOKUP(C:C,Sheet4!A:C,2,0)</f>
        <v>3</v>
      </c>
    </row>
    <row r="413" spans="1:8" ht="14.4">
      <c r="A413" s="18" t="s">
        <v>53</v>
      </c>
      <c r="B413" s="18" t="s">
        <v>57</v>
      </c>
      <c r="C413" s="18" t="s">
        <v>608</v>
      </c>
      <c r="D413" s="19" t="str">
        <f ca="1">IFERROR(__xludf.DUMMYFUNCTION("GOOGLETRANSLATE(A413, ""ar"", ""en"")"),"General Motors")</f>
        <v>General Motors</v>
      </c>
      <c r="E413" s="19" t="str">
        <f ca="1">IFERROR(__xludf.DUMMYFUNCTION("GOOGLETRANSLATE(B413,""ar"",""en"")"),"GMC")</f>
        <v>GMC</v>
      </c>
      <c r="F413" s="19" t="str">
        <f ca="1">IFERROR(__xludf.DUMMYFUNCTION("GOOGLETRANSLATE(C413,""ar"",""en"")"),"Sierra four -wheel drive")</f>
        <v>Sierra four -wheel drive</v>
      </c>
      <c r="G413" t="e">
        <f ca="1">VLOOKUP(F:F,matching_transelated_with_ref!A:C,2,0)</f>
        <v>#N/A</v>
      </c>
      <c r="H413" t="e">
        <f>VLOOKUP(C:C,Sheet4!A:C,2,0)</f>
        <v>#N/A</v>
      </c>
    </row>
    <row r="414" spans="1:8" ht="14.4">
      <c r="A414" s="18" t="s">
        <v>53</v>
      </c>
      <c r="B414" s="18" t="s">
        <v>276</v>
      </c>
      <c r="C414" s="18" t="s">
        <v>1102</v>
      </c>
      <c r="D414" s="19" t="str">
        <f ca="1">IFERROR(__xludf.DUMMYFUNCTION("GOOGLETRANSLATE(A414, ""ar"", ""en"")"),"General Motors")</f>
        <v>General Motors</v>
      </c>
      <c r="E414" s="19" t="str">
        <f ca="1">IFERROR(__xludf.DUMMYFUNCTION("GOOGLETRANSLATE(B414,""ar"",""en"")"),"Chevrolet")</f>
        <v>Chevrolet</v>
      </c>
      <c r="F414" s="19" t="str">
        <f ca="1">IFERROR(__xludf.DUMMYFUNCTION("GOOGLETRANSLATE(C414,""ar"",""en"")"),"Tahoe backpack")</f>
        <v>Tahoe backpack</v>
      </c>
      <c r="G414" t="e">
        <f ca="1">VLOOKUP(F:F,matching_transelated_with_ref!A:C,2,0)</f>
        <v>#N/A</v>
      </c>
      <c r="H414" t="e">
        <f>VLOOKUP(C:C,Sheet4!A:C,2,0)</f>
        <v>#N/A</v>
      </c>
    </row>
    <row r="415" spans="1:8" ht="14.4">
      <c r="A415" s="18" t="s">
        <v>53</v>
      </c>
      <c r="B415" s="18" t="s">
        <v>57</v>
      </c>
      <c r="C415" s="18" t="s">
        <v>1097</v>
      </c>
      <c r="D415" s="19" t="str">
        <f ca="1">IFERROR(__xludf.DUMMYFUNCTION("GOOGLETRANSLATE(A415, ""ar"", ""en"")"),"General Motors")</f>
        <v>General Motors</v>
      </c>
      <c r="E415" s="19" t="str">
        <f ca="1">IFERROR(__xludf.DUMMYFUNCTION("GOOGLETRANSLATE(B415,""ar"",""en"")"),"GMC")</f>
        <v>GMC</v>
      </c>
      <c r="F415" s="19" t="str">
        <f ca="1">IFERROR(__xludf.DUMMYFUNCTION("GOOGLETRANSLATE(C415,""ar"",""en"")"),"Yukon Denali XL")</f>
        <v>Yukon Denali XL</v>
      </c>
      <c r="G415" t="e">
        <f ca="1">VLOOKUP(F:F,matching_transelated_with_ref!A:C,2,0)</f>
        <v>#N/A</v>
      </c>
      <c r="H415" t="e">
        <f>VLOOKUP(C:C,Sheet4!A:C,2,0)</f>
        <v>#N/A</v>
      </c>
    </row>
    <row r="416" spans="1:8" ht="14.4">
      <c r="A416" s="18" t="s">
        <v>53</v>
      </c>
      <c r="B416" s="18" t="s">
        <v>54</v>
      </c>
      <c r="C416" s="18" t="s">
        <v>298</v>
      </c>
      <c r="D416" s="19" t="str">
        <f ca="1">IFERROR(__xludf.DUMMYFUNCTION("GOOGLETRANSLATE(A416, ""ar"", ""en"")"),"General Motors")</f>
        <v>General Motors</v>
      </c>
      <c r="E416" s="19" t="str">
        <f ca="1">IFERROR(__xludf.DUMMYFUNCTION("GOOGLETRANSLATE(B416,""ar"",""en"")"),"Cadillac")</f>
        <v>Cadillac</v>
      </c>
      <c r="F416" s="19" t="str">
        <f ca="1">IFERROR(__xludf.DUMMYFUNCTION("GOOGLETRANSLATE(C416,""ar"",""en"")"),"CT 6")</f>
        <v>CT 6</v>
      </c>
      <c r="G416" t="str">
        <f ca="1">VLOOKUP(F:F,matching_transelated_with_ref!A:C,2,0)</f>
        <v>CT6</v>
      </c>
      <c r="H416">
        <f>VLOOKUP(C:C,Sheet4!A:C,2,0)</f>
        <v>6</v>
      </c>
    </row>
    <row r="417" spans="1:8" ht="14.4">
      <c r="A417" s="18" t="s">
        <v>53</v>
      </c>
      <c r="B417" s="18" t="s">
        <v>57</v>
      </c>
      <c r="C417" s="18" t="s">
        <v>262</v>
      </c>
      <c r="D417" s="19" t="str">
        <f ca="1">IFERROR(__xludf.DUMMYFUNCTION("GOOGLETRANSLATE(A417, ""ar"", ""en"")"),"General Motors")</f>
        <v>General Motors</v>
      </c>
      <c r="E417" s="19" t="str">
        <f ca="1">IFERROR(__xludf.DUMMYFUNCTION("GOOGLETRANSLATE(B417,""ar"",""en"")"),"GMC")</f>
        <v>GMC</v>
      </c>
      <c r="F417" s="19" t="str">
        <f ca="1">IFERROR(__xludf.DUMMYFUNCTION("GOOGLETRANSLATE(C417,""ar"",""en"")"),"XL 4 x 2")</f>
        <v>XL 4 x 2</v>
      </c>
      <c r="G417" t="e">
        <f ca="1">VLOOKUP(F:F,matching_transelated_with_ref!A:C,2,0)</f>
        <v>#N/A</v>
      </c>
      <c r="H417" t="e">
        <f>VLOOKUP(C:C,Sheet4!A:C,2,0)</f>
        <v>#N/A</v>
      </c>
    </row>
    <row r="418" spans="1:8" ht="14.4">
      <c r="A418" s="18" t="s">
        <v>53</v>
      </c>
      <c r="B418" s="18" t="s">
        <v>276</v>
      </c>
      <c r="C418" s="18" t="s">
        <v>1105</v>
      </c>
      <c r="D418" s="19" t="str">
        <f ca="1">IFERROR(__xludf.DUMMYFUNCTION("GOOGLETRANSLATE(A418, ""ar"", ""en"")"),"General Motors")</f>
        <v>General Motors</v>
      </c>
      <c r="E418" s="19" t="str">
        <f ca="1">IFERROR(__xludf.DUMMYFUNCTION("GOOGLETRANSLATE(B418,""ar"",""en"")"),"Chevrolet")</f>
        <v>Chevrolet</v>
      </c>
      <c r="F418" s="19" t="str">
        <f ca="1">IFERROR(__xludf.DUMMYFUNCTION("GOOGLETRANSLATE(C418,""ar"",""en"")"),"Superbian four -wheel drive")</f>
        <v>Superbian four -wheel drive</v>
      </c>
      <c r="G418" t="e">
        <f ca="1">VLOOKUP(F:F,matching_transelated_with_ref!A:C,2,0)</f>
        <v>#N/A</v>
      </c>
      <c r="H418" t="str">
        <f>VLOOKUP(C:C,Sheet4!A:C,2,0)</f>
        <v xml:space="preserve"> سوبربان </v>
      </c>
    </row>
    <row r="419" spans="1:8" ht="14.4">
      <c r="A419" s="18" t="s">
        <v>53</v>
      </c>
      <c r="B419" s="18" t="s">
        <v>276</v>
      </c>
      <c r="C419" s="18" t="s">
        <v>621</v>
      </c>
      <c r="D419" s="19" t="str">
        <f ca="1">IFERROR(__xludf.DUMMYFUNCTION("GOOGLETRANSLATE(A419, ""ar"", ""en"")"),"General Motors")</f>
        <v>General Motors</v>
      </c>
      <c r="E419" s="19" t="str">
        <f ca="1">IFERROR(__xludf.DUMMYFUNCTION("GOOGLETRANSLATE(B419,""ar"",""en"")"),"Chevrolet")</f>
        <v>Chevrolet</v>
      </c>
      <c r="F419" s="19" t="str">
        <f ca="1">IFERROR(__xludf.DUMMYFUNCTION("GOOGLETRANSLATE(C419,""ar"",""en"")"),"Super Ban 4 x 4")</f>
        <v>Super Ban 4 x 4</v>
      </c>
      <c r="G419" t="e">
        <f ca="1">VLOOKUP(F:F,matching_transelated_with_ref!A:C,2,0)</f>
        <v>#N/A</v>
      </c>
      <c r="H419" t="str">
        <f>VLOOKUP(C:C,Sheet4!A:C,2,0)</f>
        <v>سوبربان  4X4</v>
      </c>
    </row>
    <row r="420" spans="1:8" ht="14.4">
      <c r="A420" s="18" t="s">
        <v>53</v>
      </c>
      <c r="B420" s="18" t="s">
        <v>57</v>
      </c>
      <c r="C420" s="18" t="s">
        <v>613</v>
      </c>
      <c r="D420" s="19" t="str">
        <f ca="1">IFERROR(__xludf.DUMMYFUNCTION("GOOGLETRANSLATE(A420, ""ar"", ""en"")"),"General Motors")</f>
        <v>General Motors</v>
      </c>
      <c r="E420" s="19" t="str">
        <f ca="1">IFERROR(__xludf.DUMMYFUNCTION("GOOGLETRANSLATE(B420,""ar"",""en"")"),"GMC")</f>
        <v>GMC</v>
      </c>
      <c r="F420" s="19" t="str">
        <f ca="1">IFERROR(__xludf.DUMMYFUNCTION("GOOGLETRANSLATE(C420,""ar"",""en"")"),"Yukon XL 4 x 4")</f>
        <v>Yukon XL 4 x 4</v>
      </c>
      <c r="G420" t="e">
        <f ca="1">VLOOKUP(F:F,matching_transelated_with_ref!A:C,2,0)</f>
        <v>#N/A</v>
      </c>
      <c r="H420" t="e">
        <f>VLOOKUP(C:C,Sheet4!A:C,2,0)</f>
        <v>#N/A</v>
      </c>
    </row>
    <row r="421" spans="1:8" ht="14.4">
      <c r="A421" s="18" t="s">
        <v>53</v>
      </c>
      <c r="B421" s="18" t="s">
        <v>57</v>
      </c>
      <c r="C421" s="18" t="s">
        <v>612</v>
      </c>
      <c r="D421" s="19" t="str">
        <f ca="1">IFERROR(__xludf.DUMMYFUNCTION("GOOGLETRANSLATE(A421, ""ar"", ""en"")"),"General Motors")</f>
        <v>General Motors</v>
      </c>
      <c r="E421" s="19" t="str">
        <f ca="1">IFERROR(__xludf.DUMMYFUNCTION("GOOGLETRANSLATE(B421,""ar"",""en"")"),"GMC")</f>
        <v>GMC</v>
      </c>
      <c r="F421" s="19" t="str">
        <f ca="1">IFERROR(__xludf.DUMMYFUNCTION("GOOGLETRANSLATE(C421,""ar"",""en"")"),"Yukon XL 4 x 2")</f>
        <v>Yukon XL 4 x 2</v>
      </c>
      <c r="G421" t="e">
        <f ca="1">VLOOKUP(F:F,matching_transelated_with_ref!A:C,2,0)</f>
        <v>#N/A</v>
      </c>
      <c r="H421" t="e">
        <f>VLOOKUP(C:C,Sheet4!A:C,2,0)</f>
        <v>#N/A</v>
      </c>
    </row>
    <row r="422" spans="1:8" ht="14.4">
      <c r="A422" s="18" t="s">
        <v>53</v>
      </c>
      <c r="B422" s="18" t="s">
        <v>276</v>
      </c>
      <c r="C422" s="18" t="s">
        <v>889</v>
      </c>
      <c r="D422" s="19" t="str">
        <f ca="1">IFERROR(__xludf.DUMMYFUNCTION("GOOGLETRANSLATE(A422, ""ar"", ""en"")"),"General Motors")</f>
        <v>General Motors</v>
      </c>
      <c r="E422" s="19" t="str">
        <f ca="1">IFERROR(__xludf.DUMMYFUNCTION("GOOGLETRANSLATE(B422,""ar"",""en"")"),"Chevrolet")</f>
        <v>Chevrolet</v>
      </c>
      <c r="F422" s="19" t="str">
        <f ca="1">IFERROR(__xludf.DUMMYFUNCTION("GOOGLETRANSLATE(C422,""ar"",""en"")"),"Silverado four -wheel drive")</f>
        <v>Silverado four -wheel drive</v>
      </c>
      <c r="G422" t="e">
        <f ca="1">VLOOKUP(F:F,matching_transelated_with_ref!A:C,2,0)</f>
        <v>#N/A</v>
      </c>
      <c r="H422" t="e">
        <f>VLOOKUP(C:C,Sheet4!A:C,2,0)</f>
        <v>#N/A</v>
      </c>
    </row>
    <row r="423" spans="1:8" ht="14.4">
      <c r="A423" s="18" t="s">
        <v>53</v>
      </c>
      <c r="B423" s="18" t="s">
        <v>276</v>
      </c>
      <c r="C423" s="18" t="s">
        <v>1360</v>
      </c>
      <c r="D423" s="19" t="str">
        <f ca="1">IFERROR(__xludf.DUMMYFUNCTION("GOOGLETRANSLATE(A423, ""ar"", ""en"")"),"General Motors")</f>
        <v>General Motors</v>
      </c>
      <c r="E423" s="19" t="str">
        <f ca="1">IFERROR(__xludf.DUMMYFUNCTION("GOOGLETRANSLATE(B423,""ar"",""en"")"),"Chevrolet")</f>
        <v>Chevrolet</v>
      </c>
      <c r="F423" s="19" t="str">
        <f ca="1">IFERROR(__xludf.DUMMYFUNCTION("GOOGLETRANSLATE(C423,""ar"",""en"")"),"Travelers Premier pushed Lord")</f>
        <v>Travelers Premier pushed Lord</v>
      </c>
      <c r="G423" t="e">
        <f ca="1">VLOOKUP(F:F,matching_transelated_with_ref!A:C,2,0)</f>
        <v>#N/A</v>
      </c>
      <c r="H423" t="str">
        <f>VLOOKUP(C:C,Sheet4!A:C,2,0)</f>
        <v xml:space="preserve"> ترافرس</v>
      </c>
    </row>
    <row r="424" spans="1:8" ht="14.4">
      <c r="A424" s="18" t="s">
        <v>53</v>
      </c>
      <c r="B424" s="18" t="s">
        <v>54</v>
      </c>
      <c r="C424" s="18" t="s">
        <v>890</v>
      </c>
      <c r="D424" s="19" t="str">
        <f ca="1">IFERROR(__xludf.DUMMYFUNCTION("GOOGLETRANSLATE(A424, ""ar"", ""en"")"),"General Motors")</f>
        <v>General Motors</v>
      </c>
      <c r="E424" s="19" t="str">
        <f ca="1">IFERROR(__xludf.DUMMYFUNCTION("GOOGLETRANSLATE(B424,""ar"",""en"")"),"Cadillac")</f>
        <v>Cadillac</v>
      </c>
      <c r="F424" s="19" t="str">
        <f ca="1">IFERROR(__xludf.DUMMYFUNCTION("GOOGLETRANSLATE(C424,""ar"",""en"")"),"XT6")</f>
        <v>XT6</v>
      </c>
      <c r="G424" t="str">
        <f ca="1">VLOOKUP(F:F,matching_transelated_with_ref!A:C,2,0)</f>
        <v xml:space="preserve"> XT6</v>
      </c>
      <c r="H424" t="e">
        <f>VLOOKUP(C:C,Sheet4!A:C,2,0)</f>
        <v>#N/A</v>
      </c>
    </row>
    <row r="425" spans="1:8" ht="14.4">
      <c r="A425" s="18" t="s">
        <v>53</v>
      </c>
      <c r="B425" s="18" t="s">
        <v>54</v>
      </c>
      <c r="C425" s="18" t="s">
        <v>296</v>
      </c>
      <c r="D425" s="19" t="str">
        <f ca="1">IFERROR(__xludf.DUMMYFUNCTION("GOOGLETRANSLATE(A425, ""ar"", ""en"")"),"General Motors")</f>
        <v>General Motors</v>
      </c>
      <c r="E425" s="19" t="str">
        <f ca="1">IFERROR(__xludf.DUMMYFUNCTION("GOOGLETRANSLATE(B425,""ar"",""en"")"),"Cadillac")</f>
        <v>Cadillac</v>
      </c>
      <c r="F425" s="19" t="str">
        <f ca="1">IFERROR(__xludf.DUMMYFUNCTION("GOOGLETRANSLATE(C425,""ar"",""en"")"),"XT 5")</f>
        <v>XT 5</v>
      </c>
      <c r="G425" t="str">
        <f ca="1">VLOOKUP(F:F,matching_transelated_with_ref!A:C,2,0)</f>
        <v xml:space="preserve"> XT5</v>
      </c>
      <c r="H425" t="e">
        <f>VLOOKUP(C:C,Sheet4!A:C,2,0)</f>
        <v>#N/A</v>
      </c>
    </row>
    <row r="426" spans="1:8" ht="14.4">
      <c r="A426" s="18" t="s">
        <v>53</v>
      </c>
      <c r="B426" s="18" t="s">
        <v>276</v>
      </c>
      <c r="C426" s="18" t="s">
        <v>284</v>
      </c>
      <c r="D426" s="19" t="str">
        <f ca="1">IFERROR(__xludf.DUMMYFUNCTION("GOOGLETRANSLATE(A426, ""ar"", ""en"")"),"General Motors")</f>
        <v>General Motors</v>
      </c>
      <c r="E426" s="19" t="str">
        <f ca="1">IFERROR(__xludf.DUMMYFUNCTION("GOOGLETRANSLATE(B426,""ar"",""en"")"),"Chevrolet")</f>
        <v>Chevrolet</v>
      </c>
      <c r="F426" s="19" t="str">
        <f ca="1">IFERROR(__xludf.DUMMYFUNCTION("GOOGLETRANSLATE(C426,""ar"",""en"")"),"Tahoe 4 x 4")</f>
        <v>Tahoe 4 x 4</v>
      </c>
      <c r="G426" t="e">
        <f ca="1">VLOOKUP(F:F,matching_transelated_with_ref!A:C,2,0)</f>
        <v>#N/A</v>
      </c>
      <c r="H426" t="str">
        <f>VLOOKUP(C:C,Sheet4!A:C,2,0)</f>
        <v xml:space="preserve"> تاهو 4X4</v>
      </c>
    </row>
    <row r="427" spans="1:8" ht="14.4">
      <c r="A427" s="18" t="s">
        <v>53</v>
      </c>
      <c r="B427" s="18" t="s">
        <v>57</v>
      </c>
      <c r="C427" s="18" t="s">
        <v>271</v>
      </c>
      <c r="D427" s="19" t="str">
        <f ca="1">IFERROR(__xludf.DUMMYFUNCTION("GOOGLETRANSLATE(A427, ""ar"", ""en"")"),"General Motors")</f>
        <v>General Motors</v>
      </c>
      <c r="E427" s="19" t="str">
        <f ca="1">IFERROR(__xludf.DUMMYFUNCTION("GOOGLETRANSLATE(B427,""ar"",""en"")"),"GMC")</f>
        <v>GMC</v>
      </c>
      <c r="F427" s="19" t="str">
        <f ca="1">IFERROR(__xludf.DUMMYFUNCTION("GOOGLETRANSLATE(C427,""ar"",""en"")"),"Yukon XL")</f>
        <v>Yukon XL</v>
      </c>
      <c r="G427" t="e">
        <f ca="1">VLOOKUP(F:F,matching_transelated_with_ref!A:C,2,0)</f>
        <v>#N/A</v>
      </c>
      <c r="H427" t="e">
        <f>VLOOKUP(C:C,Sheet4!A:C,2,0)</f>
        <v>#N/A</v>
      </c>
    </row>
    <row r="428" spans="1:8" ht="14.4">
      <c r="A428" s="18" t="s">
        <v>53</v>
      </c>
      <c r="B428" s="18" t="s">
        <v>57</v>
      </c>
      <c r="C428" s="18" t="s">
        <v>610</v>
      </c>
      <c r="D428" s="19" t="str">
        <f ca="1">IFERROR(__xludf.DUMMYFUNCTION("GOOGLETRANSLATE(A428, ""ar"", ""en"")"),"General Motors")</f>
        <v>General Motors</v>
      </c>
      <c r="E428" s="19" t="str">
        <f ca="1">IFERROR(__xludf.DUMMYFUNCTION("GOOGLETRANSLATE(B428,""ar"",""en"")"),"GMC")</f>
        <v>GMC</v>
      </c>
      <c r="F428" s="19" t="str">
        <f ca="1">IFERROR(__xludf.DUMMYFUNCTION("GOOGLETRANSLATE(C428,""ar"",""en"")"),"Yukon 4 x 2")</f>
        <v>Yukon 4 x 2</v>
      </c>
      <c r="G428" t="e">
        <f ca="1">VLOOKUP(F:F,matching_transelated_with_ref!A:C,2,0)</f>
        <v>#N/A</v>
      </c>
      <c r="H428" t="e">
        <f>VLOOKUP(C:C,Sheet4!A:C,2,0)</f>
        <v>#N/A</v>
      </c>
    </row>
    <row r="429" spans="1:8" ht="14.4">
      <c r="A429" s="18" t="s">
        <v>53</v>
      </c>
      <c r="B429" s="18" t="s">
        <v>276</v>
      </c>
      <c r="C429" s="18" t="s">
        <v>289</v>
      </c>
      <c r="D429" s="19" t="str">
        <f ca="1">IFERROR(__xludf.DUMMYFUNCTION("GOOGLETRANSLATE(A429, ""ar"", ""en"")"),"General Motors")</f>
        <v>General Motors</v>
      </c>
      <c r="E429" s="19" t="str">
        <f ca="1">IFERROR(__xludf.DUMMYFUNCTION("GOOGLETRANSLATE(B429,""ar"",""en"")"),"Chevrolet")</f>
        <v>Chevrolet</v>
      </c>
      <c r="F429" s="19" t="str">
        <f ca="1">IFERROR(__xludf.DUMMYFUNCTION("GOOGLETRANSLATE(C429,""ar"",""en"")"),"Supban 1500 4*4")</f>
        <v>Supban 1500 4*4</v>
      </c>
      <c r="G429" t="e">
        <f ca="1">VLOOKUP(F:F,matching_transelated_with_ref!A:C,2,0)</f>
        <v>#N/A</v>
      </c>
      <c r="H429" t="str">
        <f>VLOOKUP(C:C,Sheet4!A:C,2,0)</f>
        <v xml:space="preserve"> سوبربان </v>
      </c>
    </row>
    <row r="430" spans="1:8" ht="14.4">
      <c r="A430" s="18" t="s">
        <v>53</v>
      </c>
      <c r="B430" s="18" t="s">
        <v>276</v>
      </c>
      <c r="C430" s="18" t="s">
        <v>1354</v>
      </c>
      <c r="D430" s="19" t="str">
        <f ca="1">IFERROR(__xludf.DUMMYFUNCTION("GOOGLETRANSLATE(A430, ""ar"", ""en"")"),"General Motors")</f>
        <v>General Motors</v>
      </c>
      <c r="E430" s="19" t="str">
        <f ca="1">IFERROR(__xludf.DUMMYFUNCTION("GOOGLETRANSLATE(B430,""ar"",""en"")"),"Chevrolet")</f>
        <v>Chevrolet</v>
      </c>
      <c r="F430" s="19" t="str">
        <f ca="1">IFERROR(__xludf.DUMMYFUNCTION("GOOGLETRANSLATE(C430,""ar"",""en"")"),"Bill butz four -wheel drive")</f>
        <v>Bill butz four -wheel drive</v>
      </c>
      <c r="G430" t="e">
        <f ca="1">VLOOKUP(F:F,matching_transelated_with_ref!A:C,2,0)</f>
        <v>#N/A</v>
      </c>
      <c r="H430" t="str">
        <f>VLOOKUP(C:C,Sheet4!A:C,2,0)</f>
        <v xml:space="preserve"> بليزر </v>
      </c>
    </row>
    <row r="431" spans="1:8" ht="14.4">
      <c r="A431" s="18" t="s">
        <v>53</v>
      </c>
      <c r="B431" s="18" t="s">
        <v>276</v>
      </c>
      <c r="C431" s="18" t="s">
        <v>620</v>
      </c>
      <c r="D431" s="19" t="str">
        <f ca="1">IFERROR(__xludf.DUMMYFUNCTION("GOOGLETRANSLATE(A431, ""ar"", ""en"")"),"General Motors")</f>
        <v>General Motors</v>
      </c>
      <c r="E431" s="19" t="str">
        <f ca="1">IFERROR(__xludf.DUMMYFUNCTION("GOOGLETRANSLATE(B431,""ar"",""en"")"),"Chevrolet")</f>
        <v>Chevrolet</v>
      </c>
      <c r="F431" s="19" t="str">
        <f ca="1">IFERROR(__xludf.DUMMYFUNCTION("GOOGLETRANSLATE(C431,""ar"",""en"")"),"Superman")</f>
        <v>Superman</v>
      </c>
      <c r="G431" t="e">
        <f ca="1">VLOOKUP(F:F,matching_transelated_with_ref!A:C,2,0)</f>
        <v>#N/A</v>
      </c>
      <c r="H431" t="str">
        <f>VLOOKUP(C:C,Sheet4!A:C,2,0)</f>
        <v xml:space="preserve"> سوبربان </v>
      </c>
    </row>
    <row r="432" spans="1:8" ht="14.4">
      <c r="A432" s="18" t="s">
        <v>53</v>
      </c>
      <c r="B432" s="18" t="s">
        <v>276</v>
      </c>
      <c r="C432" s="18" t="s">
        <v>616</v>
      </c>
      <c r="D432" s="19" t="str">
        <f ca="1">IFERROR(__xludf.DUMMYFUNCTION("GOOGLETRANSLATE(A432, ""ar"", ""en"")"),"General Motors")</f>
        <v>General Motors</v>
      </c>
      <c r="E432" s="19" t="str">
        <f ca="1">IFERROR(__xludf.DUMMYFUNCTION("GOOGLETRANSLATE(B432,""ar"",""en"")"),"Chevrolet")</f>
        <v>Chevrolet</v>
      </c>
      <c r="F432" s="19" t="str">
        <f ca="1">IFERROR(__xludf.DUMMYFUNCTION("GOOGLETRANSLATE(C432,""ar"",""en"")"),"Tahoe 4 x 2")</f>
        <v>Tahoe 4 x 2</v>
      </c>
      <c r="G432" t="e">
        <f ca="1">VLOOKUP(F:F,matching_transelated_with_ref!A:C,2,0)</f>
        <v>#N/A</v>
      </c>
      <c r="H432" t="str">
        <f>VLOOKUP(C:C,Sheet4!A:C,2,0)</f>
        <v xml:space="preserve"> تاهو 4X2</v>
      </c>
    </row>
    <row r="433" spans="1:8" ht="14.4">
      <c r="A433" s="18" t="s">
        <v>53</v>
      </c>
      <c r="B433" s="18" t="s">
        <v>57</v>
      </c>
      <c r="C433" s="18" t="s">
        <v>609</v>
      </c>
      <c r="D433" s="19" t="str">
        <f ca="1">IFERROR(__xludf.DUMMYFUNCTION("GOOGLETRANSLATE(A433, ""ar"", ""en"")"),"General Motors")</f>
        <v>General Motors</v>
      </c>
      <c r="E433" s="19" t="str">
        <f ca="1">IFERROR(__xludf.DUMMYFUNCTION("GOOGLETRANSLATE(B433,""ar"",""en"")"),"GMC")</f>
        <v>GMC</v>
      </c>
      <c r="F433" s="19" t="str">
        <f ca="1">IFERROR(__xludf.DUMMYFUNCTION("GOOGLETRANSLATE(C433,""ar"",""en"")"),"Sierra 4 x 4")</f>
        <v>Sierra 4 x 4</v>
      </c>
      <c r="G433" t="e">
        <f ca="1">VLOOKUP(F:F,matching_transelated_with_ref!A:C,2,0)</f>
        <v>#N/A</v>
      </c>
      <c r="H433" t="e">
        <f>VLOOKUP(C:C,Sheet4!A:C,2,0)</f>
        <v>#N/A</v>
      </c>
    </row>
    <row r="434" spans="1:8" ht="14.4">
      <c r="A434" s="18" t="s">
        <v>53</v>
      </c>
      <c r="B434" s="18" t="s">
        <v>57</v>
      </c>
      <c r="C434" s="18" t="s">
        <v>273</v>
      </c>
      <c r="D434" s="19" t="str">
        <f ca="1">IFERROR(__xludf.DUMMYFUNCTION("GOOGLETRANSLATE(A434, ""ar"", ""en"")"),"General Motors")</f>
        <v>General Motors</v>
      </c>
      <c r="E434" s="19" t="str">
        <f ca="1">IFERROR(__xludf.DUMMYFUNCTION("GOOGLETRANSLATE(B434,""ar"",""en"")"),"GMC")</f>
        <v>GMC</v>
      </c>
      <c r="F434" s="19" t="str">
        <f ca="1">IFERROR(__xludf.DUMMYFUNCTION("GOOGLETRANSLATE(C434,""ar"",""en"")"),"Yukon 4*4")</f>
        <v>Yukon 4*4</v>
      </c>
      <c r="G434" t="e">
        <f ca="1">VLOOKUP(F:F,matching_transelated_with_ref!A:C,2,0)</f>
        <v>#N/A</v>
      </c>
      <c r="H434" t="e">
        <f>VLOOKUP(C:C,Sheet4!A:C,2,0)</f>
        <v>#N/A</v>
      </c>
    </row>
    <row r="435" spans="1:8" ht="14.4">
      <c r="A435" s="18" t="s">
        <v>53</v>
      </c>
      <c r="B435" s="18" t="s">
        <v>57</v>
      </c>
      <c r="C435" s="18" t="s">
        <v>272</v>
      </c>
      <c r="D435" s="19" t="str">
        <f ca="1">IFERROR(__xludf.DUMMYFUNCTION("GOOGLETRANSLATE(A435, ""ar"", ""en"")"),"General Motors")</f>
        <v>General Motors</v>
      </c>
      <c r="E435" s="19" t="str">
        <f ca="1">IFERROR(__xludf.DUMMYFUNCTION("GOOGLETRANSLATE(B435,""ar"",""en"")"),"GMC")</f>
        <v>GMC</v>
      </c>
      <c r="F435" s="19" t="str">
        <f ca="1">IFERROR(__xludf.DUMMYFUNCTION("GOOGLETRANSLATE(C435,""ar"",""en"")"),"Yukon 4*2")</f>
        <v>Yukon 4*2</v>
      </c>
      <c r="G435" t="e">
        <f ca="1">VLOOKUP(F:F,matching_transelated_with_ref!A:C,2,0)</f>
        <v>#N/A</v>
      </c>
      <c r="H435" t="e">
        <f>VLOOKUP(C:C,Sheet4!A:C,2,0)</f>
        <v>#N/A</v>
      </c>
    </row>
    <row r="436" spans="1:8" ht="14.4">
      <c r="A436" s="18" t="s">
        <v>53</v>
      </c>
      <c r="B436" s="18" t="s">
        <v>276</v>
      </c>
      <c r="C436" s="18" t="s">
        <v>887</v>
      </c>
      <c r="D436" s="19" t="str">
        <f ca="1">IFERROR(__xludf.DUMMYFUNCTION("GOOGLETRANSLATE(A436, ""ar"", ""en"")"),"General Motors")</f>
        <v>General Motors</v>
      </c>
      <c r="E436" s="19" t="str">
        <f ca="1">IFERROR(__xludf.DUMMYFUNCTION("GOOGLETRANSLATE(B436,""ar"",""en"")"),"Chevrolet")</f>
        <v>Chevrolet</v>
      </c>
      <c r="F436" s="19" t="str">
        <f ca="1">IFERROR(__xludf.DUMMYFUNCTION("GOOGLETRANSLATE(C436,""ar"",""en"")"),"Tahoe RST 4 x 4")</f>
        <v>Tahoe RST 4 x 4</v>
      </c>
      <c r="G436" t="e">
        <f ca="1">VLOOKUP(F:F,matching_transelated_with_ref!A:C,2,0)</f>
        <v>#N/A</v>
      </c>
      <c r="H436" t="str">
        <f>VLOOKUP(C:C,Sheet4!A:C,2,0)</f>
        <v xml:space="preserve"> تاهو 4X4</v>
      </c>
    </row>
    <row r="437" spans="1:8" ht="14.4">
      <c r="A437" s="18" t="s">
        <v>53</v>
      </c>
      <c r="B437" s="18" t="s">
        <v>57</v>
      </c>
      <c r="C437" s="18" t="s">
        <v>270</v>
      </c>
      <c r="D437" s="19" t="str">
        <f ca="1">IFERROR(__xludf.DUMMYFUNCTION("GOOGLETRANSLATE(A437, ""ar"", ""en"")"),"General Motors")</f>
        <v>General Motors</v>
      </c>
      <c r="E437" s="19" t="str">
        <f ca="1">IFERROR(__xludf.DUMMYFUNCTION("GOOGLETRANSLATE(B437,""ar"",""en"")"),"GMC")</f>
        <v>GMC</v>
      </c>
      <c r="F437" s="19" t="str">
        <f ca="1">IFERROR(__xludf.DUMMYFUNCTION("GOOGLETRANSLATE(C437,""ar"",""en"")"),"Sea Bakb")</f>
        <v>Sea Bakb</v>
      </c>
      <c r="G437" t="e">
        <f ca="1">VLOOKUP(F:F,matching_transelated_with_ref!A:C,2,0)</f>
        <v>#N/A</v>
      </c>
      <c r="H437" t="e">
        <f>VLOOKUP(C:C,Sheet4!A:C,2,0)</f>
        <v>#N/A</v>
      </c>
    </row>
    <row r="438" spans="1:8" ht="14.4">
      <c r="A438" s="18" t="s">
        <v>53</v>
      </c>
      <c r="B438" s="18" t="s">
        <v>54</v>
      </c>
      <c r="C438" s="18" t="s">
        <v>892</v>
      </c>
      <c r="D438" s="19" t="str">
        <f ca="1">IFERROR(__xludf.DUMMYFUNCTION("GOOGLETRANSLATE(A438, ""ar"", ""en"")"),"General Motors")</f>
        <v>General Motors</v>
      </c>
      <c r="E438" s="19" t="str">
        <f ca="1">IFERROR(__xludf.DUMMYFUNCTION("GOOGLETRANSLATE(B438,""ar"",""en"")"),"Cadillac")</f>
        <v>Cadillac</v>
      </c>
      <c r="F438" s="19" t="str">
        <f ca="1">IFERROR(__xludf.DUMMYFUNCTION("GOOGLETRANSLATE(C438,""ar"",""en"")"),"CT 5")</f>
        <v>CT 5</v>
      </c>
      <c r="G438" t="str">
        <f ca="1">VLOOKUP(F:F,matching_transelated_with_ref!A:C,2,0)</f>
        <v xml:space="preserve"> CT5</v>
      </c>
      <c r="H438">
        <f>VLOOKUP(C:C,Sheet4!A:C,2,0)</f>
        <v>5</v>
      </c>
    </row>
    <row r="439" spans="1:8" ht="14.4">
      <c r="A439" s="18" t="s">
        <v>53</v>
      </c>
      <c r="B439" s="18" t="s">
        <v>276</v>
      </c>
      <c r="C439" s="18" t="s">
        <v>886</v>
      </c>
      <c r="D439" s="19" t="str">
        <f ca="1">IFERROR(__xludf.DUMMYFUNCTION("GOOGLETRANSLATE(A439, ""ar"", ""en"")"),"General Motors")</f>
        <v>General Motors</v>
      </c>
      <c r="E439" s="19" t="str">
        <f ca="1">IFERROR(__xludf.DUMMYFUNCTION("GOOGLETRANSLATE(B439,""ar"",""en"")"),"Chevrolet")</f>
        <v>Chevrolet</v>
      </c>
      <c r="F439" s="19" t="str">
        <f ca="1">IFERROR(__xludf.DUMMYFUNCTION("GOOGLETRANSLATE(C439,""ar"",""en"")"),"Tahoe RST")</f>
        <v>Tahoe RST</v>
      </c>
      <c r="G439" t="e">
        <f ca="1">VLOOKUP(F:F,matching_transelated_with_ref!A:C,2,0)</f>
        <v>#N/A</v>
      </c>
      <c r="H439" t="e">
        <f>VLOOKUP(C:C,Sheet4!A:C,2,0)</f>
        <v>#N/A</v>
      </c>
    </row>
    <row r="440" spans="1:8" ht="14.4">
      <c r="A440" s="18" t="s">
        <v>53</v>
      </c>
      <c r="B440" s="18" t="s">
        <v>54</v>
      </c>
      <c r="C440" s="18" t="s">
        <v>299</v>
      </c>
      <c r="D440" s="19" t="str">
        <f ca="1">IFERROR(__xludf.DUMMYFUNCTION("GOOGLETRANSLATE(A440, ""ar"", ""en"")"),"General Motors")</f>
        <v>General Motors</v>
      </c>
      <c r="E440" s="19" t="str">
        <f ca="1">IFERROR(__xludf.DUMMYFUNCTION("GOOGLETRANSLATE(B440,""ar"",""en"")"),"Cadillac")</f>
        <v>Cadillac</v>
      </c>
      <c r="F440" s="19" t="str">
        <f ca="1">IFERROR(__xludf.DUMMYFUNCTION("GOOGLETRANSLATE(C440,""ar"",""en"")"),"CTS")</f>
        <v>CTS</v>
      </c>
      <c r="G440" t="str">
        <f ca="1">VLOOKUP(F:F,matching_transelated_with_ref!A:C,2,0)</f>
        <v>CTS</v>
      </c>
      <c r="H440" t="str">
        <f>VLOOKUP(C:C,Sheet4!A:C,2,0)</f>
        <v xml:space="preserve"> سيتي </v>
      </c>
    </row>
    <row r="441" spans="1:8" ht="14.4">
      <c r="A441" s="18" t="s">
        <v>53</v>
      </c>
      <c r="B441" s="18" t="s">
        <v>54</v>
      </c>
      <c r="C441" s="18" t="s">
        <v>297</v>
      </c>
      <c r="D441" s="19" t="str">
        <f ca="1">IFERROR(__xludf.DUMMYFUNCTION("GOOGLETRANSLATE(A441, ""ar"", ""en"")"),"General Motors")</f>
        <v>General Motors</v>
      </c>
      <c r="E441" s="19" t="str">
        <f ca="1">IFERROR(__xludf.DUMMYFUNCTION("GOOGLETRANSLATE(B441,""ar"",""en"")"),"Cadillac")</f>
        <v>Cadillac</v>
      </c>
      <c r="F441" s="19" t="str">
        <f ca="1">IFERROR(__xludf.DUMMYFUNCTION("GOOGLETRANSLATE(C441,""ar"",""en"")"),"ATS")</f>
        <v>ATS</v>
      </c>
      <c r="G441" t="e">
        <f ca="1">VLOOKUP(F:F,matching_transelated_with_ref!A:C,2,0)</f>
        <v>#N/A</v>
      </c>
      <c r="H441" t="str">
        <f>VLOOKUP(C:C,Sheet4!A:C,2,0)</f>
        <v>اير</v>
      </c>
    </row>
    <row r="442" spans="1:8" ht="14.4">
      <c r="A442" s="18" t="s">
        <v>53</v>
      </c>
      <c r="B442" s="18" t="s">
        <v>54</v>
      </c>
      <c r="C442" s="18" t="s">
        <v>624</v>
      </c>
      <c r="D442" s="19" t="str">
        <f ca="1">IFERROR(__xludf.DUMMYFUNCTION("GOOGLETRANSLATE(A442, ""ar"", ""en"")"),"General Motors")</f>
        <v>General Motors</v>
      </c>
      <c r="E442" s="19" t="str">
        <f ca="1">IFERROR(__xludf.DUMMYFUNCTION("GOOGLETRANSLATE(B442,""ar"",""en"")"),"Cadillac")</f>
        <v>Cadillac</v>
      </c>
      <c r="F442" s="19" t="str">
        <f ca="1">IFERROR(__xludf.DUMMYFUNCTION("GOOGLETRANSLATE(C442,""ar"",""en"")"),"XT 4")</f>
        <v>XT 4</v>
      </c>
      <c r="G442" t="str">
        <f ca="1">VLOOKUP(F:F,matching_transelated_with_ref!A:C,2,0)</f>
        <v xml:space="preserve"> XT4</v>
      </c>
      <c r="H442" t="e">
        <f>VLOOKUP(C:C,Sheet4!A:C,2,0)</f>
        <v>#N/A</v>
      </c>
    </row>
    <row r="443" spans="1:8" ht="14.4">
      <c r="A443" s="18" t="s">
        <v>53</v>
      </c>
      <c r="B443" s="18" t="s">
        <v>276</v>
      </c>
      <c r="C443" s="18" t="s">
        <v>288</v>
      </c>
      <c r="D443" s="19" t="str">
        <f ca="1">IFERROR(__xludf.DUMMYFUNCTION("GOOGLETRANSLATE(A443, ""ar"", ""en"")"),"General Motors")</f>
        <v>General Motors</v>
      </c>
      <c r="E443" s="19" t="str">
        <f ca="1">IFERROR(__xludf.DUMMYFUNCTION("GOOGLETRANSLATE(B443,""ar"",""en"")"),"Chevrolet")</f>
        <v>Chevrolet</v>
      </c>
      <c r="F443" s="19" t="str">
        <f ca="1">IFERROR(__xludf.DUMMYFUNCTION("GOOGLETRANSLATE(C443,""ar"",""en"")"),"Supban 1500 4*2")</f>
        <v>Supban 1500 4*2</v>
      </c>
      <c r="G443" t="e">
        <f ca="1">VLOOKUP(F:F,matching_transelated_with_ref!A:C,2,0)</f>
        <v>#N/A</v>
      </c>
      <c r="H443" t="str">
        <f>VLOOKUP(C:C,Sheet4!A:C,2,0)</f>
        <v xml:space="preserve"> سوبربان </v>
      </c>
    </row>
    <row r="444" spans="1:8" ht="14.4">
      <c r="A444" s="18" t="s">
        <v>53</v>
      </c>
      <c r="B444" s="18" t="s">
        <v>276</v>
      </c>
      <c r="C444" s="18" t="s">
        <v>1357</v>
      </c>
      <c r="D444" s="19" t="str">
        <f ca="1">IFERROR(__xludf.DUMMYFUNCTION("GOOGLETRANSLATE(A444, ""ar"", ""en"")"),"General Motors")</f>
        <v>General Motors</v>
      </c>
      <c r="E444" s="19" t="str">
        <f ca="1">IFERROR(__xludf.DUMMYFUNCTION("GOOGLETRANSLATE(B444,""ar"",""en"")"),"Chevrolet")</f>
        <v>Chevrolet</v>
      </c>
      <c r="F444" s="19" t="str">
        <f ca="1">IFERROR(__xludf.DUMMYFUNCTION("GOOGLETRANSLATE(C444,""ar"",""en"")"),"Travelers RS Payment Quad")</f>
        <v>Travelers RS Payment Quad</v>
      </c>
      <c r="G444" t="e">
        <f ca="1">VLOOKUP(F:F,matching_transelated_with_ref!A:C,2,0)</f>
        <v>#N/A</v>
      </c>
      <c r="H444" t="str">
        <f>VLOOKUP(C:C,Sheet4!A:C,2,0)</f>
        <v xml:space="preserve"> ترافرس</v>
      </c>
    </row>
    <row r="445" spans="1:8" ht="14.4">
      <c r="A445" s="18" t="s">
        <v>53</v>
      </c>
      <c r="B445" s="18" t="s">
        <v>276</v>
      </c>
      <c r="C445" s="18" t="s">
        <v>280</v>
      </c>
      <c r="D445" s="19" t="str">
        <f ca="1">IFERROR(__xludf.DUMMYFUNCTION("GOOGLETRANSLATE(A445, ""ar"", ""en"")"),"General Motors")</f>
        <v>General Motors</v>
      </c>
      <c r="E445" s="19" t="str">
        <f ca="1">IFERROR(__xludf.DUMMYFUNCTION("GOOGLETRANSLATE(B445,""ar"",""en"")"),"Chevrolet")</f>
        <v>Chevrolet</v>
      </c>
      <c r="F445" s="19" t="str">
        <f ca="1">IFERROR(__xludf.DUMMYFUNCTION("GOOGLETRANSLATE(C445,""ar"",""en"")"),"Imbala LTZ")</f>
        <v>Imbala LTZ</v>
      </c>
      <c r="G445" t="e">
        <f ca="1">VLOOKUP(F:F,matching_transelated_with_ref!A:C,2,0)</f>
        <v>#N/A</v>
      </c>
      <c r="H445" t="str">
        <f>VLOOKUP(C:C,Sheet4!A:C,2,0)</f>
        <v xml:space="preserve"> امبالا</v>
      </c>
    </row>
    <row r="446" spans="1:8" ht="14.4">
      <c r="A446" s="18" t="s">
        <v>53</v>
      </c>
      <c r="B446" s="18" t="s">
        <v>276</v>
      </c>
      <c r="C446" s="18" t="s">
        <v>617</v>
      </c>
      <c r="D446" s="19" t="str">
        <f ca="1">IFERROR(__xludf.DUMMYFUNCTION("GOOGLETRANSLATE(A446, ""ar"", ""en"")"),"General Motors")</f>
        <v>General Motors</v>
      </c>
      <c r="E446" s="19" t="str">
        <f ca="1">IFERROR(__xludf.DUMMYFUNCTION("GOOGLETRANSLATE(B446,""ar"",""en"")"),"Chevrolet")</f>
        <v>Chevrolet</v>
      </c>
      <c r="F446" s="19" t="str">
        <f ca="1">IFERROR(__xludf.DUMMYFUNCTION("GOOGLETRANSLATE(C446,""ar"",""en"")"),"Travelers Premier Payment M.")</f>
        <v>Travelers Premier Payment M.</v>
      </c>
      <c r="G446" t="e">
        <f ca="1">VLOOKUP(F:F,matching_transelated_with_ref!A:C,2,0)</f>
        <v>#N/A</v>
      </c>
      <c r="H446" t="str">
        <f>VLOOKUP(C:C,Sheet4!A:C,2,0)</f>
        <v xml:space="preserve"> ترافرس</v>
      </c>
    </row>
    <row r="447" spans="1:8" ht="14.4">
      <c r="A447" s="18" t="s">
        <v>53</v>
      </c>
      <c r="B447" s="18" t="s">
        <v>57</v>
      </c>
      <c r="C447" s="18" t="s">
        <v>607</v>
      </c>
      <c r="D447" s="19" t="str">
        <f ca="1">IFERROR(__xludf.DUMMYFUNCTION("GOOGLETRANSLATE(A447, ""ar"", ""en"")"),"General Motors")</f>
        <v>General Motors</v>
      </c>
      <c r="E447" s="19" t="str">
        <f ca="1">IFERROR(__xludf.DUMMYFUNCTION("GOOGLETRANSLATE(B447,""ar"",""en"")"),"GMC")</f>
        <v>GMC</v>
      </c>
      <c r="F447" s="19" t="str">
        <f ca="1">IFERROR(__xludf.DUMMYFUNCTION("GOOGLETRANSLATE(C447,""ar"",""en"")"),"Sierra 4 x 4")</f>
        <v>Sierra 4 x 4</v>
      </c>
      <c r="G447" t="e">
        <f ca="1">VLOOKUP(F:F,matching_transelated_with_ref!A:C,2,0)</f>
        <v>#N/A</v>
      </c>
      <c r="H447" t="e">
        <f>VLOOKUP(C:C,Sheet4!A:C,2,0)</f>
        <v>#N/A</v>
      </c>
    </row>
    <row r="448" spans="1:8" ht="14.4">
      <c r="A448" s="18" t="s">
        <v>53</v>
      </c>
      <c r="B448" s="18" t="s">
        <v>276</v>
      </c>
      <c r="C448" s="18" t="s">
        <v>1359</v>
      </c>
      <c r="D448" s="19" t="str">
        <f ca="1">IFERROR(__xludf.DUMMYFUNCTION("GOOGLETRANSLATE(A448, ""ar"", ""en"")"),"General Motors")</f>
        <v>General Motors</v>
      </c>
      <c r="E448" s="19" t="str">
        <f ca="1">IFERROR(__xludf.DUMMYFUNCTION("GOOGLETRANSLATE(B448,""ar"",""en"")"),"Chevrolet")</f>
        <v>Chevrolet</v>
      </c>
      <c r="F448" s="19" t="str">
        <f ca="1">IFERROR(__xludf.DUMMYFUNCTION("GOOGLETRANSLATE(C448,""ar"",""en"")"),"Travelers LT pushed in front of")</f>
        <v>Travelers LT pushed in front of</v>
      </c>
      <c r="G448" t="e">
        <f ca="1">VLOOKUP(F:F,matching_transelated_with_ref!A:C,2,0)</f>
        <v>#N/A</v>
      </c>
      <c r="H448" t="str">
        <f>VLOOKUP(C:C,Sheet4!A:C,2,0)</f>
        <v xml:space="preserve"> ترافرس</v>
      </c>
    </row>
    <row r="449" spans="1:8" ht="14.4">
      <c r="A449" s="18" t="s">
        <v>53</v>
      </c>
      <c r="B449" s="18" t="s">
        <v>276</v>
      </c>
      <c r="C449" s="18" t="s">
        <v>619</v>
      </c>
      <c r="D449" s="19" t="str">
        <f ca="1">IFERROR(__xludf.DUMMYFUNCTION("GOOGLETRANSLATE(A449, ""ar"", ""en"")"),"General Motors")</f>
        <v>General Motors</v>
      </c>
      <c r="E449" s="19" t="str">
        <f ca="1">IFERROR(__xludf.DUMMYFUNCTION("GOOGLETRANSLATE(B449,""ar"",""en"")"),"Chevrolet")</f>
        <v>Chevrolet</v>
      </c>
      <c r="F449" s="19" t="str">
        <f ca="1">IFERROR(__xludf.DUMMYFUNCTION("GOOGLETRANSLATE(C449,""ar"",""en"")"),"Silverado 4 x 4")</f>
        <v>Silverado 4 x 4</v>
      </c>
      <c r="G449" t="e">
        <f ca="1">VLOOKUP(F:F,matching_transelated_with_ref!A:C,2,0)</f>
        <v>#N/A</v>
      </c>
      <c r="H449" t="e">
        <f>VLOOKUP(C:C,Sheet4!A:C,2,0)</f>
        <v>#N/A</v>
      </c>
    </row>
    <row r="450" spans="1:8" ht="14.4">
      <c r="A450" s="18" t="s">
        <v>53</v>
      </c>
      <c r="B450" s="18" t="s">
        <v>54</v>
      </c>
      <c r="C450" s="18" t="s">
        <v>891</v>
      </c>
      <c r="D450" s="19" t="str">
        <f ca="1">IFERROR(__xludf.DUMMYFUNCTION("GOOGLETRANSLATE(A450, ""ar"", ""en"")"),"General Motors")</f>
        <v>General Motors</v>
      </c>
      <c r="E450" s="19" t="str">
        <f ca="1">IFERROR(__xludf.DUMMYFUNCTION("GOOGLETRANSLATE(B450,""ar"",""en"")"),"Cadillac")</f>
        <v>Cadillac</v>
      </c>
      <c r="F450" s="19" t="str">
        <f ca="1">IFERROR(__xludf.DUMMYFUNCTION("GOOGLETRANSLATE(C450,""ar"",""en"")"),"CT 4")</f>
        <v>CT 4</v>
      </c>
      <c r="G450" t="str">
        <f ca="1">VLOOKUP(F:F,matching_transelated_with_ref!A:C,2,0)</f>
        <v xml:space="preserve"> CT4</v>
      </c>
      <c r="H450" t="str">
        <f>VLOOKUP(C:C,Sheet4!A:C,2,0)</f>
        <v xml:space="preserve"> سيتي </v>
      </c>
    </row>
    <row r="451" spans="1:8" ht="14.4">
      <c r="A451" s="18" t="s">
        <v>53</v>
      </c>
      <c r="B451" s="18" t="s">
        <v>276</v>
      </c>
      <c r="C451" s="18" t="s">
        <v>283</v>
      </c>
      <c r="D451" s="19" t="str">
        <f ca="1">IFERROR(__xludf.DUMMYFUNCTION("GOOGLETRANSLATE(A451, ""ar"", ""en"")"),"General Motors")</f>
        <v>General Motors</v>
      </c>
      <c r="E451" s="19" t="str">
        <f ca="1">IFERROR(__xludf.DUMMYFUNCTION("GOOGLETRANSLATE(B451,""ar"",""en"")"),"Chevrolet")</f>
        <v>Chevrolet</v>
      </c>
      <c r="F451" s="19" t="str">
        <f ca="1">IFERROR(__xludf.DUMMYFUNCTION("GOOGLETRANSLATE(C451,""ar"",""en"")"),"Tahoe 4*2")</f>
        <v>Tahoe 4*2</v>
      </c>
      <c r="G451" t="e">
        <f ca="1">VLOOKUP(F:F,matching_transelated_with_ref!A:C,2,0)</f>
        <v>#N/A</v>
      </c>
      <c r="H451" t="str">
        <f>VLOOKUP(C:C,Sheet4!A:C,2,0)</f>
        <v xml:space="preserve"> تاهو 4X2</v>
      </c>
    </row>
    <row r="452" spans="1:8" ht="14.4">
      <c r="A452" s="18" t="s">
        <v>53</v>
      </c>
      <c r="B452" s="18" t="s">
        <v>276</v>
      </c>
      <c r="C452" s="18" t="s">
        <v>1358</v>
      </c>
      <c r="D452" s="19" t="str">
        <f ca="1">IFERROR(__xludf.DUMMYFUNCTION("GOOGLETRANSLATE(A452, ""ar"", ""en"")"),"General Motors")</f>
        <v>General Motors</v>
      </c>
      <c r="E452" s="19" t="str">
        <f ca="1">IFERROR(__xludf.DUMMYFUNCTION("GOOGLETRANSLATE(B452,""ar"",""en"")"),"Chevrolet")</f>
        <v>Chevrolet</v>
      </c>
      <c r="F452" s="19" t="str">
        <f ca="1">IFERROR(__xludf.DUMMYFUNCTION("GOOGLETRANSLATE(C452,""ar"",""en"")"),"Travelers LS pushed in front of")</f>
        <v>Travelers LS pushed in front of</v>
      </c>
      <c r="G452" t="e">
        <f ca="1">VLOOKUP(F:F,matching_transelated_with_ref!A:C,2,0)</f>
        <v>#N/A</v>
      </c>
      <c r="H452" t="str">
        <f>VLOOKUP(C:C,Sheet4!A:C,2,0)</f>
        <v xml:space="preserve"> ترافرس</v>
      </c>
    </row>
    <row r="453" spans="1:8" ht="14.4">
      <c r="A453" s="18" t="s">
        <v>53</v>
      </c>
      <c r="B453" s="18" t="s">
        <v>57</v>
      </c>
      <c r="C453" s="18" t="s">
        <v>603</v>
      </c>
      <c r="D453" s="19" t="str">
        <f ca="1">IFERROR(__xludf.DUMMYFUNCTION("GOOGLETRANSLATE(A453, ""ar"", ""en"")"),"General Motors")</f>
        <v>General Motors</v>
      </c>
      <c r="E453" s="19" t="str">
        <f ca="1">IFERROR(__xludf.DUMMYFUNCTION("GOOGLETRANSLATE(B453,""ar"",""en"")"),"GMC")</f>
        <v>GMC</v>
      </c>
      <c r="F453" s="19" t="str">
        <f ca="1">IFERROR(__xludf.DUMMYFUNCTION("GOOGLETRANSLATE(C453,""ar"",""en"")"),"Axadia four -wheel drive")</f>
        <v>Axadia four -wheel drive</v>
      </c>
      <c r="G453" t="e">
        <f ca="1">VLOOKUP(F:F,matching_transelated_with_ref!A:C,2,0)</f>
        <v>#N/A</v>
      </c>
      <c r="H453" t="str">
        <f>VLOOKUP(C:C,Sheet4!A:C,2,0)</f>
        <v xml:space="preserve">اكاديا </v>
      </c>
    </row>
    <row r="454" spans="1:8" ht="14.4">
      <c r="A454" s="18" t="s">
        <v>53</v>
      </c>
      <c r="B454" s="18" t="s">
        <v>57</v>
      </c>
      <c r="C454" s="18" t="s">
        <v>268</v>
      </c>
      <c r="D454" s="19" t="str">
        <f ca="1">IFERROR(__xludf.DUMMYFUNCTION("GOOGLETRANSLATE(A454, ""ar"", ""en"")"),"General Motors")</f>
        <v>General Motors</v>
      </c>
      <c r="E454" s="19" t="str">
        <f ca="1">IFERROR(__xludf.DUMMYFUNCTION("GOOGLETRANSLATE(B454,""ar"",""en"")"),"GMC")</f>
        <v>GMC</v>
      </c>
      <c r="F454" s="19" t="str">
        <f ca="1">IFERROR(__xludf.DUMMYFUNCTION("GOOGLETRANSLATE(C454,""ar"",""en"")"),"Savana 2500")</f>
        <v>Savana 2500</v>
      </c>
      <c r="G454" t="e">
        <f ca="1">VLOOKUP(F:F,matching_transelated_with_ref!A:C,2,0)</f>
        <v>#N/A</v>
      </c>
      <c r="H454" t="str">
        <f>VLOOKUP(C:C,Sheet4!A:C,2,0)</f>
        <v xml:space="preserve">سافانا - LWB-2500 </v>
      </c>
    </row>
    <row r="455" spans="1:8" ht="14.4">
      <c r="A455" s="18" t="s">
        <v>53</v>
      </c>
      <c r="B455" s="18" t="s">
        <v>57</v>
      </c>
      <c r="C455" s="18" t="s">
        <v>264</v>
      </c>
      <c r="D455" s="19" t="str">
        <f ca="1">IFERROR(__xludf.DUMMYFUNCTION("GOOGLETRANSLATE(A455, ""ar"", ""en"")"),"General Motors")</f>
        <v>General Motors</v>
      </c>
      <c r="E455" s="19" t="str">
        <f ca="1">IFERROR(__xludf.DUMMYFUNCTION("GOOGLETRANSLATE(B455,""ar"",""en"")"),"GMC")</f>
        <v>GMC</v>
      </c>
      <c r="F455" s="19" t="str">
        <f ca="1">IFERROR(__xludf.DUMMYFUNCTION("GOOGLETRANSLATE(C455,""ar"",""en"")"),"I am sure")</f>
        <v>I am sure</v>
      </c>
      <c r="G455" t="e">
        <f ca="1">VLOOKUP(F:F,matching_transelated_with_ref!A:C,2,0)</f>
        <v>#N/A</v>
      </c>
      <c r="H455" t="str">
        <f>VLOOKUP(C:C,Sheet4!A:C,2,0)</f>
        <v xml:space="preserve">اكاديا </v>
      </c>
    </row>
    <row r="456" spans="1:8" ht="14.4">
      <c r="A456" s="18" t="s">
        <v>53</v>
      </c>
      <c r="B456" s="18" t="s">
        <v>276</v>
      </c>
      <c r="C456" s="18" t="s">
        <v>622</v>
      </c>
      <c r="D456" s="19" t="str">
        <f ca="1">IFERROR(__xludf.DUMMYFUNCTION("GOOGLETRANSLATE(A456, ""ar"", ""en"")"),"General Motors")</f>
        <v>General Motors</v>
      </c>
      <c r="E456" s="19" t="str">
        <f ca="1">IFERROR(__xludf.DUMMYFUNCTION("GOOGLETRANSLATE(B456,""ar"",""en"")"),"Chevrolet")</f>
        <v>Chevrolet</v>
      </c>
      <c r="F456" s="19" t="str">
        <f ca="1">IFERROR(__xludf.DUMMYFUNCTION("GOOGLETRANSLATE(C456,""ar"",""en"")"),"Silvrado four -wheel drive")</f>
        <v>Silvrado four -wheel drive</v>
      </c>
      <c r="G456" t="e">
        <f ca="1">VLOOKUP(F:F,matching_transelated_with_ref!A:C,2,0)</f>
        <v>#N/A</v>
      </c>
      <c r="H456" t="e">
        <f>VLOOKUP(C:C,Sheet4!A:C,2,0)</f>
        <v>#N/A</v>
      </c>
    </row>
    <row r="457" spans="1:8" ht="14.4">
      <c r="A457" s="18" t="s">
        <v>53</v>
      </c>
      <c r="B457" s="18" t="s">
        <v>57</v>
      </c>
      <c r="C457" s="18" t="s">
        <v>602</v>
      </c>
      <c r="D457" s="19" t="str">
        <f ca="1">IFERROR(__xludf.DUMMYFUNCTION("GOOGLETRANSLATE(A457, ""ar"", ""en"")"),"General Motors")</f>
        <v>General Motors</v>
      </c>
      <c r="E457" s="19" t="str">
        <f ca="1">IFERROR(__xludf.DUMMYFUNCTION("GOOGLETRANSLATE(B457,""ar"",""en"")"),"GMC")</f>
        <v>GMC</v>
      </c>
      <c r="F457" s="19" t="str">
        <f ca="1">IFERROR(__xludf.DUMMYFUNCTION("GOOGLETRANSLATE(C457,""ar"",""en"")"),"I am in front of me")</f>
        <v>I am in front of me</v>
      </c>
      <c r="G457" t="e">
        <f ca="1">VLOOKUP(F:F,matching_transelated_with_ref!A:C,2,0)</f>
        <v>#N/A</v>
      </c>
      <c r="H457" t="str">
        <f>VLOOKUP(C:C,Sheet4!A:C,2,0)</f>
        <v xml:space="preserve">اكاديا </v>
      </c>
    </row>
    <row r="458" spans="1:8" ht="14.4">
      <c r="A458" s="18" t="s">
        <v>53</v>
      </c>
      <c r="B458" s="18" t="s">
        <v>276</v>
      </c>
      <c r="C458" s="18" t="s">
        <v>286</v>
      </c>
      <c r="D458" s="19" t="str">
        <f ca="1">IFERROR(__xludf.DUMMYFUNCTION("GOOGLETRANSLATE(A458, ""ar"", ""en"")"),"General Motors")</f>
        <v>General Motors</v>
      </c>
      <c r="E458" s="19" t="str">
        <f ca="1">IFERROR(__xludf.DUMMYFUNCTION("GOOGLETRANSLATE(B458,""ar"",""en"")"),"Chevrolet")</f>
        <v>Chevrolet</v>
      </c>
      <c r="F458" s="19" t="str">
        <f ca="1">IFERROR(__xludf.DUMMYFUNCTION("GOOGLETRANSLATE(C458,""ar"",""en"")"),"Travelers LT")</f>
        <v>Travelers LT</v>
      </c>
      <c r="G458" t="e">
        <f ca="1">VLOOKUP(F:F,matching_transelated_with_ref!A:C,2,0)</f>
        <v>#N/A</v>
      </c>
      <c r="H458" t="str">
        <f>VLOOKUP(C:C,Sheet4!A:C,2,0)</f>
        <v xml:space="preserve"> ترافرس</v>
      </c>
    </row>
    <row r="459" spans="1:8" ht="14.4">
      <c r="A459" s="18" t="s">
        <v>53</v>
      </c>
      <c r="B459" s="18" t="s">
        <v>57</v>
      </c>
      <c r="C459" s="18" t="s">
        <v>883</v>
      </c>
      <c r="D459" s="19" t="str">
        <f ca="1">IFERROR(__xludf.DUMMYFUNCTION("GOOGLETRANSLATE(A459, ""ar"", ""en"")"),"General Motors")</f>
        <v>General Motors</v>
      </c>
      <c r="E459" s="19" t="str">
        <f ca="1">IFERROR(__xludf.DUMMYFUNCTION("GOOGLETRANSLATE(B459,""ar"",""en"")"),"GMC")</f>
        <v>GMC</v>
      </c>
      <c r="F459" s="19" t="str">
        <f ca="1">IFERROR(__xludf.DUMMYFUNCTION("GOOGLETRANSLATE(C459,""ar"",""en"")"),"Savana 6 liters")</f>
        <v>Savana 6 liters</v>
      </c>
      <c r="G459">
        <f ca="1">VLOOKUP(F:F,matching_transelated_with_ref!A:C,2,0)</f>
        <v>6</v>
      </c>
      <c r="H459" t="str">
        <f>VLOOKUP(C:C,Sheet4!A:C,2,0)</f>
        <v>سافران</v>
      </c>
    </row>
    <row r="460" spans="1:8" ht="14.4">
      <c r="A460" s="18" t="s">
        <v>53</v>
      </c>
      <c r="B460" s="18" t="s">
        <v>276</v>
      </c>
      <c r="C460" s="18" t="s">
        <v>294</v>
      </c>
      <c r="D460" s="19" t="str">
        <f ca="1">IFERROR(__xludf.DUMMYFUNCTION("GOOGLETRANSLATE(A460, ""ar"", ""en"")"),"General Motors")</f>
        <v>General Motors</v>
      </c>
      <c r="E460" s="19" t="str">
        <f ca="1">IFERROR(__xludf.DUMMYFUNCTION("GOOGLETRANSLATE(B460,""ar"",""en"")"),"Chevrolet")</f>
        <v>Chevrolet</v>
      </c>
      <c r="F460" s="19" t="str">
        <f ca="1">IFERROR(__xludf.DUMMYFUNCTION("GOOGLETRANSLATE(C460,""ar"",""en"")"),"Malibu LTZ")</f>
        <v>Malibu LTZ</v>
      </c>
      <c r="G460" t="e">
        <f ca="1">VLOOKUP(F:F,matching_transelated_with_ref!A:C,2,0)</f>
        <v>#N/A</v>
      </c>
      <c r="H460" t="str">
        <f>VLOOKUP(C:C,Sheet4!A:C,2,0)</f>
        <v>ماليبو</v>
      </c>
    </row>
    <row r="461" spans="1:8" ht="14.4">
      <c r="A461" s="18" t="s">
        <v>53</v>
      </c>
      <c r="B461" s="18" t="s">
        <v>276</v>
      </c>
      <c r="C461" s="18" t="s">
        <v>291</v>
      </c>
      <c r="D461" s="19" t="str">
        <f ca="1">IFERROR(__xludf.DUMMYFUNCTION("GOOGLETRANSLATE(A461, ""ar"", ""en"")"),"General Motors")</f>
        <v>General Motors</v>
      </c>
      <c r="E461" s="19" t="str">
        <f ca="1">IFERROR(__xludf.DUMMYFUNCTION("GOOGLETRANSLATE(B461,""ar"",""en"")"),"Chevrolet")</f>
        <v>Chevrolet</v>
      </c>
      <c r="F461" s="19" t="str">
        <f ca="1">IFERROR(__xludf.DUMMYFUNCTION("GOOGLETRANSLATE(C461,""ar"",""en"")"),"Kumaru")</f>
        <v>Kumaru</v>
      </c>
      <c r="G461" t="e">
        <f ca="1">VLOOKUP(F:F,matching_transelated_with_ref!A:C,2,0)</f>
        <v>#N/A</v>
      </c>
      <c r="H461" t="str">
        <f>VLOOKUP(C:C,Sheet4!A:C,2,0)</f>
        <v xml:space="preserve"> كومارو</v>
      </c>
    </row>
    <row r="462" spans="1:8" ht="14.4">
      <c r="A462" s="18" t="s">
        <v>53</v>
      </c>
      <c r="B462" s="18" t="s">
        <v>57</v>
      </c>
      <c r="C462" s="18" t="s">
        <v>601</v>
      </c>
      <c r="D462" s="19" t="str">
        <f ca="1">IFERROR(__xludf.DUMMYFUNCTION("GOOGLETRANSLATE(A462, ""ar"", ""en"")"),"General Motors")</f>
        <v>General Motors</v>
      </c>
      <c r="E462" s="19" t="str">
        <f ca="1">IFERROR(__xludf.DUMMYFUNCTION("GOOGLETRANSLATE(B462,""ar"",""en"")"),"GMC")</f>
        <v>GMC</v>
      </c>
      <c r="F462" s="19" t="str">
        <f ca="1">IFERROR(__xludf.DUMMYFUNCTION("GOOGLETRANSLATE(C462,""ar"",""en"")"),"Akkadia")</f>
        <v>Akkadia</v>
      </c>
      <c r="G462" t="e">
        <f ca="1">VLOOKUP(F:F,matching_transelated_with_ref!A:C,2,0)</f>
        <v>#N/A</v>
      </c>
      <c r="H462" t="str">
        <f>VLOOKUP(C:C,Sheet4!A:C,2,0)</f>
        <v xml:space="preserve">اكاديا </v>
      </c>
    </row>
    <row r="463" spans="1:8" ht="14.4">
      <c r="A463" s="18" t="s">
        <v>53</v>
      </c>
      <c r="B463" s="18" t="s">
        <v>57</v>
      </c>
      <c r="C463" s="18" t="s">
        <v>267</v>
      </c>
      <c r="D463" s="19" t="str">
        <f ca="1">IFERROR(__xludf.DUMMYFUNCTION("GOOGLETRANSLATE(A463, ""ar"", ""en"")"),"General Motors")</f>
        <v>General Motors</v>
      </c>
      <c r="E463" s="19" t="str">
        <f ca="1">IFERROR(__xludf.DUMMYFUNCTION("GOOGLETRANSLATE(B463,""ar"",""en"")"),"GMC")</f>
        <v>GMC</v>
      </c>
      <c r="F463" s="19" t="str">
        <f ca="1">IFERROR(__xludf.DUMMYFUNCTION("GOOGLETRANSLATE(C463,""ar"",""en"")"),"Savanna")</f>
        <v>Savanna</v>
      </c>
      <c r="G463" t="e">
        <f ca="1">VLOOKUP(F:F,matching_transelated_with_ref!A:C,2,0)</f>
        <v>#N/A</v>
      </c>
      <c r="H463" t="str">
        <f>VLOOKUP(C:C,Sheet4!A:C,2,0)</f>
        <v xml:space="preserve">سافانا - LWB-2500 </v>
      </c>
    </row>
    <row r="464" spans="1:8" ht="14.4">
      <c r="A464" s="18" t="s">
        <v>53</v>
      </c>
      <c r="B464" s="18" t="s">
        <v>276</v>
      </c>
      <c r="C464" s="18" t="s">
        <v>279</v>
      </c>
      <c r="D464" s="19" t="str">
        <f ca="1">IFERROR(__xludf.DUMMYFUNCTION("GOOGLETRANSLATE(A464, ""ar"", ""en"")"),"General Motors")</f>
        <v>General Motors</v>
      </c>
      <c r="E464" s="19" t="str">
        <f ca="1">IFERROR(__xludf.DUMMYFUNCTION("GOOGLETRANSLATE(B464,""ar"",""en"")"),"Chevrolet")</f>
        <v>Chevrolet</v>
      </c>
      <c r="F464" s="19" t="str">
        <f ca="1">IFERROR(__xludf.DUMMYFUNCTION("GOOGLETRANSLATE(C464,""ar"",""en"")"),"Imbala LT")</f>
        <v>Imbala LT</v>
      </c>
      <c r="G464" t="e">
        <f ca="1">VLOOKUP(F:F,matching_transelated_with_ref!A:C,2,0)</f>
        <v>#N/A</v>
      </c>
      <c r="H464" t="str">
        <f>VLOOKUP(C:C,Sheet4!A:C,2,0)</f>
        <v xml:space="preserve"> امبالا</v>
      </c>
    </row>
    <row r="465" spans="1:8" ht="14.4">
      <c r="A465" s="18" t="s">
        <v>53</v>
      </c>
      <c r="B465" s="18" t="s">
        <v>276</v>
      </c>
      <c r="C465" s="18" t="s">
        <v>285</v>
      </c>
      <c r="D465" s="19" t="str">
        <f ca="1">IFERROR(__xludf.DUMMYFUNCTION("GOOGLETRANSLATE(A465, ""ar"", ""en"")"),"General Motors")</f>
        <v>General Motors</v>
      </c>
      <c r="E465" s="19" t="str">
        <f ca="1">IFERROR(__xludf.DUMMYFUNCTION("GOOGLETRANSLATE(B465,""ar"",""en"")"),"Chevrolet")</f>
        <v>Chevrolet</v>
      </c>
      <c r="F465" s="19" t="str">
        <f ca="1">IFERROR(__xludf.DUMMYFUNCTION("GOOGLETRANSLATE(C465,""ar"",""en"")"),"Travelers LS")</f>
        <v>Travelers LS</v>
      </c>
      <c r="G465" t="e">
        <f ca="1">VLOOKUP(F:F,matching_transelated_with_ref!A:C,2,0)</f>
        <v>#N/A</v>
      </c>
      <c r="H465" t="str">
        <f>VLOOKUP(C:C,Sheet4!A:C,2,0)</f>
        <v xml:space="preserve"> ترافرس</v>
      </c>
    </row>
    <row r="466" spans="1:8" ht="14.4">
      <c r="A466" s="18" t="s">
        <v>53</v>
      </c>
      <c r="B466" s="18" t="s">
        <v>57</v>
      </c>
      <c r="C466" s="18" t="s">
        <v>265</v>
      </c>
      <c r="D466" s="19" t="str">
        <f ca="1">IFERROR(__xludf.DUMMYFUNCTION("GOOGLETRANSLATE(A466, ""ar"", ""en"")"),"General Motors")</f>
        <v>General Motors</v>
      </c>
      <c r="E466" s="19" t="str">
        <f ca="1">IFERROR(__xludf.DUMMYFUNCTION("GOOGLETRANSLATE(B466,""ar"",""en"")"),"GMC")</f>
        <v>GMC</v>
      </c>
      <c r="F466" s="19" t="str">
        <f ca="1">IFERROR(__xludf.DUMMYFUNCTION("GOOGLETRANSLATE(C466,""ar"",""en"")"),"Bakbah")</f>
        <v>Bakbah</v>
      </c>
      <c r="G466" t="e">
        <f ca="1">VLOOKUP(F:F,matching_transelated_with_ref!A:C,2,0)</f>
        <v>#N/A</v>
      </c>
      <c r="H466" t="str">
        <f>VLOOKUP(C:C,Sheet4!A:C,2,0)</f>
        <v xml:space="preserve"> جلاديتور- بيكب غمارة</v>
      </c>
    </row>
    <row r="467" spans="1:8" ht="14.4">
      <c r="A467" s="18" t="s">
        <v>53</v>
      </c>
      <c r="B467" s="18" t="s">
        <v>276</v>
      </c>
      <c r="C467" s="18" t="s">
        <v>614</v>
      </c>
      <c r="D467" s="19" t="str">
        <f ca="1">IFERROR(__xludf.DUMMYFUNCTION("GOOGLETRANSLATE(A467, ""ar"", ""en"")"),"General Motors")</f>
        <v>General Motors</v>
      </c>
      <c r="E467" s="19" t="str">
        <f ca="1">IFERROR(__xludf.DUMMYFUNCTION("GOOGLETRANSLATE(B467,""ar"",""en"")"),"Chevrolet")</f>
        <v>Chevrolet</v>
      </c>
      <c r="F467" s="19" t="str">
        <f ca="1">IFERROR(__xludf.DUMMYFUNCTION("GOOGLETRANSLATE(C467,""ar"",""en"")"),"Economics Premier Pay Lord")</f>
        <v>Economics Premier Pay Lord</v>
      </c>
      <c r="G467" t="e">
        <f ca="1">VLOOKUP(F:F,matching_transelated_with_ref!A:C,2,0)</f>
        <v>#N/A</v>
      </c>
      <c r="H467" t="str">
        <f>VLOOKUP(C:C,Sheet4!A:C,2,0)</f>
        <v xml:space="preserve">ايكونس </v>
      </c>
    </row>
    <row r="468" spans="1:8" ht="14.4">
      <c r="A468" s="18" t="s">
        <v>53</v>
      </c>
      <c r="B468" s="18" t="s">
        <v>276</v>
      </c>
      <c r="C468" s="18" t="s">
        <v>888</v>
      </c>
      <c r="D468" s="19" t="str">
        <f ca="1">IFERROR(__xludf.DUMMYFUNCTION("GOOGLETRANSLATE(A468, ""ar"", ""en"")"),"General Motors")</f>
        <v>General Motors</v>
      </c>
      <c r="E468" s="19" t="str">
        <f ca="1">IFERROR(__xludf.DUMMYFUNCTION("GOOGLETRANSLATE(B468,""ar"",""en"")"),"Chevrolet")</f>
        <v>Chevrolet</v>
      </c>
      <c r="F468" s="19" t="str">
        <f ca="1">IFERROR(__xludf.DUMMYFUNCTION("GOOGLETRANSLATE(C468,""ar"",""en"")"),"Silvrado")</f>
        <v>Silvrado</v>
      </c>
      <c r="G468" t="e">
        <f ca="1">VLOOKUP(F:F,matching_transelated_with_ref!A:C,2,0)</f>
        <v>#N/A</v>
      </c>
      <c r="H468" t="str">
        <f>VLOOKUP(C:C,Sheet4!A:C,2,0)</f>
        <v xml:space="preserve"> سلفرادو 6V</v>
      </c>
    </row>
    <row r="469" spans="1:8" ht="14.4">
      <c r="A469" s="18" t="s">
        <v>53</v>
      </c>
      <c r="B469" s="18" t="s">
        <v>276</v>
      </c>
      <c r="C469" s="18" t="s">
        <v>885</v>
      </c>
      <c r="D469" s="19" t="str">
        <f ca="1">IFERROR(__xludf.DUMMYFUNCTION("GOOGLETRANSLATE(A469, ""ar"", ""en"")"),"General Motors")</f>
        <v>General Motors</v>
      </c>
      <c r="E469" s="19" t="str">
        <f ca="1">IFERROR(__xludf.DUMMYFUNCTION("GOOGLETRANSLATE(B469,""ar"",""en"")"),"Chevrolet")</f>
        <v>Chevrolet</v>
      </c>
      <c r="F469" s="19" t="str">
        <f ca="1">IFERROR(__xludf.DUMMYFUNCTION("GOOGLETRANSLATE(C469,""ar"",""en"")"),"SUV")</f>
        <v>SUV</v>
      </c>
      <c r="G469" t="str">
        <f ca="1">VLOOKUP(F:F,matching_transelated_with_ref!A:C,2,0)</f>
        <v>كراون SUV</v>
      </c>
      <c r="H469" t="str">
        <f>VLOOKUP(C:C,Sheet4!A:C,2,0)</f>
        <v xml:space="preserve"> بليزر </v>
      </c>
    </row>
    <row r="470" spans="1:8" ht="14.4">
      <c r="A470" s="18" t="s">
        <v>53</v>
      </c>
      <c r="B470" s="18" t="s">
        <v>276</v>
      </c>
      <c r="C470" s="18" t="s">
        <v>615</v>
      </c>
      <c r="D470" s="19" t="str">
        <f ca="1">IFERROR(__xludf.DUMMYFUNCTION("GOOGLETRANSLATE(A470, ""ar"", ""en"")"),"General Motors")</f>
        <v>General Motors</v>
      </c>
      <c r="E470" s="19" t="str">
        <f ca="1">IFERROR(__xludf.DUMMYFUNCTION("GOOGLETRANSLATE(B470,""ar"",""en"")"),"Chevrolet")</f>
        <v>Chevrolet</v>
      </c>
      <c r="F470" s="19" t="str">
        <f ca="1">IFERROR(__xludf.DUMMYFUNCTION("GOOGLETRANSLATE(C470,""ar"",""en"")"),"Blyser")</f>
        <v>Blyser</v>
      </c>
      <c r="G470" t="e">
        <f ca="1">VLOOKUP(F:F,matching_transelated_with_ref!A:C,2,0)</f>
        <v>#N/A</v>
      </c>
      <c r="H470" t="str">
        <f>VLOOKUP(C:C,Sheet4!A:C,2,0)</f>
        <v xml:space="preserve"> بليزر </v>
      </c>
    </row>
    <row r="471" spans="1:8" ht="14.4">
      <c r="A471" s="18" t="s">
        <v>53</v>
      </c>
      <c r="B471" s="18" t="s">
        <v>57</v>
      </c>
      <c r="C471" s="18" t="s">
        <v>269</v>
      </c>
      <c r="D471" s="19" t="str">
        <f ca="1">IFERROR(__xludf.DUMMYFUNCTION("GOOGLETRANSLATE(A471, ""ar"", ""en"")"),"General Motors")</f>
        <v>General Motors</v>
      </c>
      <c r="E471" s="19" t="str">
        <f ca="1">IFERROR(__xludf.DUMMYFUNCTION("GOOGLETRANSLATE(B471,""ar"",""en"")"),"GMC")</f>
        <v>GMC</v>
      </c>
      <c r="F471" s="19" t="str">
        <f ca="1">IFERROR(__xludf.DUMMYFUNCTION("GOOGLETRANSLATE(C471,""ar"",""en"")"),"Sera 4*4")</f>
        <v>Sera 4*4</v>
      </c>
      <c r="G471" t="e">
        <f ca="1">VLOOKUP(F:F,matching_transelated_with_ref!A:C,2,0)</f>
        <v>#N/A</v>
      </c>
      <c r="H471" t="e">
        <f>VLOOKUP(C:C,Sheet4!A:C,2,0)</f>
        <v>#N/A</v>
      </c>
    </row>
    <row r="472" spans="1:8" ht="14.4">
      <c r="A472" s="18" t="s">
        <v>53</v>
      </c>
      <c r="B472" s="18" t="s">
        <v>57</v>
      </c>
      <c r="C472" s="18" t="s">
        <v>1350</v>
      </c>
      <c r="D472" s="19" t="str">
        <f ca="1">IFERROR(__xludf.DUMMYFUNCTION("GOOGLETRANSLATE(A472, ""ar"", ""en"")"),"General Motors")</f>
        <v>General Motors</v>
      </c>
      <c r="E472" s="19" t="str">
        <f ca="1">IFERROR(__xludf.DUMMYFUNCTION("GOOGLETRANSLATE(B472,""ar"",""en"")"),"GMC")</f>
        <v>GMC</v>
      </c>
      <c r="F472" s="19" t="str">
        <f ca="1">IFERROR(__xludf.DUMMYFUNCTION("GOOGLETRANSLATE(C472,""ar"",""en"")"),"Tyrin four -wheel drive turbo")</f>
        <v>Tyrin four -wheel drive turbo</v>
      </c>
      <c r="G472" t="e">
        <f ca="1">VLOOKUP(F:F,matching_transelated_with_ref!A:C,2,0)</f>
        <v>#N/A</v>
      </c>
      <c r="H472" t="str">
        <f>VLOOKUP(C:C,Sheet4!A:C,2,0)</f>
        <v>تيرين</v>
      </c>
    </row>
    <row r="473" spans="1:8" ht="14.4">
      <c r="A473" s="18" t="s">
        <v>53</v>
      </c>
      <c r="B473" s="18" t="s">
        <v>276</v>
      </c>
      <c r="C473" s="18" t="s">
        <v>278</v>
      </c>
      <c r="D473" s="19" t="str">
        <f ca="1">IFERROR(__xludf.DUMMYFUNCTION("GOOGLETRANSLATE(A473, ""ar"", ""en"")"),"General Motors")</f>
        <v>General Motors</v>
      </c>
      <c r="E473" s="19" t="str">
        <f ca="1">IFERROR(__xludf.DUMMYFUNCTION("GOOGLETRANSLATE(B473,""ar"",""en"")"),"Chevrolet")</f>
        <v>Chevrolet</v>
      </c>
      <c r="F473" s="19" t="str">
        <f ca="1">IFERROR(__xludf.DUMMYFUNCTION("GOOGLETRANSLATE(C473,""ar"",""en"")"),"Imbala LS")</f>
        <v>Imbala LS</v>
      </c>
      <c r="G473" t="e">
        <f ca="1">VLOOKUP(F:F,matching_transelated_with_ref!A:C,2,0)</f>
        <v>#N/A</v>
      </c>
      <c r="H473" t="str">
        <f>VLOOKUP(C:C,Sheet4!A:C,2,0)</f>
        <v xml:space="preserve"> امبالا</v>
      </c>
    </row>
    <row r="474" spans="1:8" ht="14.4">
      <c r="A474" s="18" t="s">
        <v>53</v>
      </c>
      <c r="B474" s="18" t="s">
        <v>276</v>
      </c>
      <c r="C474" s="18" t="s">
        <v>1101</v>
      </c>
      <c r="D474" s="19" t="str">
        <f ca="1">IFERROR(__xludf.DUMMYFUNCTION("GOOGLETRANSLATE(A474, ""ar"", ""en"")"),"General Motors")</f>
        <v>General Motors</v>
      </c>
      <c r="E474" s="19" t="str">
        <f ca="1">IFERROR(__xludf.DUMMYFUNCTION("GOOGLETRANSLATE(B474,""ar"",""en"")"),"Chevrolet")</f>
        <v>Chevrolet</v>
      </c>
      <c r="F474" s="19" t="str">
        <f ca="1">IFERROR(__xludf.DUMMYFUNCTION("GOOGLETRANSLATE(C474,""ar"",""en"")"),"Blazer in front of me")</f>
        <v>Blazer in front of me</v>
      </c>
      <c r="G474" t="e">
        <f ca="1">VLOOKUP(F:F,matching_transelated_with_ref!A:C,2,0)</f>
        <v>#N/A</v>
      </c>
      <c r="H474" t="str">
        <f>VLOOKUP(C:C,Sheet4!A:C,2,0)</f>
        <v xml:space="preserve"> بليزر </v>
      </c>
    </row>
    <row r="475" spans="1:8" ht="14.4">
      <c r="A475" s="18" t="s">
        <v>53</v>
      </c>
      <c r="B475" s="18" t="s">
        <v>57</v>
      </c>
      <c r="C475" s="18" t="s">
        <v>605</v>
      </c>
      <c r="D475" s="19" t="str">
        <f ca="1">IFERROR(__xludf.DUMMYFUNCTION("GOOGLETRANSLATE(A475, ""ar"", ""en"")"),"General Motors")</f>
        <v>General Motors</v>
      </c>
      <c r="E475" s="19" t="str">
        <f ca="1">IFERROR(__xludf.DUMMYFUNCTION("GOOGLETRANSLATE(B475,""ar"",""en"")"),"GMC")</f>
        <v>GMC</v>
      </c>
      <c r="F475" s="19" t="str">
        <f ca="1">IFERROR(__xludf.DUMMYFUNCTION("GOOGLETRANSLATE(C475,""ar"",""en"")"),"Tyrin SL I. Pay Ruba")</f>
        <v>Tyrin SL I. Pay Ruba</v>
      </c>
      <c r="G475" t="e">
        <f ca="1">VLOOKUP(F:F,matching_transelated_with_ref!A:C,2,0)</f>
        <v>#N/A</v>
      </c>
      <c r="H475" t="str">
        <f>VLOOKUP(C:C,Sheet4!A:C,2,0)</f>
        <v>تيرين</v>
      </c>
    </row>
    <row r="476" spans="1:8" ht="14.4">
      <c r="A476" s="18" t="s">
        <v>53</v>
      </c>
      <c r="B476" s="18" t="s">
        <v>276</v>
      </c>
      <c r="C476" s="18" t="s">
        <v>1100</v>
      </c>
      <c r="D476" s="19" t="str">
        <f ca="1">IFERROR(__xludf.DUMMYFUNCTION("GOOGLETRANSLATE(A476, ""ar"", ""en"")"),"General Motors")</f>
        <v>General Motors</v>
      </c>
      <c r="E476" s="19" t="str">
        <f ca="1">IFERROR(__xludf.DUMMYFUNCTION("GOOGLETRANSLATE(B476,""ar"",""en"")"),"Chevrolet")</f>
        <v>Chevrolet</v>
      </c>
      <c r="F476" s="19" t="str">
        <f ca="1">IFERROR(__xludf.DUMMYFUNCTION("GOOGLETRANSLATE(C476,""ar"",""en"")"),"Aquinox LT Pay either")</f>
        <v>Aquinox LT Pay either</v>
      </c>
      <c r="G476" t="e">
        <f ca="1">VLOOKUP(F:F,matching_transelated_with_ref!A:C,2,0)</f>
        <v>#N/A</v>
      </c>
      <c r="H476" t="e">
        <f>VLOOKUP(C:C,Sheet4!A:C,2,0)</f>
        <v>#N/A</v>
      </c>
    </row>
    <row r="477" spans="1:8" ht="14.4">
      <c r="A477" s="18" t="s">
        <v>53</v>
      </c>
      <c r="B477" s="18" t="s">
        <v>57</v>
      </c>
      <c r="C477" s="18" t="s">
        <v>606</v>
      </c>
      <c r="D477" s="19" t="str">
        <f ca="1">IFERROR(__xludf.DUMMYFUNCTION("GOOGLETRANSLATE(A477, ""ar"", ""en"")"),"General Motors")</f>
        <v>General Motors</v>
      </c>
      <c r="E477" s="19" t="str">
        <f ca="1">IFERROR(__xludf.DUMMYFUNCTION("GOOGLETRANSLATE(B477,""ar"",""en"")"),"GMC")</f>
        <v>GMC</v>
      </c>
      <c r="F477" s="19" t="str">
        <f ca="1">IFERROR(__xludf.DUMMYFUNCTION("GOOGLETRANSLATE(C477,""ar"",""en"")"),"Terreen Denali pay a quadrilateral")</f>
        <v>Terreen Denali pay a quadrilateral</v>
      </c>
      <c r="G477" t="e">
        <f ca="1">VLOOKUP(F:F,matching_transelated_with_ref!A:C,2,0)</f>
        <v>#N/A</v>
      </c>
      <c r="H477" t="str">
        <f>VLOOKUP(C:C,Sheet4!A:C,2,0)</f>
        <v>تيرين</v>
      </c>
    </row>
    <row r="478" spans="1:8" ht="14.4">
      <c r="A478" s="18" t="s">
        <v>53</v>
      </c>
      <c r="B478" s="18" t="s">
        <v>57</v>
      </c>
      <c r="C478" s="18" t="s">
        <v>604</v>
      </c>
      <c r="D478" s="19" t="str">
        <f ca="1">IFERROR(__xludf.DUMMYFUNCTION("GOOGLETRANSLATE(A478, ""ar"", ""en"")"),"General Motors")</f>
        <v>General Motors</v>
      </c>
      <c r="E478" s="19" t="str">
        <f ca="1">IFERROR(__xludf.DUMMYFUNCTION("GOOGLETRANSLATE(B478,""ar"",""en"")"),"GMC")</f>
        <v>GMC</v>
      </c>
      <c r="F478" s="19" t="str">
        <f ca="1">IFERROR(__xludf.DUMMYFUNCTION("GOOGLETRANSLATE(C478,""ar"",""en"")"),"Terrene SL I. Either Pay either")</f>
        <v>Terrene SL I. Either Pay either</v>
      </c>
      <c r="G478" t="e">
        <f ca="1">VLOOKUP(F:F,matching_transelated_with_ref!A:C,2,0)</f>
        <v>#N/A</v>
      </c>
      <c r="H478" t="str">
        <f>VLOOKUP(C:C,Sheet4!A:C,2,0)</f>
        <v>تيرين</v>
      </c>
    </row>
    <row r="479" spans="1:8" ht="14.4">
      <c r="A479" s="18" t="s">
        <v>53</v>
      </c>
      <c r="B479" s="18" t="s">
        <v>53</v>
      </c>
      <c r="C479" s="18" t="s">
        <v>261</v>
      </c>
      <c r="D479" s="19" t="str">
        <f ca="1">IFERROR(__xludf.DUMMYFUNCTION("GOOGLETRANSLATE(A479, ""ar"", ""en"")"),"General Motors")</f>
        <v>General Motors</v>
      </c>
      <c r="E479" s="19" t="str">
        <f ca="1">IFERROR(__xludf.DUMMYFUNCTION("GOOGLETRANSLATE(B479,""ar"",""en"")"),"General Motors")</f>
        <v>General Motors</v>
      </c>
      <c r="F479" s="19" t="str">
        <f ca="1">IFERROR(__xludf.DUMMYFUNCTION("GOOGLETRANSLATE(C479,""ar"",""en"")"),"Chevrolet Selvrado")</f>
        <v>Chevrolet Selvrado</v>
      </c>
      <c r="G479" t="e">
        <f ca="1">VLOOKUP(F:F,matching_transelated_with_ref!A:C,2,0)</f>
        <v>#N/A</v>
      </c>
      <c r="H479" t="e">
        <f>VLOOKUP(C:C,Sheet4!A:C,2,0)</f>
        <v>#N/A</v>
      </c>
    </row>
    <row r="480" spans="1:8" ht="14.4">
      <c r="A480" s="18" t="s">
        <v>53</v>
      </c>
      <c r="B480" s="18" t="s">
        <v>276</v>
      </c>
      <c r="C480" s="18" t="s">
        <v>1099</v>
      </c>
      <c r="D480" s="19" t="str">
        <f ca="1">IFERROR(__xludf.DUMMYFUNCTION("GOOGLETRANSLATE(A480, ""ar"", ""en"")"),"General Motors")</f>
        <v>General Motors</v>
      </c>
      <c r="E480" s="19" t="str">
        <f ca="1">IFERROR(__xludf.DUMMYFUNCTION("GOOGLETRANSLATE(B480,""ar"",""en"")"),"Chevrolet")</f>
        <v>Chevrolet</v>
      </c>
      <c r="F480" s="19" t="str">
        <f ca="1">IFERROR(__xludf.DUMMYFUNCTION("GOOGLETRANSLATE(C480,""ar"",""en"")"),"Aquinox LS Pay either")</f>
        <v>Aquinox LS Pay either</v>
      </c>
      <c r="G480" t="e">
        <f ca="1">VLOOKUP(F:F,matching_transelated_with_ref!A:C,2,0)</f>
        <v>#N/A</v>
      </c>
      <c r="H480" t="e">
        <f>VLOOKUP(C:C,Sheet4!A:C,2,0)</f>
        <v>#N/A</v>
      </c>
    </row>
    <row r="481" spans="1:8" ht="14.4">
      <c r="A481" s="18" t="s">
        <v>53</v>
      </c>
      <c r="B481" s="18" t="s">
        <v>276</v>
      </c>
      <c r="C481" s="18" t="s">
        <v>282</v>
      </c>
      <c r="D481" s="19" t="str">
        <f ca="1">IFERROR(__xludf.DUMMYFUNCTION("GOOGLETRANSLATE(A481, ""ar"", ""en"")"),"General Motors")</f>
        <v>General Motors</v>
      </c>
      <c r="E481" s="19" t="str">
        <f ca="1">IFERROR(__xludf.DUMMYFUNCTION("GOOGLETRANSLATE(B481,""ar"",""en"")"),"Chevrolet")</f>
        <v>Chevrolet</v>
      </c>
      <c r="F481" s="19" t="str">
        <f ca="1">IFERROR(__xludf.DUMMYFUNCTION("GOOGLETRANSLATE(C481,""ar"",""en"")"),"Economs LT")</f>
        <v>Economs LT</v>
      </c>
      <c r="G481" t="e">
        <f ca="1">VLOOKUP(F:F,matching_transelated_with_ref!A:C,2,0)</f>
        <v>#N/A</v>
      </c>
      <c r="H481" t="str">
        <f>VLOOKUP(C:C,Sheet4!A:C,2,0)</f>
        <v xml:space="preserve">ايكونس </v>
      </c>
    </row>
    <row r="482" spans="1:8" ht="14.4">
      <c r="A482" s="18" t="s">
        <v>53</v>
      </c>
      <c r="B482" s="18" t="s">
        <v>276</v>
      </c>
      <c r="C482" s="18" t="s">
        <v>281</v>
      </c>
      <c r="D482" s="19" t="str">
        <f ca="1">IFERROR(__xludf.DUMMYFUNCTION("GOOGLETRANSLATE(A482, ""ar"", ""en"")"),"General Motors")</f>
        <v>General Motors</v>
      </c>
      <c r="E482" s="19" t="str">
        <f ca="1">IFERROR(__xludf.DUMMYFUNCTION("GOOGLETRANSLATE(B482,""ar"",""en"")"),"Chevrolet")</f>
        <v>Chevrolet</v>
      </c>
      <c r="F482" s="19" t="str">
        <f ca="1">IFERROR(__xludf.DUMMYFUNCTION("GOOGLETRANSLATE(C482,""ar"",""en"")"),"Eco Naks LS")</f>
        <v>Eco Naks LS</v>
      </c>
      <c r="G482" t="e">
        <f ca="1">VLOOKUP(F:F,matching_transelated_with_ref!A:C,2,0)</f>
        <v>#N/A</v>
      </c>
      <c r="H482" t="str">
        <f>VLOOKUP(C:C,Sheet4!A:C,2,0)</f>
        <v xml:space="preserve">ايدو </v>
      </c>
    </row>
    <row r="483" spans="1:8" ht="14.4">
      <c r="A483" s="18" t="s">
        <v>53</v>
      </c>
      <c r="B483" s="18" t="s">
        <v>57</v>
      </c>
      <c r="C483" s="18" t="s">
        <v>266</v>
      </c>
      <c r="D483" s="19" t="str">
        <f ca="1">IFERROR(__xludf.DUMMYFUNCTION("GOOGLETRANSLATE(A483, ""ar"", ""en"")"),"General Motors")</f>
        <v>General Motors</v>
      </c>
      <c r="E483" s="19" t="str">
        <f ca="1">IFERROR(__xludf.DUMMYFUNCTION("GOOGLETRANSLATE(B483,""ar"",""en"")"),"GMC")</f>
        <v>GMC</v>
      </c>
      <c r="F483" s="19" t="str">
        <f ca="1">IFERROR(__xludf.DUMMYFUNCTION("GOOGLETRANSLATE(C483,""ar"",""en"")"),"Terreen")</f>
        <v>Terreen</v>
      </c>
      <c r="G483" t="e">
        <f ca="1">VLOOKUP(F:F,matching_transelated_with_ref!A:C,2,0)</f>
        <v>#N/A</v>
      </c>
      <c r="H483" t="str">
        <f>VLOOKUP(C:C,Sheet4!A:C,2,0)</f>
        <v>تيرين</v>
      </c>
    </row>
    <row r="484" spans="1:8" ht="14.4">
      <c r="A484" s="18" t="s">
        <v>53</v>
      </c>
      <c r="B484" s="18" t="s">
        <v>276</v>
      </c>
      <c r="C484" s="18" t="s">
        <v>290</v>
      </c>
      <c r="D484" s="19" t="str">
        <f ca="1">IFERROR(__xludf.DUMMYFUNCTION("GOOGLETRANSLATE(A484, ""ar"", ""en"")"),"General Motors")</f>
        <v>General Motors</v>
      </c>
      <c r="E484" s="19" t="str">
        <f ca="1">IFERROR(__xludf.DUMMYFUNCTION("GOOGLETRANSLATE(B484,""ar"",""en"")"),"Chevrolet")</f>
        <v>Chevrolet</v>
      </c>
      <c r="F484" s="19" t="str">
        <f ca="1">IFERROR(__xludf.DUMMYFUNCTION("GOOGLETRANSLATE(C484,""ar"",""en"")"),"Silvrao")</f>
        <v>Silvrao</v>
      </c>
      <c r="G484" t="e">
        <f ca="1">VLOOKUP(F:F,matching_transelated_with_ref!A:C,2,0)</f>
        <v>#N/A</v>
      </c>
      <c r="H484" t="str">
        <f>VLOOKUP(C:C,Sheet4!A:C,2,0)</f>
        <v xml:space="preserve"> سلفرادو 6V</v>
      </c>
    </row>
    <row r="485" spans="1:8" ht="14.4">
      <c r="A485" s="18" t="s">
        <v>53</v>
      </c>
      <c r="B485" s="18" t="s">
        <v>276</v>
      </c>
      <c r="C485" s="18" t="s">
        <v>277</v>
      </c>
      <c r="D485" s="19" t="str">
        <f ca="1">IFERROR(__xludf.DUMMYFUNCTION("GOOGLETRANSLATE(A485, ""ar"", ""en"")"),"General Motors")</f>
        <v>General Motors</v>
      </c>
      <c r="E485" s="19" t="str">
        <f ca="1">IFERROR(__xludf.DUMMYFUNCTION("GOOGLETRANSLATE(B485,""ar"",""en"")"),"Chevrolet")</f>
        <v>Chevrolet</v>
      </c>
      <c r="F485" s="19" t="str">
        <f ca="1">IFERROR(__xludf.DUMMYFUNCTION("GOOGLETRANSLATE(C485,""ar"",""en"")"),"Aquinox LS")</f>
        <v>Aquinox LS</v>
      </c>
      <c r="G485" t="e">
        <f ca="1">VLOOKUP(F:F,matching_transelated_with_ref!A:C,2,0)</f>
        <v>#N/A</v>
      </c>
      <c r="H485" t="e">
        <f>VLOOKUP(C:C,Sheet4!A:C,2,0)</f>
        <v>#N/A</v>
      </c>
    </row>
    <row r="486" spans="1:8" ht="14.4">
      <c r="A486" s="18" t="s">
        <v>53</v>
      </c>
      <c r="B486" s="18" t="s">
        <v>276</v>
      </c>
      <c r="C486" s="18" t="s">
        <v>623</v>
      </c>
      <c r="D486" s="19" t="str">
        <f ca="1">IFERROR(__xludf.DUMMYFUNCTION("GOOGLETRANSLATE(A486, ""ar"", ""en"")"),"General Motors")</f>
        <v>General Motors</v>
      </c>
      <c r="E486" s="19" t="str">
        <f ca="1">IFERROR(__xludf.DUMMYFUNCTION("GOOGLETRANSLATE(B486,""ar"",""en"")"),"Chevrolet")</f>
        <v>Chevrolet</v>
      </c>
      <c r="F486" s="19" t="str">
        <f ca="1">IFERROR(__xludf.DUMMYFUNCTION("GOOGLETRANSLATE(C486,""ar"",""en"")"),"Malibu")</f>
        <v>Malibu</v>
      </c>
      <c r="G486" t="e">
        <f ca="1">VLOOKUP(F:F,matching_transelated_with_ref!A:C,2,0)</f>
        <v>#N/A</v>
      </c>
      <c r="H486" t="str">
        <f>VLOOKUP(C:C,Sheet4!A:C,2,0)</f>
        <v>ماليبو</v>
      </c>
    </row>
    <row r="487" spans="1:8" ht="14.4">
      <c r="A487" s="18" t="s">
        <v>53</v>
      </c>
      <c r="B487" s="18" t="s">
        <v>276</v>
      </c>
      <c r="C487" s="18" t="s">
        <v>293</v>
      </c>
      <c r="D487" s="19" t="str">
        <f ca="1">IFERROR(__xludf.DUMMYFUNCTION("GOOGLETRANSLATE(A487, ""ar"", ""en"")"),"General Motors")</f>
        <v>General Motors</v>
      </c>
      <c r="E487" s="19" t="str">
        <f ca="1">IFERROR(__xludf.DUMMYFUNCTION("GOOGLETRANSLATE(B487,""ar"",""en"")"),"Chevrolet")</f>
        <v>Chevrolet</v>
      </c>
      <c r="F487" s="19" t="str">
        <f ca="1">IFERROR(__xludf.DUMMYFUNCTION("GOOGLETRANSLATE(C487,""ar"",""en"")"),"Malibu LT")</f>
        <v>Malibu LT</v>
      </c>
      <c r="G487" t="e">
        <f ca="1">VLOOKUP(F:F,matching_transelated_with_ref!A:C,2,0)</f>
        <v>#N/A</v>
      </c>
      <c r="H487" t="str">
        <f>VLOOKUP(C:C,Sheet4!A:C,2,0)</f>
        <v>ماليبو</v>
      </c>
    </row>
    <row r="488" spans="1:8" ht="14.4">
      <c r="A488" s="18" t="s">
        <v>53</v>
      </c>
      <c r="B488" s="18" t="s">
        <v>276</v>
      </c>
      <c r="C488" s="18" t="s">
        <v>292</v>
      </c>
      <c r="D488" s="19" t="str">
        <f ca="1">IFERROR(__xludf.DUMMYFUNCTION("GOOGLETRANSLATE(A488, ""ar"", ""en"")"),"General Motors")</f>
        <v>General Motors</v>
      </c>
      <c r="E488" s="19" t="str">
        <f ca="1">IFERROR(__xludf.DUMMYFUNCTION("GOOGLETRANSLATE(B488,""ar"",""en"")"),"Chevrolet")</f>
        <v>Chevrolet</v>
      </c>
      <c r="F488" s="19" t="str">
        <f ca="1">IFERROR(__xludf.DUMMYFUNCTION("GOOGLETRANSLATE(C488,""ar"",""en"")"),"Malibu LS")</f>
        <v>Malibu LS</v>
      </c>
      <c r="G488" t="e">
        <f ca="1">VLOOKUP(F:F,matching_transelated_with_ref!A:C,2,0)</f>
        <v>#N/A</v>
      </c>
      <c r="H488" t="str">
        <f>VLOOKUP(C:C,Sheet4!A:C,2,0)</f>
        <v>ماليبو</v>
      </c>
    </row>
    <row r="489" spans="1:8" ht="14.4">
      <c r="A489" s="18" t="s">
        <v>53</v>
      </c>
      <c r="B489" s="18" t="s">
        <v>276</v>
      </c>
      <c r="C489" s="18" t="s">
        <v>1366</v>
      </c>
      <c r="D489" s="19" t="str">
        <f ca="1">IFERROR(__xludf.DUMMYFUNCTION("GOOGLETRANSLATE(A489, ""ar"", ""en"")"),"General Motors")</f>
        <v>General Motors</v>
      </c>
      <c r="E489" s="19" t="str">
        <f ca="1">IFERROR(__xludf.DUMMYFUNCTION("GOOGLETRANSLATE(B489,""ar"",""en"")"),"Chevrolet")</f>
        <v>Chevrolet</v>
      </c>
      <c r="F489" s="19" t="str">
        <f ca="1">IFERROR(__xludf.DUMMYFUNCTION("GOOGLETRANSLATE(C489,""ar"",""en"")"),"Malibu Turbo pushed in front of")</f>
        <v>Malibu Turbo pushed in front of</v>
      </c>
      <c r="G489" t="e">
        <f ca="1">VLOOKUP(F:F,matching_transelated_with_ref!A:C,2,0)</f>
        <v>#N/A</v>
      </c>
      <c r="H489" t="str">
        <f>VLOOKUP(C:C,Sheet4!A:C,2,0)</f>
        <v>ماليبو</v>
      </c>
    </row>
    <row r="490" spans="1:8" ht="14.4">
      <c r="A490" s="18" t="s">
        <v>53</v>
      </c>
      <c r="B490" s="18" t="s">
        <v>276</v>
      </c>
      <c r="C490" s="18" t="s">
        <v>1107</v>
      </c>
      <c r="D490" s="19" t="str">
        <f ca="1">IFERROR(__xludf.DUMMYFUNCTION("GOOGLETRANSLATE(A490, ""ar"", ""en"")"),"General Motors")</f>
        <v>General Motors</v>
      </c>
      <c r="E490" s="19" t="str">
        <f ca="1">IFERROR(__xludf.DUMMYFUNCTION("GOOGLETRANSLATE(B490,""ar"",""en"")"),"Chevrolet")</f>
        <v>Chevrolet</v>
      </c>
      <c r="F490" s="19" t="str">
        <f ca="1">IFERROR(__xludf.DUMMYFUNCTION("GOOGLETRANSLATE(C490,""ar"",""en"")"),"Capteva in front of me")</f>
        <v>Capteva in front of me</v>
      </c>
      <c r="G490" t="e">
        <f ca="1">VLOOKUP(F:F,matching_transelated_with_ref!A:C,2,0)</f>
        <v>#N/A</v>
      </c>
      <c r="H490" t="e">
        <f>VLOOKUP(C:C,Sheet4!A:C,2,0)</f>
        <v>#N/A</v>
      </c>
    </row>
    <row r="491" spans="1:8" ht="14.4">
      <c r="A491" s="18" t="s">
        <v>53</v>
      </c>
      <c r="B491" s="18" t="s">
        <v>276</v>
      </c>
      <c r="C491" s="18" t="s">
        <v>1106</v>
      </c>
      <c r="D491" s="19" t="str">
        <f ca="1">IFERROR(__xludf.DUMMYFUNCTION("GOOGLETRANSLATE(A491, ""ar"", ""en"")"),"General Motors")</f>
        <v>General Motors</v>
      </c>
      <c r="E491" s="19" t="str">
        <f ca="1">IFERROR(__xludf.DUMMYFUNCTION("GOOGLETRANSLATE(B491,""ar"",""en"")"),"Chevrolet")</f>
        <v>Chevrolet</v>
      </c>
      <c r="F491" s="19" t="str">
        <f ca="1">IFERROR(__xludf.DUMMYFUNCTION("GOOGLETRANSLATE(C491,""ar"",""en"")"),"Capteva")</f>
        <v>Capteva</v>
      </c>
      <c r="G491" t="e">
        <f ca="1">VLOOKUP(F:F,matching_transelated_with_ref!A:C,2,0)</f>
        <v>#N/A</v>
      </c>
      <c r="H491" t="str">
        <f>VLOOKUP(C:C,Sheet4!A:C,2,0)</f>
        <v xml:space="preserve"> كابتيفا 6V</v>
      </c>
    </row>
    <row r="492" spans="1:8" ht="14.4">
      <c r="A492" s="18" t="s">
        <v>53</v>
      </c>
      <c r="B492" s="18" t="s">
        <v>276</v>
      </c>
      <c r="C492" s="18" t="s">
        <v>1365</v>
      </c>
      <c r="D492" s="19" t="str">
        <f ca="1">IFERROR(__xludf.DUMMYFUNCTION("GOOGLETRANSLATE(A492, ""ar"", ""en"")"),"General Motors")</f>
        <v>General Motors</v>
      </c>
      <c r="E492" s="19" t="str">
        <f ca="1">IFERROR(__xludf.DUMMYFUNCTION("GOOGLETRANSLATE(B492,""ar"",""en"")"),"Chevrolet")</f>
        <v>Chevrolet</v>
      </c>
      <c r="F492" s="19" t="str">
        <f ca="1">IFERROR(__xludf.DUMMYFUNCTION("GOOGLETRANSLATE(C492,""ar"",""en"")"),"Prior to me 1.5 liters")</f>
        <v>Prior to me 1.5 liters</v>
      </c>
      <c r="G492" t="e">
        <f ca="1">VLOOKUP(F:F,matching_transelated_with_ref!A:C,2,0)</f>
        <v>#N/A</v>
      </c>
      <c r="H492" t="e">
        <f>VLOOKUP(C:C,Sheet4!A:C,2,0)</f>
        <v>#N/A</v>
      </c>
    </row>
    <row r="493" spans="1:8" ht="14.4">
      <c r="A493" s="18" t="s">
        <v>53</v>
      </c>
      <c r="B493" s="18" t="s">
        <v>276</v>
      </c>
      <c r="C493" s="18" t="s">
        <v>1361</v>
      </c>
      <c r="D493" s="19" t="str">
        <f ca="1">IFERROR(__xludf.DUMMYFUNCTION("GOOGLETRANSLATE(A493, ""ar"", ""en"")"),"General Motors")</f>
        <v>General Motors</v>
      </c>
      <c r="E493" s="19" t="str">
        <f ca="1">IFERROR(__xludf.DUMMYFUNCTION("GOOGLETRANSLATE(B493,""ar"",""en"")"),"Chevrolet")</f>
        <v>Chevrolet</v>
      </c>
      <c r="F493" s="19" t="str">
        <f ca="1">IFERROR(__xludf.DUMMYFUNCTION("GOOGLETRANSLATE(C493,""ar"",""en"")"),"Garrov")</f>
        <v>Garrov</v>
      </c>
      <c r="G493" t="e">
        <f ca="1">VLOOKUP(F:F,matching_transelated_with_ref!A:C,2,0)</f>
        <v>#N/A</v>
      </c>
      <c r="H493" t="str">
        <f>VLOOKUP(C:C,Sheet4!A:C,2,0)</f>
        <v>جرووف</v>
      </c>
    </row>
    <row r="494" spans="1:8" ht="14.4">
      <c r="A494" s="18" t="s">
        <v>53</v>
      </c>
      <c r="B494" s="18" t="s">
        <v>276</v>
      </c>
      <c r="C494" s="18" t="s">
        <v>287</v>
      </c>
      <c r="D494" s="19" t="str">
        <f ca="1">IFERROR(__xludf.DUMMYFUNCTION("GOOGLETRANSLATE(A494, ""ar"", ""en"")"),"General Motors")</f>
        <v>General Motors</v>
      </c>
      <c r="E494" s="19" t="str">
        <f ca="1">IFERROR(__xludf.DUMMYFUNCTION("GOOGLETRANSLATE(B494,""ar"",""en"")"),"Chevrolet")</f>
        <v>Chevrolet</v>
      </c>
      <c r="F494" s="19" t="str">
        <f ca="1">IFERROR(__xludf.DUMMYFUNCTION("GOOGLETRANSLATE(C494,""ar"",""en"")"),"Spark")</f>
        <v>Spark</v>
      </c>
      <c r="G494" t="e">
        <f ca="1">VLOOKUP(F:F,matching_transelated_with_ref!A:C,2,0)</f>
        <v>#N/A</v>
      </c>
      <c r="H494" t="str">
        <f>VLOOKUP(C:C,Sheet4!A:C,2,0)</f>
        <v>سبارك</v>
      </c>
    </row>
    <row r="495" spans="1:8" ht="14.4">
      <c r="A495" s="18" t="s">
        <v>53</v>
      </c>
      <c r="B495" s="18" t="s">
        <v>276</v>
      </c>
      <c r="C495" s="18" t="s">
        <v>618</v>
      </c>
      <c r="D495" s="19" t="str">
        <f ca="1">IFERROR(__xludf.DUMMYFUNCTION("GOOGLETRANSLATE(A495, ""ar"", ""en"")"),"General Motors")</f>
        <v>General Motors</v>
      </c>
      <c r="E495" s="19" t="str">
        <f ca="1">IFERROR(__xludf.DUMMYFUNCTION("GOOGLETRANSLATE(B495,""ar"",""en"")"),"Chevrolet")</f>
        <v>Chevrolet</v>
      </c>
      <c r="F495" s="19" t="str">
        <f ca="1">IFERROR(__xludf.DUMMYFUNCTION("GOOGLETRANSLATE(C495,""ar"",""en"")"),"Park is normal")</f>
        <v>Park is normal</v>
      </c>
      <c r="G495" t="e">
        <f ca="1">VLOOKUP(F:F,matching_transelated_with_ref!A:C,2,0)</f>
        <v>#N/A</v>
      </c>
      <c r="H495" t="str">
        <f>VLOOKUP(C:C,Sheet4!A:C,2,0)</f>
        <v>سبارك</v>
      </c>
    </row>
    <row r="496" spans="1:8" ht="14.4">
      <c r="A496" s="18" t="s">
        <v>625</v>
      </c>
      <c r="B496" s="18" t="s">
        <v>626</v>
      </c>
      <c r="C496" s="18" t="s">
        <v>894</v>
      </c>
      <c r="D496" s="19" t="str">
        <f ca="1">IFERROR(__xludf.DUMMYFUNCTION("GOOGLETRANSLATE(A496, ""ar"", ""en"")"),"Guangzho Motors")</f>
        <v>Guangzho Motors</v>
      </c>
      <c r="E496" s="19" t="str">
        <f ca="1">IFERROR(__xludf.DUMMYFUNCTION("GOOGLETRANSLATE(B496,""ar"",""en"")"),"GIC Motter")</f>
        <v>GIC Motter</v>
      </c>
      <c r="F496" s="19" t="str">
        <f ca="1">IFERROR(__xludf.DUMMYFUNCTION("GOOGLETRANSLATE(C496,""ar"",""en"")"),"GN 8")</f>
        <v>GN 8</v>
      </c>
      <c r="G496" t="e">
        <f ca="1">VLOOKUP(F:F,matching_transelated_with_ref!A:C,2,0)</f>
        <v>#N/A</v>
      </c>
      <c r="H496" t="e">
        <f>VLOOKUP(C:C,Sheet4!A:C,2,0)</f>
        <v>#N/A</v>
      </c>
    </row>
    <row r="497" spans="1:8" ht="14.4">
      <c r="A497" s="18" t="s">
        <v>625</v>
      </c>
      <c r="B497" s="18" t="s">
        <v>626</v>
      </c>
      <c r="C497" s="18" t="s">
        <v>896</v>
      </c>
      <c r="D497" s="19" t="str">
        <f ca="1">IFERROR(__xludf.DUMMYFUNCTION("GOOGLETRANSLATE(A497, ""ar"", ""en"")"),"Guangzho Motors")</f>
        <v>Guangzho Motors</v>
      </c>
      <c r="E497" s="19" t="str">
        <f ca="1">IFERROR(__xludf.DUMMYFUNCTION("GOOGLETRANSLATE(B497,""ar"",""en"")"),"GIC Motter")</f>
        <v>GIC Motter</v>
      </c>
      <c r="F497" s="19" t="str">
        <f ca="1">IFERROR(__xludf.DUMMYFUNCTION("GOOGLETRANSLATE(C497,""ar"",""en"")"),"GA8")</f>
        <v>GA8</v>
      </c>
      <c r="G497" t="str">
        <f ca="1">VLOOKUP(F:F,matching_transelated_with_ref!A:C,2,0)</f>
        <v>GA8</v>
      </c>
      <c r="H497" t="e">
        <f>VLOOKUP(C:C,Sheet4!A:C,2,0)</f>
        <v>#N/A</v>
      </c>
    </row>
    <row r="498" spans="1:8" ht="14.4">
      <c r="A498" s="18" t="s">
        <v>625</v>
      </c>
      <c r="B498" s="18" t="s">
        <v>626</v>
      </c>
      <c r="C498" s="18" t="s">
        <v>628</v>
      </c>
      <c r="D498" s="19" t="str">
        <f ca="1">IFERROR(__xludf.DUMMYFUNCTION("GOOGLETRANSLATE(A498, ""ar"", ""en"")"),"Guangzho Motors")</f>
        <v>Guangzho Motors</v>
      </c>
      <c r="E498" s="19" t="str">
        <f ca="1">IFERROR(__xludf.DUMMYFUNCTION("GOOGLETRANSLATE(B498,""ar"",""en"")"),"GIC Motter")</f>
        <v>GIC Motter</v>
      </c>
      <c r="F498" s="19" t="str">
        <f ca="1">IFERROR(__xludf.DUMMYFUNCTION("GOOGLETRANSLATE(C498,""ar"",""en"")"),"GS8")</f>
        <v>GS8</v>
      </c>
      <c r="G498" t="str">
        <f ca="1">VLOOKUP(F:F,matching_transelated_with_ref!A:C,2,0)</f>
        <v>GS8 FACELIFT</v>
      </c>
      <c r="H498" t="e">
        <f>VLOOKUP(C:C,Sheet4!A:C,2,0)</f>
        <v>#N/A</v>
      </c>
    </row>
    <row r="499" spans="1:8" ht="14.4">
      <c r="A499" s="18" t="s">
        <v>625</v>
      </c>
      <c r="B499" s="18" t="s">
        <v>626</v>
      </c>
      <c r="C499" s="18" t="s">
        <v>1369</v>
      </c>
      <c r="D499" s="19" t="str">
        <f ca="1">IFERROR(__xludf.DUMMYFUNCTION("GOOGLETRANSLATE(A499, ""ar"", ""en"")"),"Guangzho Motors")</f>
        <v>Guangzho Motors</v>
      </c>
      <c r="E499" s="19" t="str">
        <f ca="1">IFERROR(__xludf.DUMMYFUNCTION("GOOGLETRANSLATE(B499,""ar"",""en"")"),"GIC Motter")</f>
        <v>GIC Motter</v>
      </c>
      <c r="F499" s="19" t="str">
        <f ca="1">IFERROR(__xludf.DUMMYFUNCTION("GOOGLETRANSLATE(C499,""ar"",""en"")"),"GI6")</f>
        <v>GI6</v>
      </c>
      <c r="G499" t="e">
        <f ca="1">VLOOKUP(F:F,matching_transelated_with_ref!A:C,2,0)</f>
        <v>#N/A</v>
      </c>
      <c r="H499" t="e">
        <f>VLOOKUP(C:C,Sheet4!A:C,2,0)</f>
        <v>#N/A</v>
      </c>
    </row>
    <row r="500" spans="1:8" ht="14.4">
      <c r="A500" s="18" t="s">
        <v>625</v>
      </c>
      <c r="B500" s="18" t="s">
        <v>626</v>
      </c>
      <c r="C500" s="18" t="s">
        <v>1109</v>
      </c>
      <c r="D500" s="19" t="str">
        <f ca="1">IFERROR(__xludf.DUMMYFUNCTION("GOOGLETRANSLATE(A500, ""ar"", ""en"")"),"Guangzho Motors")</f>
        <v>Guangzho Motors</v>
      </c>
      <c r="E500" s="19" t="str">
        <f ca="1">IFERROR(__xludf.DUMMYFUNCTION("GOOGLETRANSLATE(B500,""ar"",""en"")"),"GIC Motter")</f>
        <v>GIC Motter</v>
      </c>
      <c r="F500" s="19" t="str">
        <f ca="1">IFERROR(__xludf.DUMMYFUNCTION("GOOGLETRANSLATE(C500,""ar"",""en"")"),"GN 6")</f>
        <v>GN 6</v>
      </c>
      <c r="G500" t="str">
        <f ca="1">VLOOKUP(F:F,matching_transelated_with_ref!A:C,2,0)</f>
        <v>GN6</v>
      </c>
      <c r="H500" t="e">
        <f>VLOOKUP(C:C,Sheet4!A:C,2,0)</f>
        <v>#N/A</v>
      </c>
    </row>
    <row r="501" spans="1:8" ht="14.4">
      <c r="A501" s="18" t="s">
        <v>625</v>
      </c>
      <c r="B501" s="18" t="s">
        <v>626</v>
      </c>
      <c r="C501" s="18" t="s">
        <v>627</v>
      </c>
      <c r="D501" s="19" t="str">
        <f ca="1">IFERROR(__xludf.DUMMYFUNCTION("GOOGLETRANSLATE(A501, ""ar"", ""en"")"),"Guangzho Motors")</f>
        <v>Guangzho Motors</v>
      </c>
      <c r="E501" s="19" t="str">
        <f ca="1">IFERROR(__xludf.DUMMYFUNCTION("GOOGLETRANSLATE(B501,""ar"",""en"")"),"GIC Motter")</f>
        <v>GIC Motter</v>
      </c>
      <c r="F501" s="19" t="str">
        <f ca="1">IFERROR(__xludf.DUMMYFUNCTION("GOOGLETRANSLATE(C501,""ar"",""en"")"),"GS4")</f>
        <v>GS4</v>
      </c>
      <c r="G501" t="str">
        <f ca="1">VLOOKUP(F:F,matching_transelated_with_ref!A:C,2,0)</f>
        <v>GS4</v>
      </c>
      <c r="H501" t="e">
        <f>VLOOKUP(C:C,Sheet4!A:C,2,0)</f>
        <v>#N/A</v>
      </c>
    </row>
    <row r="502" spans="1:8" ht="14.4">
      <c r="A502" s="18" t="s">
        <v>625</v>
      </c>
      <c r="B502" s="18" t="s">
        <v>626</v>
      </c>
      <c r="C502" s="18" t="s">
        <v>1108</v>
      </c>
      <c r="D502" s="19" t="str">
        <f ca="1">IFERROR(__xludf.DUMMYFUNCTION("GOOGLETRANSLATE(A502, ""ar"", ""en"")"),"Guangzho Motors")</f>
        <v>Guangzho Motors</v>
      </c>
      <c r="E502" s="19" t="str">
        <f ca="1">IFERROR(__xludf.DUMMYFUNCTION("GOOGLETRANSLATE(B502,""ar"",""en"")"),"GIC Motter")</f>
        <v>GIC Motter</v>
      </c>
      <c r="F502" s="19" t="str">
        <f ca="1">IFERROR(__xludf.DUMMYFUNCTION("GOOGLETRANSLATE(C502,""ar"",""en"")"),"GS5")</f>
        <v>GS5</v>
      </c>
      <c r="G502" t="e">
        <f ca="1">VLOOKUP(F:F,matching_transelated_with_ref!A:C,2,0)</f>
        <v>#N/A</v>
      </c>
      <c r="H502" t="e">
        <f>VLOOKUP(C:C,Sheet4!A:C,2,0)</f>
        <v>#N/A</v>
      </c>
    </row>
    <row r="503" spans="1:8" ht="14.4">
      <c r="A503" s="18" t="s">
        <v>625</v>
      </c>
      <c r="B503" s="18" t="s">
        <v>626</v>
      </c>
      <c r="C503" s="18" t="s">
        <v>895</v>
      </c>
      <c r="D503" s="19" t="str">
        <f ca="1">IFERROR(__xludf.DUMMYFUNCTION("GOOGLETRANSLATE(A503, ""ar"", ""en"")"),"Guangzho Motors")</f>
        <v>Guangzho Motors</v>
      </c>
      <c r="E503" s="19" t="str">
        <f ca="1">IFERROR(__xludf.DUMMYFUNCTION("GOOGLETRANSLATE(B503,""ar"",""en"")"),"GIC Motter")</f>
        <v>GIC Motter</v>
      </c>
      <c r="F503" s="19" t="str">
        <f ca="1">IFERROR(__xludf.DUMMYFUNCTION("GOOGLETRANSLATE(C503,""ar"",""en"")"),"GA4")</f>
        <v>GA4</v>
      </c>
      <c r="G503" t="str">
        <f ca="1">VLOOKUP(F:F,matching_transelated_with_ref!A:C,2,0)</f>
        <v>GA4</v>
      </c>
      <c r="H503" t="e">
        <f>VLOOKUP(C:C,Sheet4!A:C,2,0)</f>
        <v>#N/A</v>
      </c>
    </row>
    <row r="504" spans="1:8" ht="14.4">
      <c r="A504" s="18" t="s">
        <v>625</v>
      </c>
      <c r="B504" s="18" t="s">
        <v>626</v>
      </c>
      <c r="C504" s="18" t="s">
        <v>1368</v>
      </c>
      <c r="D504" s="19" t="str">
        <f ca="1">IFERROR(__xludf.DUMMYFUNCTION("GOOGLETRANSLATE(A504, ""ar"", ""en"")"),"Guangzho Motors")</f>
        <v>Guangzho Motors</v>
      </c>
      <c r="E504" s="19" t="str">
        <f ca="1">IFERROR(__xludf.DUMMYFUNCTION("GOOGLETRANSLATE(B504,""ar"",""en"")"),"GIC Motter")</f>
        <v>GIC Motter</v>
      </c>
      <c r="F504" s="19" t="str">
        <f ca="1">IFERROR(__xludf.DUMMYFUNCTION("GOOGLETRANSLATE(C504,""ar"",""en"")"),"GS3")</f>
        <v>GS3</v>
      </c>
      <c r="G504" t="str">
        <f ca="1">VLOOKUP(F:F,matching_transelated_with_ref!A:C,2,0)</f>
        <v>GS3</v>
      </c>
      <c r="H504" t="e">
        <f>VLOOKUP(C:C,Sheet4!A:C,2,0)</f>
        <v>#N/A</v>
      </c>
    </row>
    <row r="505" spans="1:8" ht="14.4">
      <c r="A505" s="18" t="s">
        <v>625</v>
      </c>
      <c r="B505" s="18" t="s">
        <v>626</v>
      </c>
      <c r="C505" s="18" t="s">
        <v>893</v>
      </c>
      <c r="D505" s="19" t="str">
        <f ca="1">IFERROR(__xludf.DUMMYFUNCTION("GOOGLETRANSLATE(A505, ""ar"", ""en"")"),"Guangzho Motors")</f>
        <v>Guangzho Motors</v>
      </c>
      <c r="E505" s="19" t="str">
        <f ca="1">IFERROR(__xludf.DUMMYFUNCTION("GOOGLETRANSLATE(B505,""ar"",""en"")"),"GIC Motter")</f>
        <v>GIC Motter</v>
      </c>
      <c r="F505" s="19" t="str">
        <f ca="1">IFERROR(__xludf.DUMMYFUNCTION("GOOGLETRANSLATE(C505,""ar"",""en"")")," GS3")</f>
        <v xml:space="preserve"> GS3</v>
      </c>
      <c r="G505" t="str">
        <f ca="1">VLOOKUP(F:F,matching_transelated_with_ref!A:C,2,0)</f>
        <v>GS3</v>
      </c>
      <c r="H505" t="e">
        <f>VLOOKUP(C:C,Sheet4!A:C,2,0)</f>
        <v>#N/A</v>
      </c>
    </row>
    <row r="506" spans="1:8" ht="14.4">
      <c r="A506" s="18" t="s">
        <v>56</v>
      </c>
      <c r="B506" s="18" t="s">
        <v>897</v>
      </c>
      <c r="C506" s="18" t="s">
        <v>898</v>
      </c>
      <c r="D506" s="19" t="str">
        <f ca="1">IFERROR(__xludf.DUMMYFUNCTION("GOOGLETRANSLATE(A506, ""ar"", ""en"")"),"Jiang Ling Motors")</f>
        <v>Jiang Ling Motors</v>
      </c>
      <c r="E506" s="19" t="str">
        <f ca="1">IFERROR(__xludf.DUMMYFUNCTION("GOOGLETRANSLATE(B506,""ar"",""en"")"),"Jiang Ling Jia M.C")</f>
        <v>Jiang Ling Jia M.C</v>
      </c>
      <c r="F506" s="19" t="str">
        <f ca="1">IFERROR(__xludf.DUMMYFUNCTION("GOOGLETRANSLATE(C506,""ar"",""en"")"),"JX 1043 DP2")</f>
        <v>JX 1043 DP2</v>
      </c>
      <c r="G506" t="e">
        <f ca="1">VLOOKUP(F:F,matching_transelated_with_ref!A:C,2,0)</f>
        <v>#N/A</v>
      </c>
      <c r="H506">
        <f>VLOOKUP(C:C,Sheet4!A:C,2,0)</f>
        <v>2</v>
      </c>
    </row>
    <row r="507" spans="1:8" ht="14.4">
      <c r="A507" s="18" t="s">
        <v>56</v>
      </c>
      <c r="B507" s="18" t="s">
        <v>57</v>
      </c>
      <c r="C507" s="18" t="s">
        <v>58</v>
      </c>
      <c r="D507" s="19" t="str">
        <f ca="1">IFERROR(__xludf.DUMMYFUNCTION("GOOGLETRANSLATE(A507, ""ar"", ""en"")"),"Jiang Ling Motors")</f>
        <v>Jiang Ling Motors</v>
      </c>
      <c r="E507" s="19" t="str">
        <f ca="1">IFERROR(__xludf.DUMMYFUNCTION("GOOGLETRANSLATE(B507,""ar"",""en"")"),"GMC")</f>
        <v>GMC</v>
      </c>
      <c r="F507" s="19" t="str">
        <f ca="1">IFERROR(__xludf.DUMMYFUNCTION("GOOGLETRANSLATE(C507,""ar"",""en"")"),"JX 1021 DP")</f>
        <v>JX 1021 DP</v>
      </c>
      <c r="G507" t="e">
        <f ca="1">VLOOKUP(F:F,matching_transelated_with_ref!A:C,2,0)</f>
        <v>#N/A</v>
      </c>
      <c r="H507" t="e">
        <f>VLOOKUP(C:C,Sheet4!A:C,2,0)</f>
        <v>#N/A</v>
      </c>
    </row>
    <row r="508" spans="1:8" ht="14.4">
      <c r="A508" s="18" t="s">
        <v>300</v>
      </c>
      <c r="B508" s="18" t="s">
        <v>300</v>
      </c>
      <c r="C508" s="18" t="s">
        <v>1372</v>
      </c>
      <c r="D508" s="19" t="str">
        <f ca="1">IFERROR(__xludf.DUMMYFUNCTION("GOOGLETRANSLATE(A508, ""ar"", ""en"")"),"jelly")</f>
        <v>jelly</v>
      </c>
      <c r="E508" s="19" t="str">
        <f ca="1">IFERROR(__xludf.DUMMYFUNCTION("GOOGLETRANSLATE(B508,""ar"",""en"")"),"jelly")</f>
        <v>jelly</v>
      </c>
      <c r="F508" s="19" t="str">
        <f ca="1">IFERROR(__xludf.DUMMYFUNCTION("GOOGLETRANSLATE(C508,""ar"",""en"")"),"Tujila quad")</f>
        <v>Tujila quad</v>
      </c>
      <c r="G508" t="e">
        <f ca="1">VLOOKUP(F:F,matching_transelated_with_ref!A:C,2,0)</f>
        <v>#N/A</v>
      </c>
      <c r="H508" t="str">
        <f>VLOOKUP(C:C,Sheet4!A:C,2,0)</f>
        <v>توجيلا</v>
      </c>
    </row>
    <row r="509" spans="1:8" ht="14.4">
      <c r="A509" s="18" t="s">
        <v>300</v>
      </c>
      <c r="B509" s="18" t="s">
        <v>300</v>
      </c>
      <c r="C509" s="18" t="s">
        <v>1110</v>
      </c>
      <c r="D509" s="19" t="str">
        <f ca="1">IFERROR(__xludf.DUMMYFUNCTION("GOOGLETRANSLATE(A509, ""ar"", ""en"")"),"jelly")</f>
        <v>jelly</v>
      </c>
      <c r="E509" s="19" t="str">
        <f ca="1">IFERROR(__xludf.DUMMYFUNCTION("GOOGLETRANSLATE(B509,""ar"",""en"")"),"jelly")</f>
        <v>jelly</v>
      </c>
      <c r="F509" s="19" t="str">
        <f ca="1">IFERROR(__xludf.DUMMYFUNCTION("GOOGLETRANSLATE(C509,""ar"",""en"")"),"SUVs")</f>
        <v>SUVs</v>
      </c>
      <c r="G509" t="e">
        <f ca="1">VLOOKUP(F:F,matching_transelated_with_ref!A:C,2,0)</f>
        <v>#N/A</v>
      </c>
      <c r="H509" t="str">
        <f>VLOOKUP(C:C,Sheet4!A:C,2,0)</f>
        <v>ازكارا</v>
      </c>
    </row>
    <row r="510" spans="1:8" ht="14.4">
      <c r="A510" s="18" t="s">
        <v>300</v>
      </c>
      <c r="B510" s="18" t="s">
        <v>300</v>
      </c>
      <c r="C510" s="18" t="s">
        <v>1370</v>
      </c>
      <c r="D510" s="19" t="str">
        <f ca="1">IFERROR(__xludf.DUMMYFUNCTION("GOOGLETRANSLATE(A510, ""ar"", ""en"")"),"jelly")</f>
        <v>jelly</v>
      </c>
      <c r="E510" s="19" t="str">
        <f ca="1">IFERROR(__xludf.DUMMYFUNCTION("GOOGLETRANSLATE(B510,""ar"",""en"")"),"jelly")</f>
        <v>jelly</v>
      </c>
      <c r="F510" s="19" t="str">
        <f ca="1">IFERROR(__xludf.DUMMYFUNCTION("GOOGLETRANSLATE(C510,""ar"",""en"")"),"Okavango")</f>
        <v>Okavango</v>
      </c>
      <c r="G510" t="e">
        <f ca="1">VLOOKUP(F:F,matching_transelated_with_ref!A:C,2,0)</f>
        <v>#N/A</v>
      </c>
      <c r="H510" t="e">
        <f>VLOOKUP(C:C,Sheet4!A:C,2,0)</f>
        <v>#N/A</v>
      </c>
    </row>
    <row r="511" spans="1:8" ht="14.4">
      <c r="A511" s="18" t="s">
        <v>300</v>
      </c>
      <c r="B511" s="18" t="s">
        <v>301</v>
      </c>
      <c r="C511" s="18" t="s">
        <v>302</v>
      </c>
      <c r="D511" s="19" t="str">
        <f ca="1">IFERROR(__xludf.DUMMYFUNCTION("GOOGLETRANSLATE(A511, ""ar"", ""en"")"),"jelly")</f>
        <v>jelly</v>
      </c>
      <c r="E511" s="19" t="str">
        <f ca="1">IFERROR(__xludf.DUMMYFUNCTION("GOOGLETRANSLATE(B511,""ar"",""en"")"),"Amigrand")</f>
        <v>Amigrand</v>
      </c>
      <c r="F511" s="19" t="str">
        <f ca="1">IFERROR(__xludf.DUMMYFUNCTION("GOOGLETRANSLATE(C511,""ar"",""en"")"),"X7 Sport")</f>
        <v>X7 Sport</v>
      </c>
      <c r="G511" t="e">
        <f ca="1">VLOOKUP(F:F,matching_transelated_with_ref!A:C,2,0)</f>
        <v>#N/A</v>
      </c>
      <c r="H511" t="e">
        <f>VLOOKUP(C:C,Sheet4!A:C,2,0)</f>
        <v>#N/A</v>
      </c>
    </row>
    <row r="512" spans="1:8" ht="14.4">
      <c r="A512" s="18" t="s">
        <v>300</v>
      </c>
      <c r="B512" s="18" t="s">
        <v>300</v>
      </c>
      <c r="C512" s="18" t="s">
        <v>1111</v>
      </c>
      <c r="D512" s="19" t="str">
        <f ca="1">IFERROR(__xludf.DUMMYFUNCTION("GOOGLETRANSLATE(A512, ""ar"", ""en"")"),"jelly")</f>
        <v>jelly</v>
      </c>
      <c r="E512" s="19" t="str">
        <f ca="1">IFERROR(__xludf.DUMMYFUNCTION("GOOGLETRANSLATE(B512,""ar"",""en"")"),"jelly")</f>
        <v>jelly</v>
      </c>
      <c r="F512" s="19" t="str">
        <f ca="1">IFERROR(__xludf.DUMMYFUNCTION("GOOGLETRANSLATE(C512,""ar"",""en"")"),"Collery")</f>
        <v>Collery</v>
      </c>
      <c r="G512" t="e">
        <f ca="1">VLOOKUP(F:F,matching_transelated_with_ref!A:C,2,0)</f>
        <v>#N/A</v>
      </c>
      <c r="H512" t="str">
        <f>VLOOKUP(C:C,Sheet4!A:C,2,0)</f>
        <v>كولراي</v>
      </c>
    </row>
    <row r="513" spans="1:8" ht="14.4">
      <c r="A513" s="18" t="s">
        <v>300</v>
      </c>
      <c r="B513" s="18" t="s">
        <v>300</v>
      </c>
      <c r="C513" s="18" t="s">
        <v>1371</v>
      </c>
      <c r="D513" s="19" t="str">
        <f ca="1">IFERROR(__xludf.DUMMYFUNCTION("GOOGLETRANSLATE(A513, ""ar"", ""en"")"),"jelly")</f>
        <v>jelly</v>
      </c>
      <c r="E513" s="19" t="str">
        <f ca="1">IFERROR(__xludf.DUMMYFUNCTION("GOOGLETRANSLATE(B513,""ar"",""en"")"),"jelly")</f>
        <v>jelly</v>
      </c>
      <c r="F513" s="19" t="str">
        <f ca="1">IFERROR(__xludf.DUMMYFUNCTION("GOOGLETRANSLATE(C513,""ar"",""en"")"),"Naray")</f>
        <v>Naray</v>
      </c>
      <c r="G513" t="e">
        <f ca="1">VLOOKUP(F:F,matching_transelated_with_ref!A:C,2,0)</f>
        <v>#N/A</v>
      </c>
      <c r="H513" t="str">
        <f>VLOOKUP(C:C,Sheet4!A:C,2,0)</f>
        <v xml:space="preserve">بينراي </v>
      </c>
    </row>
    <row r="514" spans="1:8" ht="14.4">
      <c r="A514" s="18" t="s">
        <v>59</v>
      </c>
      <c r="B514" s="18" t="s">
        <v>59</v>
      </c>
      <c r="C514" s="18" t="s">
        <v>1112</v>
      </c>
      <c r="D514" s="19" t="str">
        <f ca="1">IFERROR(__xludf.DUMMYFUNCTION("GOOGLETRANSLATE(A514, ""ar"", ""en"")"),"JMC")</f>
        <v>JMC</v>
      </c>
      <c r="E514" s="19" t="str">
        <f ca="1">IFERROR(__xludf.DUMMYFUNCTION("GOOGLETRANSLATE(B514,""ar"",""en"")"),"JMC")</f>
        <v>JMC</v>
      </c>
      <c r="F514" s="19" t="str">
        <f ca="1">IFERROR(__xludf.DUMMYFUNCTION("GOOGLETRANSLATE(C514,""ar"",""en"")"),"JX 1064 TG2")</f>
        <v>JX 1064 TG2</v>
      </c>
      <c r="G514" t="e">
        <f ca="1">VLOOKUP(F:F,matching_transelated_with_ref!A:C,2,0)</f>
        <v>#N/A</v>
      </c>
      <c r="H514" t="e">
        <f>VLOOKUP(C:C,Sheet4!A:C,2,0)</f>
        <v>#N/A</v>
      </c>
    </row>
    <row r="515" spans="1:8" ht="14.4">
      <c r="A515" s="18" t="s">
        <v>59</v>
      </c>
      <c r="B515" s="18" t="s">
        <v>60</v>
      </c>
      <c r="C515" s="18" t="s">
        <v>61</v>
      </c>
      <c r="D515" s="19" t="str">
        <f ca="1">IFERROR(__xludf.DUMMYFUNCTION("GOOGLETRANSLATE(A515, ""ar"", ""en"")"),"JMC")</f>
        <v>JMC</v>
      </c>
      <c r="E515" s="19" t="str">
        <f ca="1">IFERROR(__xludf.DUMMYFUNCTION("GOOGLETRANSLATE(B515,""ar"",""en"")"),"Bordaq")</f>
        <v>Bordaq</v>
      </c>
      <c r="F515" s="19" t="str">
        <f ca="1">IFERROR(__xludf.DUMMYFUNCTION("GOOGLETRANSLATE(C515,""ar"",""en"")"),"JX 1021 DSH")</f>
        <v>JX 1021 DSH</v>
      </c>
      <c r="G515" t="e">
        <f ca="1">VLOOKUP(F:F,matching_transelated_with_ref!A:C,2,0)</f>
        <v>#N/A</v>
      </c>
      <c r="H515" t="e">
        <f>VLOOKUP(C:C,Sheet4!A:C,2,0)</f>
        <v>#N/A</v>
      </c>
    </row>
    <row r="516" spans="1:8" ht="14.4">
      <c r="A516" s="18" t="s">
        <v>62</v>
      </c>
      <c r="B516" s="18" t="s">
        <v>62</v>
      </c>
      <c r="C516" s="18" t="s">
        <v>303</v>
      </c>
      <c r="D516" s="19" t="str">
        <f ca="1">IFERROR(__xludf.DUMMYFUNCTION("GOOGLETRANSLATE(A516, ""ar"", ""en"")"),"Dodge")</f>
        <v>Dodge</v>
      </c>
      <c r="E516" s="19" t="str">
        <f ca="1">IFERROR(__xludf.DUMMYFUNCTION("GOOGLETRANSLATE(B516,""ar"",""en"")"),"Dodge")</f>
        <v>Dodge</v>
      </c>
      <c r="F516" s="19" t="str">
        <f ca="1">IFERROR(__xludf.DUMMYFUNCTION("GOOGLETRANSLATE(C516,""ar"",""en"")"),"neon")</f>
        <v>neon</v>
      </c>
      <c r="G516" t="e">
        <f ca="1">VLOOKUP(F:F,matching_transelated_with_ref!A:C,2,0)</f>
        <v>#N/A</v>
      </c>
      <c r="H516" t="str">
        <f>VLOOKUP(C:C,Sheet4!A:C,2,0)</f>
        <v xml:space="preserve"> نيون</v>
      </c>
    </row>
    <row r="517" spans="1:8" ht="14.4">
      <c r="A517" s="18" t="s">
        <v>62</v>
      </c>
      <c r="B517" s="18" t="s">
        <v>63</v>
      </c>
      <c r="C517" s="18" t="s">
        <v>64</v>
      </c>
      <c r="D517" s="19" t="str">
        <f ca="1">IFERROR(__xludf.DUMMYFUNCTION("GOOGLETRANSLATE(A517, ""ar"", ""en"")"),"Dodge")</f>
        <v>Dodge</v>
      </c>
      <c r="E517" s="19" t="str">
        <f ca="1">IFERROR(__xludf.DUMMYFUNCTION("GOOGLETRANSLATE(B517,""ar"",""en"")"),"Archer")</f>
        <v>Archer</v>
      </c>
      <c r="F517" s="19" t="str">
        <f ca="1">IFERROR(__xludf.DUMMYFUNCTION("GOOGLETRANSLATE(C517,""ar"",""en"")"),"1200")</f>
        <v>1200</v>
      </c>
      <c r="G517" t="e">
        <f ca="1">VLOOKUP(F:F,matching_transelated_with_ref!A:C,2,0)</f>
        <v>#N/A</v>
      </c>
      <c r="H517" t="e">
        <f>VLOOKUP(C:C,Sheet4!A:C,2,0)</f>
        <v>#N/A</v>
      </c>
    </row>
    <row r="518" spans="1:8" ht="14.4">
      <c r="A518" s="18" t="s">
        <v>65</v>
      </c>
      <c r="B518" s="18" t="s">
        <v>66</v>
      </c>
      <c r="C518" s="18" t="s">
        <v>633</v>
      </c>
      <c r="D518" s="19" t="str">
        <f ca="1">IFERROR(__xludf.DUMMYFUNCTION("GOOGLETRANSLATE(A518, ""ar"", ""en"")"),"Dosan")</f>
        <v>Dosan</v>
      </c>
      <c r="E518" s="19" t="str">
        <f ca="1">IFERROR(__xludf.DUMMYFUNCTION("GOOGLETRANSLATE(B518,""ar"",""en"")"),"stomach")</f>
        <v>stomach</v>
      </c>
      <c r="F518" s="19" t="str">
        <f ca="1">IFERROR(__xludf.DUMMYFUNCTION("GOOGLETRANSLATE(C518,""ar"",""en"")"),"DX 520 LCA")</f>
        <v>DX 520 LCA</v>
      </c>
      <c r="G518" t="e">
        <f ca="1">VLOOKUP(F:F,matching_transelated_with_ref!A:C,2,0)</f>
        <v>#N/A</v>
      </c>
      <c r="H518" t="e">
        <f>VLOOKUP(C:C,Sheet4!A:C,2,0)</f>
        <v>#N/A</v>
      </c>
    </row>
    <row r="519" spans="1:8" ht="14.4">
      <c r="A519" s="18" t="s">
        <v>65</v>
      </c>
      <c r="B519" s="18" t="s">
        <v>66</v>
      </c>
      <c r="C519" s="18" t="s">
        <v>1114</v>
      </c>
      <c r="D519" s="19" t="str">
        <f ca="1">IFERROR(__xludf.DUMMYFUNCTION("GOOGLETRANSLATE(A519, ""ar"", ""en"")"),"Dosan")</f>
        <v>Dosan</v>
      </c>
      <c r="E519" s="19" t="str">
        <f ca="1">IFERROR(__xludf.DUMMYFUNCTION("GOOGLETRANSLATE(B519,""ar"",""en"")"),"stomach")</f>
        <v>stomach</v>
      </c>
      <c r="F519" s="19" t="str">
        <f ca="1">IFERROR(__xludf.DUMMYFUNCTION("GOOGLETRANSLATE(C519,""ar"",""en"")"),"DX 480 LCA")</f>
        <v>DX 480 LCA</v>
      </c>
      <c r="G519" t="e">
        <f ca="1">VLOOKUP(F:F,matching_transelated_with_ref!A:C,2,0)</f>
        <v>#N/A</v>
      </c>
      <c r="H519" t="e">
        <f>VLOOKUP(C:C,Sheet4!A:C,2,0)</f>
        <v>#N/A</v>
      </c>
    </row>
    <row r="520" spans="1:8" ht="14.4">
      <c r="A520" s="18" t="s">
        <v>65</v>
      </c>
      <c r="B520" s="18" t="s">
        <v>66</v>
      </c>
      <c r="C520" s="18" t="s">
        <v>1115</v>
      </c>
      <c r="D520" s="19" t="str">
        <f ca="1">IFERROR(__xludf.DUMMYFUNCTION("GOOGLETRANSLATE(A520, ""ar"", ""en"")"),"Dosan")</f>
        <v>Dosan</v>
      </c>
      <c r="E520" s="19" t="str">
        <f ca="1">IFERROR(__xludf.DUMMYFUNCTION("GOOGLETRANSLATE(B520,""ar"",""en"")"),"stomach")</f>
        <v>stomach</v>
      </c>
      <c r="F520" s="19" t="str">
        <f ca="1">IFERROR(__xludf.DUMMYFUNCTION("GOOGLETRANSLATE(C520,""ar"",""en"")"),"DX 420 LCA")</f>
        <v>DX 420 LCA</v>
      </c>
      <c r="G520" t="e">
        <f ca="1">VLOOKUP(F:F,matching_transelated_with_ref!A:C,2,0)</f>
        <v>#N/A</v>
      </c>
      <c r="H520" t="str">
        <f>VLOOKUP(C:C,Sheet4!A:C,2,0)</f>
        <v>اير</v>
      </c>
    </row>
    <row r="521" spans="1:8" ht="14.4">
      <c r="A521" s="18" t="s">
        <v>65</v>
      </c>
      <c r="B521" s="18" t="s">
        <v>66</v>
      </c>
      <c r="C521" s="18" t="s">
        <v>305</v>
      </c>
      <c r="D521" s="19" t="str">
        <f ca="1">IFERROR(__xludf.DUMMYFUNCTION("GOOGLETRANSLATE(A521, ""ar"", ""en"")"),"Dosan")</f>
        <v>Dosan</v>
      </c>
      <c r="E521" s="19" t="str">
        <f ca="1">IFERROR(__xludf.DUMMYFUNCTION("GOOGLETRANSLATE(B521,""ar"",""en"")"),"stomach")</f>
        <v>stomach</v>
      </c>
      <c r="F521" s="19" t="str">
        <f ca="1">IFERROR(__xludf.DUMMYFUNCTION("GOOGLETRANSLATE(C521,""ar"",""en"")"),"The 420A")</f>
        <v>The 420A</v>
      </c>
      <c r="G521" t="e">
        <f ca="1">VLOOKUP(F:F,matching_transelated_with_ref!A:C,2,0)</f>
        <v>#N/A</v>
      </c>
      <c r="H521" t="e">
        <f>VLOOKUP(C:C,Sheet4!A:C,2,0)</f>
        <v>#N/A</v>
      </c>
    </row>
    <row r="522" spans="1:8" ht="14.4">
      <c r="A522" s="18" t="s">
        <v>65</v>
      </c>
      <c r="B522" s="18" t="s">
        <v>66</v>
      </c>
      <c r="C522" s="18" t="s">
        <v>630</v>
      </c>
      <c r="D522" s="19" t="str">
        <f ca="1">IFERROR(__xludf.DUMMYFUNCTION("GOOGLETRANSLATE(A522, ""ar"", ""en"")"),"Dosan")</f>
        <v>Dosan</v>
      </c>
      <c r="E522" s="19" t="str">
        <f ca="1">IFERROR(__xludf.DUMMYFUNCTION("GOOGLETRANSLATE(B522,""ar"",""en"")"),"stomach")</f>
        <v>stomach</v>
      </c>
      <c r="F522" s="19" t="str">
        <f ca="1">IFERROR(__xludf.DUMMYFUNCTION("GOOGLETRANSLATE(C522,""ar"",""en"")"),"DX 190WA")</f>
        <v>DX 190WA</v>
      </c>
      <c r="G522" t="e">
        <f ca="1">VLOOKUP(F:F,matching_transelated_with_ref!A:C,2,0)</f>
        <v>#N/A</v>
      </c>
      <c r="H522" t="e">
        <f>VLOOKUP(C:C,Sheet4!A:C,2,0)</f>
        <v>#N/A</v>
      </c>
    </row>
    <row r="523" spans="1:8" ht="14.4">
      <c r="A523" s="18" t="s">
        <v>65</v>
      </c>
      <c r="B523" s="18" t="s">
        <v>66</v>
      </c>
      <c r="C523" s="18" t="s">
        <v>632</v>
      </c>
      <c r="D523" s="19" t="str">
        <f ca="1">IFERROR(__xludf.DUMMYFUNCTION("GOOGLETRANSLATE(A523, ""ar"", ""en"")"),"Dosan")</f>
        <v>Dosan</v>
      </c>
      <c r="E523" s="19" t="str">
        <f ca="1">IFERROR(__xludf.DUMMYFUNCTION("GOOGLETRANSLATE(B523,""ar"",""en"")"),"stomach")</f>
        <v>stomach</v>
      </c>
      <c r="F523" s="19" t="str">
        <f ca="1">IFERROR(__xludf.DUMMYFUNCTION("GOOGLETRANSLATE(C523,""ar"",""en"")"),"DX 225 LCA")</f>
        <v>DX 225 LCA</v>
      </c>
      <c r="G523" t="e">
        <f ca="1">VLOOKUP(F:F,matching_transelated_with_ref!A:C,2,0)</f>
        <v>#N/A</v>
      </c>
      <c r="H523" t="e">
        <f>VLOOKUP(C:C,Sheet4!A:C,2,0)</f>
        <v>#N/A</v>
      </c>
    </row>
    <row r="524" spans="1:8" ht="14.4">
      <c r="A524" s="18" t="s">
        <v>65</v>
      </c>
      <c r="B524" s="18" t="s">
        <v>66</v>
      </c>
      <c r="C524" s="18" t="s">
        <v>631</v>
      </c>
      <c r="D524" s="19" t="str">
        <f ca="1">IFERROR(__xludf.DUMMYFUNCTION("GOOGLETRANSLATE(A524, ""ar"", ""en"")"),"Dosan")</f>
        <v>Dosan</v>
      </c>
      <c r="E524" s="19" t="str">
        <f ca="1">IFERROR(__xludf.DUMMYFUNCTION("GOOGLETRANSLATE(B524,""ar"",""en"")"),"stomach")</f>
        <v>stomach</v>
      </c>
      <c r="F524" s="19" t="str">
        <f ca="1">IFERROR(__xludf.DUMMYFUNCTION("GOOGLETRANSLATE(C524,""ar"",""en"")"),"DX 220 LCA -2")</f>
        <v>DX 220 LCA -2</v>
      </c>
      <c r="G524" t="e">
        <f ca="1">VLOOKUP(F:F,matching_transelated_with_ref!A:C,2,0)</f>
        <v>#N/A</v>
      </c>
      <c r="H524">
        <f>VLOOKUP(C:C,Sheet4!A:C,2,0)</f>
        <v>2</v>
      </c>
    </row>
    <row r="525" spans="1:8" ht="14.4">
      <c r="A525" s="18" t="s">
        <v>65</v>
      </c>
      <c r="B525" s="18" t="s">
        <v>66</v>
      </c>
      <c r="C525" s="18" t="s">
        <v>1113</v>
      </c>
      <c r="D525" s="19" t="str">
        <f ca="1">IFERROR(__xludf.DUMMYFUNCTION("GOOGLETRANSLATE(A525, ""ar"", ""en"")"),"Dosan")</f>
        <v>Dosan</v>
      </c>
      <c r="E525" s="19" t="str">
        <f ca="1">IFERROR(__xludf.DUMMYFUNCTION("GOOGLETRANSLATE(B525,""ar"",""en"")"),"stomach")</f>
        <v>stomach</v>
      </c>
      <c r="F525" s="19" t="str">
        <f ca="1">IFERROR(__xludf.DUMMYFUNCTION("GOOGLETRANSLATE(C525,""ar"",""en"")"),"SD 310")</f>
        <v>SD 310</v>
      </c>
      <c r="G525" t="e">
        <f ca="1">VLOOKUP(F:F,matching_transelated_with_ref!A:C,2,0)</f>
        <v>#N/A</v>
      </c>
      <c r="H525" t="e">
        <f>VLOOKUP(C:C,Sheet4!A:C,2,0)</f>
        <v>#N/A</v>
      </c>
    </row>
    <row r="526" spans="1:8" ht="14.4">
      <c r="A526" s="18" t="s">
        <v>65</v>
      </c>
      <c r="B526" s="18" t="s">
        <v>8</v>
      </c>
      <c r="C526" s="18" t="s">
        <v>629</v>
      </c>
      <c r="D526" s="19" t="str">
        <f ca="1">IFERROR(__xludf.DUMMYFUNCTION("GOOGLETRANSLATE(A526, ""ar"", ""en"")"),"Dosan")</f>
        <v>Dosan</v>
      </c>
      <c r="E526" s="19" t="str">
        <f ca="1">IFERROR(__xludf.DUMMYFUNCTION("GOOGLETRANSLATE(B526,""ar"",""en"")"),"-")</f>
        <v>-</v>
      </c>
      <c r="F526" s="19" t="str">
        <f ca="1">IFERROR(__xludf.DUMMYFUNCTION("GOOGLETRANSLATE(C526,""ar"",""en"")"),"SD 300")</f>
        <v>SD 300</v>
      </c>
      <c r="G526" t="e">
        <f ca="1">VLOOKUP(F:F,matching_transelated_with_ref!A:C,2,0)</f>
        <v>#N/A</v>
      </c>
      <c r="H526" t="e">
        <f>VLOOKUP(C:C,Sheet4!A:C,2,0)</f>
        <v>#N/A</v>
      </c>
    </row>
    <row r="527" spans="1:8" ht="14.4">
      <c r="A527" s="18" t="s">
        <v>65</v>
      </c>
      <c r="B527" s="18" t="s">
        <v>66</v>
      </c>
      <c r="C527" s="18" t="s">
        <v>304</v>
      </c>
      <c r="D527" s="19" t="str">
        <f ca="1">IFERROR(__xludf.DUMMYFUNCTION("GOOGLETRANSLATE(A527, ""ar"", ""en"")"),"Dosan")</f>
        <v>Dosan</v>
      </c>
      <c r="E527" s="19" t="str">
        <f ca="1">IFERROR(__xludf.DUMMYFUNCTION("GOOGLETRANSLATE(B527,""ar"",""en"")"),"stomach")</f>
        <v>stomach</v>
      </c>
      <c r="F527" s="19" t="str">
        <f ca="1">IFERROR(__xludf.DUMMYFUNCTION("GOOGLETRANSLATE(C527,""ar"",""en"")"),"D 70 S-5")</f>
        <v>D 70 S-5</v>
      </c>
      <c r="G527" t="e">
        <f ca="1">VLOOKUP(F:F,matching_transelated_with_ref!A:C,2,0)</f>
        <v>#N/A</v>
      </c>
      <c r="H527">
        <f>VLOOKUP(C:C,Sheet4!A:C,2,0)</f>
        <v>5</v>
      </c>
    </row>
    <row r="528" spans="1:8" ht="14.4">
      <c r="A528" s="18" t="s">
        <v>65</v>
      </c>
      <c r="B528" s="18" t="s">
        <v>66</v>
      </c>
      <c r="C528" s="18" t="s">
        <v>67</v>
      </c>
      <c r="D528" s="19" t="str">
        <f ca="1">IFERROR(__xludf.DUMMYFUNCTION("GOOGLETRANSLATE(A528, ""ar"", ""en"")"),"Dosan")</f>
        <v>Dosan</v>
      </c>
      <c r="E528" s="19" t="str">
        <f ca="1">IFERROR(__xludf.DUMMYFUNCTION("GOOGLETRANSLATE(B528,""ar"",""en"")"),"stomach")</f>
        <v>stomach</v>
      </c>
      <c r="F528" s="19" t="str">
        <f ca="1">IFERROR(__xludf.DUMMYFUNCTION("GOOGLETRANSLATE(C528,""ar"",""en"")"),"D 30G")</f>
        <v>D 30G</v>
      </c>
      <c r="G528" t="e">
        <f ca="1">VLOOKUP(F:F,matching_transelated_with_ref!A:C,2,0)</f>
        <v>#N/A</v>
      </c>
      <c r="H528" t="e">
        <f>VLOOKUP(C:C,Sheet4!A:C,2,0)</f>
        <v>#N/A</v>
      </c>
    </row>
    <row r="529" spans="1:8" ht="14.4">
      <c r="A529" s="18" t="s">
        <v>65</v>
      </c>
      <c r="B529" s="18" t="s">
        <v>66</v>
      </c>
      <c r="C529" s="18" t="s">
        <v>899</v>
      </c>
      <c r="D529" s="19" t="str">
        <f ca="1">IFERROR(__xludf.DUMMYFUNCTION("GOOGLETRANSLATE(A529, ""ar"", ""en"")"),"Dosan")</f>
        <v>Dosan</v>
      </c>
      <c r="E529" s="19" t="str">
        <f ca="1">IFERROR(__xludf.DUMMYFUNCTION("GOOGLETRANSLATE(B529,""ar"",""en"")"),"stomach")</f>
        <v>stomach</v>
      </c>
      <c r="F529" s="19" t="str">
        <f ca="1">IFERROR(__xludf.DUMMYFUNCTION("GOOGLETRANSLATE(C529,""ar"",""en"")"),"D30 NNXP")</f>
        <v>D30 NNXP</v>
      </c>
      <c r="G529" t="e">
        <f ca="1">VLOOKUP(F:F,matching_transelated_with_ref!A:C,2,0)</f>
        <v>#N/A</v>
      </c>
      <c r="H529" t="e">
        <f>VLOOKUP(C:C,Sheet4!A:C,2,0)</f>
        <v>#N/A</v>
      </c>
    </row>
    <row r="530" spans="1:8" ht="14.4">
      <c r="A530" s="18" t="s">
        <v>306</v>
      </c>
      <c r="B530" s="18" t="s">
        <v>309</v>
      </c>
      <c r="C530" s="18" t="s">
        <v>310</v>
      </c>
      <c r="D530" s="19" t="str">
        <f ca="1">IFERROR(__xludf.DUMMYFUNCTION("GOOGLETRANSLATE(A530, ""ar"", ""en"")"),"Dolvo International")</f>
        <v>Dolvo International</v>
      </c>
      <c r="E530" s="19" t="str">
        <f ca="1">IFERROR(__xludf.DUMMYFUNCTION("GOOGLETRANSLATE(B530,""ar"",""en"")"),"Vehicle")</f>
        <v>Vehicle</v>
      </c>
      <c r="F530" s="19" t="str">
        <f ca="1">IFERROR(__xludf.DUMMYFUNCTION("GOOGLETRANSLATE(C530,""ar"",""en"")"),"5000 Eiffel and Yu 4")</f>
        <v>5000 Eiffel and Yu 4</v>
      </c>
      <c r="G530" t="e">
        <f ca="1">VLOOKUP(F:F,matching_transelated_with_ref!A:C,2,0)</f>
        <v>#N/A</v>
      </c>
      <c r="H530" t="e">
        <f>VLOOKUP(C:C,Sheet4!A:C,2,0)</f>
        <v>#N/A</v>
      </c>
    </row>
    <row r="531" spans="1:8" ht="14.4">
      <c r="A531" s="18" t="s">
        <v>306</v>
      </c>
      <c r="B531" s="18" t="s">
        <v>307</v>
      </c>
      <c r="C531" s="18" t="s">
        <v>308</v>
      </c>
      <c r="D531" s="19" t="str">
        <f ca="1">IFERROR(__xludf.DUMMYFUNCTION("GOOGLETRANSLATE(A531, ""ar"", ""en"")"),"Dolvo International")</f>
        <v>Dolvo International</v>
      </c>
      <c r="E531" s="19" t="str">
        <f ca="1">IFERROR(__xludf.DUMMYFUNCTION("GOOGLETRANSLATE(B531,""ar"",""en"")"),"Dolvo Antlenercional")</f>
        <v>Dolvo Antlenercional</v>
      </c>
      <c r="F531" s="19" t="str">
        <f ca="1">IFERROR(__xludf.DUMMYFUNCTION("GOOGLETRANSLATE(C531,""ar"",""en"")"),"3000 Revolution")</f>
        <v>3000 Revolution</v>
      </c>
      <c r="G531" t="e">
        <f ca="1">VLOOKUP(F:F,matching_transelated_with_ref!A:C,2,0)</f>
        <v>#N/A</v>
      </c>
      <c r="H531" t="e">
        <f>VLOOKUP(C:C,Sheet4!A:C,2,0)</f>
        <v>#N/A</v>
      </c>
    </row>
    <row r="532" spans="1:8" ht="14.4">
      <c r="A532" s="18" t="s">
        <v>634</v>
      </c>
      <c r="B532" s="18" t="s">
        <v>102</v>
      </c>
      <c r="C532" s="18" t="s">
        <v>635</v>
      </c>
      <c r="D532" s="19" t="str">
        <f ca="1">IFERROR(__xludf.DUMMYFUNCTION("GOOGLETRANSLATE(A532, ""ar"", ""en"")"),"Demler Chrysler")</f>
        <v>Demler Chrysler</v>
      </c>
      <c r="E532" s="19" t="str">
        <f ca="1">IFERROR(__xludf.DUMMYFUNCTION("GOOGLETRANSLATE(B532,""ar"",""en"")"),"pocket")</f>
        <v>pocket</v>
      </c>
      <c r="F532" s="19" t="str">
        <f ca="1">IFERROR(__xludf.DUMMYFUNCTION("GOOGLETRANSLATE(C532,""ar"",""en"")"),"Grand Cherokee")</f>
        <v>Grand Cherokee</v>
      </c>
      <c r="G532" t="e">
        <f ca="1">VLOOKUP(F:F,matching_transelated_with_ref!A:C,2,0)</f>
        <v>#N/A</v>
      </c>
      <c r="H532" t="str">
        <f>VLOOKUP(C:C,Sheet4!A:C,2,0)</f>
        <v>جراند شروكي</v>
      </c>
    </row>
    <row r="533" spans="1:8" ht="14.4">
      <c r="A533" s="18" t="s">
        <v>634</v>
      </c>
      <c r="B533" s="18" t="s">
        <v>62</v>
      </c>
      <c r="C533" s="18" t="s">
        <v>636</v>
      </c>
      <c r="D533" s="19" t="str">
        <f ca="1">IFERROR(__xludf.DUMMYFUNCTION("GOOGLETRANSLATE(A533, ""ar"", ""en"")"),"Demler Chrysler")</f>
        <v>Demler Chrysler</v>
      </c>
      <c r="E533" s="19" t="str">
        <f ca="1">IFERROR(__xludf.DUMMYFUNCTION("GOOGLETRANSLATE(B533,""ar"",""en"")"),"Dodge")</f>
        <v>Dodge</v>
      </c>
      <c r="F533" s="19" t="str">
        <f ca="1">IFERROR(__xludf.DUMMYFUNCTION("GOOGLETRANSLATE(C533,""ar"",""en"")"),"Drango")</f>
        <v>Drango</v>
      </c>
      <c r="G533" t="e">
        <f ca="1">VLOOKUP(F:F,matching_transelated_with_ref!A:C,2,0)</f>
        <v>#N/A</v>
      </c>
      <c r="H533" t="str">
        <f>VLOOKUP(C:C,Sheet4!A:C,2,0)</f>
        <v xml:space="preserve"> دورانجو</v>
      </c>
    </row>
    <row r="534" spans="1:8" ht="14.4">
      <c r="A534" s="18" t="s">
        <v>311</v>
      </c>
      <c r="B534" s="18" t="s">
        <v>311</v>
      </c>
      <c r="C534" s="18" t="s">
        <v>637</v>
      </c>
      <c r="D534" s="19" t="str">
        <f ca="1">IFERROR(__xludf.DUMMYFUNCTION("GOOGLETRANSLATE(A534, ""ar"", ""en"")"),"Rolls-Royce")</f>
        <v>Rolls-Royce</v>
      </c>
      <c r="E534" s="19" t="str">
        <f ca="1">IFERROR(__xludf.DUMMYFUNCTION("GOOGLETRANSLATE(B534,""ar"",""en"")"),"Rolls-Royce")</f>
        <v>Rolls-Royce</v>
      </c>
      <c r="F534" s="19" t="str">
        <f ca="1">IFERROR(__xludf.DUMMYFUNCTION("GOOGLETRANSLATE(C534,""ar"",""en"")"),"Colin")</f>
        <v>Colin</v>
      </c>
      <c r="G534" t="e">
        <f ca="1">VLOOKUP(F:F,matching_transelated_with_ref!A:C,2,0)</f>
        <v>#N/A</v>
      </c>
      <c r="H534" t="str">
        <f>VLOOKUP(C:C,Sheet4!A:C,2,0)</f>
        <v>كولينين</v>
      </c>
    </row>
    <row r="535" spans="1:8" ht="14.4">
      <c r="A535" s="18" t="s">
        <v>311</v>
      </c>
      <c r="B535" s="18" t="s">
        <v>311</v>
      </c>
      <c r="C535" s="18" t="s">
        <v>900</v>
      </c>
      <c r="D535" s="19" t="str">
        <f ca="1">IFERROR(__xludf.DUMMYFUNCTION("GOOGLETRANSLATE(A535, ""ar"", ""en"")"),"Rolls-Royce")</f>
        <v>Rolls-Royce</v>
      </c>
      <c r="E535" s="19" t="str">
        <f ca="1">IFERROR(__xludf.DUMMYFUNCTION("GOOGLETRANSLATE(B535,""ar"",""en"")"),"Rolls-Royce")</f>
        <v>Rolls-Royce</v>
      </c>
      <c r="F535" s="19" t="str">
        <f ca="1">IFERROR(__xludf.DUMMYFUNCTION("GOOGLETRANSLATE(C535,""ar"",""en"")"),"Ghost")</f>
        <v>Ghost</v>
      </c>
      <c r="G535" t="str">
        <f ca="1">VLOOKUP(F:F,matching_transelated_with_ref!A:C,2,0)</f>
        <v>GHOST</v>
      </c>
      <c r="H535" t="e">
        <f>VLOOKUP(C:C,Sheet4!A:C,2,0)</f>
        <v>#N/A</v>
      </c>
    </row>
    <row r="536" spans="1:8" ht="14.4">
      <c r="A536" s="18" t="s">
        <v>311</v>
      </c>
      <c r="B536" s="18" t="s">
        <v>311</v>
      </c>
      <c r="C536" s="18" t="s">
        <v>312</v>
      </c>
      <c r="D536" s="19" t="str">
        <f ca="1">IFERROR(__xludf.DUMMYFUNCTION("GOOGLETRANSLATE(A536, ""ar"", ""en"")"),"Rolls-Royce")</f>
        <v>Rolls-Royce</v>
      </c>
      <c r="E536" s="19" t="str">
        <f ca="1">IFERROR(__xludf.DUMMYFUNCTION("GOOGLETRANSLATE(B536,""ar"",""en"")"),"Rolls-Royce")</f>
        <v>Rolls-Royce</v>
      </c>
      <c r="F536" s="19" t="str">
        <f ca="1">IFERROR(__xludf.DUMMYFUNCTION("GOOGLETRANSLATE(C536,""ar"",""en"")"),"Ray")</f>
        <v>Ray</v>
      </c>
      <c r="G536" t="e">
        <f ca="1">VLOOKUP(F:F,matching_transelated_with_ref!A:C,2,0)</f>
        <v>#N/A</v>
      </c>
      <c r="H536" t="str">
        <f>VLOOKUP(C:C,Sheet4!A:C,2,0)</f>
        <v xml:space="preserve"> ريو</v>
      </c>
    </row>
    <row r="537" spans="1:8" ht="14.4">
      <c r="A537" s="18" t="s">
        <v>313</v>
      </c>
      <c r="B537" s="18" t="s">
        <v>311</v>
      </c>
      <c r="C537" s="18" t="s">
        <v>640</v>
      </c>
      <c r="D537" s="19" t="str">
        <f ca="1">IFERROR(__xludf.DUMMYFUNCTION("GOOGLETRANSLATE(A537, ""ar"", ""en"")"),"Rolzois-Pontte")</f>
        <v>Rolzois-Pontte</v>
      </c>
      <c r="E537" s="19" t="str">
        <f ca="1">IFERROR(__xludf.DUMMYFUNCTION("GOOGLETRANSLATE(B537,""ar"",""en"")"),"Rolls-Royce")</f>
        <v>Rolls-Royce</v>
      </c>
      <c r="F537" s="19" t="str">
        <f ca="1">IFERROR(__xludf.DUMMYFUNCTION("GOOGLETRANSLATE(C537,""ar"",""en"")"),"Phantom")</f>
        <v>Phantom</v>
      </c>
      <c r="G537" t="str">
        <f ca="1">VLOOKUP(F:F,matching_transelated_with_ref!A:C,2,0)</f>
        <v>PHANTOM</v>
      </c>
      <c r="H537" t="e">
        <f>VLOOKUP(C:C,Sheet4!A:C,2,0)</f>
        <v>#N/A</v>
      </c>
    </row>
    <row r="538" spans="1:8" ht="14.4">
      <c r="A538" s="18" t="s">
        <v>313</v>
      </c>
      <c r="B538" s="18" t="s">
        <v>311</v>
      </c>
      <c r="C538" s="18" t="s">
        <v>637</v>
      </c>
      <c r="D538" s="19" t="str">
        <f ca="1">IFERROR(__xludf.DUMMYFUNCTION("GOOGLETRANSLATE(A538, ""ar"", ""en"")"),"Rolzois-Pontte")</f>
        <v>Rolzois-Pontte</v>
      </c>
      <c r="E538" s="19" t="str">
        <f ca="1">IFERROR(__xludf.DUMMYFUNCTION("GOOGLETRANSLATE(B538,""ar"",""en"")"),"Rolls-Royce")</f>
        <v>Rolls-Royce</v>
      </c>
      <c r="F538" s="19" t="str">
        <f ca="1">IFERROR(__xludf.DUMMYFUNCTION("GOOGLETRANSLATE(C538,""ar"",""en"")"),"Colin")</f>
        <v>Colin</v>
      </c>
      <c r="G538" t="e">
        <f ca="1">VLOOKUP(F:F,matching_transelated_with_ref!A:C,2,0)</f>
        <v>#N/A</v>
      </c>
      <c r="H538" t="str">
        <f>VLOOKUP(C:C,Sheet4!A:C,2,0)</f>
        <v>كولينين</v>
      </c>
    </row>
    <row r="539" spans="1:8" ht="14.4">
      <c r="A539" s="18" t="s">
        <v>313</v>
      </c>
      <c r="B539" s="18" t="s">
        <v>311</v>
      </c>
      <c r="C539" s="18" t="s">
        <v>900</v>
      </c>
      <c r="D539" s="19" t="str">
        <f ca="1">IFERROR(__xludf.DUMMYFUNCTION("GOOGLETRANSLATE(A539, ""ar"", ""en"")"),"Rolzois-Pontte")</f>
        <v>Rolzois-Pontte</v>
      </c>
      <c r="E539" s="19" t="str">
        <f ca="1">IFERROR(__xludf.DUMMYFUNCTION("GOOGLETRANSLATE(B539,""ar"",""en"")"),"Rolls-Royce")</f>
        <v>Rolls-Royce</v>
      </c>
      <c r="F539" s="19" t="str">
        <f ca="1">IFERROR(__xludf.DUMMYFUNCTION("GOOGLETRANSLATE(C539,""ar"",""en"")"),"Ghost")</f>
        <v>Ghost</v>
      </c>
      <c r="G539" t="str">
        <f ca="1">VLOOKUP(F:F,matching_transelated_with_ref!A:C,2,0)</f>
        <v>GHOST</v>
      </c>
      <c r="H539" t="e">
        <f>VLOOKUP(C:C,Sheet4!A:C,2,0)</f>
        <v>#N/A</v>
      </c>
    </row>
    <row r="540" spans="1:8" ht="14.4">
      <c r="A540" s="18" t="s">
        <v>313</v>
      </c>
      <c r="B540" s="18" t="s">
        <v>314</v>
      </c>
      <c r="C540" s="36" t="s">
        <v>316</v>
      </c>
      <c r="D540" s="19" t="str">
        <f ca="1">IFERROR(__xludf.DUMMYFUNCTION("GOOGLETRANSLATE(A540, ""ar"", ""en"")"),"Rolzois-Pontte")</f>
        <v>Rolzois-Pontte</v>
      </c>
      <c r="E540" s="19" t="str">
        <f ca="1">IFERROR(__xludf.DUMMYFUNCTION("GOOGLETRANSLATE(B540,""ar"",""en"")"),"Bingle")</f>
        <v>Bingle</v>
      </c>
      <c r="F540" s="19" t="str">
        <f ca="1">IFERROR(__xludf.DUMMYFUNCTION("GOOGLETRANSLATE(C540,""ar"",""en"")"),"Mounted")</f>
        <v>Mounted</v>
      </c>
      <c r="G540" t="e">
        <f ca="1">VLOOKUP(F:F,matching_transelated_with_ref!A:C,2,0)</f>
        <v>#N/A</v>
      </c>
      <c r="H540" t="str">
        <f>VLOOKUP(C:C,Sheet4!A:C,2,0)</f>
        <v>مولسان - MULSANNE</v>
      </c>
    </row>
    <row r="541" spans="1:8" ht="14.4">
      <c r="A541" s="18" t="s">
        <v>313</v>
      </c>
      <c r="B541" s="18" t="s">
        <v>314</v>
      </c>
      <c r="C541" s="36" t="s">
        <v>639</v>
      </c>
      <c r="D541" s="19" t="str">
        <f ca="1">IFERROR(__xludf.DUMMYFUNCTION("GOOGLETRANSLATE(A541, ""ar"", ""en"")"),"Rolzois-Pontte")</f>
        <v>Rolzois-Pontte</v>
      </c>
      <c r="E541" s="19" t="str">
        <f ca="1">IFERROR(__xludf.DUMMYFUNCTION("GOOGLETRANSLATE(B541,""ar"",""en"")"),"Bingle")</f>
        <v>Bingle</v>
      </c>
      <c r="F541" s="19" t="str">
        <f ca="1">IFERROR(__xludf.DUMMYFUNCTION("GOOGLETRANSLATE(C541,""ar"",""en"")"),"Continental GT")</f>
        <v>Continental GT</v>
      </c>
      <c r="G541" t="str">
        <f ca="1">VLOOKUP(F:F,matching_transelated_with_ref!A:C,2,0)</f>
        <v>GT</v>
      </c>
      <c r="H541" t="e">
        <f>VLOOKUP(C:C,Sheet4!A:C,2,0)</f>
        <v>#N/A</v>
      </c>
    </row>
    <row r="542" spans="1:8" ht="14.4">
      <c r="A542" s="18" t="s">
        <v>313</v>
      </c>
      <c r="B542" s="18" t="s">
        <v>314</v>
      </c>
      <c r="C542" s="36" t="s">
        <v>638</v>
      </c>
      <c r="D542" s="19" t="str">
        <f ca="1">IFERROR(__xludf.DUMMYFUNCTION("GOOGLETRANSLATE(A542, ""ar"", ""en"")"),"Rolzois-Pontte")</f>
        <v>Rolzois-Pontte</v>
      </c>
      <c r="E542" s="19" t="str">
        <f ca="1">IFERROR(__xludf.DUMMYFUNCTION("GOOGLETRANSLATE(B542,""ar"",""en"")"),"Bingle")</f>
        <v>Bingle</v>
      </c>
      <c r="F542" s="19" t="str">
        <f ca="1">IFERROR(__xludf.DUMMYFUNCTION("GOOGLETRANSLATE(C542,""ar"",""en"")"),"Pentaga")</f>
        <v>Pentaga</v>
      </c>
      <c r="G542" t="e">
        <f ca="1">VLOOKUP(F:F,matching_transelated_with_ref!A:C,2,0)</f>
        <v>#N/A</v>
      </c>
      <c r="H542" t="str">
        <f>VLOOKUP(C:C,Sheet4!A:C,2,0)</f>
        <v>بنتياقا - BANTAYGA</v>
      </c>
    </row>
    <row r="543" spans="1:8" ht="14.4">
      <c r="A543" s="18" t="s">
        <v>313</v>
      </c>
      <c r="B543" s="18" t="s">
        <v>314</v>
      </c>
      <c r="C543" s="36" t="s">
        <v>315</v>
      </c>
      <c r="D543" s="19" t="str">
        <f ca="1">IFERROR(__xludf.DUMMYFUNCTION("GOOGLETRANSLATE(A543, ""ar"", ""en"")"),"Rolzois-Pontte")</f>
        <v>Rolzois-Pontte</v>
      </c>
      <c r="E543" s="19" t="str">
        <f ca="1">IFERROR(__xludf.DUMMYFUNCTION("GOOGLETRANSLATE(B543,""ar"",""en"")"),"Bingle")</f>
        <v>Bingle</v>
      </c>
      <c r="F543" s="19" t="str">
        <f ca="1">IFERROR(__xludf.DUMMYFUNCTION("GOOGLETRANSLATE(C543,""ar"",""en"")"),"Bentiga W. 12")</f>
        <v>Bentiga W. 12</v>
      </c>
      <c r="G543" t="e">
        <f ca="1">VLOOKUP(F:F,matching_transelated_with_ref!A:C,2,0)</f>
        <v>#N/A</v>
      </c>
      <c r="H543" t="e">
        <f>VLOOKUP(C:C,Sheet4!A:C,2,0)</f>
        <v>#N/A</v>
      </c>
    </row>
    <row r="544" spans="1:8" ht="14.4">
      <c r="A544" s="18" t="s">
        <v>68</v>
      </c>
      <c r="B544" s="18" t="s">
        <v>69</v>
      </c>
      <c r="C544" s="18" t="s">
        <v>70</v>
      </c>
      <c r="D544" s="19" t="str">
        <f ca="1">IFERROR(__xludf.DUMMYFUNCTION("GOOGLETRANSLATE(A544, ""ar"", ""en"")"),"Renault")</f>
        <v>Renault</v>
      </c>
      <c r="E544" s="19" t="str">
        <f ca="1">IFERROR(__xludf.DUMMYFUNCTION("GOOGLETRANSLATE(B544,""ar"",""en"")"),"a truck")</f>
        <v>a truck</v>
      </c>
      <c r="F544" s="19" t="str">
        <f ca="1">IFERROR(__xludf.DUMMYFUNCTION("GOOGLETRANSLATE(C544,""ar"",""en"")"),"C 460")</f>
        <v>C 460</v>
      </c>
      <c r="G544" t="e">
        <f ca="1">VLOOKUP(F:F,matching_transelated_with_ref!A:C,2,0)</f>
        <v>#N/A</v>
      </c>
      <c r="H544" t="e">
        <f>VLOOKUP(C:C,Sheet4!A:C,2,0)</f>
        <v>#N/A</v>
      </c>
    </row>
    <row r="545" spans="1:8" ht="14.4">
      <c r="A545" s="18" t="s">
        <v>68</v>
      </c>
      <c r="B545" s="18" t="s">
        <v>8</v>
      </c>
      <c r="C545" s="18" t="s">
        <v>1116</v>
      </c>
      <c r="D545" s="19" t="str">
        <f ca="1">IFERROR(__xludf.DUMMYFUNCTION("GOOGLETRANSLATE(A545, ""ar"", ""en"")"),"Renault")</f>
        <v>Renault</v>
      </c>
      <c r="E545" s="19" t="str">
        <f ca="1">IFERROR(__xludf.DUMMYFUNCTION("GOOGLETRANSLATE(B545,""ar"",""en"")"),"-")</f>
        <v>-</v>
      </c>
      <c r="F545" s="19" t="str">
        <f ca="1">IFERROR(__xludf.DUMMYFUNCTION("GOOGLETRANSLATE(C545,""ar"",""en"")"),"Colius")</f>
        <v>Colius</v>
      </c>
      <c r="G545" t="e">
        <f ca="1">VLOOKUP(F:F,matching_transelated_with_ref!A:C,2,0)</f>
        <v>#N/A</v>
      </c>
      <c r="H545" t="str">
        <f>VLOOKUP(C:C,Sheet4!A:C,2,0)</f>
        <v>كوليوس</v>
      </c>
    </row>
    <row r="546" spans="1:8" ht="14.4">
      <c r="A546" s="18" t="s">
        <v>68</v>
      </c>
      <c r="B546" s="18" t="s">
        <v>68</v>
      </c>
      <c r="C546" s="18" t="s">
        <v>1117</v>
      </c>
      <c r="D546" s="19" t="str">
        <f ca="1">IFERROR(__xludf.DUMMYFUNCTION("GOOGLETRANSLATE(A546, ""ar"", ""en"")"),"Renault")</f>
        <v>Renault</v>
      </c>
      <c r="E546" s="19" t="str">
        <f ca="1">IFERROR(__xludf.DUMMYFUNCTION("GOOGLETRANSLATE(B546,""ar"",""en"")"),"Renault")</f>
        <v>Renault</v>
      </c>
      <c r="F546" s="19" t="str">
        <f ca="1">IFERROR(__xludf.DUMMYFUNCTION("GOOGLETRANSLATE(C546,""ar"",""en"")"),"Master The 1H1")</f>
        <v>Master The 1H1</v>
      </c>
      <c r="G546" t="e">
        <f ca="1">VLOOKUP(F:F,matching_transelated_with_ref!A:C,2,0)</f>
        <v>#N/A</v>
      </c>
      <c r="H546" t="e">
        <f>VLOOKUP(C:C,Sheet4!A:C,2,0)</f>
        <v>#N/A</v>
      </c>
    </row>
    <row r="547" spans="1:8" ht="14.4">
      <c r="A547" s="18" t="s">
        <v>68</v>
      </c>
      <c r="B547" s="18" t="s">
        <v>319</v>
      </c>
      <c r="C547" s="18" t="s">
        <v>320</v>
      </c>
      <c r="D547" s="19" t="str">
        <f ca="1">IFERROR(__xludf.DUMMYFUNCTION("GOOGLETRANSLATE(A547, ""ar"", ""en"")"),"Renault")</f>
        <v>Renault</v>
      </c>
      <c r="E547" s="19" t="str">
        <f ca="1">IFERROR(__xludf.DUMMYFUNCTION("GOOGLETRANSLATE(B547,""ar"",""en"")"),"Megan")</f>
        <v>Megan</v>
      </c>
      <c r="F547" s="19" t="str">
        <f ca="1">IFERROR(__xludf.DUMMYFUNCTION("GOOGLETRANSLATE(C547,""ar"",""en"")"),"Any 1.6 automatic")</f>
        <v>Any 1.6 automatic</v>
      </c>
      <c r="G547" t="e">
        <f ca="1">VLOOKUP(F:F,matching_transelated_with_ref!A:C,2,0)</f>
        <v>#N/A</v>
      </c>
      <c r="H547" t="e">
        <f>VLOOKUP(C:C,Sheet4!A:C,2,0)</f>
        <v>#N/A</v>
      </c>
    </row>
    <row r="548" spans="1:8" ht="14.4">
      <c r="A548" s="18" t="s">
        <v>68</v>
      </c>
      <c r="B548" s="18" t="s">
        <v>68</v>
      </c>
      <c r="C548" s="18" t="s">
        <v>642</v>
      </c>
      <c r="D548" s="19" t="str">
        <f ca="1">IFERROR(__xludf.DUMMYFUNCTION("GOOGLETRANSLATE(A548, ""ar"", ""en"")"),"Renault")</f>
        <v>Renault</v>
      </c>
      <c r="E548" s="19" t="str">
        <f ca="1">IFERROR(__xludf.DUMMYFUNCTION("GOOGLETRANSLATE(B548,""ar"",""en"")"),"Renault")</f>
        <v>Renault</v>
      </c>
      <c r="F548" s="19" t="str">
        <f ca="1">IFERROR(__xludf.DUMMYFUNCTION("GOOGLETRANSLATE(C548,""ar"",""en"")"),"Duster 4 x 4")</f>
        <v>Duster 4 x 4</v>
      </c>
      <c r="G548" t="e">
        <f ca="1">VLOOKUP(F:F,matching_transelated_with_ref!A:C,2,0)</f>
        <v>#N/A</v>
      </c>
      <c r="H548" t="str">
        <f>VLOOKUP(C:C,Sheet4!A:C,2,0)</f>
        <v xml:space="preserve">داستر </v>
      </c>
    </row>
    <row r="549" spans="1:8" ht="14.4">
      <c r="A549" s="18" t="s">
        <v>68</v>
      </c>
      <c r="B549" s="18" t="s">
        <v>8</v>
      </c>
      <c r="C549" s="18" t="s">
        <v>901</v>
      </c>
      <c r="D549" s="19" t="str">
        <f ca="1">IFERROR(__xludf.DUMMYFUNCTION("GOOGLETRANSLATE(A549, ""ar"", ""en"")"),"Renault")</f>
        <v>Renault</v>
      </c>
      <c r="E549" s="19" t="str">
        <f ca="1">IFERROR(__xludf.DUMMYFUNCTION("GOOGLETRANSLATE(B549,""ar"",""en"")"),"-")</f>
        <v>-</v>
      </c>
      <c r="F549" s="19" t="str">
        <f ca="1">IFERROR(__xludf.DUMMYFUNCTION("GOOGLETRANSLATE(C549,""ar"",""en"")"),"Megan")</f>
        <v>Megan</v>
      </c>
      <c r="G549" t="e">
        <f ca="1">VLOOKUP(F:F,matching_transelated_with_ref!A:C,2,0)</f>
        <v>#N/A</v>
      </c>
      <c r="H549" t="str">
        <f>VLOOKUP(C:C,Sheet4!A:C,2,0)</f>
        <v xml:space="preserve">ميجان </v>
      </c>
    </row>
    <row r="550" spans="1:8" ht="14.4">
      <c r="A550" s="18" t="s">
        <v>68</v>
      </c>
      <c r="B550" s="18" t="s">
        <v>68</v>
      </c>
      <c r="C550" s="18" t="s">
        <v>641</v>
      </c>
      <c r="D550" s="19" t="str">
        <f ca="1">IFERROR(__xludf.DUMMYFUNCTION("GOOGLETRANSLATE(A550, ""ar"", ""en"")"),"Renault")</f>
        <v>Renault</v>
      </c>
      <c r="E550" s="19" t="str">
        <f ca="1">IFERROR(__xludf.DUMMYFUNCTION("GOOGLETRANSLATE(B550,""ar"",""en"")"),"Renault")</f>
        <v>Renault</v>
      </c>
      <c r="F550" s="19" t="str">
        <f ca="1">IFERROR(__xludf.DUMMYFUNCTION("GOOGLETRANSLATE(C550,""ar"",""en"")"),"Duster 4 x 2")</f>
        <v>Duster 4 x 2</v>
      </c>
      <c r="G550" t="e">
        <f ca="1">VLOOKUP(F:F,matching_transelated_with_ref!A:C,2,0)</f>
        <v>#N/A</v>
      </c>
      <c r="H550" t="str">
        <f>VLOOKUP(C:C,Sheet4!A:C,2,0)</f>
        <v xml:space="preserve">داستر </v>
      </c>
    </row>
    <row r="551" spans="1:8" ht="14.4">
      <c r="A551" s="18" t="s">
        <v>68</v>
      </c>
      <c r="B551" s="18" t="s">
        <v>317</v>
      </c>
      <c r="C551" s="18" t="s">
        <v>318</v>
      </c>
      <c r="D551" s="19" t="str">
        <f ca="1">IFERROR(__xludf.DUMMYFUNCTION("GOOGLETRANSLATE(A551, ""ar"", ""en"")"),"Renault")</f>
        <v>Renault</v>
      </c>
      <c r="E551" s="19" t="str">
        <f ca="1">IFERROR(__xludf.DUMMYFUNCTION("GOOGLETRANSLATE(B551,""ar"",""en"")"),"Dokar")</f>
        <v>Dokar</v>
      </c>
      <c r="F551" s="19" t="str">
        <f ca="1">IFERROR(__xludf.DUMMYFUNCTION("GOOGLETRANSLATE(C551,""ar"",""en"")"),"Van 1.6")</f>
        <v>Van 1.6</v>
      </c>
      <c r="G551" t="e">
        <f ca="1">VLOOKUP(F:F,matching_transelated_with_ref!A:C,2,0)</f>
        <v>#N/A</v>
      </c>
      <c r="H551" t="e">
        <f>VLOOKUP(C:C,Sheet4!A:C,2,0)</f>
        <v>#N/A</v>
      </c>
    </row>
    <row r="552" spans="1:8" ht="14.4">
      <c r="A552" s="18" t="s">
        <v>68</v>
      </c>
      <c r="B552" s="18" t="s">
        <v>68</v>
      </c>
      <c r="C552" s="18" t="s">
        <v>902</v>
      </c>
      <c r="D552" s="19" t="str">
        <f ca="1">IFERROR(__xludf.DUMMYFUNCTION("GOOGLETRANSLATE(A552, ""ar"", ""en"")"),"Renault")</f>
        <v>Renault</v>
      </c>
      <c r="E552" s="19" t="str">
        <f ca="1">IFERROR(__xludf.DUMMYFUNCTION("GOOGLETRANSLATE(B552,""ar"",""en"")"),"Renault")</f>
        <v>Renault</v>
      </c>
      <c r="F552" s="19" t="str">
        <f ca="1">IFERROR(__xludf.DUMMYFUNCTION("GOOGLETRANSLATE(C552,""ar"",""en"")"),"Ducly")</f>
        <v>Ducly</v>
      </c>
      <c r="G552" t="e">
        <f ca="1">VLOOKUP(F:F,matching_transelated_with_ref!A:C,2,0)</f>
        <v>#N/A</v>
      </c>
      <c r="H552" t="str">
        <f>VLOOKUP(C:C,Sheet4!A:C,2,0)</f>
        <v xml:space="preserve">فان دوكر </v>
      </c>
    </row>
    <row r="553" spans="1:8" ht="14.4">
      <c r="A553" s="18" t="s">
        <v>68</v>
      </c>
      <c r="B553" s="18" t="s">
        <v>643</v>
      </c>
      <c r="C553" s="18" t="s">
        <v>644</v>
      </c>
      <c r="D553" s="19" t="str">
        <f ca="1">IFERROR(__xludf.DUMMYFUNCTION("GOOGLETRANSLATE(A553, ""ar"", ""en"")"),"Renault")</f>
        <v>Renault</v>
      </c>
      <c r="E553" s="19" t="str">
        <f ca="1">IFERROR(__xludf.DUMMYFUNCTION("GOOGLETRANSLATE(B553,""ar"",""en"")"),"Semole")</f>
        <v>Semole</v>
      </c>
      <c r="F553" s="19" t="str">
        <f ca="1">IFERROR(__xludf.DUMMYFUNCTION("GOOGLETRANSLATE(C553,""ar"",""en"")"),"1.6 automatic")</f>
        <v>1.6 automatic</v>
      </c>
      <c r="G553" t="e">
        <f ca="1">VLOOKUP(F:F,matching_transelated_with_ref!A:C,2,0)</f>
        <v>#N/A</v>
      </c>
      <c r="H553" t="e">
        <f>VLOOKUP(C:C,Sheet4!A:C,2,0)</f>
        <v>#N/A</v>
      </c>
    </row>
    <row r="554" spans="1:8" ht="14.4">
      <c r="A554" s="18" t="s">
        <v>68</v>
      </c>
      <c r="B554" s="18" t="s">
        <v>68</v>
      </c>
      <c r="C554" s="18" t="s">
        <v>903</v>
      </c>
      <c r="D554" s="19" t="str">
        <f ca="1">IFERROR(__xludf.DUMMYFUNCTION("GOOGLETRANSLATE(A554, ""ar"", ""en"")"),"Renault")</f>
        <v>Renault</v>
      </c>
      <c r="E554" s="19" t="str">
        <f ca="1">IFERROR(__xludf.DUMMYFUNCTION("GOOGLETRANSLATE(B554,""ar"",""en"")"),"Renault")</f>
        <v>Renault</v>
      </c>
      <c r="F554" s="19" t="str">
        <f ca="1">IFERROR(__xludf.DUMMYFUNCTION("GOOGLETRANSLATE(C554,""ar"",""en"")"),"Symbol")</f>
        <v>Symbol</v>
      </c>
      <c r="G554" t="e">
        <f ca="1">VLOOKUP(F:F,matching_transelated_with_ref!A:C,2,0)</f>
        <v>#N/A</v>
      </c>
      <c r="H554" t="str">
        <f>VLOOKUP(C:C,Sheet4!A:C,2,0)</f>
        <v>سيمبول</v>
      </c>
    </row>
    <row r="555" spans="1:8" ht="14.4">
      <c r="A555" s="18" t="s">
        <v>904</v>
      </c>
      <c r="B555" s="18" t="s">
        <v>904</v>
      </c>
      <c r="C555" s="18" t="s">
        <v>906</v>
      </c>
      <c r="D555" s="19" t="str">
        <f ca="1">IFERROR(__xludf.DUMMYFUNCTION("GOOGLETRANSLATE(A555, ""ar"", ""en"")"),"Sang Young")</f>
        <v>Sang Young</v>
      </c>
      <c r="E555" s="19" t="str">
        <f ca="1">IFERROR(__xludf.DUMMYFUNCTION("GOOGLETRANSLATE(B555,""ar"",""en"")"),"Sang Young")</f>
        <v>Sang Young</v>
      </c>
      <c r="F555" s="19" t="str">
        <f ca="1">IFERROR(__xludf.DUMMYFUNCTION("GOOGLETRANSLATE(C555,""ar"",""en"")"),"Tifoli XK")</f>
        <v>Tifoli XK</v>
      </c>
      <c r="G555" t="e">
        <f ca="1">VLOOKUP(F:F,matching_transelated_with_ref!A:C,2,0)</f>
        <v>#N/A</v>
      </c>
      <c r="H555" t="str">
        <f>VLOOKUP(C:C,Sheet4!A:C,2,0)</f>
        <v>تيفولي</v>
      </c>
    </row>
    <row r="556" spans="1:8" ht="14.4">
      <c r="A556" s="18" t="s">
        <v>904</v>
      </c>
      <c r="B556" s="18" t="s">
        <v>904</v>
      </c>
      <c r="C556" s="18" t="s">
        <v>910</v>
      </c>
      <c r="D556" s="19" t="str">
        <f ca="1">IFERROR(__xludf.DUMMYFUNCTION("GOOGLETRANSLATE(A556, ""ar"", ""en"")"),"Sang Young")</f>
        <v>Sang Young</v>
      </c>
      <c r="E556" s="19" t="str">
        <f ca="1">IFERROR(__xludf.DUMMYFUNCTION("GOOGLETRANSLATE(B556,""ar"",""en"")"),"Sang Young")</f>
        <v>Sang Young</v>
      </c>
      <c r="F556" s="19" t="str">
        <f ca="1">IFERROR(__xludf.DUMMYFUNCTION("GOOGLETRANSLATE(C556,""ar"",""en"")"),"Korendua 4 x 2 automatic")</f>
        <v>Korendua 4 x 2 automatic</v>
      </c>
      <c r="G556" t="e">
        <f ca="1">VLOOKUP(F:F,matching_transelated_with_ref!A:C,2,0)</f>
        <v>#N/A</v>
      </c>
      <c r="H556" t="str">
        <f>VLOOKUP(C:C,Sheet4!A:C,2,0)</f>
        <v>كوراندو</v>
      </c>
    </row>
    <row r="557" spans="1:8" ht="14.4">
      <c r="A557" s="18" t="s">
        <v>904</v>
      </c>
      <c r="B557" s="18" t="s">
        <v>904</v>
      </c>
      <c r="C557" s="18" t="s">
        <v>909</v>
      </c>
      <c r="D557" s="19" t="str">
        <f ca="1">IFERROR(__xludf.DUMMYFUNCTION("GOOGLETRANSLATE(A557, ""ar"", ""en"")"),"Sang Young")</f>
        <v>Sang Young</v>
      </c>
      <c r="E557" s="19" t="str">
        <f ca="1">IFERROR(__xludf.DUMMYFUNCTION("GOOGLETRANSLATE(B557,""ar"",""en"")"),"Sang Young")</f>
        <v>Sang Young</v>
      </c>
      <c r="F557" s="19" t="str">
        <f ca="1">IFERROR(__xludf.DUMMYFUNCTION("GOOGLETRANSLATE(C557,""ar"",""en"")"),"Rixon 4 x 4 automatic")</f>
        <v>Rixon 4 x 4 automatic</v>
      </c>
      <c r="G557" t="e">
        <f ca="1">VLOOKUP(F:F,matching_transelated_with_ref!A:C,2,0)</f>
        <v>#N/A</v>
      </c>
      <c r="H557" t="str">
        <f>VLOOKUP(C:C,Sheet4!A:C,2,0)</f>
        <v>ريكستون</v>
      </c>
    </row>
    <row r="558" spans="1:8" ht="14.4">
      <c r="A558" s="18" t="s">
        <v>904</v>
      </c>
      <c r="B558" s="18" t="s">
        <v>904</v>
      </c>
      <c r="C558" s="18" t="s">
        <v>1119</v>
      </c>
      <c r="D558" s="19" t="str">
        <f ca="1">IFERROR(__xludf.DUMMYFUNCTION("GOOGLETRANSLATE(A558, ""ar"", ""en"")"),"Sang Young")</f>
        <v>Sang Young</v>
      </c>
      <c r="E558" s="19" t="str">
        <f ca="1">IFERROR(__xludf.DUMMYFUNCTION("GOOGLETRANSLATE(B558,""ar"",""en"")"),"Sang Young")</f>
        <v>Sang Young</v>
      </c>
      <c r="F558" s="19" t="str">
        <f ca="1">IFERROR(__xludf.DUMMYFUNCTION("GOOGLETRANSLATE(C558,""ar"",""en"")"),"Coranda 4 x 2 automatic")</f>
        <v>Coranda 4 x 2 automatic</v>
      </c>
      <c r="G558" t="e">
        <f ca="1">VLOOKUP(F:F,matching_transelated_with_ref!A:C,2,0)</f>
        <v>#N/A</v>
      </c>
      <c r="H558" t="e">
        <f>VLOOKUP(C:C,Sheet4!A:C,2,0)</f>
        <v>#N/A</v>
      </c>
    </row>
    <row r="559" spans="1:8" ht="14.4">
      <c r="A559" s="18" t="s">
        <v>904</v>
      </c>
      <c r="B559" s="18" t="s">
        <v>904</v>
      </c>
      <c r="C559" s="18" t="s">
        <v>1118</v>
      </c>
      <c r="D559" s="19" t="str">
        <f ca="1">IFERROR(__xludf.DUMMYFUNCTION("GOOGLETRANSLATE(A559, ""ar"", ""en"")"),"Sang Young")</f>
        <v>Sang Young</v>
      </c>
      <c r="E559" s="19" t="str">
        <f ca="1">IFERROR(__xludf.DUMMYFUNCTION("GOOGLETRANSLATE(B559,""ar"",""en"")"),"Sang Young")</f>
        <v>Sang Young</v>
      </c>
      <c r="F559" s="19" t="str">
        <f ca="1">IFERROR(__xludf.DUMMYFUNCTION("GOOGLETRANSLATE(C559,""ar"",""en"")"),"Tifoli 4 x 2 automatic")</f>
        <v>Tifoli 4 x 2 automatic</v>
      </c>
      <c r="G559" t="e">
        <f ca="1">VLOOKUP(F:F,matching_transelated_with_ref!A:C,2,0)</f>
        <v>#N/A</v>
      </c>
      <c r="H559" t="str">
        <f>VLOOKUP(C:C,Sheet4!A:C,2,0)</f>
        <v>تيفولي</v>
      </c>
    </row>
    <row r="560" spans="1:8" ht="14.4">
      <c r="A560" s="18" t="s">
        <v>904</v>
      </c>
      <c r="B560" s="18" t="s">
        <v>904</v>
      </c>
      <c r="C560" s="18" t="s">
        <v>908</v>
      </c>
      <c r="D560" s="19" t="str">
        <f ca="1">IFERROR(__xludf.DUMMYFUNCTION("GOOGLETRANSLATE(A560, ""ar"", ""en"")"),"Sang Young")</f>
        <v>Sang Young</v>
      </c>
      <c r="E560" s="19" t="str">
        <f ca="1">IFERROR(__xludf.DUMMYFUNCTION("GOOGLETRANSLATE(B560,""ar"",""en"")"),"Sang Young")</f>
        <v>Sang Young</v>
      </c>
      <c r="F560" s="19" t="str">
        <f ca="1">IFERROR(__xludf.DUMMYFUNCTION("GOOGLETRANSLATE(C560,""ar"",""en"")"),"Tifoli XK 4 x 2")</f>
        <v>Tifoli XK 4 x 2</v>
      </c>
      <c r="G560" t="e">
        <f ca="1">VLOOKUP(F:F,matching_transelated_with_ref!A:C,2,0)</f>
        <v>#N/A</v>
      </c>
      <c r="H560" t="str">
        <f>VLOOKUP(C:C,Sheet4!A:C,2,0)</f>
        <v>تيفولي</v>
      </c>
    </row>
    <row r="561" spans="1:8" ht="14.4">
      <c r="A561" s="18" t="s">
        <v>904</v>
      </c>
      <c r="B561" s="18" t="s">
        <v>904</v>
      </c>
      <c r="C561" s="18" t="s">
        <v>905</v>
      </c>
      <c r="D561" s="19" t="str">
        <f ca="1">IFERROR(__xludf.DUMMYFUNCTION("GOOGLETRANSLATE(A561, ""ar"", ""en"")"),"Sang Young")</f>
        <v>Sang Young</v>
      </c>
      <c r="E561" s="19" t="str">
        <f ca="1">IFERROR(__xludf.DUMMYFUNCTION("GOOGLETRANSLATE(B561,""ar"",""en"")"),"Sang Young")</f>
        <v>Sang Young</v>
      </c>
      <c r="F561" s="19" t="str">
        <f ca="1">IFERROR(__xludf.DUMMYFUNCTION("GOOGLETRANSLATE(C561,""ar"",""en"")"),"Tivoli 4 x 2 automatic")</f>
        <v>Tivoli 4 x 2 automatic</v>
      </c>
      <c r="G561" t="e">
        <f ca="1">VLOOKUP(F:F,matching_transelated_with_ref!A:C,2,0)</f>
        <v>#N/A</v>
      </c>
      <c r="H561" t="str">
        <f>VLOOKUP(C:C,Sheet4!A:C,2,0)</f>
        <v>تيفولي</v>
      </c>
    </row>
    <row r="562" spans="1:8" ht="14.4">
      <c r="A562" s="18" t="s">
        <v>904</v>
      </c>
      <c r="B562" s="18" t="s">
        <v>904</v>
      </c>
      <c r="C562" s="18" t="s">
        <v>907</v>
      </c>
      <c r="D562" s="19" t="str">
        <f ca="1">IFERROR(__xludf.DUMMYFUNCTION("GOOGLETRANSLATE(A562, ""ar"", ""en"")"),"Sang Young")</f>
        <v>Sang Young</v>
      </c>
      <c r="E562" s="19" t="str">
        <f ca="1">IFERROR(__xludf.DUMMYFUNCTION("GOOGLETRANSLATE(B562,""ar"",""en"")"),"Sang Young")</f>
        <v>Sang Young</v>
      </c>
      <c r="F562" s="19" t="str">
        <f ca="1">IFERROR(__xludf.DUMMYFUNCTION("GOOGLETRANSLATE(C562,""ar"",""en"")"),"Tifoli XK 4 x 2")</f>
        <v>Tifoli XK 4 x 2</v>
      </c>
      <c r="G562" t="e">
        <f ca="1">VLOOKUP(F:F,matching_transelated_with_ref!A:C,2,0)</f>
        <v>#N/A</v>
      </c>
      <c r="H562" t="str">
        <f>VLOOKUP(C:C,Sheet4!A:C,2,0)</f>
        <v>تيفولي</v>
      </c>
    </row>
    <row r="563" spans="1:8" ht="14.4">
      <c r="A563" s="18" t="s">
        <v>321</v>
      </c>
      <c r="B563" s="18" t="s">
        <v>321</v>
      </c>
      <c r="C563" s="18" t="s">
        <v>914</v>
      </c>
      <c r="D563" s="19" t="str">
        <f ca="1">IFERROR(__xludf.DUMMYFUNCTION("GOOGLETRANSLATE(A563, ""ar"", ""en"")"),"Seik Motor")</f>
        <v>Seik Motor</v>
      </c>
      <c r="E563" s="19" t="str">
        <f ca="1">IFERROR(__xludf.DUMMYFUNCTION("GOOGLETRANSLATE(B563,""ar"",""en"")"),"Seik Motor")</f>
        <v>Seik Motor</v>
      </c>
      <c r="F563" s="19" t="str">
        <f ca="1">IFERROR(__xludf.DUMMYFUNCTION("GOOGLETRANSLATE(C563,""ar"",""en"")"),"MGRX 8")</f>
        <v>MGRX 8</v>
      </c>
      <c r="G563" t="e">
        <f ca="1">VLOOKUP(F:F,matching_transelated_with_ref!A:C,2,0)</f>
        <v>#N/A</v>
      </c>
      <c r="H563" t="e">
        <f>VLOOKUP(C:C,Sheet4!A:C,2,0)</f>
        <v>#N/A</v>
      </c>
    </row>
    <row r="564" spans="1:8" ht="14.4">
      <c r="A564" s="18" t="s">
        <v>321</v>
      </c>
      <c r="B564" s="18" t="s">
        <v>321</v>
      </c>
      <c r="C564" s="18" t="s">
        <v>913</v>
      </c>
      <c r="D564" s="19" t="str">
        <f ca="1">IFERROR(__xludf.DUMMYFUNCTION("GOOGLETRANSLATE(A564, ""ar"", ""en"")"),"Seik Motor")</f>
        <v>Seik Motor</v>
      </c>
      <c r="E564" s="19" t="str">
        <f ca="1">IFERROR(__xludf.DUMMYFUNCTION("GOOGLETRANSLATE(B564,""ar"",""en"")"),"Seik Motor")</f>
        <v>Seik Motor</v>
      </c>
      <c r="F564" s="19" t="str">
        <f ca="1">IFERROR(__xludf.DUMMYFUNCTION("GOOGLETRANSLATE(C564,""ar"",""en"")"),"MG HSS")</f>
        <v>MG HSS</v>
      </c>
      <c r="G564" t="e">
        <f ca="1">VLOOKUP(F:F,matching_transelated_with_ref!A:C,2,0)</f>
        <v>#N/A</v>
      </c>
      <c r="H564" t="e">
        <f>VLOOKUP(C:C,Sheet4!A:C,2,0)</f>
        <v>#N/A</v>
      </c>
    </row>
    <row r="565" spans="1:8" ht="14.4">
      <c r="A565" s="18" t="s">
        <v>321</v>
      </c>
      <c r="B565" s="18" t="s">
        <v>321</v>
      </c>
      <c r="C565" s="18" t="s">
        <v>1377</v>
      </c>
      <c r="D565" s="19" t="str">
        <f ca="1">IFERROR(__xludf.DUMMYFUNCTION("GOOGLETRANSLATE(A565, ""ar"", ""en"")"),"Seik Motor")</f>
        <v>Seik Motor</v>
      </c>
      <c r="E565" s="19" t="str">
        <f ca="1">IFERROR(__xludf.DUMMYFUNCTION("GOOGLETRANSLATE(B565,""ar"",""en"")"),"Seik Motor")</f>
        <v>Seik Motor</v>
      </c>
      <c r="F565" s="19" t="str">
        <f ca="1">IFERROR(__xludf.DUMMYFUNCTION("GOOGLETRANSLATE(C565,""ar"",""en"")"),"Maxos de 90")</f>
        <v>Maxos de 90</v>
      </c>
      <c r="G565" t="e">
        <f ca="1">VLOOKUP(F:F,matching_transelated_with_ref!A:C,2,0)</f>
        <v>#N/A</v>
      </c>
      <c r="H565" t="e">
        <f>VLOOKUP(C:C,Sheet4!A:C,2,0)</f>
        <v>#N/A</v>
      </c>
    </row>
    <row r="566" spans="1:8" ht="14.4">
      <c r="A566" s="18" t="s">
        <v>321</v>
      </c>
      <c r="B566" s="18" t="s">
        <v>321</v>
      </c>
      <c r="C566" s="18" t="s">
        <v>915</v>
      </c>
      <c r="D566" s="19" t="str">
        <f ca="1">IFERROR(__xludf.DUMMYFUNCTION("GOOGLETRANSLATE(A566, ""ar"", ""en"")"),"Seik Motor")</f>
        <v>Seik Motor</v>
      </c>
      <c r="E566" s="19" t="str">
        <f ca="1">IFERROR(__xludf.DUMMYFUNCTION("GOOGLETRANSLATE(B566,""ar"",""en"")"),"Seik Motor")</f>
        <v>Seik Motor</v>
      </c>
      <c r="F566" s="19" t="str">
        <f ca="1">IFERROR(__xludf.DUMMYFUNCTION("GOOGLETRANSLATE(C566,""ar"",""en"")"),"MGT 60 4 x 4")</f>
        <v>MGT 60 4 x 4</v>
      </c>
      <c r="G566" t="e">
        <f ca="1">VLOOKUP(F:F,matching_transelated_with_ref!A:C,2,0)</f>
        <v>#N/A</v>
      </c>
      <c r="H566" t="e">
        <f>VLOOKUP(C:C,Sheet4!A:C,2,0)</f>
        <v>#N/A</v>
      </c>
    </row>
    <row r="567" spans="1:8" ht="14.4">
      <c r="A567" s="18" t="s">
        <v>321</v>
      </c>
      <c r="B567" s="18" t="s">
        <v>321</v>
      </c>
      <c r="C567" s="18" t="s">
        <v>1373</v>
      </c>
      <c r="D567" s="19" t="str">
        <f ca="1">IFERROR(__xludf.DUMMYFUNCTION("GOOGLETRANSLATE(A567, ""ar"", ""en"")"),"Seik Motor")</f>
        <v>Seik Motor</v>
      </c>
      <c r="E567" s="19" t="str">
        <f ca="1">IFERROR(__xludf.DUMMYFUNCTION("GOOGLETRANSLATE(B567,""ar"",""en"")"),"Seik Motor")</f>
        <v>Seik Motor</v>
      </c>
      <c r="F567" s="19" t="str">
        <f ca="1">IFERROR(__xludf.DUMMYFUNCTION("GOOGLETRANSLATE(C567,""ar"",""en"")"),"MGT 60")</f>
        <v>MGT 60</v>
      </c>
      <c r="G567" t="e">
        <f ca="1">VLOOKUP(F:F,matching_transelated_with_ref!A:C,2,0)</f>
        <v>#N/A</v>
      </c>
      <c r="H567" t="e">
        <f>VLOOKUP(C:C,Sheet4!A:C,2,0)</f>
        <v>#N/A</v>
      </c>
    </row>
    <row r="568" spans="1:8" ht="14.4">
      <c r="A568" s="18" t="s">
        <v>321</v>
      </c>
      <c r="B568" s="18" t="s">
        <v>321</v>
      </c>
      <c r="C568" s="18" t="s">
        <v>1376</v>
      </c>
      <c r="D568" s="19" t="str">
        <f ca="1">IFERROR(__xludf.DUMMYFUNCTION("GOOGLETRANSLATE(A568, ""ar"", ""en"")"),"Seik Motor")</f>
        <v>Seik Motor</v>
      </c>
      <c r="E568" s="19" t="str">
        <f ca="1">IFERROR(__xludf.DUMMYFUNCTION("GOOGLETRANSLATE(B568,""ar"",""en"")"),"Seik Motor")</f>
        <v>Seik Motor</v>
      </c>
      <c r="F568" s="19" t="str">
        <f ca="1">IFERROR(__xludf.DUMMYFUNCTION("GOOGLETRANSLATE(C568,""ar"",""en"")"),"Maxos de 60")</f>
        <v>Maxos de 60</v>
      </c>
      <c r="G568" t="e">
        <f ca="1">VLOOKUP(F:F,matching_transelated_with_ref!A:C,2,0)</f>
        <v>#N/A</v>
      </c>
      <c r="H568" t="e">
        <f>VLOOKUP(C:C,Sheet4!A:C,2,0)</f>
        <v>#N/A</v>
      </c>
    </row>
    <row r="569" spans="1:8" ht="14.4">
      <c r="A569" s="18" t="s">
        <v>321</v>
      </c>
      <c r="B569" s="18" t="s">
        <v>321</v>
      </c>
      <c r="C569" s="18" t="s">
        <v>912</v>
      </c>
      <c r="D569" s="19" t="str">
        <f ca="1">IFERROR(__xludf.DUMMYFUNCTION("GOOGLETRANSLATE(A569, ""ar"", ""en"")"),"Seik Motor")</f>
        <v>Seik Motor</v>
      </c>
      <c r="E569" s="19" t="str">
        <f ca="1">IFERROR(__xludf.DUMMYFUNCTION("GOOGLETRANSLATE(B569,""ar"",""en"")"),"Seik Motor")</f>
        <v>Seik Motor</v>
      </c>
      <c r="F569" s="19" t="str">
        <f ca="1">IFERROR(__xludf.DUMMYFUNCTION("GOOGLETRANSLATE(C569,""ar"",""en"")"),"MG 6")</f>
        <v>MG 6</v>
      </c>
      <c r="G569">
        <f ca="1">VLOOKUP(F:F,matching_transelated_with_ref!A:C,2,0)</f>
        <v>6</v>
      </c>
      <c r="H569" t="e">
        <f>VLOOKUP(C:C,Sheet4!A:C,2,0)</f>
        <v>#N/A</v>
      </c>
    </row>
    <row r="570" spans="1:8" ht="14.4">
      <c r="A570" s="18" t="s">
        <v>321</v>
      </c>
      <c r="B570" s="18" t="s">
        <v>321</v>
      </c>
      <c r="C570" s="18" t="s">
        <v>645</v>
      </c>
      <c r="D570" s="19" t="str">
        <f ca="1">IFERROR(__xludf.DUMMYFUNCTION("GOOGLETRANSLATE(A570, ""ar"", ""en"")"),"Seik Motor")</f>
        <v>Seik Motor</v>
      </c>
      <c r="E570" s="19" t="str">
        <f ca="1">IFERROR(__xludf.DUMMYFUNCTION("GOOGLETRANSLATE(B570,""ar"",""en"")"),"Seik Motor")</f>
        <v>Seik Motor</v>
      </c>
      <c r="F570" s="19" t="str">
        <f ca="1">IFERROR(__xludf.DUMMYFUNCTION("GOOGLETRANSLATE(C570,""ar"",""en"")"),"MGRX 5")</f>
        <v>MGRX 5</v>
      </c>
      <c r="G570">
        <f ca="1">VLOOKUP(F:F,matching_transelated_with_ref!A:C,2,0)</f>
        <v>5</v>
      </c>
      <c r="H570" t="e">
        <f>VLOOKUP(C:C,Sheet4!A:C,2,0)</f>
        <v>#N/A</v>
      </c>
    </row>
    <row r="571" spans="1:8" ht="14.4">
      <c r="A571" s="18" t="s">
        <v>321</v>
      </c>
      <c r="B571" s="18" t="s">
        <v>321</v>
      </c>
      <c r="C571" s="18" t="s">
        <v>1374</v>
      </c>
      <c r="D571" s="19" t="str">
        <f ca="1">IFERROR(__xludf.DUMMYFUNCTION("GOOGLETRANSLATE(A571, ""ar"", ""en"")"),"Seik Motor")</f>
        <v>Seik Motor</v>
      </c>
      <c r="E571" s="19" t="str">
        <f ca="1">IFERROR(__xludf.DUMMYFUNCTION("GOOGLETRANSLATE(B571,""ar"",""en"")"),"Seik Motor")</f>
        <v>Seik Motor</v>
      </c>
      <c r="F571" s="19" t="str">
        <f ca="1">IFERROR(__xludf.DUMMYFUNCTION("GOOGLETRANSLATE(C571,""ar"",""en"")"),"MG GT")</f>
        <v>MG GT</v>
      </c>
      <c r="G571" t="str">
        <f ca="1">VLOOKUP(F:F,matching_transelated_with_ref!A:C,2,0)</f>
        <v>GT</v>
      </c>
      <c r="H571" t="e">
        <f>VLOOKUP(C:C,Sheet4!A:C,2,0)</f>
        <v>#N/A</v>
      </c>
    </row>
    <row r="572" spans="1:8" ht="14.4">
      <c r="A572" s="18" t="s">
        <v>321</v>
      </c>
      <c r="B572" s="18" t="s">
        <v>321</v>
      </c>
      <c r="C572" s="18" t="s">
        <v>916</v>
      </c>
      <c r="D572" s="19" t="str">
        <f ca="1">IFERROR(__xludf.DUMMYFUNCTION("GOOGLETRANSLATE(A572, ""ar"", ""en"")"),"Seik Motor")</f>
        <v>Seik Motor</v>
      </c>
      <c r="E572" s="19" t="str">
        <f ca="1">IFERROR(__xludf.DUMMYFUNCTION("GOOGLETRANSLATE(B572,""ar"",""en"")"),"Seik Motor")</f>
        <v>Seik Motor</v>
      </c>
      <c r="F572" s="19" t="str">
        <f ca="1">IFERROR(__xludf.DUMMYFUNCTION("GOOGLETRANSLATE(C572,""ar"",""en"")"),"MG ZSS")</f>
        <v>MG ZSS</v>
      </c>
      <c r="G572" t="e">
        <f ca="1">VLOOKUP(F:F,matching_transelated_with_ref!A:C,2,0)</f>
        <v>#N/A</v>
      </c>
      <c r="H572" t="e">
        <f>VLOOKUP(C:C,Sheet4!A:C,2,0)</f>
        <v>#N/A</v>
      </c>
    </row>
    <row r="573" spans="1:8" ht="14.4">
      <c r="A573" s="18" t="s">
        <v>321</v>
      </c>
      <c r="B573" s="18" t="s">
        <v>321</v>
      </c>
      <c r="C573" s="18" t="s">
        <v>1375</v>
      </c>
      <c r="D573" s="19" t="str">
        <f ca="1">IFERROR(__xludf.DUMMYFUNCTION("GOOGLETRANSLATE(A573, ""ar"", ""en"")"),"Seik Motor")</f>
        <v>Seik Motor</v>
      </c>
      <c r="E573" s="19" t="str">
        <f ca="1">IFERROR(__xludf.DUMMYFUNCTION("GOOGLETRANSLATE(B573,""ar"",""en"")"),"Seik Motor")</f>
        <v>Seik Motor</v>
      </c>
      <c r="F573" s="19" t="str">
        <f ca="1">IFERROR(__xludf.DUMMYFUNCTION("GOOGLETRANSLATE(C573,""ar"",""en"")"),"Maxos T 60 4 x 4")</f>
        <v>Maxos T 60 4 x 4</v>
      </c>
      <c r="G573" t="e">
        <f ca="1">VLOOKUP(F:F,matching_transelated_with_ref!A:C,2,0)</f>
        <v>#N/A</v>
      </c>
      <c r="H573" t="e">
        <f>VLOOKUP(C:C,Sheet4!A:C,2,0)</f>
        <v>#N/A</v>
      </c>
    </row>
    <row r="574" spans="1:8" ht="14.4">
      <c r="A574" s="18" t="s">
        <v>321</v>
      </c>
      <c r="B574" s="18" t="s">
        <v>321</v>
      </c>
      <c r="C574" s="18" t="s">
        <v>911</v>
      </c>
      <c r="D574" s="19" t="str">
        <f ca="1">IFERROR(__xludf.DUMMYFUNCTION("GOOGLETRANSLATE(A574, ""ar"", ""en"")"),"Seik Motor")</f>
        <v>Seik Motor</v>
      </c>
      <c r="E574" s="19" t="str">
        <f ca="1">IFERROR(__xludf.DUMMYFUNCTION("GOOGLETRANSLATE(B574,""ar"",""en"")"),"Seik Motor")</f>
        <v>Seik Motor</v>
      </c>
      <c r="F574" s="19" t="str">
        <f ca="1">IFERROR(__xludf.DUMMYFUNCTION("GOOGLETRANSLATE(C574,""ar"",""en"")"),"MG 5")</f>
        <v>MG 5</v>
      </c>
      <c r="G574">
        <f ca="1">VLOOKUP(F:F,matching_transelated_with_ref!A:C,2,0)</f>
        <v>5</v>
      </c>
      <c r="H574" t="e">
        <f>VLOOKUP(C:C,Sheet4!A:C,2,0)</f>
        <v>#N/A</v>
      </c>
    </row>
    <row r="575" spans="1:8" ht="14.4">
      <c r="A575" s="18" t="s">
        <v>321</v>
      </c>
      <c r="B575" s="18" t="s">
        <v>321</v>
      </c>
      <c r="C575" s="18" t="s">
        <v>322</v>
      </c>
      <c r="D575" s="19" t="str">
        <f ca="1">IFERROR(__xludf.DUMMYFUNCTION("GOOGLETRANSLATE(A575, ""ar"", ""en"")"),"Seik Motor")</f>
        <v>Seik Motor</v>
      </c>
      <c r="E575" s="19" t="str">
        <f ca="1">IFERROR(__xludf.DUMMYFUNCTION("GOOGLETRANSLATE(B575,""ar"",""en"")"),"Seik Motor")</f>
        <v>Seik Motor</v>
      </c>
      <c r="F575" s="19" t="str">
        <f ca="1">IFERROR(__xludf.DUMMYFUNCTION("GOOGLETRANSLATE(C575,""ar"",""en"")"),"MG 360")</f>
        <v>MG 360</v>
      </c>
      <c r="G575">
        <f ca="1">VLOOKUP(F:F,matching_transelated_with_ref!A:C,2,0)</f>
        <v>360</v>
      </c>
      <c r="H575">
        <f>VLOOKUP(C:C,Sheet4!A:C,2,0)</f>
        <v>360</v>
      </c>
    </row>
    <row r="576" spans="1:8" ht="14.4">
      <c r="A576" s="18" t="s">
        <v>323</v>
      </c>
      <c r="B576" s="18" t="s">
        <v>323</v>
      </c>
      <c r="C576" s="18" t="s">
        <v>917</v>
      </c>
      <c r="D576" s="19" t="str">
        <f ca="1">IFERROR(__xludf.DUMMYFUNCTION("GOOGLETRANSLATE(A576, ""ar"", ""en"")"),"Subaru")</f>
        <v>Subaru</v>
      </c>
      <c r="E576" s="19" t="str">
        <f ca="1">IFERROR(__xludf.DUMMYFUNCTION("GOOGLETRANSLATE(B576,""ar"",""en"")"),"Subaru")</f>
        <v>Subaru</v>
      </c>
      <c r="F576" s="19" t="str">
        <f ca="1">IFERROR(__xludf.DUMMYFUNCTION("GOOGLETRANSLATE(C576,""ar"",""en"")"),"Forex")</f>
        <v>Forex</v>
      </c>
      <c r="G576" t="e">
        <f ca="1">VLOOKUP(F:F,matching_transelated_with_ref!A:C,2,0)</f>
        <v>#N/A</v>
      </c>
      <c r="H576" t="e">
        <f>VLOOKUP(C:C,Sheet4!A:C,2,0)</f>
        <v>#N/A</v>
      </c>
    </row>
    <row r="577" spans="1:8" ht="14.4">
      <c r="A577" s="18" t="s">
        <v>323</v>
      </c>
      <c r="B577" s="18" t="s">
        <v>323</v>
      </c>
      <c r="C577" s="18" t="s">
        <v>324</v>
      </c>
      <c r="D577" s="19" t="str">
        <f ca="1">IFERROR(__xludf.DUMMYFUNCTION("GOOGLETRANSLATE(A577, ""ar"", ""en"")"),"Subaru")</f>
        <v>Subaru</v>
      </c>
      <c r="E577" s="19" t="str">
        <f ca="1">IFERROR(__xludf.DUMMYFUNCTION("GOOGLETRANSLATE(B577,""ar"",""en"")"),"Subaru")</f>
        <v>Subaru</v>
      </c>
      <c r="F577" s="19" t="str">
        <f ca="1">IFERROR(__xludf.DUMMYFUNCTION("GOOGLETRANSLATE(C577,""ar"",""en"")"),"XV")</f>
        <v>XV</v>
      </c>
      <c r="G577" t="str">
        <f ca="1">VLOOKUP(F:F,matching_transelated_with_ref!A:C,2,0)</f>
        <v>XV</v>
      </c>
      <c r="H577" t="e">
        <f>VLOOKUP(C:C,Sheet4!A:C,2,0)</f>
        <v>#N/A</v>
      </c>
    </row>
    <row r="578" spans="1:8" ht="14.4">
      <c r="A578" s="18" t="s">
        <v>71</v>
      </c>
      <c r="B578" s="18" t="s">
        <v>8</v>
      </c>
      <c r="C578" s="18" t="s">
        <v>72</v>
      </c>
      <c r="D578" s="19" t="str">
        <f ca="1">IFERROR(__xludf.DUMMYFUNCTION("GOOGLETRANSLATE(A578, ""ar"", ""en"")"),"Suzuki")</f>
        <v>Suzuki</v>
      </c>
      <c r="E578" s="19" t="str">
        <f ca="1">IFERROR(__xludf.DUMMYFUNCTION("GOOGLETRANSLATE(B578,""ar"",""en"")"),"-")</f>
        <v>-</v>
      </c>
      <c r="F578" s="19" t="str">
        <f ca="1">IFERROR(__xludf.DUMMYFUNCTION("GOOGLETRANSLATE(C578,""ar"",""en"")"),"ABV - Van goods")</f>
        <v>ABV - Van goods</v>
      </c>
      <c r="G578" t="e">
        <f ca="1">VLOOKUP(F:F,matching_transelated_with_ref!A:C,2,0)</f>
        <v>#N/A</v>
      </c>
      <c r="H578" t="e">
        <f>VLOOKUP(C:C,Sheet4!A:C,2,0)</f>
        <v>#N/A</v>
      </c>
    </row>
    <row r="579" spans="1:8" ht="14.4">
      <c r="A579" s="18" t="s">
        <v>918</v>
      </c>
      <c r="B579" s="18" t="s">
        <v>43</v>
      </c>
      <c r="C579" s="18" t="s">
        <v>919</v>
      </c>
      <c r="D579" s="19" t="str">
        <f ca="1">IFERROR(__xludf.DUMMYFUNCTION("GOOGLETRANSLATE(A579, ""ar"", ""en"")"),"Sumitomo")</f>
        <v>Sumitomo</v>
      </c>
      <c r="E579" s="19" t="str">
        <f ca="1">IFERROR(__xludf.DUMMYFUNCTION("GOOGLETRANSLATE(B579,""ar"",""en"")"),"stomach")</f>
        <v>stomach</v>
      </c>
      <c r="F579" s="19" t="str">
        <f ca="1">IFERROR(__xludf.DUMMYFUNCTION("GOOGLETRANSLATE(C579,""ar"",""en"")"),"SH 220 LC -6")</f>
        <v>SH 220 LC -6</v>
      </c>
      <c r="G579" t="e">
        <f ca="1">VLOOKUP(F:F,matching_transelated_with_ref!A:C,2,0)</f>
        <v>#N/A</v>
      </c>
      <c r="H579">
        <f>VLOOKUP(C:C,Sheet4!A:C,2,0)</f>
        <v>6</v>
      </c>
    </row>
    <row r="580" spans="1:8" ht="14.4">
      <c r="A580" s="18" t="s">
        <v>325</v>
      </c>
      <c r="B580" s="18" t="s">
        <v>8</v>
      </c>
      <c r="C580" s="18" t="s">
        <v>326</v>
      </c>
      <c r="D580" s="19" t="str">
        <f ca="1">IFERROR(__xludf.DUMMYFUNCTION("GOOGLETRANSLATE(A580, ""ar"", ""en"")"),"Sweden")</f>
        <v>Sweden</v>
      </c>
      <c r="E580" s="19" t="str">
        <f ca="1">IFERROR(__xludf.DUMMYFUNCTION("GOOGLETRANSLATE(B580,""ar"",""en"")"),"-")</f>
        <v>-</v>
      </c>
      <c r="F580" s="19" t="str">
        <f ca="1">IFERROR(__xludf.DUMMYFUNCTION("GOOGLETRANSLATE(C580,""ar"",""en"")"),"SD 125")</f>
        <v>SD 125</v>
      </c>
      <c r="G580" t="e">
        <f ca="1">VLOOKUP(F:F,matching_transelated_with_ref!A:C,2,0)</f>
        <v>#N/A</v>
      </c>
      <c r="H580" t="e">
        <f>VLOOKUP(C:C,Sheet4!A:C,2,0)</f>
        <v>#N/A</v>
      </c>
    </row>
    <row r="581" spans="1:8" ht="14.4">
      <c r="A581" s="18" t="s">
        <v>327</v>
      </c>
      <c r="B581" s="18" t="s">
        <v>328</v>
      </c>
      <c r="C581" s="18" t="s">
        <v>646</v>
      </c>
      <c r="D581" s="19" t="str">
        <f ca="1">IFERROR(__xludf.DUMMYFUNCTION("GOOGLETRANSLATE(A581, ""ar"", ""en"")"),"Changan International K.")</f>
        <v>Changan International K.</v>
      </c>
      <c r="E581" s="19" t="str">
        <f ca="1">IFERROR(__xludf.DUMMYFUNCTION("GOOGLETRANSLATE(B581,""ar"",""en"")"),"Changan")</f>
        <v>Changan</v>
      </c>
      <c r="F581" s="19" t="str">
        <f ca="1">IFERROR(__xludf.DUMMYFUNCTION("GOOGLETRANSLATE(C581,""ar"",""en"")"),"CS95")</f>
        <v>CS95</v>
      </c>
      <c r="G581" t="str">
        <f ca="1">VLOOKUP(F:F,matching_transelated_with_ref!A:C,2,0)</f>
        <v>CS95</v>
      </c>
      <c r="H581" t="e">
        <f>VLOOKUP(C:C,Sheet4!A:C,2,0)</f>
        <v>#N/A</v>
      </c>
    </row>
    <row r="582" spans="1:8" ht="14.4">
      <c r="A582" s="18" t="s">
        <v>327</v>
      </c>
      <c r="B582" s="18" t="s">
        <v>328</v>
      </c>
      <c r="C582" s="18" t="s">
        <v>1120</v>
      </c>
      <c r="D582" s="19" t="str">
        <f ca="1">IFERROR(__xludf.DUMMYFUNCTION("GOOGLETRANSLATE(A582, ""ar"", ""en"")"),"Changan International K.")</f>
        <v>Changan International K.</v>
      </c>
      <c r="E582" s="19" t="str">
        <f ca="1">IFERROR(__xludf.DUMMYFUNCTION("GOOGLETRANSLATE(B582,""ar"",""en"")"),"Changan")</f>
        <v>Changan</v>
      </c>
      <c r="F582" s="19" t="str">
        <f ca="1">IFERROR(__xludf.DUMMYFUNCTION("GOOGLETRANSLATE(C582,""ar"",""en"")"),"CS85")</f>
        <v>CS85</v>
      </c>
      <c r="G582" t="str">
        <f ca="1">VLOOKUP(F:F,matching_transelated_with_ref!A:C,2,0)</f>
        <v>CS85</v>
      </c>
      <c r="H582" t="e">
        <f>VLOOKUP(C:C,Sheet4!A:C,2,0)</f>
        <v>#N/A</v>
      </c>
    </row>
    <row r="583" spans="1:8" ht="14.4">
      <c r="A583" s="18" t="s">
        <v>327</v>
      </c>
      <c r="B583" s="18" t="s">
        <v>328</v>
      </c>
      <c r="C583" s="18" t="s">
        <v>1379</v>
      </c>
      <c r="D583" s="19" t="str">
        <f ca="1">IFERROR(__xludf.DUMMYFUNCTION("GOOGLETRANSLATE(A583, ""ar"", ""en"")"),"Changan International K.")</f>
        <v>Changan International K.</v>
      </c>
      <c r="E583" s="19" t="str">
        <f ca="1">IFERROR(__xludf.DUMMYFUNCTION("GOOGLETRANSLATE(B583,""ar"",""en"")"),"Changan")</f>
        <v>Changan</v>
      </c>
      <c r="F583" s="19" t="str">
        <f ca="1">IFERROR(__xludf.DUMMYFUNCTION("GOOGLETRANSLATE(C583,""ar"",""en"")"),"CS75 Plus")</f>
        <v>CS75 Plus</v>
      </c>
      <c r="G583" t="str">
        <f ca="1">VLOOKUP(F:F,matching_transelated_with_ref!A:C,2,0)</f>
        <v>CS75</v>
      </c>
      <c r="H583" t="e">
        <f>VLOOKUP(C:C,Sheet4!A:C,2,0)</f>
        <v>#N/A</v>
      </c>
    </row>
    <row r="584" spans="1:8" ht="14.4">
      <c r="A584" s="18" t="s">
        <v>327</v>
      </c>
      <c r="B584" s="18" t="s">
        <v>328</v>
      </c>
      <c r="C584" s="18" t="s">
        <v>331</v>
      </c>
      <c r="D584" s="19" t="str">
        <f ca="1">IFERROR(__xludf.DUMMYFUNCTION("GOOGLETRANSLATE(A584, ""ar"", ""en"")"),"Changan International K.")</f>
        <v>Changan International K.</v>
      </c>
      <c r="E584" s="19" t="str">
        <f ca="1">IFERROR(__xludf.DUMMYFUNCTION("GOOGLETRANSLATE(B584,""ar"",""en"")"),"Changan")</f>
        <v>Changan</v>
      </c>
      <c r="F584" s="19" t="str">
        <f ca="1">IFERROR(__xludf.DUMMYFUNCTION("GOOGLETRANSLATE(C584,""ar"",""en"")"),"CS75")</f>
        <v>CS75</v>
      </c>
      <c r="G584" t="str">
        <f ca="1">VLOOKUP(F:F,matching_transelated_with_ref!A:C,2,0)</f>
        <v>CS75</v>
      </c>
      <c r="H584" t="e">
        <f>VLOOKUP(C:C,Sheet4!A:C,2,0)</f>
        <v>#N/A</v>
      </c>
    </row>
    <row r="585" spans="1:8" ht="14.4">
      <c r="A585" s="18" t="s">
        <v>327</v>
      </c>
      <c r="B585" s="18" t="s">
        <v>328</v>
      </c>
      <c r="C585" s="18" t="s">
        <v>921</v>
      </c>
      <c r="D585" s="19" t="str">
        <f ca="1">IFERROR(__xludf.DUMMYFUNCTION("GOOGLETRANSLATE(A585, ""ar"", ""en"")"),"Changan International K.")</f>
        <v>Changan International K.</v>
      </c>
      <c r="E585" s="19" t="str">
        <f ca="1">IFERROR(__xludf.DUMMYFUNCTION("GOOGLETRANSLATE(B585,""ar"",""en"")"),"Changan")</f>
        <v>Changan</v>
      </c>
      <c r="F585" s="19" t="str">
        <f ca="1">IFERROR(__xludf.DUMMYFUNCTION("GOOGLETRANSLATE(C585,""ar"",""en"")"),"CS 35 Plus")</f>
        <v>CS 35 Plus</v>
      </c>
      <c r="G585" t="str">
        <f ca="1">VLOOKUP(F:F,matching_transelated_with_ref!A:C,2,0)</f>
        <v>CS35</v>
      </c>
      <c r="H585" t="e">
        <f>VLOOKUP(C:C,Sheet4!A:C,2,0)</f>
        <v>#N/A</v>
      </c>
    </row>
    <row r="586" spans="1:8" ht="14.4">
      <c r="A586" s="18" t="s">
        <v>327</v>
      </c>
      <c r="B586" s="18" t="s">
        <v>328</v>
      </c>
      <c r="C586" s="18" t="s">
        <v>1378</v>
      </c>
      <c r="D586" s="19" t="str">
        <f ca="1">IFERROR(__xludf.DUMMYFUNCTION("GOOGLETRANSLATE(A586, ""ar"", ""en"")"),"Changan International K.")</f>
        <v>Changan International K.</v>
      </c>
      <c r="E586" s="19" t="str">
        <f ca="1">IFERROR(__xludf.DUMMYFUNCTION("GOOGLETRANSLATE(B586,""ar"",""en"")"),"Changan")</f>
        <v>Changan</v>
      </c>
      <c r="F586" s="19" t="str">
        <f ca="1">IFERROR(__xludf.DUMMYFUNCTION("GOOGLETRANSLATE(C586,""ar"",""en"")"),"Edo Plus")</f>
        <v>Edo Plus</v>
      </c>
      <c r="G586" t="e">
        <f ca="1">VLOOKUP(F:F,matching_transelated_with_ref!A:C,2,0)</f>
        <v>#N/A</v>
      </c>
      <c r="H586" t="str">
        <f>VLOOKUP(C:C,Sheet4!A:C,2,0)</f>
        <v xml:space="preserve">ايدو </v>
      </c>
    </row>
    <row r="587" spans="1:8" ht="14.4">
      <c r="A587" s="18" t="s">
        <v>327</v>
      </c>
      <c r="B587" s="18" t="s">
        <v>328</v>
      </c>
      <c r="C587" s="18" t="s">
        <v>329</v>
      </c>
      <c r="D587" s="19" t="str">
        <f ca="1">IFERROR(__xludf.DUMMYFUNCTION("GOOGLETRANSLATE(A587, ""ar"", ""en"")"),"Changan International K.")</f>
        <v>Changan International K.</v>
      </c>
      <c r="E587" s="19" t="str">
        <f ca="1">IFERROR(__xludf.DUMMYFUNCTION("GOOGLETRANSLATE(B587,""ar"",""en"")"),"Changan")</f>
        <v>Changan</v>
      </c>
      <c r="F587" s="19" t="str">
        <f ca="1">IFERROR(__xludf.DUMMYFUNCTION("GOOGLETRANSLATE(C587,""ar"",""en"")"),"EDO")</f>
        <v>EDO</v>
      </c>
      <c r="G587" t="e">
        <f ca="1">VLOOKUP(F:F,matching_transelated_with_ref!A:C,2,0)</f>
        <v>#N/A</v>
      </c>
      <c r="H587" t="e">
        <f>VLOOKUP(C:C,Sheet4!A:C,2,0)</f>
        <v>#N/A</v>
      </c>
    </row>
    <row r="588" spans="1:8" ht="14.4">
      <c r="A588" s="18" t="s">
        <v>327</v>
      </c>
      <c r="B588" s="18" t="s">
        <v>328</v>
      </c>
      <c r="C588" s="18" t="s">
        <v>330</v>
      </c>
      <c r="D588" s="19" t="str">
        <f ca="1">IFERROR(__xludf.DUMMYFUNCTION("GOOGLETRANSLATE(A588, ""ar"", ""en"")"),"Changan International K.")</f>
        <v>Changan International K.</v>
      </c>
      <c r="E588" s="19" t="str">
        <f ca="1">IFERROR(__xludf.DUMMYFUNCTION("GOOGLETRANSLATE(B588,""ar"",""en"")"),"Changan")</f>
        <v>Changan</v>
      </c>
      <c r="F588" s="19" t="str">
        <f ca="1">IFERROR(__xludf.DUMMYFUNCTION("GOOGLETRANSLATE(C588,""ar"",""en"")"),"CS 35")</f>
        <v>CS 35</v>
      </c>
      <c r="G588" t="str">
        <f ca="1">VLOOKUP(F:F,matching_transelated_with_ref!A:C,2,0)</f>
        <v>CS35</v>
      </c>
      <c r="H588" t="e">
        <f>VLOOKUP(C:C,Sheet4!A:C,2,0)</f>
        <v>#N/A</v>
      </c>
    </row>
    <row r="589" spans="1:8" ht="14.4">
      <c r="A589" s="18" t="s">
        <v>327</v>
      </c>
      <c r="B589" s="18" t="s">
        <v>328</v>
      </c>
      <c r="C589" s="18" t="s">
        <v>647</v>
      </c>
      <c r="D589" s="19" t="str">
        <f ca="1">IFERROR(__xludf.DUMMYFUNCTION("GOOGLETRANSLATE(A589, ""ar"", ""en"")"),"Changan International K.")</f>
        <v>Changan International K.</v>
      </c>
      <c r="E589" s="19" t="str">
        <f ca="1">IFERROR(__xludf.DUMMYFUNCTION("GOOGLETRANSLATE(B589,""ar"",""en"")"),"Changan")</f>
        <v>Changan</v>
      </c>
      <c r="F589" s="19" t="str">
        <f ca="1">IFERROR(__xludf.DUMMYFUNCTION("GOOGLETRANSLATE(C589,""ar"",""en"")"),"In 7 automatic")</f>
        <v>In 7 automatic</v>
      </c>
      <c r="G589" t="e">
        <f ca="1">VLOOKUP(F:F,matching_transelated_with_ref!A:C,2,0)</f>
        <v>#N/A</v>
      </c>
      <c r="H589" t="e">
        <f>VLOOKUP(C:C,Sheet4!A:C,2,0)</f>
        <v>#N/A</v>
      </c>
    </row>
    <row r="590" spans="1:8" ht="14.4">
      <c r="A590" s="18" t="s">
        <v>327</v>
      </c>
      <c r="B590" s="18" t="s">
        <v>328</v>
      </c>
      <c r="C590" s="18" t="s">
        <v>920</v>
      </c>
      <c r="D590" s="19" t="str">
        <f ca="1">IFERROR(__xludf.DUMMYFUNCTION("GOOGLETRANSLATE(A590, ""ar"", ""en"")"),"Changan International K.")</f>
        <v>Changan International K.</v>
      </c>
      <c r="E590" s="19" t="str">
        <f ca="1">IFERROR(__xludf.DUMMYFUNCTION("GOOGLETRANSLATE(B590,""ar"",""en"")"),"Changan")</f>
        <v>Changan</v>
      </c>
      <c r="F590" s="19" t="str">
        <f ca="1">IFERROR(__xludf.DUMMYFUNCTION("GOOGLETRANSLATE(C590,""ar"",""en"")"),"Ships")</f>
        <v>Ships</v>
      </c>
      <c r="G590" t="e">
        <f ca="1">VLOOKUP(F:F,matching_transelated_with_ref!A:C,2,0)</f>
        <v>#N/A</v>
      </c>
      <c r="H590" t="e">
        <f>VLOOKUP(C:C,Sheet4!A:C,2,0)</f>
        <v>#N/A</v>
      </c>
    </row>
    <row r="591" spans="1:8" ht="14.4">
      <c r="A591" s="18" t="s">
        <v>922</v>
      </c>
      <c r="B591" s="18" t="s">
        <v>925</v>
      </c>
      <c r="C591" s="18" t="s">
        <v>1384</v>
      </c>
      <c r="D591" s="19" t="str">
        <f ca="1">IFERROR(__xludf.DUMMYFUNCTION("GOOGLETRANSLATE(A591, ""ar"", ""en"")"),"Sherry - Cherry")</f>
        <v>Sherry - Cherry</v>
      </c>
      <c r="E591" s="19" t="str">
        <f ca="1">IFERROR(__xludf.DUMMYFUNCTION("GOOGLETRANSLATE(B591,""ar"",""en"")"),"Shery")</f>
        <v>Shery</v>
      </c>
      <c r="F591" s="19" t="str">
        <f ca="1">IFERROR(__xludf.DUMMYFUNCTION("GOOGLETRANSLATE(C591,""ar"",""en"")"),"TXL Exide")</f>
        <v>TXL Exide</v>
      </c>
      <c r="G591" t="e">
        <f ca="1">VLOOKUP(F:F,matching_transelated_with_ref!A:C,2,0)</f>
        <v>#N/A</v>
      </c>
      <c r="H591" t="e">
        <f>VLOOKUP(C:C,Sheet4!A:C,2,0)</f>
        <v>#N/A</v>
      </c>
    </row>
    <row r="592" spans="1:8" ht="14.4">
      <c r="A592" s="18" t="s">
        <v>922</v>
      </c>
      <c r="B592" s="18" t="s">
        <v>925</v>
      </c>
      <c r="C592" s="18" t="s">
        <v>1388</v>
      </c>
      <c r="D592" s="19" t="str">
        <f ca="1">IFERROR(__xludf.DUMMYFUNCTION("GOOGLETRANSLATE(A592, ""ar"", ""en"")"),"Sherry - Cherry")</f>
        <v>Sherry - Cherry</v>
      </c>
      <c r="E592" s="19" t="str">
        <f ca="1">IFERROR(__xludf.DUMMYFUNCTION("GOOGLETRANSLATE(B592,""ar"",""en"")"),"Shery")</f>
        <v>Shery</v>
      </c>
      <c r="F592" s="19" t="str">
        <f ca="1">IFERROR(__xludf.DUMMYFUNCTION("GOOGLETRANSLATE(C592,""ar"",""en"")"),"Tigo 8")</f>
        <v>Tigo 8</v>
      </c>
      <c r="G592" t="e">
        <f ca="1">VLOOKUP(F:F,matching_transelated_with_ref!A:C,2,0)</f>
        <v>#N/A</v>
      </c>
      <c r="H592" t="str">
        <f>VLOOKUP(C:C,Sheet4!A:C,2,0)</f>
        <v xml:space="preserve"> تيجو8</v>
      </c>
    </row>
    <row r="593" spans="1:8" ht="14.4">
      <c r="A593" s="18" t="s">
        <v>922</v>
      </c>
      <c r="B593" s="18" t="s">
        <v>925</v>
      </c>
      <c r="C593" s="18" t="s">
        <v>1387</v>
      </c>
      <c r="D593" s="19" t="str">
        <f ca="1">IFERROR(__xludf.DUMMYFUNCTION("GOOGLETRANSLATE(A593, ""ar"", ""en"")"),"Sherry - Cherry")</f>
        <v>Sherry - Cherry</v>
      </c>
      <c r="E593" s="19" t="str">
        <f ca="1">IFERROR(__xludf.DUMMYFUNCTION("GOOGLETRANSLATE(B593,""ar"",""en"")"),"Shery")</f>
        <v>Shery</v>
      </c>
      <c r="F593" s="19" t="str">
        <f ca="1">IFERROR(__xludf.DUMMYFUNCTION("GOOGLETRANSLATE(C593,""ar"",""en"")"),"Tigo 7 Pro")</f>
        <v>Tigo 7 Pro</v>
      </c>
      <c r="G593" t="e">
        <f ca="1">VLOOKUP(F:F,matching_transelated_with_ref!A:C,2,0)</f>
        <v>#N/A</v>
      </c>
      <c r="H593" t="str">
        <f>VLOOKUP(C:C,Sheet4!A:C,2,0)</f>
        <v xml:space="preserve"> تيجو7</v>
      </c>
    </row>
    <row r="594" spans="1:8" ht="14.4">
      <c r="A594" s="18" t="s">
        <v>922</v>
      </c>
      <c r="B594" s="18" t="s">
        <v>1121</v>
      </c>
      <c r="C594" s="18" t="s">
        <v>1122</v>
      </c>
      <c r="D594" s="19" t="str">
        <f ca="1">IFERROR(__xludf.DUMMYFUNCTION("GOOGLETRANSLATE(A594, ""ar"", ""en"")"),"Sherry - Cherry")</f>
        <v>Sherry - Cherry</v>
      </c>
      <c r="E594" s="19" t="str">
        <f ca="1">IFERROR(__xludf.DUMMYFUNCTION("GOOGLETRANSLATE(B594,""ar"",""en"")"),"Tigo")</f>
        <v>Tigo</v>
      </c>
      <c r="F594" s="19" t="str">
        <f ca="1">IFERROR(__xludf.DUMMYFUNCTION("GOOGLETRANSLATE(C594,""ar"",""en"")"),"Tigo GO8T 18")</f>
        <v>Tigo GO8T 18</v>
      </c>
      <c r="G594" t="e">
        <f ca="1">VLOOKUP(F:F,matching_transelated_with_ref!A:C,2,0)</f>
        <v>#N/A</v>
      </c>
      <c r="H594" t="str">
        <f>VLOOKUP(C:C,Sheet4!A:C,2,0)</f>
        <v xml:space="preserve"> تيجو2</v>
      </c>
    </row>
    <row r="595" spans="1:8" ht="14.4">
      <c r="A595" s="18" t="s">
        <v>922</v>
      </c>
      <c r="B595" s="18" t="s">
        <v>1121</v>
      </c>
      <c r="C595" s="18" t="s">
        <v>1380</v>
      </c>
      <c r="D595" s="19" t="str">
        <f ca="1">IFERROR(__xludf.DUMMYFUNCTION("GOOGLETRANSLATE(A595, ""ar"", ""en"")"),"Sherry - Cherry")</f>
        <v>Sherry - Cherry</v>
      </c>
      <c r="E595" s="19" t="str">
        <f ca="1">IFERROR(__xludf.DUMMYFUNCTION("GOOGLETRANSLATE(B595,""ar"",""en"")"),"Tigo")</f>
        <v>Tigo</v>
      </c>
      <c r="F595" s="19" t="str">
        <f ca="1">IFERROR(__xludf.DUMMYFUNCTION("GOOGLETRANSLATE(C595,""ar"",""en"")"),"Sherry Tigo 7")</f>
        <v>Sherry Tigo 7</v>
      </c>
      <c r="G595" t="e">
        <f ca="1">VLOOKUP(F:F,matching_transelated_with_ref!A:C,2,0)</f>
        <v>#N/A</v>
      </c>
      <c r="H595" t="str">
        <f>VLOOKUP(C:C,Sheet4!A:C,2,0)</f>
        <v xml:space="preserve"> تيجو7</v>
      </c>
    </row>
    <row r="596" spans="1:8" ht="14.4">
      <c r="A596" s="18" t="s">
        <v>922</v>
      </c>
      <c r="B596" s="18" t="s">
        <v>925</v>
      </c>
      <c r="C596" s="18" t="s">
        <v>1389</v>
      </c>
      <c r="D596" s="19" t="str">
        <f ca="1">IFERROR(__xludf.DUMMYFUNCTION("GOOGLETRANSLATE(A596, ""ar"", ""en"")"),"Sherry - Cherry")</f>
        <v>Sherry - Cherry</v>
      </c>
      <c r="E596" s="19" t="str">
        <f ca="1">IFERROR(__xludf.DUMMYFUNCTION("GOOGLETRANSLATE(B596,""ar"",""en"")"),"Shery")</f>
        <v>Shery</v>
      </c>
      <c r="F596" s="19" t="str">
        <f ca="1">IFERROR(__xludf.DUMMYFUNCTION("GOOGLETRANSLATE(C596,""ar"",""en"")"),"Tigo 8 Pro")</f>
        <v>Tigo 8 Pro</v>
      </c>
      <c r="G596" t="e">
        <f ca="1">VLOOKUP(F:F,matching_transelated_with_ref!A:C,2,0)</f>
        <v>#N/A</v>
      </c>
      <c r="H596" t="str">
        <f>VLOOKUP(C:C,Sheet4!A:C,2,0)</f>
        <v xml:space="preserve"> تيجو8</v>
      </c>
    </row>
    <row r="597" spans="1:8" ht="14.4">
      <c r="A597" s="18" t="s">
        <v>922</v>
      </c>
      <c r="B597" s="18" t="s">
        <v>925</v>
      </c>
      <c r="C597" s="18" t="s">
        <v>1383</v>
      </c>
      <c r="D597" s="19" t="str">
        <f ca="1">IFERROR(__xludf.DUMMYFUNCTION("GOOGLETRANSLATE(A597, ""ar"", ""en"")"),"Sherry - Cherry")</f>
        <v>Sherry - Cherry</v>
      </c>
      <c r="E597" s="19" t="str">
        <f ca="1">IFERROR(__xludf.DUMMYFUNCTION("GOOGLETRANSLATE(B597,""ar"",""en"")"),"Shery")</f>
        <v>Shery</v>
      </c>
      <c r="F597" s="19" t="str">
        <f ca="1">IFERROR(__xludf.DUMMYFUNCTION("GOOGLETRANSLATE(C597,""ar"",""en"")"),"Areno 6 Pro")</f>
        <v>Areno 6 Pro</v>
      </c>
      <c r="G597" t="e">
        <f ca="1">VLOOKUP(F:F,matching_transelated_with_ref!A:C,2,0)</f>
        <v>#N/A</v>
      </c>
      <c r="H597" t="str">
        <f>VLOOKUP(C:C,Sheet4!A:C,2,0)</f>
        <v xml:space="preserve"> اريزو 6 </v>
      </c>
    </row>
    <row r="598" spans="1:8" ht="14.4">
      <c r="A598" s="18" t="s">
        <v>922</v>
      </c>
      <c r="B598" s="18" t="s">
        <v>925</v>
      </c>
      <c r="C598" s="18" t="s">
        <v>1386</v>
      </c>
      <c r="D598" s="19" t="str">
        <f ca="1">IFERROR(__xludf.DUMMYFUNCTION("GOOGLETRANSLATE(A598, ""ar"", ""en"")"),"Sherry - Cherry")</f>
        <v>Sherry - Cherry</v>
      </c>
      <c r="E598" s="19" t="str">
        <f ca="1">IFERROR(__xludf.DUMMYFUNCTION("GOOGLETRANSLATE(B598,""ar"",""en"")"),"Shery")</f>
        <v>Shery</v>
      </c>
      <c r="F598" s="19" t="str">
        <f ca="1">IFERROR(__xludf.DUMMYFUNCTION("GOOGLETRANSLATE(C598,""ar"",""en"")"),"Tigo 4 Pro")</f>
        <v>Tigo 4 Pro</v>
      </c>
      <c r="G598" t="e">
        <f ca="1">VLOOKUP(F:F,matching_transelated_with_ref!A:C,2,0)</f>
        <v>#N/A</v>
      </c>
      <c r="H598" t="str">
        <f>VLOOKUP(C:C,Sheet4!A:C,2,0)</f>
        <v xml:space="preserve"> تيجو4</v>
      </c>
    </row>
    <row r="599" spans="1:8" ht="14.4">
      <c r="A599" s="18" t="s">
        <v>922</v>
      </c>
      <c r="B599" s="18" t="s">
        <v>925</v>
      </c>
      <c r="C599" s="18" t="s">
        <v>926</v>
      </c>
      <c r="D599" s="19" t="str">
        <f ca="1">IFERROR(__xludf.DUMMYFUNCTION("GOOGLETRANSLATE(A599, ""ar"", ""en"")"),"Sherry - Cherry")</f>
        <v>Sherry - Cherry</v>
      </c>
      <c r="E599" s="19" t="str">
        <f ca="1">IFERROR(__xludf.DUMMYFUNCTION("GOOGLETRANSLATE(B599,""ar"",""en"")"),"Shery")</f>
        <v>Shery</v>
      </c>
      <c r="F599" s="19" t="str">
        <f ca="1">IFERROR(__xludf.DUMMYFUNCTION("GOOGLETRANSLATE(C599,""ar"",""en"")"),"Areno 6")</f>
        <v>Areno 6</v>
      </c>
      <c r="G599">
        <f ca="1">VLOOKUP(F:F,matching_transelated_with_ref!A:C,2,0)</f>
        <v>6</v>
      </c>
      <c r="H599" t="str">
        <f>VLOOKUP(C:C,Sheet4!A:C,2,0)</f>
        <v>اريزو6</v>
      </c>
    </row>
    <row r="600" spans="1:8" ht="14.4">
      <c r="A600" s="18" t="s">
        <v>922</v>
      </c>
      <c r="B600" s="18" t="s">
        <v>925</v>
      </c>
      <c r="C600" s="18" t="s">
        <v>1385</v>
      </c>
      <c r="D600" s="19" t="str">
        <f ca="1">IFERROR(__xludf.DUMMYFUNCTION("GOOGLETRANSLATE(A600, ""ar"", ""en"")"),"Sherry - Cherry")</f>
        <v>Sherry - Cherry</v>
      </c>
      <c r="E600" s="19" t="str">
        <f ca="1">IFERROR(__xludf.DUMMYFUNCTION("GOOGLETRANSLATE(B600,""ar"",""en"")"),"Shery")</f>
        <v>Shery</v>
      </c>
      <c r="F600" s="19" t="str">
        <f ca="1">IFERROR(__xludf.DUMMYFUNCTION("GOOGLETRANSLATE(C600,""ar"",""en"")"),"Tigo 2 Pro")</f>
        <v>Tigo 2 Pro</v>
      </c>
      <c r="G600" t="e">
        <f ca="1">VLOOKUP(F:F,matching_transelated_with_ref!A:C,2,0)</f>
        <v>#N/A</v>
      </c>
      <c r="H600">
        <f>VLOOKUP(C:C,Sheet4!A:C,2,0)</f>
        <v>2</v>
      </c>
    </row>
    <row r="601" spans="1:8" ht="14.4">
      <c r="A601" s="18" t="s">
        <v>922</v>
      </c>
      <c r="B601" s="18" t="s">
        <v>923</v>
      </c>
      <c r="C601" s="18" t="s">
        <v>924</v>
      </c>
      <c r="D601" s="19" t="str">
        <f ca="1">IFERROR(__xludf.DUMMYFUNCTION("GOOGLETRANSLATE(A601, ""ar"", ""en"")"),"Sherry - Cherry")</f>
        <v>Sherry - Cherry</v>
      </c>
      <c r="E601" s="19" t="str">
        <f ca="1">IFERROR(__xludf.DUMMYFUNCTION("GOOGLETRANSLATE(B601,""ar"",""en"")"),"Shirk")</f>
        <v>Shirk</v>
      </c>
      <c r="F601" s="19" t="str">
        <f ca="1">IFERROR(__xludf.DUMMYFUNCTION("GOOGLETRANSLATE(C601,""ar"",""en"")"),"Tigo 2")</f>
        <v>Tigo 2</v>
      </c>
      <c r="G601">
        <f ca="1">VLOOKUP(F:F,matching_transelated_with_ref!A:C,2,0)</f>
        <v>2</v>
      </c>
      <c r="H601" t="str">
        <f>VLOOKUP(C:C,Sheet4!A:C,2,0)</f>
        <v xml:space="preserve"> تيجو2</v>
      </c>
    </row>
    <row r="602" spans="1:8" ht="14.4">
      <c r="A602" s="18" t="s">
        <v>922</v>
      </c>
      <c r="B602" s="18" t="s">
        <v>925</v>
      </c>
      <c r="C602" s="18" t="s">
        <v>1382</v>
      </c>
      <c r="D602" s="19" t="str">
        <f ca="1">IFERROR(__xludf.DUMMYFUNCTION("GOOGLETRANSLATE(A602, ""ar"", ""en"")"),"Sherry - Cherry")</f>
        <v>Sherry - Cherry</v>
      </c>
      <c r="E602" s="19" t="str">
        <f ca="1">IFERROR(__xludf.DUMMYFUNCTION("GOOGLETRANSLATE(B602,""ar"",""en"")"),"Shery")</f>
        <v>Shery</v>
      </c>
      <c r="F602" s="19" t="str">
        <f ca="1">IFERROR(__xludf.DUMMYFUNCTION("GOOGLETRANSLATE(C602,""ar"",""en"")"),"Areno 5")</f>
        <v>Areno 5</v>
      </c>
      <c r="G602">
        <f ca="1">VLOOKUP(F:F,matching_transelated_with_ref!A:C,2,0)</f>
        <v>5</v>
      </c>
      <c r="H602" t="str">
        <f>VLOOKUP(C:C,Sheet4!A:C,2,0)</f>
        <v>اريزو5</v>
      </c>
    </row>
    <row r="603" spans="1:8" ht="14.4">
      <c r="A603" s="18" t="s">
        <v>922</v>
      </c>
      <c r="B603" s="18" t="s">
        <v>925</v>
      </c>
      <c r="C603" s="18" t="s">
        <v>1381</v>
      </c>
      <c r="D603" s="19" t="str">
        <f ca="1">IFERROR(__xludf.DUMMYFUNCTION("GOOGLETRANSLATE(A603, ""ar"", ""en"")"),"Sherry - Cherry")</f>
        <v>Sherry - Cherry</v>
      </c>
      <c r="E603" s="19" t="str">
        <f ca="1">IFERROR(__xludf.DUMMYFUNCTION("GOOGLETRANSLATE(B603,""ar"",""en"")"),"Shery")</f>
        <v>Shery</v>
      </c>
      <c r="F603" s="19" t="str">
        <f ca="1">IFERROR(__xludf.DUMMYFUNCTION("GOOGLETRANSLATE(C603,""ar"",""en"")"),"Areno 3")</f>
        <v>Areno 3</v>
      </c>
      <c r="G603">
        <f ca="1">VLOOKUP(F:F,matching_transelated_with_ref!A:C,2,0)</f>
        <v>3</v>
      </c>
      <c r="H603" t="str">
        <f>VLOOKUP(C:C,Sheet4!A:C,2,0)</f>
        <v>اريزو3</v>
      </c>
    </row>
    <row r="604" spans="1:8" ht="14.4">
      <c r="A604" s="18" t="s">
        <v>1123</v>
      </c>
      <c r="B604" s="18" t="s">
        <v>1124</v>
      </c>
      <c r="C604" s="18" t="s">
        <v>1125</v>
      </c>
      <c r="D604" s="19" t="str">
        <f ca="1">IFERROR(__xludf.DUMMYFUNCTION("GOOGLETRANSLATE(A604, ""ar"", ""en"")"),"Faw")</f>
        <v>Faw</v>
      </c>
      <c r="E604" s="19" t="str">
        <f ca="1">IFERROR(__xludf.DUMMYFUNCTION("GOOGLETRANSLATE(B604,""ar"",""en"")"),"Honachi")</f>
        <v>Honachi</v>
      </c>
      <c r="F604" s="19" t="str">
        <f ca="1">IFERROR(__xludf.DUMMYFUNCTION("GOOGLETRANSLATE(C604,""ar"",""en"")"),"H9 Back Payment")</f>
        <v>H9 Back Payment</v>
      </c>
      <c r="G604" t="str">
        <f ca="1">VLOOKUP(F:F,matching_transelated_with_ref!A:C,2,0)</f>
        <v>H9</v>
      </c>
      <c r="H604" t="e">
        <f>VLOOKUP(C:C,Sheet4!A:C,2,0)</f>
        <v>#N/A</v>
      </c>
    </row>
    <row r="605" spans="1:8" ht="14.4">
      <c r="A605" s="18" t="s">
        <v>1123</v>
      </c>
      <c r="B605" s="18" t="s">
        <v>1124</v>
      </c>
      <c r="C605" s="18" t="s">
        <v>1391</v>
      </c>
      <c r="D605" s="19" t="str">
        <f ca="1">IFERROR(__xludf.DUMMYFUNCTION("GOOGLETRANSLATE(A605, ""ar"", ""en"")"),"Faw")</f>
        <v>Faw</v>
      </c>
      <c r="E605" s="19" t="str">
        <f ca="1">IFERROR(__xludf.DUMMYFUNCTION("GOOGLETRANSLATE(B605,""ar"",""en"")"),"Honachi")</f>
        <v>Honachi</v>
      </c>
      <c r="F605" s="19" t="str">
        <f ca="1">IFERROR(__xludf.DUMMYFUNCTION("GOOGLETRANSLATE(C605,""ar"",""en"")"),"HS5 in front of me")</f>
        <v>HS5 in front of me</v>
      </c>
      <c r="G605" t="e">
        <f ca="1">VLOOKUP(F:F,matching_transelated_with_ref!A:C,2,0)</f>
        <v>#N/A</v>
      </c>
      <c r="H605">
        <f>VLOOKUP(C:C,Sheet4!A:C,2,0)</f>
        <v>5</v>
      </c>
    </row>
    <row r="606" spans="1:8" ht="14.4">
      <c r="A606" s="18" t="s">
        <v>1123</v>
      </c>
      <c r="B606" s="18" t="s">
        <v>1124</v>
      </c>
      <c r="C606" s="18" t="s">
        <v>1392</v>
      </c>
      <c r="D606" s="19" t="str">
        <f ca="1">IFERROR(__xludf.DUMMYFUNCTION("GOOGLETRANSLATE(A606, ""ar"", ""en"")"),"Faw")</f>
        <v>Faw</v>
      </c>
      <c r="E606" s="19" t="str">
        <f ca="1">IFERROR(__xludf.DUMMYFUNCTION("GOOGLETRANSLATE(B606,""ar"",""en"")"),"Honachi")</f>
        <v>Honachi</v>
      </c>
      <c r="F606" s="19" t="str">
        <f ca="1">IFERROR(__xludf.DUMMYFUNCTION("GOOGLETRANSLATE(C606,""ar"",""en"")"),"HS5 four -wheel drive")</f>
        <v>HS5 four -wheel drive</v>
      </c>
      <c r="G606" t="e">
        <f ca="1">VLOOKUP(F:F,matching_transelated_with_ref!A:C,2,0)</f>
        <v>#N/A</v>
      </c>
      <c r="H606">
        <f>VLOOKUP(C:C,Sheet4!A:C,2,0)</f>
        <v>5</v>
      </c>
    </row>
    <row r="607" spans="1:8" ht="14.4">
      <c r="A607" s="18" t="s">
        <v>1123</v>
      </c>
      <c r="B607" s="18" t="s">
        <v>1123</v>
      </c>
      <c r="C607" s="18" t="s">
        <v>1390</v>
      </c>
      <c r="D607" s="19" t="str">
        <f ca="1">IFERROR(__xludf.DUMMYFUNCTION("GOOGLETRANSLATE(A607, ""ar"", ""en"")"),"Faw")</f>
        <v>Faw</v>
      </c>
      <c r="E607" s="19" t="str">
        <f ca="1">IFERROR(__xludf.DUMMYFUNCTION("GOOGLETRANSLATE(B607,""ar"",""en"")"),"Faw")</f>
        <v>Faw</v>
      </c>
      <c r="F607" s="19" t="str">
        <f ca="1">IFERROR(__xludf.DUMMYFUNCTION("GOOGLETRANSLATE(C607,""ar"",""en"")"),"Beston T99")</f>
        <v>Beston T99</v>
      </c>
      <c r="G607" t="e">
        <f ca="1">VLOOKUP(F:F,matching_transelated_with_ref!A:C,2,0)</f>
        <v>#N/A</v>
      </c>
      <c r="H607" t="e">
        <f>VLOOKUP(C:C,Sheet4!A:C,2,0)</f>
        <v>#N/A</v>
      </c>
    </row>
    <row r="608" spans="1:8" ht="14.4">
      <c r="A608" s="18" t="s">
        <v>73</v>
      </c>
      <c r="B608" s="18" t="s">
        <v>8</v>
      </c>
      <c r="C608" s="18" t="s">
        <v>649</v>
      </c>
      <c r="D608" s="19" t="str">
        <f ca="1">IFERROR(__xludf.DUMMYFUNCTION("GOOGLETRANSLATE(A608, ""ar"", ""en"")"),"Ford")</f>
        <v>Ford</v>
      </c>
      <c r="E608" s="19" t="str">
        <f ca="1">IFERROR(__xludf.DUMMYFUNCTION("GOOGLETRANSLATE(B608,""ar"",""en"")"),"-")</f>
        <v>-</v>
      </c>
      <c r="F608" s="19" t="str">
        <f ca="1">IFERROR(__xludf.DUMMYFUNCTION("GOOGLETRANSLATE(C608,""ar"",""en"")"),"Lincoln Navartor Brezid")</f>
        <v>Lincoln Navartor Brezid</v>
      </c>
      <c r="G608" t="e">
        <f ca="1">VLOOKUP(F:F,matching_transelated_with_ref!A:C,2,0)</f>
        <v>#N/A</v>
      </c>
      <c r="H608" t="str">
        <f>VLOOKUP(C:C,Sheet4!A:C,2,0)</f>
        <v>نافيجيتور</v>
      </c>
    </row>
    <row r="609" spans="1:8" ht="14.4">
      <c r="A609" s="18" t="s">
        <v>73</v>
      </c>
      <c r="B609" s="18" t="s">
        <v>670</v>
      </c>
      <c r="C609" s="18" t="s">
        <v>671</v>
      </c>
      <c r="D609" s="19" t="str">
        <f ca="1">IFERROR(__xludf.DUMMYFUNCTION("GOOGLETRANSLATE(A609, ""ar"", ""en"")"),"Ford")</f>
        <v>Ford</v>
      </c>
      <c r="E609" s="19" t="str">
        <f ca="1">IFERROR(__xludf.DUMMYFUNCTION("GOOGLETRANSLATE(B609,""ar"",""en"")"),"Lincoln")</f>
        <v>Lincoln</v>
      </c>
      <c r="F609" s="19" t="str">
        <f ca="1">IFERROR(__xludf.DUMMYFUNCTION("GOOGLETRANSLATE(C609,""ar"",""en"")"),"Navigitor Turbo 3.5 l")</f>
        <v>Navigitor Turbo 3.5 l</v>
      </c>
      <c r="G609" t="e">
        <f ca="1">VLOOKUP(F:F,matching_transelated_with_ref!A:C,2,0)</f>
        <v>#N/A</v>
      </c>
      <c r="H609" t="str">
        <f>VLOOKUP(C:C,Sheet4!A:C,2,0)</f>
        <v>نافيجيتور</v>
      </c>
    </row>
    <row r="610" spans="1:8" ht="14.4">
      <c r="A610" s="18" t="s">
        <v>73</v>
      </c>
      <c r="B610" s="18" t="s">
        <v>938</v>
      </c>
      <c r="C610" s="18" t="s">
        <v>1149</v>
      </c>
      <c r="D610" s="19" t="str">
        <f ca="1">IFERROR(__xludf.DUMMYFUNCTION("GOOGLETRANSLATE(A610, ""ar"", ""en"")"),"Ford")</f>
        <v>Ford</v>
      </c>
      <c r="E610" s="19" t="str">
        <f ca="1">IFERROR(__xludf.DUMMYFUNCTION("GOOGLETRANSLATE(B610,""ar"",""en"")"),"To be")</f>
        <v>To be</v>
      </c>
      <c r="F610" s="19" t="str">
        <f ca="1">IFERROR(__xludf.DUMMYFUNCTION("GOOGLETRANSLATE(C610,""ar"",""en"")"),"Navigitor Brezzal")</f>
        <v>Navigitor Brezzal</v>
      </c>
      <c r="G610" t="e">
        <f ca="1">VLOOKUP(F:F,matching_transelated_with_ref!A:C,2,0)</f>
        <v>#N/A</v>
      </c>
      <c r="H610" t="str">
        <f>VLOOKUP(C:C,Sheet4!A:C,2,0)</f>
        <v>نافيجيتور</v>
      </c>
    </row>
    <row r="611" spans="1:8" ht="14.4">
      <c r="A611" s="18" t="s">
        <v>73</v>
      </c>
      <c r="B611" s="18" t="s">
        <v>938</v>
      </c>
      <c r="C611" s="18" t="s">
        <v>1150</v>
      </c>
      <c r="D611" s="19" t="str">
        <f ca="1">IFERROR(__xludf.DUMMYFUNCTION("GOOGLETRANSLATE(A611, ""ar"", ""en"")"),"Ford")</f>
        <v>Ford</v>
      </c>
      <c r="E611" s="19" t="str">
        <f ca="1">IFERROR(__xludf.DUMMYFUNCTION("GOOGLETRANSLATE(B611,""ar"",""en"")"),"To be")</f>
        <v>To be</v>
      </c>
      <c r="F611" s="19" t="str">
        <f ca="1">IFERROR(__xludf.DUMMYFUNCTION("GOOGLETRANSLATE(C611,""ar"",""en"")"),"Navigitor Razerv 4 x 4")</f>
        <v>Navigitor Razerv 4 x 4</v>
      </c>
      <c r="G611" t="e">
        <f ca="1">VLOOKUP(F:F,matching_transelated_with_ref!A:C,2,0)</f>
        <v>#N/A</v>
      </c>
      <c r="H611" t="str">
        <f>VLOOKUP(C:C,Sheet4!A:C,2,0)</f>
        <v>نافيجيتور</v>
      </c>
    </row>
    <row r="612" spans="1:8" ht="14.4">
      <c r="A612" s="18" t="s">
        <v>73</v>
      </c>
      <c r="B612" s="18" t="s">
        <v>338</v>
      </c>
      <c r="C612" s="18" t="s">
        <v>652</v>
      </c>
      <c r="D612" s="19" t="str">
        <f ca="1">IFERROR(__xludf.DUMMYFUNCTION("GOOGLETRANSLATE(A612, ""ar"", ""en"")"),"Ford")</f>
        <v>Ford</v>
      </c>
      <c r="E612" s="19" t="str">
        <f ca="1">IFERROR(__xludf.DUMMYFUNCTION("GOOGLETRANSLATE(B612,""ar"",""en"")"),"Expedition")</f>
        <v>Expedition</v>
      </c>
      <c r="F612" s="19" t="str">
        <f ca="1">IFERROR(__xludf.DUMMYFUNCTION("GOOGLETRANSLATE(C612,""ar"",""en"")"),"Any platinum 4 x 4")</f>
        <v>Any platinum 4 x 4</v>
      </c>
      <c r="G612" t="e">
        <f ca="1">VLOOKUP(F:F,matching_transelated_with_ref!A:C,2,0)</f>
        <v>#N/A</v>
      </c>
      <c r="H612" t="e">
        <f>VLOOKUP(C:C,Sheet4!A:C,2,0)</f>
        <v>#N/A</v>
      </c>
    </row>
    <row r="613" spans="1:8" ht="14.4">
      <c r="A613" s="18" t="s">
        <v>73</v>
      </c>
      <c r="B613" s="18" t="s">
        <v>346</v>
      </c>
      <c r="C613" s="18" t="s">
        <v>347</v>
      </c>
      <c r="D613" s="19" t="str">
        <f ca="1">IFERROR(__xludf.DUMMYFUNCTION("GOOGLETRANSLATE(A613, ""ar"", ""en"")"),"Ford")</f>
        <v>Ford</v>
      </c>
      <c r="E613" s="19" t="str">
        <f ca="1">IFERROR(__xludf.DUMMYFUNCTION("GOOGLETRANSLATE(B613,""ar"",""en"")"),"Expiece U 1 m")</f>
        <v>Expiece U 1 m</v>
      </c>
      <c r="F613" s="19" t="str">
        <f ca="1">IFERROR(__xludf.DUMMYFUNCTION("GOOGLETRANSLATE(C613,""ar"",""en"")"),"Planteium 4 x 4")</f>
        <v>Planteium 4 x 4</v>
      </c>
      <c r="G613" t="e">
        <f ca="1">VLOOKUP(F:F,matching_transelated_with_ref!A:C,2,0)</f>
        <v>#N/A</v>
      </c>
      <c r="H613" t="e">
        <f>VLOOKUP(C:C,Sheet4!A:C,2,0)</f>
        <v>#N/A</v>
      </c>
    </row>
    <row r="614" spans="1:8" ht="14.4">
      <c r="A614" s="18" t="s">
        <v>73</v>
      </c>
      <c r="B614" s="18" t="s">
        <v>8</v>
      </c>
      <c r="C614" s="18" t="s">
        <v>333</v>
      </c>
      <c r="D614" s="19" t="str">
        <f ca="1">IFERROR(__xludf.DUMMYFUNCTION("GOOGLETRANSLATE(A614, ""ar"", ""en"")"),"Ford")</f>
        <v>Ford</v>
      </c>
      <c r="E614" s="19" t="str">
        <f ca="1">IFERROR(__xludf.DUMMYFUNCTION("GOOGLETRANSLATE(B614,""ar"",""en"")"),"-")</f>
        <v>-</v>
      </c>
      <c r="F614" s="19" t="str">
        <f ca="1">IFERROR(__xludf.DUMMYFUNCTION("GOOGLETRANSLATE(C614,""ar"",""en"")"),"F 150 4 x 4 and Want Raptor")</f>
        <v>F 150 4 x 4 and Want Raptor</v>
      </c>
      <c r="G614" t="e">
        <f ca="1">VLOOKUP(F:F,matching_transelated_with_ref!A:C,2,0)</f>
        <v>#N/A</v>
      </c>
      <c r="H614" t="e">
        <f>VLOOKUP(C:C,Sheet4!A:C,2,0)</f>
        <v>#N/A</v>
      </c>
    </row>
    <row r="615" spans="1:8" ht="14.4">
      <c r="A615" s="18" t="s">
        <v>73</v>
      </c>
      <c r="B615" s="18" t="s">
        <v>938</v>
      </c>
      <c r="C615" s="18" t="s">
        <v>939</v>
      </c>
      <c r="D615" s="19" t="str">
        <f ca="1">IFERROR(__xludf.DUMMYFUNCTION("GOOGLETRANSLATE(A615, ""ar"", ""en"")"),"Ford")</f>
        <v>Ford</v>
      </c>
      <c r="E615" s="19" t="str">
        <f ca="1">IFERROR(__xludf.DUMMYFUNCTION("GOOGLETRANSLATE(B615,""ar"",""en"")"),"To be")</f>
        <v>To be</v>
      </c>
      <c r="F615" s="19" t="str">
        <f ca="1">IFERROR(__xludf.DUMMYFUNCTION("GOOGLETRANSLATE(C615,""ar"",""en"")"),"Avitor Breeze Benchhan Daf")</f>
        <v>Avitor Breeze Benchhan Daf</v>
      </c>
      <c r="G615" t="e">
        <f ca="1">VLOOKUP(F:F,matching_transelated_with_ref!A:C,2,0)</f>
        <v>#N/A</v>
      </c>
      <c r="H615" t="str">
        <f>VLOOKUP(C:C,Sheet4!A:C,2,0)</f>
        <v xml:space="preserve">افياتور </v>
      </c>
    </row>
    <row r="616" spans="1:8" ht="14.4">
      <c r="A616" s="18" t="s">
        <v>73</v>
      </c>
      <c r="B616" s="18" t="s">
        <v>114</v>
      </c>
      <c r="C616" s="18" t="s">
        <v>658</v>
      </c>
      <c r="D616" s="19" t="str">
        <f ca="1">IFERROR(__xludf.DUMMYFUNCTION("GOOGLETRANSLATE(A616, ""ar"", ""en"")"),"Ford")</f>
        <v>Ford</v>
      </c>
      <c r="E616" s="19" t="str">
        <f ca="1">IFERROR(__xludf.DUMMYFUNCTION("GOOGLETRANSLATE(B616,""ar"",""en"")"),"a truck")</f>
        <v>a truck</v>
      </c>
      <c r="F616" s="19" t="str">
        <f ca="1">IFERROR(__xludf.DUMMYFUNCTION("GOOGLETRANSLATE(C616,""ar"",""en"")"),"FOC C-4500 DC")</f>
        <v>FOC C-4500 DC</v>
      </c>
      <c r="G616" t="e">
        <f ca="1">VLOOKUP(F:F,matching_transelated_with_ref!A:C,2,0)</f>
        <v>#N/A</v>
      </c>
      <c r="H616" t="e">
        <f>VLOOKUP(C:C,Sheet4!A:C,2,0)</f>
        <v>#N/A</v>
      </c>
    </row>
    <row r="617" spans="1:8" ht="14.4">
      <c r="A617" s="18" t="s">
        <v>73</v>
      </c>
      <c r="B617" s="18" t="s">
        <v>338</v>
      </c>
      <c r="C617" s="18" t="s">
        <v>1126</v>
      </c>
      <c r="D617" s="19" t="str">
        <f ca="1">IFERROR(__xludf.DUMMYFUNCTION("GOOGLETRANSLATE(A617, ""ar"", ""en"")"),"Ford")</f>
        <v>Ford</v>
      </c>
      <c r="E617" s="19" t="str">
        <f ca="1">IFERROR(__xludf.DUMMYFUNCTION("GOOGLETRANSLATE(B617,""ar"",""en"")"),"Expedition")</f>
        <v>Expedition</v>
      </c>
      <c r="F617" s="19" t="str">
        <f ca="1">IFERROR(__xludf.DUMMYFUNCTION("GOOGLETRANSLATE(C617,""ar"",""en"")"),"Platinum 4 x 4")</f>
        <v>Platinum 4 x 4</v>
      </c>
      <c r="G617" t="e">
        <f ca="1">VLOOKUP(F:F,matching_transelated_with_ref!A:C,2,0)</f>
        <v>#N/A</v>
      </c>
      <c r="H617" t="e">
        <f>VLOOKUP(C:C,Sheet4!A:C,2,0)</f>
        <v>#N/A</v>
      </c>
    </row>
    <row r="618" spans="1:8" ht="14.4">
      <c r="A618" s="18" t="s">
        <v>73</v>
      </c>
      <c r="B618" s="18" t="s">
        <v>938</v>
      </c>
      <c r="C618" s="18" t="s">
        <v>940</v>
      </c>
      <c r="D618" s="19" t="str">
        <f ca="1">IFERROR(__xludf.DUMMYFUNCTION("GOOGLETRANSLATE(A618, ""ar"", ""en"")"),"Ford")</f>
        <v>Ford</v>
      </c>
      <c r="E618" s="19" t="str">
        <f ca="1">IFERROR(__xludf.DUMMYFUNCTION("GOOGLETRANSLATE(B618,""ar"",""en"")"),"To be")</f>
        <v>To be</v>
      </c>
      <c r="F618" s="19" t="str">
        <f ca="1">IFERROR(__xludf.DUMMYFUNCTION("GOOGLETRANSLATE(C618,""ar"",""en"")"),"Avitor Reserve Pay Ruba")</f>
        <v>Avitor Reserve Pay Ruba</v>
      </c>
      <c r="G618" t="e">
        <f ca="1">VLOOKUP(F:F,matching_transelated_with_ref!A:C,2,0)</f>
        <v>#N/A</v>
      </c>
      <c r="H618" t="str">
        <f>VLOOKUP(C:C,Sheet4!A:C,2,0)</f>
        <v xml:space="preserve">افياتور </v>
      </c>
    </row>
    <row r="619" spans="1:8" ht="14.4">
      <c r="A619" s="18" t="s">
        <v>73</v>
      </c>
      <c r="B619" s="18" t="s">
        <v>650</v>
      </c>
      <c r="C619" s="18" t="s">
        <v>651</v>
      </c>
      <c r="D619" s="19" t="str">
        <f ca="1">IFERROR(__xludf.DUMMYFUNCTION("GOOGLETRANSLATE(A619, ""ar"", ""en"")"),"Ford")</f>
        <v>Ford</v>
      </c>
      <c r="E619" s="19" t="str">
        <f ca="1">IFERROR(__xludf.DUMMYFUNCTION("GOOGLETRANSLATE(B619,""ar"",""en"")"),"F550")</f>
        <v>F550</v>
      </c>
      <c r="F619" s="19" t="str">
        <f ca="1">IFERROR(__xludf.DUMMYFUNCTION("GOOGLETRANSLATE(C619,""ar"",""en"")"),"Filter of 4 x 4")</f>
        <v>Filter of 4 x 4</v>
      </c>
      <c r="G619" t="e">
        <f ca="1">VLOOKUP(F:F,matching_transelated_with_ref!A:C,2,0)</f>
        <v>#N/A</v>
      </c>
      <c r="H619" t="e">
        <f>VLOOKUP(C:C,Sheet4!A:C,2,0)</f>
        <v>#N/A</v>
      </c>
    </row>
    <row r="620" spans="1:8" ht="14.4">
      <c r="A620" s="18" t="s">
        <v>73</v>
      </c>
      <c r="B620" s="18" t="s">
        <v>670</v>
      </c>
      <c r="C620" s="18" t="s">
        <v>1152</v>
      </c>
      <c r="D620" s="19" t="str">
        <f ca="1">IFERROR(__xludf.DUMMYFUNCTION("GOOGLETRANSLATE(A620, ""ar"", ""en"")"),"Ford")</f>
        <v>Ford</v>
      </c>
      <c r="E620" s="19" t="str">
        <f ca="1">IFERROR(__xludf.DUMMYFUNCTION("GOOGLETRANSLATE(B620,""ar"",""en"")"),"Lincoln")</f>
        <v>Lincoln</v>
      </c>
      <c r="F620" s="19" t="str">
        <f ca="1">IFERROR(__xludf.DUMMYFUNCTION("GOOGLETRANSLATE(C620,""ar"",""en"")"),"Avenor")</f>
        <v>Avenor</v>
      </c>
      <c r="G620" t="e">
        <f ca="1">VLOOKUP(F:F,matching_transelated_with_ref!A:C,2,0)</f>
        <v>#N/A</v>
      </c>
      <c r="H620" t="str">
        <f>VLOOKUP(C:C,Sheet4!A:C,2,0)</f>
        <v xml:space="preserve">افياتور </v>
      </c>
    </row>
    <row r="621" spans="1:8" ht="14.4">
      <c r="A621" s="18" t="s">
        <v>73</v>
      </c>
      <c r="B621" s="18" t="s">
        <v>938</v>
      </c>
      <c r="C621" s="18" t="s">
        <v>1396</v>
      </c>
      <c r="D621" s="19" t="str">
        <f ca="1">IFERROR(__xludf.DUMMYFUNCTION("GOOGLETRANSLATE(A621, ""ar"", ""en"")"),"Ford")</f>
        <v>Ford</v>
      </c>
      <c r="E621" s="19" t="str">
        <f ca="1">IFERROR(__xludf.DUMMYFUNCTION("GOOGLETRANSLATE(B621,""ar"",""en"")"),"To be")</f>
        <v>To be</v>
      </c>
      <c r="F621" s="19" t="str">
        <f ca="1">IFERROR(__xludf.DUMMYFUNCTION("GOOGLETRANSLATE(C621,""ar"",""en"")"),"Ophiator 3 liters")</f>
        <v>Ophiator 3 liters</v>
      </c>
      <c r="G621">
        <f ca="1">VLOOKUP(F:F,matching_transelated_with_ref!A:C,2,0)</f>
        <v>3</v>
      </c>
      <c r="H621" t="str">
        <f>VLOOKUP(C:C,Sheet4!A:C,2,0)</f>
        <v xml:space="preserve">افياتور </v>
      </c>
    </row>
    <row r="622" spans="1:8" ht="14.4">
      <c r="A622" s="18" t="s">
        <v>73</v>
      </c>
      <c r="B622" s="18" t="s">
        <v>338</v>
      </c>
      <c r="C622" s="18" t="s">
        <v>343</v>
      </c>
      <c r="D622" s="19" t="str">
        <f ca="1">IFERROR(__xludf.DUMMYFUNCTION("GOOGLETRANSLATE(A622, ""ar"", ""en"")"),"Ford")</f>
        <v>Ford</v>
      </c>
      <c r="E622" s="19" t="str">
        <f ca="1">IFERROR(__xludf.DUMMYFUNCTION("GOOGLETRANSLATE(B622,""ar"",""en"")"),"Expedition")</f>
        <v>Expedition</v>
      </c>
      <c r="F622" s="19" t="str">
        <f ca="1">IFERROR(__xludf.DUMMYFUNCTION("GOOGLETRANSLATE(C622,""ar"",""en"")"),"4 x 4 3.5 liters")</f>
        <v>4 x 4 3.5 liters</v>
      </c>
      <c r="G622" t="e">
        <f ca="1">VLOOKUP(F:F,matching_transelated_with_ref!A:C,2,0)</f>
        <v>#N/A</v>
      </c>
      <c r="H622">
        <f>VLOOKUP(C:C,Sheet4!A:C,2,0)</f>
        <v>3</v>
      </c>
    </row>
    <row r="623" spans="1:8" ht="14.4">
      <c r="A623" s="18" t="s">
        <v>73</v>
      </c>
      <c r="B623" s="18" t="s">
        <v>73</v>
      </c>
      <c r="C623" s="18" t="s">
        <v>929</v>
      </c>
      <c r="D623" s="19" t="str">
        <f ca="1">IFERROR(__xludf.DUMMYFUNCTION("GOOGLETRANSLATE(A623, ""ar"", ""en"")"),"Ford")</f>
        <v>Ford</v>
      </c>
      <c r="E623" s="19" t="str">
        <f ca="1">IFERROR(__xludf.DUMMYFUNCTION("GOOGLETRANSLATE(B623,""ar"",""en"")"),"Ford")</f>
        <v>Ford</v>
      </c>
      <c r="F623" s="19" t="str">
        <f ca="1">IFERROR(__xludf.DUMMYFUNCTION("GOOGLETRANSLATE(C623,""ar"",""en"")"),"F 150 Rapter")</f>
        <v>F 150 Rapter</v>
      </c>
      <c r="G623" t="e">
        <f ca="1">VLOOKUP(F:F,matching_transelated_with_ref!A:C,2,0)</f>
        <v>#N/A</v>
      </c>
      <c r="H623" t="str">
        <f>VLOOKUP(C:C,Sheet4!A:C,2,0)</f>
        <v>رابتر - F150</v>
      </c>
    </row>
    <row r="624" spans="1:8" ht="14.4">
      <c r="A624" s="18" t="s">
        <v>73</v>
      </c>
      <c r="B624" s="18" t="s">
        <v>73</v>
      </c>
      <c r="C624" s="18" t="s">
        <v>1129</v>
      </c>
      <c r="D624" s="19" t="str">
        <f ca="1">IFERROR(__xludf.DUMMYFUNCTION("GOOGLETRANSLATE(A624, ""ar"", ""en"")"),"Ford")</f>
        <v>Ford</v>
      </c>
      <c r="E624" s="19" t="str">
        <f ca="1">IFERROR(__xludf.DUMMYFUNCTION("GOOGLETRANSLATE(B624,""ar"",""en"")"),"Ford")</f>
        <v>Ford</v>
      </c>
      <c r="F624" s="19" t="str">
        <f ca="1">IFERROR(__xludf.DUMMYFUNCTION("GOOGLETRANSLATE(C624,""ar"",""en"")"),"F 150 Raptor 4 x 4")</f>
        <v>F 150 Raptor 4 x 4</v>
      </c>
      <c r="G624" t="e">
        <f ca="1">VLOOKUP(F:F,matching_transelated_with_ref!A:C,2,0)</f>
        <v>#N/A</v>
      </c>
      <c r="H624" t="e">
        <f>VLOOKUP(C:C,Sheet4!A:C,2,0)</f>
        <v>#N/A</v>
      </c>
    </row>
    <row r="625" spans="1:8" ht="14.4">
      <c r="A625" s="18" t="s">
        <v>73</v>
      </c>
      <c r="B625" s="18" t="s">
        <v>73</v>
      </c>
      <c r="C625" s="18" t="s">
        <v>1140</v>
      </c>
      <c r="D625" s="19" t="str">
        <f ca="1">IFERROR(__xludf.DUMMYFUNCTION("GOOGLETRANSLATE(A625, ""ar"", ""en"")"),"Ford")</f>
        <v>Ford</v>
      </c>
      <c r="E625" s="19" t="str">
        <f ca="1">IFERROR(__xludf.DUMMYFUNCTION("GOOGLETRANSLATE(B625,""ar"",""en"")"),"Ford")</f>
        <v>Ford</v>
      </c>
      <c r="F625" s="19" t="str">
        <f ca="1">IFERROR(__xludf.DUMMYFUNCTION("GOOGLETRANSLATE(C625,""ar"",""en"")"),"Bronco 2.7 liters 4 x 4")</f>
        <v>Bronco 2.7 liters 4 x 4</v>
      </c>
      <c r="G625" t="e">
        <f ca="1">VLOOKUP(F:F,matching_transelated_with_ref!A:C,2,0)</f>
        <v>#N/A</v>
      </c>
      <c r="H625" t="e">
        <f>VLOOKUP(C:C,Sheet4!A:C,2,0)</f>
        <v>#N/A</v>
      </c>
    </row>
    <row r="626" spans="1:8" ht="14.4">
      <c r="A626" s="18" t="s">
        <v>73</v>
      </c>
      <c r="B626" s="18" t="s">
        <v>938</v>
      </c>
      <c r="C626" s="18" t="s">
        <v>1147</v>
      </c>
      <c r="D626" s="19" t="str">
        <f ca="1">IFERROR(__xludf.DUMMYFUNCTION("GOOGLETRANSLATE(A626, ""ar"", ""en"")"),"Ford")</f>
        <v>Ford</v>
      </c>
      <c r="E626" s="19" t="str">
        <f ca="1">IFERROR(__xludf.DUMMYFUNCTION("GOOGLETRANSLATE(B626,""ar"",""en"")"),"To be")</f>
        <v>To be</v>
      </c>
      <c r="F626" s="19" t="str">
        <f ca="1">IFERROR(__xludf.DUMMYFUNCTION("GOOGLETRANSLATE(C626,""ar"",""en"")"),"Avitor Stander")</f>
        <v>Avitor Stander</v>
      </c>
      <c r="G626" t="e">
        <f ca="1">VLOOKUP(F:F,matching_transelated_with_ref!A:C,2,0)</f>
        <v>#N/A</v>
      </c>
      <c r="H626" t="str">
        <f>VLOOKUP(C:C,Sheet4!A:C,2,0)</f>
        <v xml:space="preserve">افياتور </v>
      </c>
    </row>
    <row r="627" spans="1:8" ht="14.4">
      <c r="A627" s="18" t="s">
        <v>73</v>
      </c>
      <c r="B627" s="18" t="s">
        <v>73</v>
      </c>
      <c r="C627" s="18" t="s">
        <v>1141</v>
      </c>
      <c r="D627" s="19" t="str">
        <f ca="1">IFERROR(__xludf.DUMMYFUNCTION("GOOGLETRANSLATE(A627, ""ar"", ""en"")"),"Ford")</f>
        <v>Ford</v>
      </c>
      <c r="E627" s="19" t="str">
        <f ca="1">IFERROR(__xludf.DUMMYFUNCTION("GOOGLETRANSLATE(B627,""ar"",""en"")"),"Ford")</f>
        <v>Ford</v>
      </c>
      <c r="F627" s="19" t="str">
        <f ca="1">IFERROR(__xludf.DUMMYFUNCTION("GOOGLETRANSLATE(C627,""ar"",""en"")"),"Bronco Autabranx 4 Abu")</f>
        <v>Bronco Autabranx 4 Abu</v>
      </c>
      <c r="G627" t="e">
        <f ca="1">VLOOKUP(F:F,matching_transelated_with_ref!A:C,2,0)</f>
        <v>#N/A</v>
      </c>
      <c r="H627" t="e">
        <f>VLOOKUP(C:C,Sheet4!A:C,2,0)</f>
        <v>#N/A</v>
      </c>
    </row>
    <row r="628" spans="1:8" ht="14.4">
      <c r="A628" s="18" t="s">
        <v>73</v>
      </c>
      <c r="B628" s="18" t="s">
        <v>73</v>
      </c>
      <c r="C628" s="18" t="s">
        <v>1127</v>
      </c>
      <c r="D628" s="19" t="str">
        <f ca="1">IFERROR(__xludf.DUMMYFUNCTION("GOOGLETRANSLATE(A628, ""ar"", ""en"")"),"Ford")</f>
        <v>Ford</v>
      </c>
      <c r="E628" s="19" t="str">
        <f ca="1">IFERROR(__xludf.DUMMYFUNCTION("GOOGLETRANSLATE(B628,""ar"",""en"")"),"Ford")</f>
        <v>Ford</v>
      </c>
      <c r="F628" s="19" t="str">
        <f ca="1">IFERROR(__xludf.DUMMYFUNCTION("GOOGLETRANSLATE(C628,""ar"",""en"")"),"F 150 4 x 4 hybrid")</f>
        <v>F 150 4 x 4 hybrid</v>
      </c>
      <c r="G628" t="e">
        <f ca="1">VLOOKUP(F:F,matching_transelated_with_ref!A:C,2,0)</f>
        <v>#N/A</v>
      </c>
      <c r="H628" t="e">
        <f>VLOOKUP(C:C,Sheet4!A:C,2,0)</f>
        <v>#N/A</v>
      </c>
    </row>
    <row r="629" spans="1:8" ht="14.4">
      <c r="A629" s="18" t="s">
        <v>73</v>
      </c>
      <c r="B629" s="18" t="s">
        <v>73</v>
      </c>
      <c r="C629" s="18" t="s">
        <v>667</v>
      </c>
      <c r="D629" s="19" t="str">
        <f ca="1">IFERROR(__xludf.DUMMYFUNCTION("GOOGLETRANSLATE(A629, ""ar"", ""en"")"),"Ford")</f>
        <v>Ford</v>
      </c>
      <c r="E629" s="19" t="str">
        <f ca="1">IFERROR(__xludf.DUMMYFUNCTION("GOOGLETRANSLATE(B629,""ar"",""en"")"),"Ford")</f>
        <v>Ford</v>
      </c>
      <c r="F629" s="19" t="str">
        <f ca="1">IFERROR(__xludf.DUMMYFUNCTION("GOOGLETRANSLATE(C629,""ar"",""en"")"),"Mustang GT automatic")</f>
        <v>Mustang GT automatic</v>
      </c>
      <c r="G629" t="str">
        <f ca="1">VLOOKUP(F:F,matching_transelated_with_ref!A:C,2,0)</f>
        <v>GT</v>
      </c>
      <c r="H629" t="e">
        <f>VLOOKUP(C:C,Sheet4!A:C,2,0)</f>
        <v>#N/A</v>
      </c>
    </row>
    <row r="630" spans="1:8" ht="14.4">
      <c r="A630" s="18" t="s">
        <v>73</v>
      </c>
      <c r="B630" s="18" t="s">
        <v>114</v>
      </c>
      <c r="C630" s="18" t="s">
        <v>657</v>
      </c>
      <c r="D630" s="19" t="str">
        <f ca="1">IFERROR(__xludf.DUMMYFUNCTION("GOOGLETRANSLATE(A630, ""ar"", ""en"")"),"Ford")</f>
        <v>Ford</v>
      </c>
      <c r="E630" s="19" t="str">
        <f ca="1">IFERROR(__xludf.DUMMYFUNCTION("GOOGLETRANSLATE(B630,""ar"",""en"")"),"a truck")</f>
        <v>a truck</v>
      </c>
      <c r="F630" s="19" t="str">
        <f ca="1">IFERROR(__xludf.DUMMYFUNCTION("GOOGLETRANSLATE(C630,""ar"",""en"")"),"FOC C-330 BS-I")</f>
        <v>FOC C-330 BS-I</v>
      </c>
      <c r="G630" t="e">
        <f ca="1">VLOOKUP(F:F,matching_transelated_with_ref!A:C,2,0)</f>
        <v>#N/A</v>
      </c>
      <c r="H630" t="e">
        <f>VLOOKUP(C:C,Sheet4!A:C,2,0)</f>
        <v>#N/A</v>
      </c>
    </row>
    <row r="631" spans="1:8" ht="14.4">
      <c r="A631" s="18" t="s">
        <v>73</v>
      </c>
      <c r="B631" s="18" t="s">
        <v>338</v>
      </c>
      <c r="C631" s="18" t="s">
        <v>263</v>
      </c>
      <c r="D631" s="19" t="str">
        <f ca="1">IFERROR(__xludf.DUMMYFUNCTION("GOOGLETRANSLATE(A631, ""ar"", ""en"")"),"Ford")</f>
        <v>Ford</v>
      </c>
      <c r="E631" s="19" t="str">
        <f ca="1">IFERROR(__xludf.DUMMYFUNCTION("GOOGLETRANSLATE(B631,""ar"",""en"")"),"Expedition")</f>
        <v>Expedition</v>
      </c>
      <c r="F631" s="19" t="str">
        <f ca="1">IFERROR(__xludf.DUMMYFUNCTION("GOOGLETRANSLATE(C631,""ar"",""en"")"),"XL 4 x 4")</f>
        <v>XL 4 x 4</v>
      </c>
      <c r="G631" t="e">
        <f ca="1">VLOOKUP(F:F,matching_transelated_with_ref!A:C,2,0)</f>
        <v>#N/A</v>
      </c>
      <c r="H631" t="e">
        <f>VLOOKUP(C:C,Sheet4!A:C,2,0)</f>
        <v>#N/A</v>
      </c>
    </row>
    <row r="632" spans="1:8" ht="14.4">
      <c r="A632" s="18" t="s">
        <v>73</v>
      </c>
      <c r="B632" s="18" t="s">
        <v>338</v>
      </c>
      <c r="C632" s="18" t="s">
        <v>341</v>
      </c>
      <c r="D632" s="19" t="str">
        <f ca="1">IFERROR(__xludf.DUMMYFUNCTION("GOOGLETRANSLATE(A632, ""ar"", ""en"")"),"Ford")</f>
        <v>Ford</v>
      </c>
      <c r="E632" s="19" t="str">
        <f ca="1">IFERROR(__xludf.DUMMYFUNCTION("GOOGLETRANSLATE(B632,""ar"",""en"")"),"Expedition")</f>
        <v>Expedition</v>
      </c>
      <c r="F632" s="19" t="str">
        <f ca="1">IFERROR(__xludf.DUMMYFUNCTION("GOOGLETRANSLATE(C632,""ar"",""en"")"),"XLTL 4 x 4 3.5 liters")</f>
        <v>XLTL 4 x 4 3.5 liters</v>
      </c>
      <c r="G632" t="e">
        <f ca="1">VLOOKUP(F:F,matching_transelated_with_ref!A:C,2,0)</f>
        <v>#N/A</v>
      </c>
      <c r="H632">
        <f>VLOOKUP(C:C,Sheet4!A:C,2,0)</f>
        <v>3</v>
      </c>
    </row>
    <row r="633" spans="1:8" ht="14.4">
      <c r="A633" s="18" t="s">
        <v>73</v>
      </c>
      <c r="B633" s="18" t="s">
        <v>672</v>
      </c>
      <c r="C633" s="18" t="s">
        <v>673</v>
      </c>
      <c r="D633" s="19" t="str">
        <f ca="1">IFERROR(__xludf.DUMMYFUNCTION("GOOGLETRANSLATE(A633, ""ar"", ""en"")"),"Ford")</f>
        <v>Ford</v>
      </c>
      <c r="E633" s="19" t="str">
        <f ca="1">IFERROR(__xludf.DUMMYFUNCTION("GOOGLETRANSLATE(B633,""ar"",""en"")"),"Mustang")</f>
        <v>Mustang</v>
      </c>
      <c r="F633" s="19" t="str">
        <f ca="1">IFERROR(__xludf.DUMMYFUNCTION("GOOGLETRANSLATE(C633,""ar"",""en"")")," B8C")</f>
        <v xml:space="preserve"> B8C</v>
      </c>
      <c r="G633" t="e">
        <f ca="1">VLOOKUP(F:F,matching_transelated_with_ref!A:C,2,0)</f>
        <v>#N/A</v>
      </c>
      <c r="H633" t="e">
        <f>VLOOKUP(C:C,Sheet4!A:C,2,0)</f>
        <v>#N/A</v>
      </c>
    </row>
    <row r="634" spans="1:8" ht="14.4">
      <c r="A634" s="18" t="s">
        <v>73</v>
      </c>
      <c r="B634" s="18" t="s">
        <v>338</v>
      </c>
      <c r="C634" s="18" t="s">
        <v>340</v>
      </c>
      <c r="D634" s="19" t="str">
        <f ca="1">IFERROR(__xludf.DUMMYFUNCTION("GOOGLETRANSLATE(A634, ""ar"", ""en"")"),"Ford")</f>
        <v>Ford</v>
      </c>
      <c r="E634" s="19" t="str">
        <f ca="1">IFERROR(__xludf.DUMMYFUNCTION("GOOGLETRANSLATE(B634,""ar"",""en"")"),"Expedition")</f>
        <v>Expedition</v>
      </c>
      <c r="F634" s="19" t="str">
        <f ca="1">IFERROR(__xludf.DUMMYFUNCTION("GOOGLETRANSLATE(C634,""ar"",""en"")"),"XLT 4 x 4 3.5 liters")</f>
        <v>XLT 4 x 4 3.5 liters</v>
      </c>
      <c r="G634" t="e">
        <f ca="1">VLOOKUP(F:F,matching_transelated_with_ref!A:C,2,0)</f>
        <v>#N/A</v>
      </c>
      <c r="H634">
        <f>VLOOKUP(C:C,Sheet4!A:C,2,0)</f>
        <v>3</v>
      </c>
    </row>
    <row r="635" spans="1:8" ht="14.4">
      <c r="A635" s="18" t="s">
        <v>73</v>
      </c>
      <c r="B635" s="18" t="s">
        <v>338</v>
      </c>
      <c r="C635" s="18" t="s">
        <v>339</v>
      </c>
      <c r="D635" s="19" t="str">
        <f ca="1">IFERROR(__xludf.DUMMYFUNCTION("GOOGLETRANSLATE(A635, ""ar"", ""en"")"),"Ford")</f>
        <v>Ford</v>
      </c>
      <c r="E635" s="19" t="str">
        <f ca="1">IFERROR(__xludf.DUMMYFUNCTION("GOOGLETRANSLATE(B635,""ar"",""en"")"),"Expedition")</f>
        <v>Expedition</v>
      </c>
      <c r="F635" s="19" t="str">
        <f ca="1">IFERROR(__xludf.DUMMYFUNCTION("GOOGLETRANSLATE(C635,""ar"",""en"")"),"XT 4 x 2 3.5 liters")</f>
        <v>XT 4 x 2 3.5 liters</v>
      </c>
      <c r="G635" t="e">
        <f ca="1">VLOOKUP(F:F,matching_transelated_with_ref!A:C,2,0)</f>
        <v>#N/A</v>
      </c>
      <c r="H635">
        <f>VLOOKUP(C:C,Sheet4!A:C,2,0)</f>
        <v>3</v>
      </c>
    </row>
    <row r="636" spans="1:8" ht="14.4">
      <c r="A636" s="18" t="s">
        <v>73</v>
      </c>
      <c r="B636" s="18" t="s">
        <v>338</v>
      </c>
      <c r="C636" s="18" t="s">
        <v>342</v>
      </c>
      <c r="D636" s="19" t="str">
        <f ca="1">IFERROR(__xludf.DUMMYFUNCTION("GOOGLETRANSLATE(A636, ""ar"", ""en"")"),"Ford")</f>
        <v>Ford</v>
      </c>
      <c r="E636" s="19" t="str">
        <f ca="1">IFERROR(__xludf.DUMMYFUNCTION("GOOGLETRANSLATE(B636,""ar"",""en"")"),"Expedition")</f>
        <v>Expedition</v>
      </c>
      <c r="F636" s="19" t="str">
        <f ca="1">IFERROR(__xludf.DUMMYFUNCTION("GOOGLETRANSLATE(C636,""ar"",""en"")"),"X the 2 x 4")</f>
        <v>X the 2 x 4</v>
      </c>
      <c r="G636" t="e">
        <f ca="1">VLOOKUP(F:F,matching_transelated_with_ref!A:C,2,0)</f>
        <v>#N/A</v>
      </c>
      <c r="H636" t="e">
        <f>VLOOKUP(C:C,Sheet4!A:C,2,0)</f>
        <v>#N/A</v>
      </c>
    </row>
    <row r="637" spans="1:8" ht="14.4">
      <c r="A637" s="18" t="s">
        <v>73</v>
      </c>
      <c r="B637" s="18" t="s">
        <v>73</v>
      </c>
      <c r="C637" s="18" t="s">
        <v>931</v>
      </c>
      <c r="D637" s="19" t="str">
        <f ca="1">IFERROR(__xludf.DUMMYFUNCTION("GOOGLETRANSLATE(A637, ""ar"", ""en"")"),"Ford")</f>
        <v>Ford</v>
      </c>
      <c r="E637" s="19" t="str">
        <f ca="1">IFERROR(__xludf.DUMMYFUNCTION("GOOGLETRANSLATE(B637,""ar"",""en"")"),"Ford")</f>
        <v>Ford</v>
      </c>
      <c r="F637" s="19" t="str">
        <f ca="1">IFERROR(__xludf.DUMMYFUNCTION("GOOGLETRANSLATE(C637,""ar"",""en"")"),"Explorer to extend the payment of Lord")</f>
        <v>Explorer to extend the payment of Lord</v>
      </c>
      <c r="G637" t="e">
        <f ca="1">VLOOKUP(F:F,matching_transelated_with_ref!A:C,2,0)</f>
        <v>#N/A</v>
      </c>
      <c r="H637" t="str">
        <f>VLOOKUP(C:C,Sheet4!A:C,2,0)</f>
        <v>اكسبلورر</v>
      </c>
    </row>
    <row r="638" spans="1:8" ht="14.4">
      <c r="A638" s="18" t="s">
        <v>73</v>
      </c>
      <c r="B638" s="18" t="s">
        <v>73</v>
      </c>
      <c r="C638" s="18" t="s">
        <v>351</v>
      </c>
      <c r="D638" s="19" t="str">
        <f ca="1">IFERROR(__xludf.DUMMYFUNCTION("GOOGLETRANSLATE(A638, ""ar"", ""en"")"),"Ford")</f>
        <v>Ford</v>
      </c>
      <c r="E638" s="19" t="str">
        <f ca="1">IFERROR(__xludf.DUMMYFUNCTION("GOOGLETRANSLATE(B638,""ar"",""en"")"),"Ford")</f>
        <v>Ford</v>
      </c>
      <c r="F638" s="19" t="str">
        <f ca="1">IFERROR(__xludf.DUMMYFUNCTION("GOOGLETRANSLATE(C638,""ar"",""en"")"),"F150 GM 4*4")</f>
        <v>F150 GM 4*4</v>
      </c>
      <c r="G638" t="e">
        <f ca="1">VLOOKUP(F:F,matching_transelated_with_ref!A:C,2,0)</f>
        <v>#N/A</v>
      </c>
      <c r="H638" t="e">
        <f>VLOOKUP(C:C,Sheet4!A:C,2,0)</f>
        <v>#N/A</v>
      </c>
    </row>
    <row r="639" spans="1:8" ht="14.4">
      <c r="A639" s="18" t="s">
        <v>73</v>
      </c>
      <c r="B639" s="18" t="s">
        <v>73</v>
      </c>
      <c r="C639" s="18" t="s">
        <v>1143</v>
      </c>
      <c r="D639" s="19" t="str">
        <f ca="1">IFERROR(__xludf.DUMMYFUNCTION("GOOGLETRANSLATE(A639, ""ar"", ""en"")"),"Ford")</f>
        <v>Ford</v>
      </c>
      <c r="E639" s="19" t="str">
        <f ca="1">IFERROR(__xludf.DUMMYFUNCTION("GOOGLETRANSLATE(B639,""ar"",""en"")"),"Ford")</f>
        <v>Ford</v>
      </c>
      <c r="F639" s="19" t="str">
        <f ca="1">IFERROR(__xludf.DUMMYFUNCTION("GOOGLETRANSLATE(C639,""ar"",""en"")"),"Bronco Big Bend 4 x 4 4 August")</f>
        <v>Bronco Big Bend 4 x 4 4 August</v>
      </c>
      <c r="G639" t="e">
        <f ca="1">VLOOKUP(F:F,matching_transelated_with_ref!A:C,2,0)</f>
        <v>#N/A</v>
      </c>
      <c r="H639" t="e">
        <f>VLOOKUP(C:C,Sheet4!A:C,2,0)</f>
        <v>#N/A</v>
      </c>
    </row>
    <row r="640" spans="1:8" ht="14.4">
      <c r="A640" s="18" t="s">
        <v>73</v>
      </c>
      <c r="B640" s="18" t="s">
        <v>73</v>
      </c>
      <c r="C640" s="18" t="s">
        <v>1137</v>
      </c>
      <c r="D640" s="19" t="str">
        <f ca="1">IFERROR(__xludf.DUMMYFUNCTION("GOOGLETRANSLATE(A640, ""ar"", ""en"")"),"Ford")</f>
        <v>Ford</v>
      </c>
      <c r="E640" s="19" t="str">
        <f ca="1">IFERROR(__xludf.DUMMYFUNCTION("GOOGLETRANSLATE(B640,""ar"",""en"")"),"Ford")</f>
        <v>Ford</v>
      </c>
      <c r="F640" s="19" t="str">
        <f ca="1">IFERROR(__xludf.DUMMYFUNCTION("GOOGLETRANSLATE(C640,""ar"",""en"")"),"Explore")</f>
        <v>Explore</v>
      </c>
      <c r="G640" t="e">
        <f ca="1">VLOOKUP(F:F,matching_transelated_with_ref!A:C,2,0)</f>
        <v>#N/A</v>
      </c>
      <c r="H640" t="str">
        <f>VLOOKUP(C:C,Sheet4!A:C,2,0)</f>
        <v>اكسبلورر</v>
      </c>
    </row>
    <row r="641" spans="1:8" ht="14.4">
      <c r="A641" s="18" t="s">
        <v>73</v>
      </c>
      <c r="B641" s="18" t="s">
        <v>73</v>
      </c>
      <c r="C641" s="18" t="s">
        <v>350</v>
      </c>
      <c r="D641" s="19" t="str">
        <f ca="1">IFERROR(__xludf.DUMMYFUNCTION("GOOGLETRANSLATE(A641, ""ar"", ""en"")"),"Ford")</f>
        <v>Ford</v>
      </c>
      <c r="E641" s="19" t="str">
        <f ca="1">IFERROR(__xludf.DUMMYFUNCTION("GOOGLETRANSLATE(B641,""ar"",""en"")"),"Ford")</f>
        <v>Ford</v>
      </c>
      <c r="F641" s="19" t="str">
        <f ca="1">IFERROR(__xludf.DUMMYFUNCTION("GOOGLETRANSLATE(C641,""ar"",""en"")"),"F 150")</f>
        <v>F 150</v>
      </c>
      <c r="G641" t="e">
        <f ca="1">VLOOKUP(F:F,matching_transelated_with_ref!A:C,2,0)</f>
        <v>#N/A</v>
      </c>
      <c r="H641" t="e">
        <f>VLOOKUP(C:C,Sheet4!A:C,2,0)</f>
        <v>#N/A</v>
      </c>
    </row>
    <row r="642" spans="1:8" ht="14.4">
      <c r="A642" s="18" t="s">
        <v>73</v>
      </c>
      <c r="B642" s="18" t="s">
        <v>334</v>
      </c>
      <c r="C642" s="18" t="s">
        <v>335</v>
      </c>
      <c r="D642" s="19" t="str">
        <f ca="1">IFERROR(__xludf.DUMMYFUNCTION("GOOGLETRANSLATE(A642, ""ar"", ""en"")"),"Ford")</f>
        <v>Ford</v>
      </c>
      <c r="E642" s="19" t="str">
        <f ca="1">IFERROR(__xludf.DUMMYFUNCTION("GOOGLETRANSLATE(B642,""ar"",""en"")"),"F 150 4 x 4")</f>
        <v>F 150 4 x 4</v>
      </c>
      <c r="F642" s="19" t="str">
        <f ca="1">IFERROR(__xludf.DUMMYFUNCTION("GOOGLETRANSLATE(C642,""ar"",""en"")"),"Wanit")</f>
        <v>Wanit</v>
      </c>
      <c r="G642" t="e">
        <f ca="1">VLOOKUP(F:F,matching_transelated_with_ref!A:C,2,0)</f>
        <v>#N/A</v>
      </c>
      <c r="H642" t="e">
        <f>VLOOKUP(C:C,Sheet4!A:C,2,0)</f>
        <v>#N/A</v>
      </c>
    </row>
    <row r="643" spans="1:8" ht="14.4">
      <c r="A643" s="18" t="s">
        <v>73</v>
      </c>
      <c r="B643" s="18" t="s">
        <v>73</v>
      </c>
      <c r="C643" s="18" t="s">
        <v>1395</v>
      </c>
      <c r="D643" s="19" t="str">
        <f ca="1">IFERROR(__xludf.DUMMYFUNCTION("GOOGLETRANSLATE(A643, ""ar"", ""en"")"),"Ford")</f>
        <v>Ford</v>
      </c>
      <c r="E643" s="19" t="str">
        <f ca="1">IFERROR(__xludf.DUMMYFUNCTION("GOOGLETRANSLATE(B643,""ar"",""en"")"),"Ford")</f>
        <v>Ford</v>
      </c>
      <c r="F643" s="19" t="str">
        <f ca="1">IFERROR(__xludf.DUMMYFUNCTION("GOOGLETRANSLATE(C643,""ar"",""en"")"),"Lincoln Cross Air 2.0 liters")</f>
        <v>Lincoln Cross Air 2.0 liters</v>
      </c>
      <c r="G643" t="e">
        <f ca="1">VLOOKUP(F:F,matching_transelated_with_ref!A:C,2,0)</f>
        <v>#N/A</v>
      </c>
      <c r="H643" t="str">
        <f>VLOOKUP(C:C,Sheet4!A:C,2,0)</f>
        <v>اير</v>
      </c>
    </row>
    <row r="644" spans="1:8" ht="14.4">
      <c r="A644" s="18" t="s">
        <v>73</v>
      </c>
      <c r="B644" s="18" t="s">
        <v>938</v>
      </c>
      <c r="C644" s="18" t="s">
        <v>941</v>
      </c>
      <c r="D644" s="19" t="str">
        <f ca="1">IFERROR(__xludf.DUMMYFUNCTION("GOOGLETRANSLATE(A644, ""ar"", ""en"")"),"Ford")</f>
        <v>Ford</v>
      </c>
      <c r="E644" s="19" t="str">
        <f ca="1">IFERROR(__xludf.DUMMYFUNCTION("GOOGLETRANSLATE(B644,""ar"",""en"")"),"To be")</f>
        <v>To be</v>
      </c>
      <c r="F644" s="19" t="str">
        <f ca="1">IFERROR(__xludf.DUMMYFUNCTION("GOOGLETRANSLATE(C644,""ar"",""en"")"),"Nutelos 2 liters")</f>
        <v>Nutelos 2 liters</v>
      </c>
      <c r="G644">
        <f ca="1">VLOOKUP(F:F,matching_transelated_with_ref!A:C,2,0)</f>
        <v>2</v>
      </c>
      <c r="H644" t="str">
        <f>VLOOKUP(C:C,Sheet4!A:C,2,0)</f>
        <v>نوتيلوس</v>
      </c>
    </row>
    <row r="645" spans="1:8" ht="14.4">
      <c r="A645" s="18" t="s">
        <v>73</v>
      </c>
      <c r="B645" s="18" t="s">
        <v>73</v>
      </c>
      <c r="C645" s="18" t="s">
        <v>937</v>
      </c>
      <c r="D645" s="19" t="str">
        <f ca="1">IFERROR(__xludf.DUMMYFUNCTION("GOOGLETRANSLATE(A645, ""ar"", ""en"")"),"Ford")</f>
        <v>Ford</v>
      </c>
      <c r="E645" s="19" t="str">
        <f ca="1">IFERROR(__xludf.DUMMYFUNCTION("GOOGLETRANSLATE(B645,""ar"",""en"")"),"Ford")</f>
        <v>Ford</v>
      </c>
      <c r="F645" s="19" t="str">
        <f ca="1">IFERROR(__xludf.DUMMYFUNCTION("GOOGLETRANSLATE(C645,""ar"",""en"")"),"Lincoln Corser")</f>
        <v>Lincoln Corser</v>
      </c>
      <c r="G645" t="e">
        <f ca="1">VLOOKUP(F:F,matching_transelated_with_ref!A:C,2,0)</f>
        <v>#N/A</v>
      </c>
      <c r="H645" t="str">
        <f>VLOOKUP(C:C,Sheet4!A:C,2,0)</f>
        <v>كورسير</v>
      </c>
    </row>
    <row r="646" spans="1:8" ht="14.4">
      <c r="A646" s="18" t="s">
        <v>73</v>
      </c>
      <c r="B646" s="18" t="s">
        <v>73</v>
      </c>
      <c r="C646" s="18" t="s">
        <v>661</v>
      </c>
      <c r="D646" s="19" t="str">
        <f ca="1">IFERROR(__xludf.DUMMYFUNCTION("GOOGLETRANSLATE(A646, ""ar"", ""en"")"),"Ford")</f>
        <v>Ford</v>
      </c>
      <c r="E646" s="19" t="str">
        <f ca="1">IFERROR(__xludf.DUMMYFUNCTION("GOOGLETRANSLATE(B646,""ar"",""en"")"),"Ford")</f>
        <v>Ford</v>
      </c>
      <c r="F646" s="19" t="str">
        <f ca="1">IFERROR(__xludf.DUMMYFUNCTION("GOOGLETRANSLATE(C646,""ar"",""en"")"),"Expound IL XL")</f>
        <v>Expound IL XL</v>
      </c>
      <c r="G646" t="e">
        <f ca="1">VLOOKUP(F:F,matching_transelated_with_ref!A:C,2,0)</f>
        <v>#N/A</v>
      </c>
      <c r="H646" t="str">
        <f>VLOOKUP(C:C,Sheet4!A:C,2,0)</f>
        <v>اكسبدشن</v>
      </c>
    </row>
    <row r="647" spans="1:8" ht="14.4">
      <c r="A647" s="18" t="s">
        <v>73</v>
      </c>
      <c r="B647" s="18" t="s">
        <v>73</v>
      </c>
      <c r="C647" s="18" t="s">
        <v>1138</v>
      </c>
      <c r="D647" s="19" t="str">
        <f ca="1">IFERROR(__xludf.DUMMYFUNCTION("GOOGLETRANSLATE(A647, ""ar"", ""en"")"),"Ford")</f>
        <v>Ford</v>
      </c>
      <c r="E647" s="19" t="str">
        <f ca="1">IFERROR(__xludf.DUMMYFUNCTION("GOOGLETRANSLATE(B647,""ar"",""en"")"),"Ford")</f>
        <v>Ford</v>
      </c>
      <c r="F647" s="19" t="str">
        <f ca="1">IFERROR(__xludf.DUMMYFUNCTION("GOOGLETRANSLATE(C647,""ar"",""en"")"),"Excing 3.5 liters 4 x 4")</f>
        <v>Excing 3.5 liters 4 x 4</v>
      </c>
      <c r="G647" t="e">
        <f ca="1">VLOOKUP(F:F,matching_transelated_with_ref!A:C,2,0)</f>
        <v>#N/A</v>
      </c>
      <c r="H647">
        <f>VLOOKUP(C:C,Sheet4!A:C,2,0)</f>
        <v>3</v>
      </c>
    </row>
    <row r="648" spans="1:8" ht="14.4">
      <c r="A648" s="18" t="s">
        <v>73</v>
      </c>
      <c r="B648" s="18" t="s">
        <v>73</v>
      </c>
      <c r="C648" s="18" t="s">
        <v>1132</v>
      </c>
      <c r="D648" s="19" t="str">
        <f ca="1">IFERROR(__xludf.DUMMYFUNCTION("GOOGLETRANSLATE(A648, ""ar"", ""en"")"),"Ford")</f>
        <v>Ford</v>
      </c>
      <c r="E648" s="19" t="str">
        <f ca="1">IFERROR(__xludf.DUMMYFUNCTION("GOOGLETRANSLATE(B648,""ar"",""en"")"),"Ford")</f>
        <v>Ford</v>
      </c>
      <c r="F648" s="19" t="str">
        <f ca="1">IFERROR(__xludf.DUMMYFUNCTION("GOOGLETRANSLATE(C648,""ar"",""en"")"),"Expedition 3.5 liters 4 x 4")</f>
        <v>Expedition 3.5 liters 4 x 4</v>
      </c>
      <c r="G648" t="e">
        <f ca="1">VLOOKUP(F:F,matching_transelated_with_ref!A:C,2,0)</f>
        <v>#N/A</v>
      </c>
      <c r="H648">
        <f>VLOOKUP(C:C,Sheet4!A:C,2,0)</f>
        <v>3</v>
      </c>
    </row>
    <row r="649" spans="1:8" ht="14.4">
      <c r="A649" s="18" t="s">
        <v>73</v>
      </c>
      <c r="B649" s="18" t="s">
        <v>73</v>
      </c>
      <c r="C649" s="18" t="s">
        <v>1131</v>
      </c>
      <c r="D649" s="19" t="str">
        <f ca="1">IFERROR(__xludf.DUMMYFUNCTION("GOOGLETRANSLATE(A649, ""ar"", ""en"")"),"Ford")</f>
        <v>Ford</v>
      </c>
      <c r="E649" s="19" t="str">
        <f ca="1">IFERROR(__xludf.DUMMYFUNCTION("GOOGLETRANSLATE(B649,""ar"",""en"")"),"Ford")</f>
        <v>Ford</v>
      </c>
      <c r="F649" s="19" t="str">
        <f ca="1">IFERROR(__xludf.DUMMYFUNCTION("GOOGLETRANSLATE(C649,""ar"",""en"")"),"Expldation 3.5 liters 4 x 2")</f>
        <v>Expldation 3.5 liters 4 x 2</v>
      </c>
      <c r="G649" t="e">
        <f ca="1">VLOOKUP(F:F,matching_transelated_with_ref!A:C,2,0)</f>
        <v>#N/A</v>
      </c>
      <c r="H649">
        <f>VLOOKUP(C:C,Sheet4!A:C,2,0)</f>
        <v>3</v>
      </c>
    </row>
    <row r="650" spans="1:8" ht="14.4">
      <c r="A650" s="18" t="s">
        <v>73</v>
      </c>
      <c r="B650" s="18" t="s">
        <v>73</v>
      </c>
      <c r="C650" s="18" t="s">
        <v>1142</v>
      </c>
      <c r="D650" s="19" t="str">
        <f ca="1">IFERROR(__xludf.DUMMYFUNCTION("GOOGLETRANSLATE(A650, ""ar"", ""en"")"),"Ford")</f>
        <v>Ford</v>
      </c>
      <c r="E650" s="19" t="str">
        <f ca="1">IFERROR(__xludf.DUMMYFUNCTION("GOOGLETRANSLATE(B650,""ar"",""en"")"),"Ford")</f>
        <v>Ford</v>
      </c>
      <c r="F650" s="19" t="str">
        <f ca="1">IFERROR(__xludf.DUMMYFUNCTION("GOOGLETRANSLATE(C650,""ar"",""en"")"),"Bronco Big Bend 4 x 4 2 Ba")</f>
        <v>Bronco Big Bend 4 x 4 2 Ba</v>
      </c>
      <c r="G650" t="e">
        <f ca="1">VLOOKUP(F:F,matching_transelated_with_ref!A:C,2,0)</f>
        <v>#N/A</v>
      </c>
      <c r="H650" t="e">
        <f>VLOOKUP(C:C,Sheet4!A:C,2,0)</f>
        <v>#N/A</v>
      </c>
    </row>
    <row r="651" spans="1:8" ht="14.4">
      <c r="A651" s="18" t="s">
        <v>73</v>
      </c>
      <c r="B651" s="18" t="s">
        <v>73</v>
      </c>
      <c r="C651" s="18" t="s">
        <v>1130</v>
      </c>
      <c r="D651" s="19" t="str">
        <f ca="1">IFERROR(__xludf.DUMMYFUNCTION("GOOGLETRANSLATE(A651, ""ar"", ""en"")"),"Ford")</f>
        <v>Ford</v>
      </c>
      <c r="E651" s="19" t="str">
        <f ca="1">IFERROR(__xludf.DUMMYFUNCTION("GOOGLETRANSLATE(B651,""ar"",""en"")"),"Ford")</f>
        <v>Ford</v>
      </c>
      <c r="F651" s="19" t="str">
        <f ca="1">IFERROR(__xludf.DUMMYFUNCTION("GOOGLETRANSLATE(C651,""ar"",""en"")"),"Expldhen 3.5 liters 4 x 2")</f>
        <v>Expldhen 3.5 liters 4 x 2</v>
      </c>
      <c r="G651" t="e">
        <f ca="1">VLOOKUP(F:F,matching_transelated_with_ref!A:C,2,0)</f>
        <v>#N/A</v>
      </c>
      <c r="H651" t="str">
        <f>VLOOKUP(C:C,Sheet4!A:C,2,0)</f>
        <v>اكسبدشن</v>
      </c>
    </row>
    <row r="652" spans="1:8" ht="14.4">
      <c r="A652" s="18" t="s">
        <v>73</v>
      </c>
      <c r="B652" s="18" t="s">
        <v>73</v>
      </c>
      <c r="C652" s="18" t="s">
        <v>1139</v>
      </c>
      <c r="D652" s="19" t="str">
        <f ca="1">IFERROR(__xludf.DUMMYFUNCTION("GOOGLETRANSLATE(A652, ""ar"", ""en"")"),"Ford")</f>
        <v>Ford</v>
      </c>
      <c r="E652" s="19" t="str">
        <f ca="1">IFERROR(__xludf.DUMMYFUNCTION("GOOGLETRANSLATE(B652,""ar"",""en"")"),"Ford")</f>
        <v>Ford</v>
      </c>
      <c r="F652" s="19" t="str">
        <f ca="1">IFERROR(__xludf.DUMMYFUNCTION("GOOGLETRANSLATE(C652,""ar"",""en"")"),"Bronco 2.7 liters")</f>
        <v>Bronco 2.7 liters</v>
      </c>
      <c r="G652" t="e">
        <f ca="1">VLOOKUP(F:F,matching_transelated_with_ref!A:C,2,0)</f>
        <v>#N/A</v>
      </c>
      <c r="H652" t="e">
        <f>VLOOKUP(C:C,Sheet4!A:C,2,0)</f>
        <v>#N/A</v>
      </c>
    </row>
    <row r="653" spans="1:8" ht="14.4">
      <c r="A653" s="18" t="s">
        <v>73</v>
      </c>
      <c r="B653" s="18" t="s">
        <v>344</v>
      </c>
      <c r="C653" s="18" t="s">
        <v>345</v>
      </c>
      <c r="D653" s="19" t="str">
        <f ca="1">IFERROR(__xludf.DUMMYFUNCTION("GOOGLETRANSLATE(A653, ""ar"", ""en"")"),"Ford")</f>
        <v>Ford</v>
      </c>
      <c r="E653" s="19" t="str">
        <f ca="1">IFERROR(__xludf.DUMMYFUNCTION("GOOGLETRANSLATE(B653,""ar"",""en"")"),"Explorer")</f>
        <v>Explorer</v>
      </c>
      <c r="F653" s="19" t="str">
        <f ca="1">IFERROR(__xludf.DUMMYFUNCTION("GOOGLETRANSLATE(C653,""ar"",""en"")"),"KEDXLT")</f>
        <v>KEDXLT</v>
      </c>
      <c r="G653" t="e">
        <f ca="1">VLOOKUP(F:F,matching_transelated_with_ref!A:C,2,0)</f>
        <v>#N/A</v>
      </c>
      <c r="H653" t="e">
        <f>VLOOKUP(C:C,Sheet4!A:C,2,0)</f>
        <v>#N/A</v>
      </c>
    </row>
    <row r="654" spans="1:8" ht="14.4">
      <c r="A654" s="18" t="s">
        <v>73</v>
      </c>
      <c r="B654" s="18" t="s">
        <v>938</v>
      </c>
      <c r="C654" s="18" t="s">
        <v>1151</v>
      </c>
      <c r="D654" s="19" t="str">
        <f ca="1">IFERROR(__xludf.DUMMYFUNCTION("GOOGLETRANSLATE(A654, ""ar"", ""en"")"),"Ford")</f>
        <v>Ford</v>
      </c>
      <c r="E654" s="19" t="str">
        <f ca="1">IFERROR(__xludf.DUMMYFUNCTION("GOOGLETRANSLATE(B654,""ar"",""en"")"),"To be")</f>
        <v>To be</v>
      </c>
      <c r="F654" s="19" t="str">
        <f ca="1">IFERROR(__xludf.DUMMYFUNCTION("GOOGLETRANSLATE(C654,""ar"",""en"")"),"Nutelos")</f>
        <v>Nutelos</v>
      </c>
      <c r="G654" t="e">
        <f ca="1">VLOOKUP(F:F,matching_transelated_with_ref!A:C,2,0)</f>
        <v>#N/A</v>
      </c>
      <c r="H654" t="str">
        <f>VLOOKUP(C:C,Sheet4!A:C,2,0)</f>
        <v>نوتيلوس</v>
      </c>
    </row>
    <row r="655" spans="1:8" ht="14.4">
      <c r="A655" s="18" t="s">
        <v>73</v>
      </c>
      <c r="B655" s="18" t="s">
        <v>73</v>
      </c>
      <c r="C655" s="18" t="s">
        <v>930</v>
      </c>
      <c r="D655" s="19" t="str">
        <f ca="1">IFERROR(__xludf.DUMMYFUNCTION("GOOGLETRANSLATE(A655, ""ar"", ""en"")"),"Ford")</f>
        <v>Ford</v>
      </c>
      <c r="E655" s="19" t="str">
        <f ca="1">IFERROR(__xludf.DUMMYFUNCTION("GOOGLETRANSLATE(B655,""ar"",""en"")"),"Ford")</f>
        <v>Ford</v>
      </c>
      <c r="F655" s="19" t="str">
        <f ca="1">IFERROR(__xludf.DUMMYFUNCTION("GOOGLETRANSLATE(C655,""ar"",""en"")"),"Explorer XLT 14")</f>
        <v>Explorer XLT 14</v>
      </c>
      <c r="G655" t="e">
        <f ca="1">VLOOKUP(F:F,matching_transelated_with_ref!A:C,2,0)</f>
        <v>#N/A</v>
      </c>
      <c r="H655" t="str">
        <f>VLOOKUP(C:C,Sheet4!A:C,2,0)</f>
        <v>اكسبلورر</v>
      </c>
    </row>
    <row r="656" spans="1:8" ht="14.4">
      <c r="A656" s="18" t="s">
        <v>73</v>
      </c>
      <c r="B656" s="18" t="s">
        <v>336</v>
      </c>
      <c r="C656" s="18" t="s">
        <v>337</v>
      </c>
      <c r="D656" s="19" t="str">
        <f ca="1">IFERROR(__xludf.DUMMYFUNCTION("GOOGLETRANSLATE(A656, ""ar"", ""en"")"),"Ford")</f>
        <v>Ford</v>
      </c>
      <c r="E656" s="19" t="str">
        <f ca="1">IFERROR(__xludf.DUMMYFUNCTION("GOOGLETRANSLATE(B656,""ar"",""en"")"),"Edge K4G")</f>
        <v>Edge K4G</v>
      </c>
      <c r="F656" s="19" t="str">
        <f ca="1">IFERROR(__xludf.DUMMYFUNCTION("GOOGLETRANSLATE(C656,""ar"",""en"")"),"SAL")</f>
        <v>SAL</v>
      </c>
      <c r="G656" t="e">
        <f ca="1">VLOOKUP(F:F,matching_transelated_with_ref!A:C,2,0)</f>
        <v>#N/A</v>
      </c>
      <c r="H656" t="str">
        <f>VLOOKUP(C:C,Sheet4!A:C,2,0)</f>
        <v>اير</v>
      </c>
    </row>
    <row r="657" spans="1:8" ht="14.4">
      <c r="A657" s="18" t="s">
        <v>73</v>
      </c>
      <c r="B657" s="18" t="s">
        <v>73</v>
      </c>
      <c r="C657" s="18" t="s">
        <v>1134</v>
      </c>
      <c r="D657" s="19" t="str">
        <f ca="1">IFERROR(__xludf.DUMMYFUNCTION("GOOGLETRANSLATE(A657, ""ar"", ""en"")"),"Ford")</f>
        <v>Ford</v>
      </c>
      <c r="E657" s="19" t="str">
        <f ca="1">IFERROR(__xludf.DUMMYFUNCTION("GOOGLETRANSLATE(B657,""ar"",""en"")"),"Ford")</f>
        <v>Ford</v>
      </c>
      <c r="F657" s="19" t="str">
        <f ca="1">IFERROR(__xludf.DUMMYFUNCTION("GOOGLETRANSLATE(C657,""ar"",""en"")"),"Explore ST Quad")</f>
        <v>Explore ST Quad</v>
      </c>
      <c r="G657" t="e">
        <f ca="1">VLOOKUP(F:F,matching_transelated_with_ref!A:C,2,0)</f>
        <v>#N/A</v>
      </c>
      <c r="H657" t="str">
        <f>VLOOKUP(C:C,Sheet4!A:C,2,0)</f>
        <v>اكسبلورر</v>
      </c>
    </row>
    <row r="658" spans="1:8" ht="14.4">
      <c r="A658" s="18" t="s">
        <v>73</v>
      </c>
      <c r="B658" s="18" t="s">
        <v>73</v>
      </c>
      <c r="C658" s="18" t="s">
        <v>1145</v>
      </c>
      <c r="D658" s="19" t="str">
        <f ca="1">IFERROR(__xludf.DUMMYFUNCTION("GOOGLETRANSLATE(A658, ""ar"", ""en"")"),"Ford")</f>
        <v>Ford</v>
      </c>
      <c r="E658" s="19" t="str">
        <f ca="1">IFERROR(__xludf.DUMMYFUNCTION("GOOGLETRANSLATE(B658,""ar"",""en"")"),"Ford")</f>
        <v>Ford</v>
      </c>
      <c r="F658" s="19" t="str">
        <f ca="1">IFERROR(__xludf.DUMMYFUNCTION("GOOGLETRANSLATE(C658,""ar"",""en"")"),"Lincoln Crossir Stander")</f>
        <v>Lincoln Crossir Stander</v>
      </c>
      <c r="G658" t="e">
        <f ca="1">VLOOKUP(F:F,matching_transelated_with_ref!A:C,2,0)</f>
        <v>#N/A</v>
      </c>
      <c r="H658" t="str">
        <f>VLOOKUP(C:C,Sheet4!A:C,2,0)</f>
        <v>كورسير</v>
      </c>
    </row>
    <row r="659" spans="1:8" ht="14.4">
      <c r="A659" s="18" t="s">
        <v>73</v>
      </c>
      <c r="B659" s="18" t="s">
        <v>938</v>
      </c>
      <c r="C659" s="18" t="s">
        <v>1148</v>
      </c>
      <c r="D659" s="19" t="str">
        <f ca="1">IFERROR(__xludf.DUMMYFUNCTION("GOOGLETRANSLATE(A659, ""ar"", ""en"")"),"Ford")</f>
        <v>Ford</v>
      </c>
      <c r="E659" s="19" t="str">
        <f ca="1">IFERROR(__xludf.DUMMYFUNCTION("GOOGLETRANSLATE(B659,""ar"",""en"")"),"To be")</f>
        <v>To be</v>
      </c>
      <c r="F659" s="19" t="str">
        <f ca="1">IFERROR(__xludf.DUMMYFUNCTION("GOOGLETRANSLATE(C659,""ar"",""en"")"),"Crossor Stander")</f>
        <v>Crossor Stander</v>
      </c>
      <c r="G659" t="e">
        <f ca="1">VLOOKUP(F:F,matching_transelated_with_ref!A:C,2,0)</f>
        <v>#N/A</v>
      </c>
      <c r="H659" t="str">
        <f>VLOOKUP(C:C,Sheet4!A:C,2,0)</f>
        <v>كورسير</v>
      </c>
    </row>
    <row r="660" spans="1:8" ht="14.4">
      <c r="A660" s="18" t="s">
        <v>73</v>
      </c>
      <c r="B660" s="18" t="s">
        <v>73</v>
      </c>
      <c r="C660" s="18" t="s">
        <v>1393</v>
      </c>
      <c r="D660" s="19" t="str">
        <f ca="1">IFERROR(__xludf.DUMMYFUNCTION("GOOGLETRANSLATE(A660, ""ar"", ""en"")"),"Ford")</f>
        <v>Ford</v>
      </c>
      <c r="E660" s="19" t="str">
        <f ca="1">IFERROR(__xludf.DUMMYFUNCTION("GOOGLETRANSLATE(B660,""ar"",""en"")"),"Ford")</f>
        <v>Ford</v>
      </c>
      <c r="F660" s="19" t="str">
        <f ca="1">IFERROR(__xludf.DUMMYFUNCTION("GOOGLETRANSLATE(C660,""ar"",""en"")"),"Explore XL 2.3")</f>
        <v>Explore XL 2.3</v>
      </c>
      <c r="G660" t="e">
        <f ca="1">VLOOKUP(F:F,matching_transelated_with_ref!A:C,2,0)</f>
        <v>#N/A</v>
      </c>
      <c r="H660">
        <f>VLOOKUP(C:C,Sheet4!A:C,2,0)</f>
        <v>2</v>
      </c>
    </row>
    <row r="661" spans="1:8" ht="14.4">
      <c r="A661" s="18" t="s">
        <v>73</v>
      </c>
      <c r="B661" s="18" t="s">
        <v>73</v>
      </c>
      <c r="C661" s="18" t="s">
        <v>1135</v>
      </c>
      <c r="D661" s="19" t="str">
        <f ca="1">IFERROR(__xludf.DUMMYFUNCTION("GOOGLETRANSLATE(A661, ""ar"", ""en"")"),"Ford")</f>
        <v>Ford</v>
      </c>
      <c r="E661" s="19" t="str">
        <f ca="1">IFERROR(__xludf.DUMMYFUNCTION("GOOGLETRANSLATE(B661,""ar"",""en"")"),"Ford")</f>
        <v>Ford</v>
      </c>
      <c r="F661" s="19" t="str">
        <f ca="1">IFERROR(__xludf.DUMMYFUNCTION("GOOGLETRANSLATE(C661,""ar"",""en"")"),"Explore XL T pay")</f>
        <v>Explore XL T pay</v>
      </c>
      <c r="G661" t="e">
        <f ca="1">VLOOKUP(F:F,matching_transelated_with_ref!A:C,2,0)</f>
        <v>#N/A</v>
      </c>
      <c r="H661" t="str">
        <f>VLOOKUP(C:C,Sheet4!A:C,2,0)</f>
        <v>اكسبلورر</v>
      </c>
    </row>
    <row r="662" spans="1:8" ht="14.4">
      <c r="A662" s="18" t="s">
        <v>73</v>
      </c>
      <c r="B662" s="18" t="s">
        <v>73</v>
      </c>
      <c r="C662" s="18" t="s">
        <v>666</v>
      </c>
      <c r="D662" s="19" t="str">
        <f ca="1">IFERROR(__xludf.DUMMYFUNCTION("GOOGLETRANSLATE(A662, ""ar"", ""en"")"),"Ford")</f>
        <v>Ford</v>
      </c>
      <c r="E662" s="19" t="str">
        <f ca="1">IFERROR(__xludf.DUMMYFUNCTION("GOOGLETRANSLATE(B662,""ar"",""en"")"),"Ford")</f>
        <v>Ford</v>
      </c>
      <c r="F662" s="19" t="str">
        <f ca="1">IFERROR(__xludf.DUMMYFUNCTION("GOOGLETRANSLATE(C662,""ar"",""en"")"),"Super Dueti F350")</f>
        <v>Super Dueti F350</v>
      </c>
      <c r="G662" t="e">
        <f ca="1">VLOOKUP(F:F,matching_transelated_with_ref!A:C,2,0)</f>
        <v>#N/A</v>
      </c>
      <c r="H662" t="e">
        <f>VLOOKUP(C:C,Sheet4!A:C,2,0)</f>
        <v>#N/A</v>
      </c>
    </row>
    <row r="663" spans="1:8" ht="14.4">
      <c r="A663" s="18" t="s">
        <v>73</v>
      </c>
      <c r="B663" s="18" t="s">
        <v>73</v>
      </c>
      <c r="C663" s="18" t="s">
        <v>659</v>
      </c>
      <c r="D663" s="19" t="str">
        <f ca="1">IFERROR(__xludf.DUMMYFUNCTION("GOOGLETRANSLATE(A663, ""ar"", ""en"")"),"Ford")</f>
        <v>Ford</v>
      </c>
      <c r="E663" s="19" t="str">
        <f ca="1">IFERROR(__xludf.DUMMYFUNCTION("GOOGLETRANSLATE(B663,""ar"",""en"")"),"Ford")</f>
        <v>Ford</v>
      </c>
      <c r="F663" s="19" t="str">
        <f ca="1">IFERROR(__xludf.DUMMYFUNCTION("GOOGLETRANSLATE(C663,""ar"",""en"")"),"F 150 4 x 2")</f>
        <v>F 150 4 x 2</v>
      </c>
      <c r="G663" t="e">
        <f ca="1">VLOOKUP(F:F,matching_transelated_with_ref!A:C,2,0)</f>
        <v>#N/A</v>
      </c>
      <c r="H663" t="e">
        <f>VLOOKUP(C:C,Sheet4!A:C,2,0)</f>
        <v>#N/A</v>
      </c>
    </row>
    <row r="664" spans="1:8" ht="14.4">
      <c r="A664" s="18" t="s">
        <v>73</v>
      </c>
      <c r="B664" s="18" t="s">
        <v>73</v>
      </c>
      <c r="C664" s="18" t="s">
        <v>1128</v>
      </c>
      <c r="D664" s="19" t="str">
        <f ca="1">IFERROR(__xludf.DUMMYFUNCTION("GOOGLETRANSLATE(A664, ""ar"", ""en"")"),"Ford")</f>
        <v>Ford</v>
      </c>
      <c r="E664" s="19" t="str">
        <f ca="1">IFERROR(__xludf.DUMMYFUNCTION("GOOGLETRANSLATE(B664,""ar"",""en"")"),"Ford")</f>
        <v>Ford</v>
      </c>
      <c r="F664" s="19" t="str">
        <f ca="1">IFERROR(__xludf.DUMMYFUNCTION("GOOGLETRANSLATE(C664,""ar"",""en"")"),"F 150 Raptor 4*4")</f>
        <v>F 150 Raptor 4*4</v>
      </c>
      <c r="G664" t="e">
        <f ca="1">VLOOKUP(F:F,matching_transelated_with_ref!A:C,2,0)</f>
        <v>#N/A</v>
      </c>
      <c r="H664" t="e">
        <f>VLOOKUP(C:C,Sheet4!A:C,2,0)</f>
        <v>#N/A</v>
      </c>
    </row>
    <row r="665" spans="1:8" ht="14.4">
      <c r="A665" s="18" t="s">
        <v>73</v>
      </c>
      <c r="B665" s="18" t="s">
        <v>73</v>
      </c>
      <c r="C665" s="18" t="s">
        <v>1136</v>
      </c>
      <c r="D665" s="19" t="str">
        <f ca="1">IFERROR(__xludf.DUMMYFUNCTION("GOOGLETRANSLATE(A665, ""ar"", ""en"")"),"Ford")</f>
        <v>Ford</v>
      </c>
      <c r="E665" s="19" t="str">
        <f ca="1">IFERROR(__xludf.DUMMYFUNCTION("GOOGLETRANSLATE(B665,""ar"",""en"")"),"Ford")</f>
        <v>Ford</v>
      </c>
      <c r="F665" s="19" t="str">
        <f ca="1">IFERROR(__xludf.DUMMYFUNCTION("GOOGLETRANSLATE(C665,""ar"",""en"")"),"Explorest Stander Pay Lord")</f>
        <v>Explorest Stander Pay Lord</v>
      </c>
      <c r="G665" t="e">
        <f ca="1">VLOOKUP(F:F,matching_transelated_with_ref!A:C,2,0)</f>
        <v>#N/A</v>
      </c>
      <c r="H665" t="str">
        <f>VLOOKUP(C:C,Sheet4!A:C,2,0)</f>
        <v>اكسبلورر</v>
      </c>
    </row>
    <row r="666" spans="1:8" ht="14.4">
      <c r="A666" s="18" t="s">
        <v>73</v>
      </c>
      <c r="B666" s="18" t="s">
        <v>73</v>
      </c>
      <c r="C666" s="18" t="s">
        <v>660</v>
      </c>
      <c r="D666" s="19" t="str">
        <f ca="1">IFERROR(__xludf.DUMMYFUNCTION("GOOGLETRANSLATE(A666, ""ar"", ""en"")"),"Ford")</f>
        <v>Ford</v>
      </c>
      <c r="E666" s="19" t="str">
        <f ca="1">IFERROR(__xludf.DUMMYFUNCTION("GOOGLETRANSLATE(B666,""ar"",""en"")"),"Ford")</f>
        <v>Ford</v>
      </c>
      <c r="F666" s="19" t="str">
        <f ca="1">IFERROR(__xludf.DUMMYFUNCTION("GOOGLETRANSLATE(C666,""ar"",""en"")"),"F 150 4 x 4")</f>
        <v>F 150 4 x 4</v>
      </c>
      <c r="G666" t="e">
        <f ca="1">VLOOKUP(F:F,matching_transelated_with_ref!A:C,2,0)</f>
        <v>#N/A</v>
      </c>
      <c r="H666" t="e">
        <f>VLOOKUP(C:C,Sheet4!A:C,2,0)</f>
        <v>#N/A</v>
      </c>
    </row>
    <row r="667" spans="1:8" ht="14.4">
      <c r="A667" s="18" t="s">
        <v>73</v>
      </c>
      <c r="B667" s="18" t="s">
        <v>8</v>
      </c>
      <c r="C667" s="18" t="s">
        <v>332</v>
      </c>
      <c r="D667" s="19" t="str">
        <f ca="1">IFERROR(__xludf.DUMMYFUNCTION("GOOGLETRANSLATE(A667, ""ar"", ""en"")"),"Ford")</f>
        <v>Ford</v>
      </c>
      <c r="E667" s="19" t="str">
        <f ca="1">IFERROR(__xludf.DUMMYFUNCTION("GOOGLETRANSLATE(B667,""ar"",""en"")"),"-")</f>
        <v>-</v>
      </c>
      <c r="F667" s="19" t="str">
        <f ca="1">IFERROR(__xludf.DUMMYFUNCTION("GOOGLETRANSLATE(C667,""ar"",""en"")"),"F 150 4 x 4 and Anet")</f>
        <v>F 150 4 x 4 and Anet</v>
      </c>
      <c r="G667" t="e">
        <f ca="1">VLOOKUP(F:F,matching_transelated_with_ref!A:C,2,0)</f>
        <v>#N/A</v>
      </c>
      <c r="H667" t="e">
        <f>VLOOKUP(C:C,Sheet4!A:C,2,0)</f>
        <v>#N/A</v>
      </c>
    </row>
    <row r="668" spans="1:8" ht="14.4">
      <c r="A668" s="18" t="s">
        <v>73</v>
      </c>
      <c r="B668" s="18" t="s">
        <v>73</v>
      </c>
      <c r="C668" s="18" t="s">
        <v>1146</v>
      </c>
      <c r="D668" s="19" t="str">
        <f ca="1">IFERROR(__xludf.DUMMYFUNCTION("GOOGLETRANSLATE(A668, ""ar"", ""en"")"),"Ford")</f>
        <v>Ford</v>
      </c>
      <c r="E668" s="19" t="str">
        <f ca="1">IFERROR(__xludf.DUMMYFUNCTION("GOOGLETRANSLATE(B668,""ar"",""en"")"),"Ford")</f>
        <v>Ford</v>
      </c>
      <c r="F668" s="19" t="str">
        <f ca="1">IFERROR(__xludf.DUMMYFUNCTION("GOOGLETRANSLATE(C668,""ar"",""en"")"),"Mustang GT5 liter")</f>
        <v>Mustang GT5 liter</v>
      </c>
      <c r="G668" t="e">
        <f ca="1">VLOOKUP(F:F,matching_transelated_with_ref!A:C,2,0)</f>
        <v>#N/A</v>
      </c>
      <c r="H668" t="e">
        <f>VLOOKUP(C:C,Sheet4!A:C,2,0)</f>
        <v>#N/A</v>
      </c>
    </row>
    <row r="669" spans="1:8" ht="14.4">
      <c r="A669" s="18" t="s">
        <v>73</v>
      </c>
      <c r="B669" s="18" t="s">
        <v>73</v>
      </c>
      <c r="C669" s="18" t="s">
        <v>1133</v>
      </c>
      <c r="D669" s="19" t="str">
        <f ca="1">IFERROR(__xludf.DUMMYFUNCTION("GOOGLETRANSLATE(A669, ""ar"", ""en"")"),"Ford")</f>
        <v>Ford</v>
      </c>
      <c r="E669" s="19" t="str">
        <f ca="1">IFERROR(__xludf.DUMMYFUNCTION("GOOGLETRANSLATE(B669,""ar"",""en"")"),"Ford")</f>
        <v>Ford</v>
      </c>
      <c r="F669" s="19" t="str">
        <f ca="1">IFERROR(__xludf.DUMMYFUNCTION("GOOGLETRANSLATE(C669,""ar"",""en"")"),"Explore")</f>
        <v>Explore</v>
      </c>
      <c r="G669" t="e">
        <f ca="1">VLOOKUP(F:F,matching_transelated_with_ref!A:C,2,0)</f>
        <v>#N/A</v>
      </c>
      <c r="H669" t="str">
        <f>VLOOKUP(C:C,Sheet4!A:C,2,0)</f>
        <v>اكسبلورر</v>
      </c>
    </row>
    <row r="670" spans="1:8" ht="14.4">
      <c r="A670" s="18" t="s">
        <v>73</v>
      </c>
      <c r="B670" s="18" t="s">
        <v>73</v>
      </c>
      <c r="C670" s="18" t="s">
        <v>662</v>
      </c>
      <c r="D670" s="19" t="str">
        <f ca="1">IFERROR(__xludf.DUMMYFUNCTION("GOOGLETRANSLATE(A670, ""ar"", ""en"")"),"Ford")</f>
        <v>Ford</v>
      </c>
      <c r="E670" s="19" t="str">
        <f ca="1">IFERROR(__xludf.DUMMYFUNCTION("GOOGLETRANSLATE(B670,""ar"",""en"")"),"Ford")</f>
        <v>Ford</v>
      </c>
      <c r="F670" s="19" t="str">
        <f ca="1">IFERROR(__xludf.DUMMYFUNCTION("GOOGLETRANSLATE(C670,""ar"",""en"")"),"Edge 2 liters")</f>
        <v>Edge 2 liters</v>
      </c>
      <c r="G670">
        <f ca="1">VLOOKUP(F:F,matching_transelated_with_ref!A:C,2,0)</f>
        <v>2</v>
      </c>
      <c r="H670" t="str">
        <f>VLOOKUP(C:C,Sheet4!A:C,2,0)</f>
        <v>ايدج</v>
      </c>
    </row>
    <row r="671" spans="1:8" ht="14.4">
      <c r="A671" s="18" t="s">
        <v>73</v>
      </c>
      <c r="B671" s="18" t="s">
        <v>74</v>
      </c>
      <c r="C671" s="18" t="s">
        <v>348</v>
      </c>
      <c r="D671" s="19" t="str">
        <f ca="1">IFERROR(__xludf.DUMMYFUNCTION("GOOGLETRANSLATE(A671, ""ar"", ""en"")"),"Ford")</f>
        <v>Ford</v>
      </c>
      <c r="E671" s="19" t="str">
        <f ca="1">IFERROR(__xludf.DUMMYFUNCTION("GOOGLETRANSLATE(B671,""ar"",""en"")"),"Toros")</f>
        <v>Toros</v>
      </c>
      <c r="F671" s="19" t="str">
        <f ca="1">IFERROR(__xludf.DUMMYFUNCTION("GOOGLETRANSLATE(C671,""ar"",""en"")"),"LTDFW D.")</f>
        <v>LTDFW D.</v>
      </c>
      <c r="G671" t="e">
        <f ca="1">VLOOKUP(F:F,matching_transelated_with_ref!A:C,2,0)</f>
        <v>#N/A</v>
      </c>
      <c r="H671" t="e">
        <f>VLOOKUP(C:C,Sheet4!A:C,2,0)</f>
        <v>#N/A</v>
      </c>
    </row>
    <row r="672" spans="1:8" ht="14.4">
      <c r="A672" s="18" t="s">
        <v>73</v>
      </c>
      <c r="B672" s="18" t="s">
        <v>8</v>
      </c>
      <c r="C672" s="18" t="s">
        <v>648</v>
      </c>
      <c r="D672" s="19" t="str">
        <f ca="1">IFERROR(__xludf.DUMMYFUNCTION("GOOGLETRANSLATE(A672, ""ar"", ""en"")"),"Ford")</f>
        <v>Ford</v>
      </c>
      <c r="E672" s="19" t="str">
        <f ca="1">IFERROR(__xludf.DUMMYFUNCTION("GOOGLETRANSLATE(B672,""ar"",""en"")"),"-")</f>
        <v>-</v>
      </c>
      <c r="F672" s="19" t="str">
        <f ca="1">IFERROR(__xludf.DUMMYFUNCTION("GOOGLETRANSLATE(C672,""ar"",""en"")"),"Transit 150")</f>
        <v>Transit 150</v>
      </c>
      <c r="G672" t="e">
        <f ca="1">VLOOKUP(F:F,matching_transelated_with_ref!A:C,2,0)</f>
        <v>#N/A</v>
      </c>
      <c r="H672" t="e">
        <f>VLOOKUP(C:C,Sheet4!A:C,2,0)</f>
        <v>#N/A</v>
      </c>
    </row>
    <row r="673" spans="1:8" ht="14.4">
      <c r="A673" s="18" t="s">
        <v>73</v>
      </c>
      <c r="B673" s="18" t="s">
        <v>73</v>
      </c>
      <c r="C673" s="18" t="s">
        <v>935</v>
      </c>
      <c r="D673" s="19" t="str">
        <f ca="1">IFERROR(__xludf.DUMMYFUNCTION("GOOGLETRANSLATE(A673, ""ar"", ""en"")"),"Ford")</f>
        <v>Ford</v>
      </c>
      <c r="E673" s="19" t="str">
        <f ca="1">IFERROR(__xludf.DUMMYFUNCTION("GOOGLETRANSLATE(B673,""ar"",""en"")"),"Ford")</f>
        <v>Ford</v>
      </c>
      <c r="F673" s="19" t="str">
        <f ca="1">IFERROR(__xludf.DUMMYFUNCTION("GOOGLETRANSLATE(C673,""ar"",""en"")"),"Titanium Torus Pay either")</f>
        <v>Titanium Torus Pay either</v>
      </c>
      <c r="G673" t="e">
        <f ca="1">VLOOKUP(F:F,matching_transelated_with_ref!A:C,2,0)</f>
        <v>#N/A</v>
      </c>
      <c r="H673" t="str">
        <f>VLOOKUP(C:C,Sheet4!A:C,2,0)</f>
        <v>تورس</v>
      </c>
    </row>
    <row r="674" spans="1:8" ht="14.4">
      <c r="A674" s="18" t="s">
        <v>73</v>
      </c>
      <c r="B674" s="18" t="s">
        <v>73</v>
      </c>
      <c r="C674" s="18" t="s">
        <v>352</v>
      </c>
      <c r="D674" s="19" t="str">
        <f ca="1">IFERROR(__xludf.DUMMYFUNCTION("GOOGLETRANSLATE(A674, ""ar"", ""en"")"),"Ford")</f>
        <v>Ford</v>
      </c>
      <c r="E674" s="19" t="str">
        <f ca="1">IFERROR(__xludf.DUMMYFUNCTION("GOOGLETRANSLATE(B674,""ar"",""en"")"),"Ford")</f>
        <v>Ford</v>
      </c>
      <c r="F674" s="19" t="str">
        <f ca="1">IFERROR(__xludf.DUMMYFUNCTION("GOOGLETRANSLATE(C674,""ar"",""en"")"),"Explorer XLT")</f>
        <v>Explorer XLT</v>
      </c>
      <c r="G674" t="e">
        <f ca="1">VLOOKUP(F:F,matching_transelated_with_ref!A:C,2,0)</f>
        <v>#N/A</v>
      </c>
      <c r="H674" t="str">
        <f>VLOOKUP(C:C,Sheet4!A:C,2,0)</f>
        <v>اكسبلورر</v>
      </c>
    </row>
    <row r="675" spans="1:8" ht="14.4">
      <c r="A675" s="18" t="s">
        <v>73</v>
      </c>
      <c r="B675" s="18" t="s">
        <v>73</v>
      </c>
      <c r="C675" s="18" t="s">
        <v>932</v>
      </c>
      <c r="D675" s="19" t="str">
        <f ca="1">IFERROR(__xludf.DUMMYFUNCTION("GOOGLETRANSLATE(A675, ""ar"", ""en"")"),"Ford")</f>
        <v>Ford</v>
      </c>
      <c r="E675" s="19" t="str">
        <f ca="1">IFERROR(__xludf.DUMMYFUNCTION("GOOGLETRANSLATE(B675,""ar"",""en"")"),"Ford")</f>
        <v>Ford</v>
      </c>
      <c r="F675" s="19" t="str">
        <f ca="1">IFERROR(__xludf.DUMMYFUNCTION("GOOGLETRANSLATE(C675,""ar"",""en"")"),"Edge")</f>
        <v>Edge</v>
      </c>
      <c r="G675" t="e">
        <f ca="1">VLOOKUP(F:F,matching_transelated_with_ref!A:C,2,0)</f>
        <v>#N/A</v>
      </c>
      <c r="H675" t="str">
        <f>VLOOKUP(C:C,Sheet4!A:C,2,0)</f>
        <v>ايدج</v>
      </c>
    </row>
    <row r="676" spans="1:8" ht="14.4">
      <c r="A676" s="18" t="s">
        <v>73</v>
      </c>
      <c r="B676" s="18" t="s">
        <v>74</v>
      </c>
      <c r="C676" s="18" t="s">
        <v>349</v>
      </c>
      <c r="D676" s="19" t="str">
        <f ca="1">IFERROR(__xludf.DUMMYFUNCTION("GOOGLETRANSLATE(A676, ""ar"", ""en"")"),"Ford")</f>
        <v>Ford</v>
      </c>
      <c r="E676" s="19" t="str">
        <f ca="1">IFERROR(__xludf.DUMMYFUNCTION("GOOGLETRANSLATE(B676,""ar"",""en"")"),"Toros")</f>
        <v>Toros</v>
      </c>
      <c r="F676" s="19" t="str">
        <f ca="1">IFERROR(__xludf.DUMMYFUNCTION("GOOGLETRANSLATE(C676,""ar"",""en"")"),"B2F")</f>
        <v>B2F</v>
      </c>
      <c r="G676" t="e">
        <f ca="1">VLOOKUP(F:F,matching_transelated_with_ref!A:C,2,0)</f>
        <v>#N/A</v>
      </c>
      <c r="H676" t="e">
        <f>VLOOKUP(C:C,Sheet4!A:C,2,0)</f>
        <v>#N/A</v>
      </c>
    </row>
    <row r="677" spans="1:8" ht="14.4">
      <c r="A677" s="18" t="s">
        <v>73</v>
      </c>
      <c r="B677" s="18" t="s">
        <v>73</v>
      </c>
      <c r="C677" s="18" t="s">
        <v>934</v>
      </c>
      <c r="D677" s="19" t="str">
        <f ca="1">IFERROR(__xludf.DUMMYFUNCTION("GOOGLETRANSLATE(A677, ""ar"", ""en"")"),"Ford")</f>
        <v>Ford</v>
      </c>
      <c r="E677" s="19" t="str">
        <f ca="1">IFERROR(__xludf.DUMMYFUNCTION("GOOGLETRANSLATE(B677,""ar"",""en"")"),"Ford")</f>
        <v>Ford</v>
      </c>
      <c r="F677" s="19" t="str">
        <f ca="1">IFERROR(__xludf.DUMMYFUNCTION("GOOGLETRANSLATE(C677,""ar"",""en"")"),"Torres Trend Front Payment")</f>
        <v>Torres Trend Front Payment</v>
      </c>
      <c r="G677" t="e">
        <f ca="1">VLOOKUP(F:F,matching_transelated_with_ref!A:C,2,0)</f>
        <v>#N/A</v>
      </c>
      <c r="H677" t="str">
        <f>VLOOKUP(C:C,Sheet4!A:C,2,0)</f>
        <v>تورس</v>
      </c>
    </row>
    <row r="678" spans="1:8" ht="14.4">
      <c r="A678" s="18" t="s">
        <v>73</v>
      </c>
      <c r="B678" s="18" t="s">
        <v>73</v>
      </c>
      <c r="C678" s="18" t="s">
        <v>927</v>
      </c>
      <c r="D678" s="19" t="str">
        <f ca="1">IFERROR(__xludf.DUMMYFUNCTION("GOOGLETRANSLATE(A678, ""ar"", ""en"")"),"Ford")</f>
        <v>Ford</v>
      </c>
      <c r="E678" s="19" t="str">
        <f ca="1">IFERROR(__xludf.DUMMYFUNCTION("GOOGLETRANSLATE(B678,""ar"",""en"")"),"Ford")</f>
        <v>Ford</v>
      </c>
      <c r="F678" s="19" t="str">
        <f ca="1">IFERROR(__xludf.DUMMYFUNCTION("GOOGLETRANSLATE(C678,""ar"",""en"")"),"Edge I any front payment")</f>
        <v>Edge I any front payment</v>
      </c>
      <c r="G678" t="e">
        <f ca="1">VLOOKUP(F:F,matching_transelated_with_ref!A:C,2,0)</f>
        <v>#N/A</v>
      </c>
      <c r="H678" t="str">
        <f>VLOOKUP(C:C,Sheet4!A:C,2,0)</f>
        <v>ايدج</v>
      </c>
    </row>
    <row r="679" spans="1:8" ht="14.4">
      <c r="A679" s="18" t="s">
        <v>73</v>
      </c>
      <c r="B679" s="18" t="s">
        <v>655</v>
      </c>
      <c r="C679" s="18" t="s">
        <v>656</v>
      </c>
      <c r="D679" s="19" t="str">
        <f ca="1">IFERROR(__xludf.DUMMYFUNCTION("GOOGLETRANSLATE(A679, ""ar"", ""en"")"),"Ford")</f>
        <v>Ford</v>
      </c>
      <c r="E679" s="19" t="str">
        <f ca="1">IFERROR(__xludf.DUMMYFUNCTION("GOOGLETRANSLATE(B679,""ar"",""en"")"),"Super Dueti")</f>
        <v>Super Dueti</v>
      </c>
      <c r="F679" s="19" t="str">
        <f ca="1">IFERROR(__xludf.DUMMYFUNCTION("GOOGLETRANSLATE(C679,""ar"",""en"")"),"F 250 4 x 2 gasoline")</f>
        <v>F 250 4 x 2 gasoline</v>
      </c>
      <c r="G679" t="e">
        <f ca="1">VLOOKUP(F:F,matching_transelated_with_ref!A:C,2,0)</f>
        <v>#N/A</v>
      </c>
      <c r="H679" t="e">
        <f>VLOOKUP(C:C,Sheet4!A:C,2,0)</f>
        <v>#N/A</v>
      </c>
    </row>
    <row r="680" spans="1:8" ht="14.4">
      <c r="A680" s="18" t="s">
        <v>73</v>
      </c>
      <c r="B680" s="18" t="s">
        <v>74</v>
      </c>
      <c r="C680" s="18" t="s">
        <v>79</v>
      </c>
      <c r="D680" s="19" t="str">
        <f ca="1">IFERROR(__xludf.DUMMYFUNCTION("GOOGLETRANSLATE(A680, ""ar"", ""en"")"),"Ford")</f>
        <v>Ford</v>
      </c>
      <c r="E680" s="19" t="str">
        <f ca="1">IFERROR(__xludf.DUMMYFUNCTION("GOOGLETRANSLATE(B680,""ar"",""en"")"),"Toros")</f>
        <v>Toros</v>
      </c>
      <c r="F680" s="19" t="str">
        <f ca="1">IFERROR(__xludf.DUMMYFUNCTION("GOOGLETRANSLATE(C680,""ar"",""en"")"),"SAALFW D.")</f>
        <v>SAALFW D.</v>
      </c>
      <c r="G680" t="e">
        <f ca="1">VLOOKUP(F:F,matching_transelated_with_ref!A:C,2,0)</f>
        <v>#N/A</v>
      </c>
      <c r="H680" t="e">
        <f>VLOOKUP(C:C,Sheet4!A:C,2,0)</f>
        <v>#N/A</v>
      </c>
    </row>
    <row r="681" spans="1:8" ht="14.4">
      <c r="A681" s="18" t="s">
        <v>73</v>
      </c>
      <c r="B681" s="18" t="s">
        <v>73</v>
      </c>
      <c r="C681" s="18" t="s">
        <v>663</v>
      </c>
      <c r="D681" s="19" t="str">
        <f ca="1">IFERROR(__xludf.DUMMYFUNCTION("GOOGLETRANSLATE(A681, ""ar"", ""en"")"),"Ford")</f>
        <v>Ford</v>
      </c>
      <c r="E681" s="19" t="str">
        <f ca="1">IFERROR(__xludf.DUMMYFUNCTION("GOOGLETRANSLATE(B681,""ar"",""en"")"),"Ford")</f>
        <v>Ford</v>
      </c>
      <c r="F681" s="19" t="str">
        <f ca="1">IFERROR(__xludf.DUMMYFUNCTION("GOOGLETRANSLATE(C681,""ar"",""en"")"),"Transit")</f>
        <v>Transit</v>
      </c>
      <c r="G681" t="e">
        <f ca="1">VLOOKUP(F:F,matching_transelated_with_ref!A:C,2,0)</f>
        <v>#N/A</v>
      </c>
      <c r="H681" t="str">
        <f>VLOOKUP(C:C,Sheet4!A:C,2,0)</f>
        <v xml:space="preserve">فان بضائع وركاب - ترانزيت كاستم - 9 ركاب  </v>
      </c>
    </row>
    <row r="682" spans="1:8" ht="14.4">
      <c r="A682" s="18" t="s">
        <v>73</v>
      </c>
      <c r="B682" s="18" t="s">
        <v>74</v>
      </c>
      <c r="C682" s="18" t="s">
        <v>78</v>
      </c>
      <c r="D682" s="19" t="str">
        <f ca="1">IFERROR(__xludf.DUMMYFUNCTION("GOOGLETRANSLATE(A682, ""ar"", ""en"")"),"Ford")</f>
        <v>Ford</v>
      </c>
      <c r="E682" s="19" t="str">
        <f ca="1">IFERROR(__xludf.DUMMYFUNCTION("GOOGLETRANSLATE(B682,""ar"",""en"")"),"Toros")</f>
        <v>Toros</v>
      </c>
      <c r="F682" s="19" t="str">
        <f ca="1">IFERROR(__xludf.DUMMYFUNCTION("GOOGLETRANSLATE(C682,""ar"",""en"")"),"SAA LAW D.")</f>
        <v>SAA LAW D.</v>
      </c>
      <c r="G682" t="e">
        <f ca="1">VLOOKUP(F:F,matching_transelated_with_ref!A:C,2,0)</f>
        <v>#N/A</v>
      </c>
      <c r="H682" t="e">
        <f>VLOOKUP(C:C,Sheet4!A:C,2,0)</f>
        <v>#N/A</v>
      </c>
    </row>
    <row r="683" spans="1:8" ht="14.4">
      <c r="A683" s="18" t="s">
        <v>73</v>
      </c>
      <c r="B683" s="18" t="s">
        <v>74</v>
      </c>
      <c r="C683" s="18" t="s">
        <v>77</v>
      </c>
      <c r="D683" s="19" t="str">
        <f ca="1">IFERROR(__xludf.DUMMYFUNCTION("GOOGLETRANSLATE(A683, ""ar"", ""en"")"),"Ford")</f>
        <v>Ford</v>
      </c>
      <c r="E683" s="19" t="str">
        <f ca="1">IFERROR(__xludf.DUMMYFUNCTION("GOOGLETRANSLATE(B683,""ar"",""en"")"),"Toros")</f>
        <v>Toros</v>
      </c>
      <c r="F683" s="19" t="str">
        <f ca="1">IFERROR(__xludf.DUMMYFUNCTION("GOOGLETRANSLATE(C683,""ar"",""en"")"),"SIL")</f>
        <v>SIL</v>
      </c>
      <c r="G683" t="e">
        <f ca="1">VLOOKUP(F:F,matching_transelated_with_ref!A:C,2,0)</f>
        <v>#N/A</v>
      </c>
      <c r="H683" t="e">
        <f>VLOOKUP(C:C,Sheet4!A:C,2,0)</f>
        <v>#N/A</v>
      </c>
    </row>
    <row r="684" spans="1:8" ht="14.4">
      <c r="A684" s="18" t="s">
        <v>73</v>
      </c>
      <c r="B684" s="18" t="s">
        <v>73</v>
      </c>
      <c r="C684" s="18" t="s">
        <v>933</v>
      </c>
      <c r="D684" s="19" t="str">
        <f ca="1">IFERROR(__xludf.DUMMYFUNCTION("GOOGLETRANSLATE(A684, ""ar"", ""en"")"),"Ford")</f>
        <v>Ford</v>
      </c>
      <c r="E684" s="19" t="str">
        <f ca="1">IFERROR(__xludf.DUMMYFUNCTION("GOOGLETRANSLATE(B684,""ar"",""en"")"),"Ford")</f>
        <v>Ford</v>
      </c>
      <c r="F684" s="19" t="str">
        <f ca="1">IFERROR(__xludf.DUMMYFUNCTION("GOOGLETRANSLATE(C684,""ar"",""en"")"),"Torus Ambiani paid either")</f>
        <v>Torus Ambiani paid either</v>
      </c>
      <c r="G684" t="e">
        <f ca="1">VLOOKUP(F:F,matching_transelated_with_ref!A:C,2,0)</f>
        <v>#N/A</v>
      </c>
      <c r="H684" t="str">
        <f>VLOOKUP(C:C,Sheet4!A:C,2,0)</f>
        <v>تورس</v>
      </c>
    </row>
    <row r="685" spans="1:8" ht="14.4">
      <c r="A685" s="18" t="s">
        <v>73</v>
      </c>
      <c r="B685" s="18" t="s">
        <v>73</v>
      </c>
      <c r="C685" s="18" t="s">
        <v>1144</v>
      </c>
      <c r="D685" s="19" t="str">
        <f ca="1">IFERROR(__xludf.DUMMYFUNCTION("GOOGLETRANSLATE(A685, ""ar"", ""en"")"),"Ford")</f>
        <v>Ford</v>
      </c>
      <c r="E685" s="19" t="str">
        <f ca="1">IFERROR(__xludf.DUMMYFUNCTION("GOOGLETRANSLATE(B685,""ar"",""en"")"),"Ford")</f>
        <v>Ford</v>
      </c>
      <c r="F685" s="19" t="str">
        <f ca="1">IFERROR(__xludf.DUMMYFUNCTION("GOOGLETRANSLATE(C685,""ar"",""en"")"),"Ranger XLT 4*4")</f>
        <v>Ranger XLT 4*4</v>
      </c>
      <c r="G685" t="e">
        <f ca="1">VLOOKUP(F:F,matching_transelated_with_ref!A:C,2,0)</f>
        <v>#N/A</v>
      </c>
      <c r="H685" t="e">
        <f>VLOOKUP(C:C,Sheet4!A:C,2,0)</f>
        <v>#N/A</v>
      </c>
    </row>
    <row r="686" spans="1:8" ht="14.4">
      <c r="A686" s="18" t="s">
        <v>73</v>
      </c>
      <c r="B686" s="18" t="s">
        <v>73</v>
      </c>
      <c r="C686" s="18" t="s">
        <v>664</v>
      </c>
      <c r="D686" s="19" t="str">
        <f ca="1">IFERROR(__xludf.DUMMYFUNCTION("GOOGLETRANSLATE(A686, ""ar"", ""en"")"),"Ford")</f>
        <v>Ford</v>
      </c>
      <c r="E686" s="19" t="str">
        <f ca="1">IFERROR(__xludf.DUMMYFUNCTION("GOOGLETRANSLATE(B686,""ar"",""en"")"),"Ford")</f>
        <v>Ford</v>
      </c>
      <c r="F686" s="19" t="str">
        <f ca="1">IFERROR(__xludf.DUMMYFUNCTION("GOOGLETRANSLATE(C686,""ar"",""en"")"),"Transit 270 S4*2")</f>
        <v>Transit 270 S4*2</v>
      </c>
      <c r="G686" t="e">
        <f ca="1">VLOOKUP(F:F,matching_transelated_with_ref!A:C,2,0)</f>
        <v>#N/A</v>
      </c>
      <c r="H686" t="e">
        <f>VLOOKUP(C:C,Sheet4!A:C,2,0)</f>
        <v>#N/A</v>
      </c>
    </row>
    <row r="687" spans="1:8" ht="14.4">
      <c r="A687" s="18" t="s">
        <v>73</v>
      </c>
      <c r="B687" s="18" t="s">
        <v>74</v>
      </c>
      <c r="C687" s="18" t="s">
        <v>76</v>
      </c>
      <c r="D687" s="19" t="str">
        <f ca="1">IFERROR(__xludf.DUMMYFUNCTION("GOOGLETRANSLATE(A687, ""ar"", ""en"")"),"Ford")</f>
        <v>Ford</v>
      </c>
      <c r="E687" s="19" t="str">
        <f ca="1">IFERROR(__xludf.DUMMYFUNCTION("GOOGLETRANSLATE(B687,""ar"",""en"")"),"Toros")</f>
        <v>Toros</v>
      </c>
      <c r="F687" s="19" t="str">
        <f ca="1">IFERROR(__xludf.DUMMYFUNCTION("GOOGLETRANSLATE(C687,""ar"",""en"")"),"SI")</f>
        <v>SI</v>
      </c>
      <c r="G687" t="e">
        <f ca="1">VLOOKUP(F:F,matching_transelated_with_ref!A:C,2,0)</f>
        <v>#N/A</v>
      </c>
      <c r="H687" t="e">
        <f>VLOOKUP(C:C,Sheet4!A:C,2,0)</f>
        <v>#N/A</v>
      </c>
    </row>
    <row r="688" spans="1:8" ht="14.4">
      <c r="A688" s="18" t="s">
        <v>73</v>
      </c>
      <c r="B688" s="18" t="s">
        <v>653</v>
      </c>
      <c r="C688" s="18" t="s">
        <v>654</v>
      </c>
      <c r="D688" s="19" t="str">
        <f ca="1">IFERROR(__xludf.DUMMYFUNCTION("GOOGLETRANSLATE(A688, ""ar"", ""en"")"),"Ford")</f>
        <v>Ford</v>
      </c>
      <c r="E688" s="19" t="str">
        <f ca="1">IFERROR(__xludf.DUMMYFUNCTION("GOOGLETRANSLATE(B688,""ar"",""en"")"),"Ranger")</f>
        <v>Ranger</v>
      </c>
      <c r="F688" s="19" t="str">
        <f ca="1">IFERROR(__xludf.DUMMYFUNCTION("GOOGLETRANSLATE(C688,""ar"",""en"")"),"XLT 4*4")</f>
        <v>XLT 4*4</v>
      </c>
      <c r="G688" t="e">
        <f ca="1">VLOOKUP(F:F,matching_transelated_with_ref!A:C,2,0)</f>
        <v>#N/A</v>
      </c>
      <c r="H688" t="e">
        <f>VLOOKUP(C:C,Sheet4!A:C,2,0)</f>
        <v>#N/A</v>
      </c>
    </row>
    <row r="689" spans="1:8" ht="14.4">
      <c r="A689" s="18" t="s">
        <v>73</v>
      </c>
      <c r="B689" s="18" t="s">
        <v>74</v>
      </c>
      <c r="C689" s="18" t="s">
        <v>75</v>
      </c>
      <c r="D689" s="19" t="str">
        <f ca="1">IFERROR(__xludf.DUMMYFUNCTION("GOOGLETRANSLATE(A689, ""ar"", ""en"")"),"Ford")</f>
        <v>Ford</v>
      </c>
      <c r="E689" s="19" t="str">
        <f ca="1">IFERROR(__xludf.DUMMYFUNCTION("GOOGLETRANSLATE(B689,""ar"",""en"")"),"Toros")</f>
        <v>Toros</v>
      </c>
      <c r="F689" s="19" t="str">
        <f ca="1">IFERROR(__xludf.DUMMYFUNCTION("GOOGLETRANSLATE(C689,""ar"",""en"")"),"SE")</f>
        <v>SE</v>
      </c>
      <c r="G689" t="e">
        <f ca="1">VLOOKUP(F:F,matching_transelated_with_ref!A:C,2,0)</f>
        <v>#N/A</v>
      </c>
      <c r="H689" t="e">
        <f>VLOOKUP(C:C,Sheet4!A:C,2,0)</f>
        <v>#N/A</v>
      </c>
    </row>
    <row r="690" spans="1:8" ht="14.4">
      <c r="A690" s="18" t="s">
        <v>73</v>
      </c>
      <c r="B690" s="18" t="s">
        <v>73</v>
      </c>
      <c r="C690" s="18" t="s">
        <v>665</v>
      </c>
      <c r="D690" s="19" t="str">
        <f ca="1">IFERROR(__xludf.DUMMYFUNCTION("GOOGLETRANSLATE(A690, ""ar"", ""en"")"),"Ford")</f>
        <v>Ford</v>
      </c>
      <c r="E690" s="19" t="str">
        <f ca="1">IFERROR(__xludf.DUMMYFUNCTION("GOOGLETRANSLATE(B690,""ar"",""en"")"),"Ford")</f>
        <v>Ford</v>
      </c>
      <c r="F690" s="19" t="str">
        <f ca="1">IFERROR(__xludf.DUMMYFUNCTION("GOOGLETRANSLATE(C690,""ar"",""en"")"),"Ranger XL Pickup 4*4")</f>
        <v>Ranger XL Pickup 4*4</v>
      </c>
      <c r="G690" t="e">
        <f ca="1">VLOOKUP(F:F,matching_transelated_with_ref!A:C,2,0)</f>
        <v>#N/A</v>
      </c>
      <c r="H690" t="str">
        <f>VLOOKUP(C:C,Sheet4!A:C,2,0)</f>
        <v>رينجر بيكب</v>
      </c>
    </row>
    <row r="691" spans="1:8" ht="14.4">
      <c r="A691" s="18" t="s">
        <v>73</v>
      </c>
      <c r="B691" s="18" t="s">
        <v>73</v>
      </c>
      <c r="C691" s="18" t="s">
        <v>1394</v>
      </c>
      <c r="D691" s="19" t="str">
        <f ca="1">IFERROR(__xludf.DUMMYFUNCTION("GOOGLETRANSLATE(A691, ""ar"", ""en"")"),"Ford")</f>
        <v>Ford</v>
      </c>
      <c r="E691" s="19" t="str">
        <f ca="1">IFERROR(__xludf.DUMMYFUNCTION("GOOGLETRANSLATE(B691,""ar"",""en"")"),"Ford")</f>
        <v>Ford</v>
      </c>
      <c r="F691" s="19" t="str">
        <f ca="1">IFERROR(__xludf.DUMMYFUNCTION("GOOGLETRANSLATE(C691,""ar"",""en"")"),"Ranger XLS 2.2 liter")</f>
        <v>Ranger XLS 2.2 liter</v>
      </c>
      <c r="G691" t="e">
        <f ca="1">VLOOKUP(F:F,matching_transelated_with_ref!A:C,2,0)</f>
        <v>#N/A</v>
      </c>
      <c r="H691" t="e">
        <f>VLOOKUP(C:C,Sheet4!A:C,2,0)</f>
        <v>#N/A</v>
      </c>
    </row>
    <row r="692" spans="1:8" ht="14.4">
      <c r="A692" s="18" t="s">
        <v>73</v>
      </c>
      <c r="B692" s="18" t="s">
        <v>73</v>
      </c>
      <c r="C692" s="18" t="s">
        <v>936</v>
      </c>
      <c r="D692" s="19" t="str">
        <f ca="1">IFERROR(__xludf.DUMMYFUNCTION("GOOGLETRANSLATE(A692, ""ar"", ""en"")"),"Ford")</f>
        <v>Ford</v>
      </c>
      <c r="E692" s="19" t="str">
        <f ca="1">IFERROR(__xludf.DUMMYFUNCTION("GOOGLETRANSLATE(B692,""ar"",""en"")"),"Ford")</f>
        <v>Ford</v>
      </c>
      <c r="F692" s="19" t="str">
        <f ca="1">IFERROR(__xludf.DUMMYFUNCTION("GOOGLETRANSLATE(C692,""ar"",""en"")"),"Ranger XL 4 x 2 pickup")</f>
        <v>Ranger XL 4 x 2 pickup</v>
      </c>
      <c r="G692" t="e">
        <f ca="1">VLOOKUP(F:F,matching_transelated_with_ref!A:C,2,0)</f>
        <v>#N/A</v>
      </c>
      <c r="H692" t="str">
        <f>VLOOKUP(C:C,Sheet4!A:C,2,0)</f>
        <v>رينجر بيكب</v>
      </c>
    </row>
    <row r="693" spans="1:8" ht="14.4">
      <c r="A693" s="18" t="s">
        <v>73</v>
      </c>
      <c r="B693" s="18" t="s">
        <v>73</v>
      </c>
      <c r="C693" s="18" t="s">
        <v>928</v>
      </c>
      <c r="D693" s="19" t="str">
        <f ca="1">IFERROR(__xludf.DUMMYFUNCTION("GOOGLETRANSLATE(A693, ""ar"", ""en"")"),"Ford")</f>
        <v>Ford</v>
      </c>
      <c r="E693" s="19" t="str">
        <f ca="1">IFERROR(__xludf.DUMMYFUNCTION("GOOGLETRANSLATE(B693,""ar"",""en"")"),"Ford")</f>
        <v>Ford</v>
      </c>
      <c r="F693" s="19" t="str">
        <f ca="1">IFERROR(__xludf.DUMMYFUNCTION("GOOGLETRANSLATE(C693,""ar"",""en"")"),"Askour Ambiani pushed a")</f>
        <v>Askour Ambiani pushed a</v>
      </c>
      <c r="G693" t="e">
        <f ca="1">VLOOKUP(F:F,matching_transelated_with_ref!A:C,2,0)</f>
        <v>#N/A</v>
      </c>
      <c r="H693" t="str">
        <f>VLOOKUP(C:C,Sheet4!A:C,2,0)</f>
        <v>اسكورت</v>
      </c>
    </row>
    <row r="694" spans="1:8" ht="14.4">
      <c r="A694" s="18" t="s">
        <v>73</v>
      </c>
      <c r="B694" s="18" t="s">
        <v>668</v>
      </c>
      <c r="C694" s="18" t="s">
        <v>669</v>
      </c>
      <c r="D694" s="19" t="str">
        <f ca="1">IFERROR(__xludf.DUMMYFUNCTION("GOOGLETRANSLATE(A694, ""ar"", ""en"")"),"Ford")</f>
        <v>Ford</v>
      </c>
      <c r="E694" s="19" t="str">
        <f ca="1">IFERROR(__xludf.DUMMYFUNCTION("GOOGLETRANSLATE(B694,""ar"",""en"")"),"Vigo")</f>
        <v>Vigo</v>
      </c>
      <c r="F694" s="19" t="str">
        <f ca="1">IFERROR(__xludf.DUMMYFUNCTION("GOOGLETRANSLATE(C694,""ar"",""en"")"),"Automatic Automatic 1.5 liters")</f>
        <v>Automatic Automatic 1.5 liters</v>
      </c>
      <c r="G694" t="e">
        <f ca="1">VLOOKUP(F:F,matching_transelated_with_ref!A:C,2,0)</f>
        <v>#N/A</v>
      </c>
      <c r="H694" t="e">
        <f>VLOOKUP(C:C,Sheet4!A:C,2,0)</f>
        <v>#N/A</v>
      </c>
    </row>
    <row r="695" spans="1:8" ht="14.4">
      <c r="A695" s="18" t="s">
        <v>80</v>
      </c>
      <c r="B695" s="18" t="s">
        <v>43</v>
      </c>
      <c r="C695" s="18" t="s">
        <v>942</v>
      </c>
      <c r="D695" s="19" t="str">
        <f ca="1">IFERROR(__xludf.DUMMYFUNCTION("GOOGLETRANSLATE(A695, ""ar"", ""en"")"),"Volvo")</f>
        <v>Volvo</v>
      </c>
      <c r="E695" s="19" t="str">
        <f ca="1">IFERROR(__xludf.DUMMYFUNCTION("GOOGLETRANSLATE(B695,""ar"",""en"")"),"stomach")</f>
        <v>stomach</v>
      </c>
      <c r="F695" s="19" t="str">
        <f ca="1">IFERROR(__xludf.DUMMYFUNCTION("GOOGLETRANSLATE(C695,""ar"",""en"")"),"EC 480 DL")</f>
        <v>EC 480 DL</v>
      </c>
      <c r="G695" t="e">
        <f ca="1">VLOOKUP(F:F,matching_transelated_with_ref!A:C,2,0)</f>
        <v>#N/A</v>
      </c>
      <c r="H695" t="e">
        <f>VLOOKUP(C:C,Sheet4!A:C,2,0)</f>
        <v>#N/A</v>
      </c>
    </row>
    <row r="696" spans="1:8" ht="14.4">
      <c r="A696" s="18" t="s">
        <v>80</v>
      </c>
      <c r="B696" s="18" t="s">
        <v>43</v>
      </c>
      <c r="C696" s="18" t="s">
        <v>1397</v>
      </c>
      <c r="D696" s="19" t="str">
        <f ca="1">IFERROR(__xludf.DUMMYFUNCTION("GOOGLETRANSLATE(A696, ""ar"", ""en"")"),"Volvo")</f>
        <v>Volvo</v>
      </c>
      <c r="E696" s="19" t="str">
        <f ca="1">IFERROR(__xludf.DUMMYFUNCTION("GOOGLETRANSLATE(B696,""ar"",""en"")"),"stomach")</f>
        <v>stomach</v>
      </c>
      <c r="F696" s="19" t="str">
        <f ca="1">IFERROR(__xludf.DUMMYFUNCTION("GOOGLETRANSLATE(C696,""ar"",""en"")"),"AC 220 DL")</f>
        <v>AC 220 DL</v>
      </c>
      <c r="G696" t="e">
        <f ca="1">VLOOKUP(F:F,matching_transelated_with_ref!A:C,2,0)</f>
        <v>#N/A</v>
      </c>
      <c r="H696" t="e">
        <f>VLOOKUP(C:C,Sheet4!A:C,2,0)</f>
        <v>#N/A</v>
      </c>
    </row>
    <row r="697" spans="1:8" ht="14.4">
      <c r="A697" s="18" t="s">
        <v>80</v>
      </c>
      <c r="B697" s="18" t="s">
        <v>8</v>
      </c>
      <c r="C697" s="18" t="s">
        <v>81</v>
      </c>
      <c r="D697" s="19" t="str">
        <f ca="1">IFERROR(__xludf.DUMMYFUNCTION("GOOGLETRANSLATE(A697, ""ar"", ""en"")"),"Volvo")</f>
        <v>Volvo</v>
      </c>
      <c r="E697" s="19" t="str">
        <f ca="1">IFERROR(__xludf.DUMMYFUNCTION("GOOGLETRANSLATE(B697,""ar"",""en"")"),"-")</f>
        <v>-</v>
      </c>
      <c r="F697" s="19" t="str">
        <f ca="1">IFERROR(__xludf.DUMMYFUNCTION("GOOGLETRANSLATE(C697,""ar"",""en"")"),"FH 12 4*2")</f>
        <v>FH 12 4*2</v>
      </c>
      <c r="G697" t="e">
        <f ca="1">VLOOKUP(F:F,matching_transelated_with_ref!A:C,2,0)</f>
        <v>#N/A</v>
      </c>
      <c r="H697" t="e">
        <f>VLOOKUP(C:C,Sheet4!A:C,2,0)</f>
        <v>#N/A</v>
      </c>
    </row>
    <row r="698" spans="1:8" ht="14.4">
      <c r="A698" s="18" t="s">
        <v>353</v>
      </c>
      <c r="B698" s="18" t="s">
        <v>8</v>
      </c>
      <c r="C698" s="18" t="s">
        <v>676</v>
      </c>
      <c r="D698" s="19" t="str">
        <f ca="1">IFERROR(__xludf.DUMMYFUNCTION("GOOGLETRANSLATE(A698, ""ar"", ""en"")"),"Volkswagen")</f>
        <v>Volkswagen</v>
      </c>
      <c r="E698" s="19" t="str">
        <f ca="1">IFERROR(__xludf.DUMMYFUNCTION("GOOGLETRANSLATE(B698,""ar"",""en"")"),"-")</f>
        <v>-</v>
      </c>
      <c r="F698" s="19" t="str">
        <f ca="1">IFERROR(__xludf.DUMMYFUNCTION("GOOGLETRANSLATE(C698,""ar"",""en"")"),"Touareg Tred Line 4 x 4")</f>
        <v>Touareg Tred Line 4 x 4</v>
      </c>
      <c r="G698" t="e">
        <f ca="1">VLOOKUP(F:F,matching_transelated_with_ref!A:C,2,0)</f>
        <v>#N/A</v>
      </c>
      <c r="H698" t="str">
        <f>VLOOKUP(C:C,Sheet4!A:C,2,0)</f>
        <v xml:space="preserve">طوارق </v>
      </c>
    </row>
    <row r="699" spans="1:8" ht="14.4">
      <c r="A699" s="18" t="s">
        <v>353</v>
      </c>
      <c r="B699" s="18" t="s">
        <v>8</v>
      </c>
      <c r="C699" s="18" t="s">
        <v>366</v>
      </c>
      <c r="D699" s="19" t="str">
        <f ca="1">IFERROR(__xludf.DUMMYFUNCTION("GOOGLETRANSLATE(A699, ""ar"", ""en"")"),"Volkswagen")</f>
        <v>Volkswagen</v>
      </c>
      <c r="E699" s="19" t="str">
        <f ca="1">IFERROR(__xludf.DUMMYFUNCTION("GOOGLETRANSLATE(B699,""ar"",""en"")"),"-")</f>
        <v>-</v>
      </c>
      <c r="F699" s="19" t="str">
        <f ca="1">IFERROR(__xludf.DUMMYFUNCTION("GOOGLETRANSLATE(C699,""ar"",""en"")"),"Touareg Hi Line 4 x 4")</f>
        <v>Touareg Hi Line 4 x 4</v>
      </c>
      <c r="G699" t="e">
        <f ca="1">VLOOKUP(F:F,matching_transelated_with_ref!A:C,2,0)</f>
        <v>#N/A</v>
      </c>
      <c r="H699" t="str">
        <f>VLOOKUP(C:C,Sheet4!A:C,2,0)</f>
        <v xml:space="preserve">طوارق </v>
      </c>
    </row>
    <row r="700" spans="1:8" ht="14.4">
      <c r="A700" s="18" t="s">
        <v>353</v>
      </c>
      <c r="B700" s="18" t="s">
        <v>8</v>
      </c>
      <c r="C700" s="18" t="s">
        <v>1156</v>
      </c>
      <c r="D700" s="19" t="str">
        <f ca="1">IFERROR(__xludf.DUMMYFUNCTION("GOOGLETRANSLATE(A700, ""ar"", ""en"")"),"Volkswagen")</f>
        <v>Volkswagen</v>
      </c>
      <c r="E700" s="19" t="str">
        <f ca="1">IFERROR(__xludf.DUMMYFUNCTION("GOOGLETRANSLATE(B700,""ar"",""en"")"),"-")</f>
        <v>-</v>
      </c>
      <c r="F700" s="19" t="str">
        <f ca="1">IFERROR(__xludf.DUMMYFUNCTION("GOOGLETRANSLATE(C700,""ar"",""en"")"),"Tuareg")</f>
        <v>Tuareg</v>
      </c>
      <c r="G700" t="e">
        <f ca="1">VLOOKUP(F:F,matching_transelated_with_ref!A:C,2,0)</f>
        <v>#N/A</v>
      </c>
      <c r="H700" t="str">
        <f>VLOOKUP(C:C,Sheet4!A:C,2,0)</f>
        <v xml:space="preserve">طوارق </v>
      </c>
    </row>
    <row r="701" spans="1:8" ht="14.4">
      <c r="A701" s="18" t="s">
        <v>353</v>
      </c>
      <c r="B701" s="18" t="s">
        <v>8</v>
      </c>
      <c r="C701" s="18" t="s">
        <v>365</v>
      </c>
      <c r="D701" s="19" t="str">
        <f ca="1">IFERROR(__xludf.DUMMYFUNCTION("GOOGLETRANSLATE(A701, ""ar"", ""en"")"),"Volkswagen")</f>
        <v>Volkswagen</v>
      </c>
      <c r="E701" s="19" t="str">
        <f ca="1">IFERROR(__xludf.DUMMYFUNCTION("GOOGLETRANSLATE(B701,""ar"",""en"")"),"-")</f>
        <v>-</v>
      </c>
      <c r="F701" s="19" t="str">
        <f ca="1">IFERROR(__xludf.DUMMYFUNCTION("GOOGLETRANSLATE(C701,""ar"",""en"")"),"Touareg Komfer Line 4 x 4")</f>
        <v>Touareg Komfer Line 4 x 4</v>
      </c>
      <c r="G701" t="e">
        <f ca="1">VLOOKUP(F:F,matching_transelated_with_ref!A:C,2,0)</f>
        <v>#N/A</v>
      </c>
      <c r="H701" t="str">
        <f>VLOOKUP(C:C,Sheet4!A:C,2,0)</f>
        <v xml:space="preserve">طوارق </v>
      </c>
    </row>
    <row r="702" spans="1:8" ht="14.4">
      <c r="A702" s="18" t="s">
        <v>353</v>
      </c>
      <c r="B702" s="18" t="s">
        <v>8</v>
      </c>
      <c r="C702" s="18" t="s">
        <v>364</v>
      </c>
      <c r="D702" s="19" t="str">
        <f ca="1">IFERROR(__xludf.DUMMYFUNCTION("GOOGLETRANSLATE(A702, ""ar"", ""en"")"),"Volkswagen")</f>
        <v>Volkswagen</v>
      </c>
      <c r="E702" s="19" t="str">
        <f ca="1">IFERROR(__xludf.DUMMYFUNCTION("GOOGLETRANSLATE(B702,""ar"",""en"")"),"-")</f>
        <v>-</v>
      </c>
      <c r="F702" s="19" t="str">
        <f ca="1">IFERROR(__xludf.DUMMYFUNCTION("GOOGLETRANSLATE(C702,""ar"",""en"")"),"Termont SAL 4 x 4")</f>
        <v>Termont SAL 4 x 4</v>
      </c>
      <c r="G702" t="e">
        <f ca="1">VLOOKUP(F:F,matching_transelated_with_ref!A:C,2,0)</f>
        <v>#N/A</v>
      </c>
      <c r="H702" t="str">
        <f>VLOOKUP(C:C,Sheet4!A:C,2,0)</f>
        <v>تيرامونت</v>
      </c>
    </row>
    <row r="703" spans="1:8" ht="14.4">
      <c r="A703" s="18" t="s">
        <v>353</v>
      </c>
      <c r="B703" s="18" t="s">
        <v>8</v>
      </c>
      <c r="C703" s="18" t="s">
        <v>1155</v>
      </c>
      <c r="D703" s="19" t="str">
        <f ca="1">IFERROR(__xludf.DUMMYFUNCTION("GOOGLETRANSLATE(A703, ""ar"", ""en"")"),"Volkswagen")</f>
        <v>Volkswagen</v>
      </c>
      <c r="E703" s="19" t="str">
        <f ca="1">IFERROR(__xludf.DUMMYFUNCTION("GOOGLETRANSLATE(B703,""ar"",""en"")"),"-")</f>
        <v>-</v>
      </c>
      <c r="F703" s="19" t="str">
        <f ca="1">IFERROR(__xludf.DUMMYFUNCTION("GOOGLETRANSLATE(C703,""ar"",""en"")"),"Tremont")</f>
        <v>Tremont</v>
      </c>
      <c r="G703" t="e">
        <f ca="1">VLOOKUP(F:F,matching_transelated_with_ref!A:C,2,0)</f>
        <v>#N/A</v>
      </c>
      <c r="H703" t="str">
        <f>VLOOKUP(C:C,Sheet4!A:C,2,0)</f>
        <v>تيرامونت</v>
      </c>
    </row>
    <row r="704" spans="1:8" ht="14.4">
      <c r="A704" s="18" t="s">
        <v>353</v>
      </c>
      <c r="B704" s="18" t="s">
        <v>8</v>
      </c>
      <c r="C704" s="18" t="s">
        <v>362</v>
      </c>
      <c r="D704" s="19" t="str">
        <f ca="1">IFERROR(__xludf.DUMMYFUNCTION("GOOGLETRANSLATE(A704, ""ar"", ""en"")"),"Volkswagen")</f>
        <v>Volkswagen</v>
      </c>
      <c r="E704" s="19" t="str">
        <f ca="1">IFERROR(__xludf.DUMMYFUNCTION("GOOGLETRANSLATE(B704,""ar"",""en"")"),"-")</f>
        <v>-</v>
      </c>
      <c r="F704" s="19" t="str">
        <f ca="1">IFERROR(__xludf.DUMMYFUNCTION("GOOGLETRANSLATE(C704,""ar"",""en"")"),"Tiguan Sport")</f>
        <v>Tiguan Sport</v>
      </c>
      <c r="G704" t="e">
        <f ca="1">VLOOKUP(F:F,matching_transelated_with_ref!A:C,2,0)</f>
        <v>#N/A</v>
      </c>
      <c r="H704" t="str">
        <f>VLOOKUP(C:C,Sheet4!A:C,2,0)</f>
        <v>تيجوان</v>
      </c>
    </row>
    <row r="705" spans="1:8" ht="14.4">
      <c r="A705" s="18" t="s">
        <v>353</v>
      </c>
      <c r="B705" s="18" t="s">
        <v>8</v>
      </c>
      <c r="C705" s="18" t="s">
        <v>355</v>
      </c>
      <c r="D705" s="19" t="str">
        <f ca="1">IFERROR(__xludf.DUMMYFUNCTION("GOOGLETRANSLATE(A705, ""ar"", ""en"")"),"Volkswagen")</f>
        <v>Volkswagen</v>
      </c>
      <c r="E705" s="19" t="str">
        <f ca="1">IFERROR(__xludf.DUMMYFUNCTION("GOOGLETRANSLATE(B705,""ar"",""en"")"),"-")</f>
        <v>-</v>
      </c>
      <c r="F705" s="19" t="str">
        <f ca="1">IFERROR(__xludf.DUMMYFUNCTION("GOOGLETRANSLATE(C705,""ar"",""en"")"),"Arteon Elegance 4*2")</f>
        <v>Arteon Elegance 4*2</v>
      </c>
      <c r="G705" t="e">
        <f ca="1">VLOOKUP(F:F,matching_transelated_with_ref!A:C,2,0)</f>
        <v>#N/A</v>
      </c>
      <c r="H705" t="e">
        <f>VLOOKUP(C:C,Sheet4!A:C,2,0)</f>
        <v>#N/A</v>
      </c>
    </row>
    <row r="706" spans="1:8" ht="14.4">
      <c r="A706" s="18" t="s">
        <v>353</v>
      </c>
      <c r="B706" s="18" t="s">
        <v>8</v>
      </c>
      <c r="C706" s="18" t="s">
        <v>363</v>
      </c>
      <c r="D706" s="19" t="str">
        <f ca="1">IFERROR(__xludf.DUMMYFUNCTION("GOOGLETRANSLATE(A706, ""ar"", ""en"")"),"Volkswagen")</f>
        <v>Volkswagen</v>
      </c>
      <c r="E706" s="19" t="str">
        <f ca="1">IFERROR(__xludf.DUMMYFUNCTION("GOOGLETRANSLATE(B706,""ar"",""en"")"),"-")</f>
        <v>-</v>
      </c>
      <c r="F706" s="19" t="str">
        <f ca="1">IFERROR(__xludf.DUMMYFUNCTION("GOOGLETRANSLATE(C706,""ar"",""en"")"),"Termont SE 4 x 4")</f>
        <v>Termont SE 4 x 4</v>
      </c>
      <c r="G706" t="e">
        <f ca="1">VLOOKUP(F:F,matching_transelated_with_ref!A:C,2,0)</f>
        <v>#N/A</v>
      </c>
      <c r="H706" t="str">
        <f>VLOOKUP(C:C,Sheet4!A:C,2,0)</f>
        <v>تيرامونت</v>
      </c>
    </row>
    <row r="707" spans="1:8" ht="14.4">
      <c r="A707" s="18" t="s">
        <v>353</v>
      </c>
      <c r="B707" s="18" t="s">
        <v>367</v>
      </c>
      <c r="C707" s="18" t="s">
        <v>1398</v>
      </c>
      <c r="D707" s="19" t="str">
        <f ca="1">IFERROR(__xludf.DUMMYFUNCTION("GOOGLETRANSLATE(A707, ""ar"", ""en"")"),"Volkswagen")</f>
        <v>Volkswagen</v>
      </c>
      <c r="E707" s="19" t="str">
        <f ca="1">IFERROR(__xludf.DUMMYFUNCTION("GOOGLETRANSLATE(B707,""ar"",""en"")"),"Golf")</f>
        <v>Golf</v>
      </c>
      <c r="F707" s="19" t="str">
        <f ca="1">IFERROR(__xludf.DUMMYFUNCTION("GOOGLETRANSLATE(C707,""ar"",""en"")"),"GTI 4*2 4 doors")</f>
        <v>GTI 4*2 4 doors</v>
      </c>
      <c r="G707" t="e">
        <f ca="1">VLOOKUP(F:F,matching_transelated_with_ref!A:C,2,0)</f>
        <v>#N/A</v>
      </c>
      <c r="H707" t="e">
        <f>VLOOKUP(C:C,Sheet4!A:C,2,0)</f>
        <v>#N/A</v>
      </c>
    </row>
    <row r="708" spans="1:8" ht="14.4">
      <c r="A708" s="18" t="s">
        <v>353</v>
      </c>
      <c r="B708" s="18" t="s">
        <v>367</v>
      </c>
      <c r="C708" s="18" t="s">
        <v>368</v>
      </c>
      <c r="D708" s="19" t="str">
        <f ca="1">IFERROR(__xludf.DUMMYFUNCTION("GOOGLETRANSLATE(A708, ""ar"", ""en"")"),"Volkswagen")</f>
        <v>Volkswagen</v>
      </c>
      <c r="E708" s="19" t="str">
        <f ca="1">IFERROR(__xludf.DUMMYFUNCTION("GOOGLETRANSLATE(B708,""ar"",""en"")"),"Golf")</f>
        <v>Golf</v>
      </c>
      <c r="F708" s="19" t="str">
        <f ca="1">IFERROR(__xludf.DUMMYFUNCTION("GOOGLETRANSLATE(C708,""ar"",""en"")"),"GTI 4*2 4 doors")</f>
        <v>GTI 4*2 4 doors</v>
      </c>
      <c r="G708" t="e">
        <f ca="1">VLOOKUP(F:F,matching_transelated_with_ref!A:C,2,0)</f>
        <v>#N/A</v>
      </c>
      <c r="H708" t="e">
        <f>VLOOKUP(C:C,Sheet4!A:C,2,0)</f>
        <v>#N/A</v>
      </c>
    </row>
    <row r="709" spans="1:8" ht="14.4">
      <c r="A709" s="18" t="s">
        <v>353</v>
      </c>
      <c r="B709" s="18" t="s">
        <v>367</v>
      </c>
      <c r="C709" s="18" t="s">
        <v>677</v>
      </c>
      <c r="D709" s="19" t="str">
        <f ca="1">IFERROR(__xludf.DUMMYFUNCTION("GOOGLETRANSLATE(A709, ""ar"", ""en"")"),"Volkswagen")</f>
        <v>Volkswagen</v>
      </c>
      <c r="E709" s="19" t="str">
        <f ca="1">IFERROR(__xludf.DUMMYFUNCTION("GOOGLETRANSLATE(B709,""ar"",""en"")"),"Golf")</f>
        <v>Golf</v>
      </c>
      <c r="F709" s="19" t="str">
        <f ca="1">IFERROR(__xludf.DUMMYFUNCTION("GOOGLETRANSLATE(C709,""ar"",""en"")"),"GTI 4*2 2 door")</f>
        <v>GTI 4*2 2 door</v>
      </c>
      <c r="G709" t="e">
        <f ca="1">VLOOKUP(F:F,matching_transelated_with_ref!A:C,2,0)</f>
        <v>#N/A</v>
      </c>
      <c r="H709" t="e">
        <f>VLOOKUP(C:C,Sheet4!A:C,2,0)</f>
        <v>#N/A</v>
      </c>
    </row>
    <row r="710" spans="1:8" ht="14.4">
      <c r="A710" s="18" t="s">
        <v>353</v>
      </c>
      <c r="B710" s="18" t="s">
        <v>8</v>
      </c>
      <c r="C710" s="18" t="s">
        <v>354</v>
      </c>
      <c r="D710" s="19" t="str">
        <f ca="1">IFERROR(__xludf.DUMMYFUNCTION("GOOGLETRANSLATE(A710, ""ar"", ""en"")"),"Volkswagen")</f>
        <v>Volkswagen</v>
      </c>
      <c r="E710" s="19" t="str">
        <f ca="1">IFERROR(__xludf.DUMMYFUNCTION("GOOGLETRANSLATE(B710,""ar"",""en"")"),"-")</f>
        <v>-</v>
      </c>
      <c r="F710" s="19" t="str">
        <f ca="1">IFERROR(__xludf.DUMMYFUNCTION("GOOGLETRANSLATE(C710,""ar"",""en"")"),"Artion R. Line 4 x 4")</f>
        <v>Artion R. Line 4 x 4</v>
      </c>
      <c r="G710" t="e">
        <f ca="1">VLOOKUP(F:F,matching_transelated_with_ref!A:C,2,0)</f>
        <v>#N/A</v>
      </c>
      <c r="H710" t="str">
        <f>VLOOKUP(C:C,Sheet4!A:C,2,0)</f>
        <v xml:space="preserve">اوريون </v>
      </c>
    </row>
    <row r="711" spans="1:8" ht="14.4">
      <c r="A711" s="18" t="s">
        <v>353</v>
      </c>
      <c r="B711" s="18" t="s">
        <v>8</v>
      </c>
      <c r="C711" s="18" t="s">
        <v>360</v>
      </c>
      <c r="D711" s="19" t="str">
        <f ca="1">IFERROR(__xludf.DUMMYFUNCTION("GOOGLETRANSLATE(A711, ""ar"", ""en"")"),"Volkswagen")</f>
        <v>Volkswagen</v>
      </c>
      <c r="E711" s="19" t="str">
        <f ca="1">IFERROR(__xludf.DUMMYFUNCTION("GOOGLETRANSLATE(B711,""ar"",""en"")"),"-")</f>
        <v>-</v>
      </c>
      <c r="F711" s="19" t="str">
        <f ca="1">IFERROR(__xludf.DUMMYFUNCTION("GOOGLETRANSLATE(C711,""ar"",""en"")"),"Tiguan SA")</f>
        <v>Tiguan SA</v>
      </c>
      <c r="G711" t="e">
        <f ca="1">VLOOKUP(F:F,matching_transelated_with_ref!A:C,2,0)</f>
        <v>#N/A</v>
      </c>
      <c r="H711" t="str">
        <f>VLOOKUP(C:C,Sheet4!A:C,2,0)</f>
        <v>تيجوان</v>
      </c>
    </row>
    <row r="712" spans="1:8" ht="14.4">
      <c r="A712" s="18" t="s">
        <v>353</v>
      </c>
      <c r="B712" s="18" t="s">
        <v>8</v>
      </c>
      <c r="C712" s="18" t="s">
        <v>674</v>
      </c>
      <c r="D712" s="19" t="str">
        <f ca="1">IFERROR(__xludf.DUMMYFUNCTION("GOOGLETRANSLATE(A712, ""ar"", ""en"")"),"Volkswagen")</f>
        <v>Volkswagen</v>
      </c>
      <c r="E712" s="19" t="str">
        <f ca="1">IFERROR(__xludf.DUMMYFUNCTION("GOOGLETRANSLATE(B712,""ar"",""en"")"),"-")</f>
        <v>-</v>
      </c>
      <c r="F712" s="19" t="str">
        <f ca="1">IFERROR(__xludf.DUMMYFUNCTION("GOOGLETRANSLATE(C712,""ar"",""en"")"),"Arteon Elegance 4*4")</f>
        <v>Arteon Elegance 4*4</v>
      </c>
      <c r="G712" t="e">
        <f ca="1">VLOOKUP(F:F,matching_transelated_with_ref!A:C,2,0)</f>
        <v>#N/A</v>
      </c>
      <c r="H712" t="e">
        <f>VLOOKUP(C:C,Sheet4!A:C,2,0)</f>
        <v>#N/A</v>
      </c>
    </row>
    <row r="713" spans="1:8" ht="14.4">
      <c r="A713" s="18" t="s">
        <v>353</v>
      </c>
      <c r="B713" s="18" t="s">
        <v>353</v>
      </c>
      <c r="C713" s="18" t="s">
        <v>1160</v>
      </c>
      <c r="D713" s="19" t="str">
        <f ca="1">IFERROR(__xludf.DUMMYFUNCTION("GOOGLETRANSLATE(A713, ""ar"", ""en"")"),"Volkswagen")</f>
        <v>Volkswagen</v>
      </c>
      <c r="E713" s="19" t="str">
        <f ca="1">IFERROR(__xludf.DUMMYFUNCTION("GOOGLETRANSLATE(B713,""ar"",""en"")"),"Volkswagen")</f>
        <v>Volkswagen</v>
      </c>
      <c r="F713" s="19" t="str">
        <f ca="1">IFERROR(__xludf.DUMMYFUNCTION("GOOGLETRANSLATE(C713,""ar"",""en"")"),"Ter Amont 4 x 4")</f>
        <v>Ter Amont 4 x 4</v>
      </c>
      <c r="G713" t="e">
        <f ca="1">VLOOKUP(F:F,matching_transelated_with_ref!A:C,2,0)</f>
        <v>#N/A</v>
      </c>
      <c r="H713" t="str">
        <f>VLOOKUP(C:C,Sheet4!A:C,2,0)</f>
        <v>تيرامونت</v>
      </c>
    </row>
    <row r="714" spans="1:8" ht="14.4">
      <c r="A714" s="18" t="s">
        <v>353</v>
      </c>
      <c r="B714" s="18" t="s">
        <v>8</v>
      </c>
      <c r="C714" s="18" t="s">
        <v>675</v>
      </c>
      <c r="D714" s="19" t="str">
        <f ca="1">IFERROR(__xludf.DUMMYFUNCTION("GOOGLETRANSLATE(A714, ""ar"", ""en"")"),"Volkswagen")</f>
        <v>Volkswagen</v>
      </c>
      <c r="E714" s="19" t="str">
        <f ca="1">IFERROR(__xludf.DUMMYFUNCTION("GOOGLETRANSLATE(B714,""ar"",""en"")"),"-")</f>
        <v>-</v>
      </c>
      <c r="F714" s="19" t="str">
        <f ca="1">IFERROR(__xludf.DUMMYFUNCTION("GOOGLETRANSLATE(C714,""ar"",""en"")"),"Tremont S")</f>
        <v>Tremont S</v>
      </c>
      <c r="G714" t="str">
        <f ca="1">VLOOKUP(F:F,matching_transelated_with_ref!A:C,2,0)</f>
        <v>S</v>
      </c>
      <c r="H714" t="str">
        <f>VLOOKUP(C:C,Sheet4!A:C,2,0)</f>
        <v>تيرامونت</v>
      </c>
    </row>
    <row r="715" spans="1:8" ht="14.4">
      <c r="A715" s="18" t="s">
        <v>353</v>
      </c>
      <c r="B715" s="18" t="s">
        <v>8</v>
      </c>
      <c r="C715" s="18" t="s">
        <v>359</v>
      </c>
      <c r="D715" s="19" t="str">
        <f ca="1">IFERROR(__xludf.DUMMYFUNCTION("GOOGLETRANSLATE(A715, ""ar"", ""en"")"),"Volkswagen")</f>
        <v>Volkswagen</v>
      </c>
      <c r="E715" s="19" t="str">
        <f ca="1">IFERROR(__xludf.DUMMYFUNCTION("GOOGLETRANSLATE(B715,""ar"",""en"")"),"-")</f>
        <v>-</v>
      </c>
      <c r="F715" s="19" t="str">
        <f ca="1">IFERROR(__xludf.DUMMYFUNCTION("GOOGLETRANSLATE(C715,""ar"",""en"")"),"Passat Sport")</f>
        <v>Passat Sport</v>
      </c>
      <c r="G715" t="e">
        <f ca="1">VLOOKUP(F:F,matching_transelated_with_ref!A:C,2,0)</f>
        <v>#N/A</v>
      </c>
      <c r="H715" t="str">
        <f>VLOOKUP(C:C,Sheet4!A:C,2,0)</f>
        <v>باسات</v>
      </c>
    </row>
    <row r="716" spans="1:8" ht="14.4">
      <c r="A716" s="18" t="s">
        <v>353</v>
      </c>
      <c r="B716" s="18" t="s">
        <v>8</v>
      </c>
      <c r="C716" s="18" t="s">
        <v>945</v>
      </c>
      <c r="D716" s="19" t="str">
        <f ca="1">IFERROR(__xludf.DUMMYFUNCTION("GOOGLETRANSLATE(A716, ""ar"", ""en"")"),"Volkswagen")</f>
        <v>Volkswagen</v>
      </c>
      <c r="E716" s="19" t="str">
        <f ca="1">IFERROR(__xludf.DUMMYFUNCTION("GOOGLETRANSLATE(B716,""ar"",""en"")"),"-")</f>
        <v>-</v>
      </c>
      <c r="F716" s="19" t="str">
        <f ca="1">IFERROR(__xludf.DUMMYFUNCTION("GOOGLETRANSLATE(C716,""ar"",""en"")"),"Passat Hi Line")</f>
        <v>Passat Hi Line</v>
      </c>
      <c r="G716" t="e">
        <f ca="1">VLOOKUP(F:F,matching_transelated_with_ref!A:C,2,0)</f>
        <v>#N/A</v>
      </c>
      <c r="H716" t="str">
        <f>VLOOKUP(C:C,Sheet4!A:C,2,0)</f>
        <v>باسات</v>
      </c>
    </row>
    <row r="717" spans="1:8" ht="14.4">
      <c r="A717" s="18" t="s">
        <v>353</v>
      </c>
      <c r="B717" s="18" t="s">
        <v>8</v>
      </c>
      <c r="C717" s="18" t="s">
        <v>944</v>
      </c>
      <c r="D717" s="19" t="str">
        <f ca="1">IFERROR(__xludf.DUMMYFUNCTION("GOOGLETRANSLATE(A717, ""ar"", ""en"")"),"Volkswagen")</f>
        <v>Volkswagen</v>
      </c>
      <c r="E717" s="19" t="str">
        <f ca="1">IFERROR(__xludf.DUMMYFUNCTION("GOOGLETRANSLATE(B717,""ar"",""en"")"),"-")</f>
        <v>-</v>
      </c>
      <c r="F717" s="19" t="str">
        <f ca="1">IFERROR(__xludf.DUMMYFUNCTION("GOOGLETRANSLATE(C717,""ar"",""en"")"),"Passet Comfort Line")</f>
        <v>Passet Comfort Line</v>
      </c>
      <c r="G717" t="e">
        <f ca="1">VLOOKUP(F:F,matching_transelated_with_ref!A:C,2,0)</f>
        <v>#N/A</v>
      </c>
      <c r="H717" t="str">
        <f>VLOOKUP(C:C,Sheet4!A:C,2,0)</f>
        <v>باسات</v>
      </c>
    </row>
    <row r="718" spans="1:8" ht="14.4">
      <c r="A718" s="18" t="s">
        <v>353</v>
      </c>
      <c r="B718" s="18" t="s">
        <v>8</v>
      </c>
      <c r="C718" s="18" t="s">
        <v>1153</v>
      </c>
      <c r="D718" s="19" t="str">
        <f ca="1">IFERROR(__xludf.DUMMYFUNCTION("GOOGLETRANSLATE(A718, ""ar"", ""en"")"),"Volkswagen")</f>
        <v>Volkswagen</v>
      </c>
      <c r="E718" s="19" t="str">
        <f ca="1">IFERROR(__xludf.DUMMYFUNCTION("GOOGLETRANSLATE(B718,""ar"",""en"")"),"-")</f>
        <v>-</v>
      </c>
      <c r="F718" s="19" t="str">
        <f ca="1">IFERROR(__xludf.DUMMYFUNCTION("GOOGLETRANSLATE(C718,""ar"",""en"")"),"Tiguan R -Line")</f>
        <v>Tiguan R -Line</v>
      </c>
      <c r="G718" t="e">
        <f ca="1">VLOOKUP(F:F,matching_transelated_with_ref!A:C,2,0)</f>
        <v>#N/A</v>
      </c>
      <c r="H718" t="str">
        <f>VLOOKUP(C:C,Sheet4!A:C,2,0)</f>
        <v>تيجوان</v>
      </c>
    </row>
    <row r="719" spans="1:8" ht="14.4">
      <c r="A719" s="18" t="s">
        <v>353</v>
      </c>
      <c r="B719" s="18" t="s">
        <v>8</v>
      </c>
      <c r="C719" s="18" t="s">
        <v>1154</v>
      </c>
      <c r="D719" s="19" t="str">
        <f ca="1">IFERROR(__xludf.DUMMYFUNCTION("GOOGLETRANSLATE(A719, ""ar"", ""en"")"),"Volkswagen")</f>
        <v>Volkswagen</v>
      </c>
      <c r="E719" s="19" t="str">
        <f ca="1">IFERROR(__xludf.DUMMYFUNCTION("GOOGLETRANSLATE(B719,""ar"",""en"")"),"-")</f>
        <v>-</v>
      </c>
      <c r="F719" s="19" t="str">
        <f ca="1">IFERROR(__xludf.DUMMYFUNCTION("GOOGLETRANSLATE(C719,""ar"",""en"")"),"Tiguan Trend")</f>
        <v>Tiguan Trend</v>
      </c>
      <c r="G719" t="e">
        <f ca="1">VLOOKUP(F:F,matching_transelated_with_ref!A:C,2,0)</f>
        <v>#N/A</v>
      </c>
      <c r="H719" t="str">
        <f>VLOOKUP(C:C,Sheet4!A:C,2,0)</f>
        <v>تيجوان</v>
      </c>
    </row>
    <row r="720" spans="1:8" ht="14.4">
      <c r="A720" s="18" t="s">
        <v>353</v>
      </c>
      <c r="B720" s="18" t="s">
        <v>8</v>
      </c>
      <c r="C720" s="18" t="s">
        <v>361</v>
      </c>
      <c r="D720" s="19" t="str">
        <f ca="1">IFERROR(__xludf.DUMMYFUNCTION("GOOGLETRANSLATE(A720, ""ar"", ""en"")"),"Volkswagen")</f>
        <v>Volkswagen</v>
      </c>
      <c r="E720" s="19" t="str">
        <f ca="1">IFERROR(__xludf.DUMMYFUNCTION("GOOGLETRANSLATE(B720,""ar"",""en"")"),"-")</f>
        <v>-</v>
      </c>
      <c r="F720" s="19" t="str">
        <f ca="1">IFERROR(__xludf.DUMMYFUNCTION("GOOGLETRANSLATE(C720,""ar"",""en"")"),"Tiguan SAL")</f>
        <v>Tiguan SAL</v>
      </c>
      <c r="G720" t="e">
        <f ca="1">VLOOKUP(F:F,matching_transelated_with_ref!A:C,2,0)</f>
        <v>#N/A</v>
      </c>
      <c r="H720" t="str">
        <f>VLOOKUP(C:C,Sheet4!A:C,2,0)</f>
        <v>تيجوان</v>
      </c>
    </row>
    <row r="721" spans="1:8" ht="14.4">
      <c r="A721" s="18" t="s">
        <v>353</v>
      </c>
      <c r="B721" s="18" t="s">
        <v>353</v>
      </c>
      <c r="C721" s="18" t="s">
        <v>1158</v>
      </c>
      <c r="D721" s="19" t="str">
        <f ca="1">IFERROR(__xludf.DUMMYFUNCTION("GOOGLETRANSLATE(A721, ""ar"", ""en"")"),"Volkswagen")</f>
        <v>Volkswagen</v>
      </c>
      <c r="E721" s="19" t="str">
        <f ca="1">IFERROR(__xludf.DUMMYFUNCTION("GOOGLETRANSLATE(B721,""ar"",""en"")"),"Volkswagen")</f>
        <v>Volkswagen</v>
      </c>
      <c r="F721" s="19" t="str">
        <f ca="1">IFERROR(__xludf.DUMMYFUNCTION("GOOGLETRANSLATE(C721,""ar"",""en"")"),"T -Rock Sport")</f>
        <v>T -Rock Sport</v>
      </c>
      <c r="G721" t="e">
        <f ca="1">VLOOKUP(F:F,matching_transelated_with_ref!A:C,2,0)</f>
        <v>#N/A</v>
      </c>
      <c r="H721" t="e">
        <f>VLOOKUP(C:C,Sheet4!A:C,2,0)</f>
        <v>#N/A</v>
      </c>
    </row>
    <row r="722" spans="1:8" ht="14.4">
      <c r="A722" s="18" t="s">
        <v>353</v>
      </c>
      <c r="B722" s="18" t="s">
        <v>8</v>
      </c>
      <c r="C722" s="18" t="s">
        <v>943</v>
      </c>
      <c r="D722" s="19" t="str">
        <f ca="1">IFERROR(__xludf.DUMMYFUNCTION("GOOGLETRANSLATE(A722, ""ar"", ""en"")"),"Volkswagen")</f>
        <v>Volkswagen</v>
      </c>
      <c r="E722" s="19" t="str">
        <f ca="1">IFERROR(__xludf.DUMMYFUNCTION("GOOGLETRANSLATE(B722,""ar"",""en"")"),"-")</f>
        <v>-</v>
      </c>
      <c r="F722" s="19" t="str">
        <f ca="1">IFERROR(__xludf.DUMMYFUNCTION("GOOGLETRANSLATE(C722,""ar"",""en"")"),"Passat Trend Line")</f>
        <v>Passat Trend Line</v>
      </c>
      <c r="G722" t="e">
        <f ca="1">VLOOKUP(F:F,matching_transelated_with_ref!A:C,2,0)</f>
        <v>#N/A</v>
      </c>
      <c r="H722" t="str">
        <f>VLOOKUP(C:C,Sheet4!A:C,2,0)</f>
        <v>باسات</v>
      </c>
    </row>
    <row r="723" spans="1:8" ht="14.4">
      <c r="A723" s="18" t="s">
        <v>353</v>
      </c>
      <c r="B723" s="18" t="s">
        <v>8</v>
      </c>
      <c r="C723" s="18" t="s">
        <v>358</v>
      </c>
      <c r="D723" s="19" t="str">
        <f ca="1">IFERROR(__xludf.DUMMYFUNCTION("GOOGLETRANSLATE(A723, ""ar"", ""en"")"),"Volkswagen")</f>
        <v>Volkswagen</v>
      </c>
      <c r="E723" s="19" t="str">
        <f ca="1">IFERROR(__xludf.DUMMYFUNCTION("GOOGLETRANSLATE(B723,""ar"",""en"")"),"-")</f>
        <v>-</v>
      </c>
      <c r="F723" s="19" t="str">
        <f ca="1">IFERROR(__xludf.DUMMYFUNCTION("GOOGLETRANSLATE(C723,""ar"",""en"")"),"Passet SEL")</f>
        <v>Passet SEL</v>
      </c>
      <c r="G723" t="e">
        <f ca="1">VLOOKUP(F:F,matching_transelated_with_ref!A:C,2,0)</f>
        <v>#N/A</v>
      </c>
      <c r="H723" t="str">
        <f>VLOOKUP(C:C,Sheet4!A:C,2,0)</f>
        <v>باسات</v>
      </c>
    </row>
    <row r="724" spans="1:8" ht="14.4">
      <c r="A724" s="18" t="s">
        <v>353</v>
      </c>
      <c r="B724" s="18" t="s">
        <v>8</v>
      </c>
      <c r="C724" s="18" t="s">
        <v>357</v>
      </c>
      <c r="D724" s="19" t="str">
        <f ca="1">IFERROR(__xludf.DUMMYFUNCTION("GOOGLETRANSLATE(A724, ""ar"", ""en"")"),"Volkswagen")</f>
        <v>Volkswagen</v>
      </c>
      <c r="E724" s="19" t="str">
        <f ca="1">IFERROR(__xludf.DUMMYFUNCTION("GOOGLETRANSLATE(B724,""ar"",""en"")"),"-")</f>
        <v>-</v>
      </c>
      <c r="F724" s="19" t="str">
        <f ca="1">IFERROR(__xludf.DUMMYFUNCTION("GOOGLETRANSLATE(C724,""ar"",""en"")"),"Passat SE")</f>
        <v>Passat SE</v>
      </c>
      <c r="G724" t="e">
        <f ca="1">VLOOKUP(F:F,matching_transelated_with_ref!A:C,2,0)</f>
        <v>#N/A</v>
      </c>
      <c r="H724" t="str">
        <f>VLOOKUP(C:C,Sheet4!A:C,2,0)</f>
        <v>باسات</v>
      </c>
    </row>
    <row r="725" spans="1:8" ht="14.4">
      <c r="A725" s="18" t="s">
        <v>353</v>
      </c>
      <c r="B725" s="18" t="s">
        <v>8</v>
      </c>
      <c r="C725" s="18" t="s">
        <v>356</v>
      </c>
      <c r="D725" s="19" t="str">
        <f ca="1">IFERROR(__xludf.DUMMYFUNCTION("GOOGLETRANSLATE(A725, ""ar"", ""en"")"),"Volkswagen")</f>
        <v>Volkswagen</v>
      </c>
      <c r="E725" s="19" t="str">
        <f ca="1">IFERROR(__xludf.DUMMYFUNCTION("GOOGLETRANSLATE(B725,""ar"",""en"")"),"-")</f>
        <v>-</v>
      </c>
      <c r="F725" s="19" t="str">
        <f ca="1">IFERROR(__xludf.DUMMYFUNCTION("GOOGLETRANSLATE(C725,""ar"",""en"")"),"Passat S")</f>
        <v>Passat S</v>
      </c>
      <c r="G725" t="str">
        <f ca="1">VLOOKUP(F:F,matching_transelated_with_ref!A:C,2,0)</f>
        <v>S</v>
      </c>
      <c r="H725" t="str">
        <f>VLOOKUP(C:C,Sheet4!A:C,2,0)</f>
        <v>باسات</v>
      </c>
    </row>
    <row r="726" spans="1:8" ht="14.4">
      <c r="A726" s="18" t="s">
        <v>353</v>
      </c>
      <c r="B726" s="18" t="s">
        <v>353</v>
      </c>
      <c r="C726" s="18" t="s">
        <v>1159</v>
      </c>
      <c r="D726" s="19" t="str">
        <f ca="1">IFERROR(__xludf.DUMMYFUNCTION("GOOGLETRANSLATE(A726, ""ar"", ""en"")"),"Volkswagen")</f>
        <v>Volkswagen</v>
      </c>
      <c r="E726" s="19" t="str">
        <f ca="1">IFERROR(__xludf.DUMMYFUNCTION("GOOGLETRANSLATE(B726,""ar"",""en"")"),"Volkswagen")</f>
        <v>Volkswagen</v>
      </c>
      <c r="F726" s="19" t="str">
        <f ca="1">IFERROR(__xludf.DUMMYFUNCTION("GOOGLETRANSLATE(C726,""ar"",""en"")"),"T -Rock Stayley")</f>
        <v>T -Rock Stayley</v>
      </c>
      <c r="G726" t="str">
        <f ca="1">VLOOKUP(F:F,matching_transelated_with_ref!A:C,2,0)</f>
        <v>T-ROC</v>
      </c>
      <c r="H726" t="e">
        <f>VLOOKUP(C:C,Sheet4!A:C,2,0)</f>
        <v>#N/A</v>
      </c>
    </row>
    <row r="727" spans="1:8" ht="14.4">
      <c r="A727" s="18" t="s">
        <v>353</v>
      </c>
      <c r="B727" s="18" t="s">
        <v>353</v>
      </c>
      <c r="C727" s="18" t="s">
        <v>1157</v>
      </c>
      <c r="D727" s="19" t="str">
        <f ca="1">IFERROR(__xludf.DUMMYFUNCTION("GOOGLETRANSLATE(A727, ""ar"", ""en"")"),"Volkswagen")</f>
        <v>Volkswagen</v>
      </c>
      <c r="E727" s="19" t="str">
        <f ca="1">IFERROR(__xludf.DUMMYFUNCTION("GOOGLETRANSLATE(B727,""ar"",""en"")"),"Volkswagen")</f>
        <v>Volkswagen</v>
      </c>
      <c r="F727" s="19" t="str">
        <f ca="1">IFERROR(__xludf.DUMMYFUNCTION("GOOGLETRANSLATE(C727,""ar"",""en"")"),"T -Rock Trend")</f>
        <v>T -Rock Trend</v>
      </c>
      <c r="G727" t="str">
        <f ca="1">VLOOKUP(F:F,matching_transelated_with_ref!A:C,2,0)</f>
        <v>T-ROC</v>
      </c>
      <c r="H727" t="e">
        <f>VLOOKUP(C:C,Sheet4!A:C,2,0)</f>
        <v>#N/A</v>
      </c>
    </row>
    <row r="728" spans="1:8" ht="14.4">
      <c r="A728" s="18" t="s">
        <v>678</v>
      </c>
      <c r="B728" s="18" t="s">
        <v>678</v>
      </c>
      <c r="C728" s="18" t="s">
        <v>682</v>
      </c>
      <c r="D728" s="19" t="str">
        <f ca="1">IFERROR(__xludf.DUMMYFUNCTION("GOOGLETRANSLATE(A728, ""ar"", ""en"")"),"Fiat")</f>
        <v>Fiat</v>
      </c>
      <c r="E728" s="19" t="str">
        <f ca="1">IFERROR(__xludf.DUMMYFUNCTION("GOOGLETRANSLATE(B728,""ar"",""en"")"),"Fiat")</f>
        <v>Fiat</v>
      </c>
      <c r="F728" s="19" t="str">
        <f ca="1">IFERROR(__xludf.DUMMYFUNCTION("GOOGLETRANSLATE(C728,""ar"",""en"")"),"550")</f>
        <v>550</v>
      </c>
      <c r="G728" t="e">
        <f ca="1">VLOOKUP(F:F,matching_transelated_with_ref!A:C,2,0)</f>
        <v>#N/A</v>
      </c>
      <c r="H728" t="e">
        <f>VLOOKUP(C:C,Sheet4!A:C,2,0)</f>
        <v>#N/A</v>
      </c>
    </row>
    <row r="729" spans="1:8" ht="14.4">
      <c r="A729" s="18" t="s">
        <v>678</v>
      </c>
      <c r="B729" s="18" t="s">
        <v>678</v>
      </c>
      <c r="C729" s="18" t="s">
        <v>947</v>
      </c>
      <c r="D729" s="19" t="str">
        <f ca="1">IFERROR(__xludf.DUMMYFUNCTION("GOOGLETRANSLATE(A729, ""ar"", ""en"")"),"Fiat")</f>
        <v>Fiat</v>
      </c>
      <c r="E729" s="19" t="str">
        <f ca="1">IFERROR(__xludf.DUMMYFUNCTION("GOOGLETRANSLATE(B729,""ar"",""en"")"),"Fiat")</f>
        <v>Fiat</v>
      </c>
      <c r="F729" s="19" t="str">
        <f ca="1">IFERROR(__xludf.DUMMYFUNCTION("GOOGLETRANSLATE(C729,""ar"",""en"")"),"500 X")</f>
        <v>500 X</v>
      </c>
      <c r="G729" t="str">
        <f ca="1">VLOOKUP(F:F,matching_transelated_with_ref!A:C,2,0)</f>
        <v>500X</v>
      </c>
      <c r="H729">
        <f>VLOOKUP(C:C,Sheet4!A:C,2,0)</f>
        <v>500</v>
      </c>
    </row>
    <row r="730" spans="1:8" ht="14.4">
      <c r="A730" s="18" t="s">
        <v>678</v>
      </c>
      <c r="B730" s="18" t="s">
        <v>678</v>
      </c>
      <c r="C730" s="18" t="s">
        <v>681</v>
      </c>
      <c r="D730" s="19" t="str">
        <f ca="1">IFERROR(__xludf.DUMMYFUNCTION("GOOGLETRANSLATE(A730, ""ar"", ""en"")"),"Fiat")</f>
        <v>Fiat</v>
      </c>
      <c r="E730" s="19" t="str">
        <f ca="1">IFERROR(__xludf.DUMMYFUNCTION("GOOGLETRANSLATE(B730,""ar"",""en"")"),"Fiat")</f>
        <v>Fiat</v>
      </c>
      <c r="F730" s="19" t="str">
        <f ca="1">IFERROR(__xludf.DUMMYFUNCTION("GOOGLETRANSLATE(C730,""ar"",""en"")"),"500")</f>
        <v>500</v>
      </c>
      <c r="G730" t="e">
        <f ca="1">VLOOKUP(F:F,matching_transelated_with_ref!A:C,2,0)</f>
        <v>#N/A</v>
      </c>
      <c r="H730" t="e">
        <f>VLOOKUP(C:C,Sheet4!A:C,2,0)</f>
        <v>#N/A</v>
      </c>
    </row>
    <row r="731" spans="1:8" ht="14.4">
      <c r="A731" s="18" t="s">
        <v>678</v>
      </c>
      <c r="B731" s="18" t="s">
        <v>678</v>
      </c>
      <c r="C731" s="18" t="s">
        <v>948</v>
      </c>
      <c r="D731" s="19" t="str">
        <f ca="1">IFERROR(__xludf.DUMMYFUNCTION("GOOGLETRANSLATE(A731, ""ar"", ""en"")"),"Fiat")</f>
        <v>Fiat</v>
      </c>
      <c r="E731" s="19" t="str">
        <f ca="1">IFERROR(__xludf.DUMMYFUNCTION("GOOGLETRANSLATE(B731,""ar"",""en"")"),"Fiat")</f>
        <v>Fiat</v>
      </c>
      <c r="F731" s="19" t="str">
        <f ca="1">IFERROR(__xludf.DUMMYFUNCTION("GOOGLETRANSLATE(C731,""ar"",""en"")"),"500 c 1.4 liters")</f>
        <v>500 c 1.4 liters</v>
      </c>
      <c r="G731" t="e">
        <f ca="1">VLOOKUP(F:F,matching_transelated_with_ref!A:C,2,0)</f>
        <v>#N/A</v>
      </c>
      <c r="H731" t="e">
        <f>VLOOKUP(C:C,Sheet4!A:C,2,0)</f>
        <v>#N/A</v>
      </c>
    </row>
    <row r="732" spans="1:8" ht="14.4">
      <c r="A732" s="18" t="s">
        <v>678</v>
      </c>
      <c r="B732" s="18" t="s">
        <v>678</v>
      </c>
      <c r="C732" s="18" t="s">
        <v>946</v>
      </c>
      <c r="D732" s="19" t="str">
        <f ca="1">IFERROR(__xludf.DUMMYFUNCTION("GOOGLETRANSLATE(A732, ""ar"", ""en"")"),"Fiat")</f>
        <v>Fiat</v>
      </c>
      <c r="E732" s="19" t="str">
        <f ca="1">IFERROR(__xludf.DUMMYFUNCTION("GOOGLETRANSLATE(B732,""ar"",""en"")"),"Fiat")</f>
        <v>Fiat</v>
      </c>
      <c r="F732" s="19" t="str">
        <f ca="1">IFERROR(__xludf.DUMMYFUNCTION("GOOGLETRANSLATE(C732,""ar"",""en"")")," 500 1.4 liters")</f>
        <v xml:space="preserve"> 500 1.4 liters</v>
      </c>
      <c r="G732" t="e">
        <f ca="1">VLOOKUP(F:F,matching_transelated_with_ref!A:C,2,0)</f>
        <v>#N/A</v>
      </c>
      <c r="H732">
        <f>VLOOKUP(C:C,Sheet4!A:C,2,0)</f>
        <v>500</v>
      </c>
    </row>
    <row r="733" spans="1:8" ht="14.4">
      <c r="A733" s="18" t="s">
        <v>678</v>
      </c>
      <c r="B733" s="18" t="s">
        <v>679</v>
      </c>
      <c r="C733" s="18" t="s">
        <v>680</v>
      </c>
      <c r="D733" s="19" t="str">
        <f ca="1">IFERROR(__xludf.DUMMYFUNCTION("GOOGLETRANSLATE(A733, ""ar"", ""en"")"),"Fiat")</f>
        <v>Fiat</v>
      </c>
      <c r="E733" s="19" t="str">
        <f ca="1">IFERROR(__xludf.DUMMYFUNCTION("GOOGLETRANSLATE(B733,""ar"",""en"")"),"Provenal")</f>
        <v>Provenal</v>
      </c>
      <c r="F733" s="19" t="str">
        <f ca="1">IFERROR(__xludf.DUMMYFUNCTION("GOOGLETRANSLATE(C733,""ar"",""en"")"),"Fioreno")</f>
        <v>Fioreno</v>
      </c>
      <c r="G733" t="e">
        <f ca="1">VLOOKUP(F:F,matching_transelated_with_ref!A:C,2,0)</f>
        <v>#N/A</v>
      </c>
      <c r="H733" t="str">
        <f>VLOOKUP(C:C,Sheet4!A:C,2,0)</f>
        <v>ميني باص - فيورينو</v>
      </c>
    </row>
    <row r="734" spans="1:8" ht="14.4">
      <c r="A734" s="18" t="s">
        <v>82</v>
      </c>
      <c r="B734" s="18" t="s">
        <v>62</v>
      </c>
      <c r="C734" s="18" t="s">
        <v>84</v>
      </c>
      <c r="D734" s="19" t="str">
        <f ca="1">IFERROR(__xludf.DUMMYFUNCTION("GOOGLETRANSLATE(A734, ""ar"", ""en"")"),"Fiat Chrysler")</f>
        <v>Fiat Chrysler</v>
      </c>
      <c r="E734" s="19" t="str">
        <f ca="1">IFERROR(__xludf.DUMMYFUNCTION("GOOGLETRANSLATE(B734,""ar"",""en"")"),"Dodge")</f>
        <v>Dodge</v>
      </c>
      <c r="F734" s="19" t="str">
        <f ca="1">IFERROR(__xludf.DUMMYFUNCTION("GOOGLETRANSLATE(C734,""ar"",""en"")"),"RAM 1200 4*4")</f>
        <v>RAM 1200 4*4</v>
      </c>
      <c r="G734" t="e">
        <f ca="1">VLOOKUP(F:F,matching_transelated_with_ref!A:C,2,0)</f>
        <v>#N/A</v>
      </c>
      <c r="H734" t="e">
        <f>VLOOKUP(C:C,Sheet4!A:C,2,0)</f>
        <v>#N/A</v>
      </c>
    </row>
    <row r="735" spans="1:8" ht="14.4">
      <c r="A735" s="18" t="s">
        <v>82</v>
      </c>
      <c r="B735" s="18" t="s">
        <v>62</v>
      </c>
      <c r="C735" s="18" t="s">
        <v>83</v>
      </c>
      <c r="D735" s="19" t="str">
        <f ca="1">IFERROR(__xludf.DUMMYFUNCTION("GOOGLETRANSLATE(A735, ""ar"", ""en"")"),"Fiat Chrysler")</f>
        <v>Fiat Chrysler</v>
      </c>
      <c r="E735" s="19" t="str">
        <f ca="1">IFERROR(__xludf.DUMMYFUNCTION("GOOGLETRANSLATE(B735,""ar"",""en"")"),"Dodge")</f>
        <v>Dodge</v>
      </c>
      <c r="F735" s="19" t="str">
        <f ca="1">IFERROR(__xludf.DUMMYFUNCTION("GOOGLETRANSLATE(C735,""ar"",""en"")"),"RAM 1200 4*2")</f>
        <v>RAM 1200 4*2</v>
      </c>
      <c r="G735" t="e">
        <f ca="1">VLOOKUP(F:F,matching_transelated_with_ref!A:C,2,0)</f>
        <v>#N/A</v>
      </c>
      <c r="H735" t="e">
        <f>VLOOKUP(C:C,Sheet4!A:C,2,0)</f>
        <v>#N/A</v>
      </c>
    </row>
    <row r="736" spans="1:8" ht="14.4">
      <c r="A736" s="18" t="s">
        <v>369</v>
      </c>
      <c r="B736" s="18" t="s">
        <v>370</v>
      </c>
      <c r="C736" s="18" t="s">
        <v>1161</v>
      </c>
      <c r="D736" s="19" t="str">
        <f ca="1">IFERROR(__xludf.DUMMYFUNCTION("GOOGLETRANSLATE(A736, ""ar"", ""en"")"),"Ferrary + Maserati Ay")</f>
        <v>Ferrary + Maserati Ay</v>
      </c>
      <c r="E736" s="19" t="str">
        <f ca="1">IFERROR(__xludf.DUMMYFUNCTION("GOOGLETRANSLATE(B736,""ar"",""en"")"),"Ferrari")</f>
        <v>Ferrari</v>
      </c>
      <c r="F736" s="19" t="str">
        <f ca="1">IFERROR(__xludf.DUMMYFUNCTION("GOOGLETRANSLATE(C736,""ar"",""en"")"),"812 GTS")</f>
        <v>812 GTS</v>
      </c>
      <c r="G736" t="str">
        <f ca="1">VLOOKUP(F:F,matching_transelated_with_ref!A:C,2,0)</f>
        <v>812 GTS</v>
      </c>
      <c r="H736" t="e">
        <f>VLOOKUP(C:C,Sheet4!A:C,2,0)</f>
        <v>#N/A</v>
      </c>
    </row>
    <row r="737" spans="1:8" ht="14.4">
      <c r="A737" s="18" t="s">
        <v>369</v>
      </c>
      <c r="B737" s="18" t="s">
        <v>370</v>
      </c>
      <c r="C737" s="18" t="s">
        <v>371</v>
      </c>
      <c r="D737" s="19" t="str">
        <f ca="1">IFERROR(__xludf.DUMMYFUNCTION("GOOGLETRANSLATE(A737, ""ar"", ""en"")"),"Ferrary + Maserati Ay")</f>
        <v>Ferrary + Maserati Ay</v>
      </c>
      <c r="E737" s="19" t="str">
        <f ca="1">IFERROR(__xludf.DUMMYFUNCTION("GOOGLETRANSLATE(B737,""ar"",""en"")"),"Ferrari")</f>
        <v>Ferrari</v>
      </c>
      <c r="F737" s="19" t="str">
        <f ca="1">IFERROR(__xludf.DUMMYFUNCTION("GOOGLETRANSLATE(C737,""ar"",""en"")"),"812 Supervast")</f>
        <v>812 Supervast</v>
      </c>
      <c r="G737" t="str">
        <f ca="1">VLOOKUP(F:F,matching_transelated_with_ref!A:C,2,0)</f>
        <v>812 Superfast MY18</v>
      </c>
      <c r="H737" t="e">
        <f>VLOOKUP(C:C,Sheet4!A:C,2,0)</f>
        <v>#N/A</v>
      </c>
    </row>
    <row r="738" spans="1:8" ht="14.4">
      <c r="A738" s="18" t="s">
        <v>369</v>
      </c>
      <c r="B738" s="18" t="s">
        <v>370</v>
      </c>
      <c r="C738" s="18" t="s">
        <v>683</v>
      </c>
      <c r="D738" s="19" t="str">
        <f ca="1">IFERROR(__xludf.DUMMYFUNCTION("GOOGLETRANSLATE(A738, ""ar"", ""en"")"),"Ferrary + Maserati Ay")</f>
        <v>Ferrary + Maserati Ay</v>
      </c>
      <c r="E738" s="19" t="str">
        <f ca="1">IFERROR(__xludf.DUMMYFUNCTION("GOOGLETRANSLATE(B738,""ar"",""en"")"),"Ferrari")</f>
        <v>Ferrari</v>
      </c>
      <c r="F738" s="19" t="str">
        <f ca="1">IFERROR(__xludf.DUMMYFUNCTION("GOOGLETRANSLATE(C738,""ar"",""en"")"),"488 Besta")</f>
        <v>488 Besta</v>
      </c>
      <c r="G738" t="e">
        <f ca="1">VLOOKUP(F:F,matching_transelated_with_ref!A:C,2,0)</f>
        <v>#N/A</v>
      </c>
      <c r="H738" t="e">
        <f>VLOOKUP(C:C,Sheet4!A:C,2,0)</f>
        <v>#N/A</v>
      </c>
    </row>
    <row r="739" spans="1:8" ht="14.4">
      <c r="A739" s="18" t="s">
        <v>369</v>
      </c>
      <c r="B739" s="18" t="s">
        <v>370</v>
      </c>
      <c r="C739" s="18" t="s">
        <v>949</v>
      </c>
      <c r="D739" s="19" t="str">
        <f ca="1">IFERROR(__xludf.DUMMYFUNCTION("GOOGLETRANSLATE(A739, ""ar"", ""en"")"),"Ferrary + Maserati Ay")</f>
        <v>Ferrary + Maserati Ay</v>
      </c>
      <c r="E739" s="19" t="str">
        <f ca="1">IFERROR(__xludf.DUMMYFUNCTION("GOOGLETRANSLATE(B739,""ar"",""en"")"),"Ferrari")</f>
        <v>Ferrari</v>
      </c>
      <c r="F739" s="19" t="str">
        <f ca="1">IFERROR(__xludf.DUMMYFUNCTION("GOOGLETRANSLATE(C739,""ar"",""en"")"),"F8")</f>
        <v>F8</v>
      </c>
      <c r="G739" t="str">
        <f ca="1">VLOOKUP(F:F,matching_transelated_with_ref!A:C,2,0)</f>
        <v>F8 TRIBUTO</v>
      </c>
      <c r="H739" t="e">
        <f>VLOOKUP(C:C,Sheet4!A:C,2,0)</f>
        <v>#N/A</v>
      </c>
    </row>
    <row r="740" spans="1:8" ht="14.4">
      <c r="A740" s="18" t="s">
        <v>85</v>
      </c>
      <c r="B740" s="18" t="s">
        <v>43</v>
      </c>
      <c r="C740" s="18" t="s">
        <v>1171</v>
      </c>
      <c r="D740" s="19" t="str">
        <f ca="1">IFERROR(__xludf.DUMMYFUNCTION("GOOGLETRANSLATE(A740, ""ar"", ""en"")"),"Carterler")</f>
        <v>Carterler</v>
      </c>
      <c r="E740" s="19" t="str">
        <f ca="1">IFERROR(__xludf.DUMMYFUNCTION("GOOGLETRANSLATE(B740,""ar"",""en"")"),"stomach")</f>
        <v>stomach</v>
      </c>
      <c r="F740" s="19" t="str">
        <f ca="1">IFERROR(__xludf.DUMMYFUNCTION("GOOGLETRANSLATE(C740,""ar"",""en"")"),"D9GC")</f>
        <v>D9GC</v>
      </c>
      <c r="G740" t="e">
        <f ca="1">VLOOKUP(F:F,matching_transelated_with_ref!A:C,2,0)</f>
        <v>#N/A</v>
      </c>
      <c r="H740" t="e">
        <f>VLOOKUP(C:C,Sheet4!A:C,2,0)</f>
        <v>#N/A</v>
      </c>
    </row>
    <row r="741" spans="1:8" ht="14.4">
      <c r="A741" s="18" t="s">
        <v>85</v>
      </c>
      <c r="B741" s="18" t="s">
        <v>43</v>
      </c>
      <c r="C741" s="18" t="s">
        <v>380</v>
      </c>
      <c r="D741" s="19" t="str">
        <f ca="1">IFERROR(__xludf.DUMMYFUNCTION("GOOGLETRANSLATE(A741, ""ar"", ""en"")"),"Carterler")</f>
        <v>Carterler</v>
      </c>
      <c r="E741" s="19" t="str">
        <f ca="1">IFERROR(__xludf.DUMMYFUNCTION("GOOGLETRANSLATE(B741,""ar"",""en"")"),"stomach")</f>
        <v>stomach</v>
      </c>
      <c r="F741" s="19" t="str">
        <f ca="1">IFERROR(__xludf.DUMMYFUNCTION("GOOGLETRANSLATE(C741,""ar"",""en"")"),"D9R")</f>
        <v>D9R</v>
      </c>
      <c r="G741" t="e">
        <f ca="1">VLOOKUP(F:F,matching_transelated_with_ref!A:C,2,0)</f>
        <v>#N/A</v>
      </c>
      <c r="H741" t="e">
        <f>VLOOKUP(C:C,Sheet4!A:C,2,0)</f>
        <v>#N/A</v>
      </c>
    </row>
    <row r="742" spans="1:8" ht="14.4">
      <c r="A742" s="18" t="s">
        <v>85</v>
      </c>
      <c r="B742" s="18" t="s">
        <v>66</v>
      </c>
      <c r="C742" s="18" t="s">
        <v>374</v>
      </c>
      <c r="D742" s="19" t="str">
        <f ca="1">IFERROR(__xludf.DUMMYFUNCTION("GOOGLETRANSLATE(A742, ""ar"", ""en"")"),"Carterler")</f>
        <v>Carterler</v>
      </c>
      <c r="E742" s="19" t="str">
        <f ca="1">IFERROR(__xludf.DUMMYFUNCTION("GOOGLETRANSLATE(B742,""ar"",""en"")"),"stomach")</f>
        <v>stomach</v>
      </c>
      <c r="F742" s="19" t="str">
        <f ca="1">IFERROR(__xludf.DUMMYFUNCTION("GOOGLETRANSLATE(C742,""ar"",""en"")"),"745 c")</f>
        <v>745 c</v>
      </c>
      <c r="G742" t="e">
        <f ca="1">VLOOKUP(F:F,matching_transelated_with_ref!A:C,2,0)</f>
        <v>#N/A</v>
      </c>
      <c r="H742" t="e">
        <f>VLOOKUP(C:C,Sheet4!A:C,2,0)</f>
        <v>#N/A</v>
      </c>
    </row>
    <row r="743" spans="1:8" ht="14.4">
      <c r="A743" s="18" t="s">
        <v>85</v>
      </c>
      <c r="B743" s="18" t="s">
        <v>43</v>
      </c>
      <c r="C743" s="18" t="s">
        <v>379</v>
      </c>
      <c r="D743" s="19" t="str">
        <f ca="1">IFERROR(__xludf.DUMMYFUNCTION("GOOGLETRANSLATE(A743, ""ar"", ""en"")"),"Carterler")</f>
        <v>Carterler</v>
      </c>
      <c r="E743" s="19" t="str">
        <f ca="1">IFERROR(__xludf.DUMMYFUNCTION("GOOGLETRANSLATE(B743,""ar"",""en"")"),"stomach")</f>
        <v>stomach</v>
      </c>
      <c r="F743" s="19" t="str">
        <f ca="1">IFERROR(__xludf.DUMMYFUNCTION("GOOGLETRANSLATE(C743,""ar"",""en"")"),"D8 R.")</f>
        <v>D8 R.</v>
      </c>
      <c r="G743" t="e">
        <f ca="1">VLOOKUP(F:F,matching_transelated_with_ref!A:C,2,0)</f>
        <v>#N/A</v>
      </c>
      <c r="H743" t="e">
        <f>VLOOKUP(C:C,Sheet4!A:C,2,0)</f>
        <v>#N/A</v>
      </c>
    </row>
    <row r="744" spans="1:8" ht="14.4">
      <c r="A744" s="18" t="s">
        <v>85</v>
      </c>
      <c r="B744" s="18" t="s">
        <v>43</v>
      </c>
      <c r="C744" s="18" t="s">
        <v>376</v>
      </c>
      <c r="D744" s="19" t="str">
        <f ca="1">IFERROR(__xludf.DUMMYFUNCTION("GOOGLETRANSLATE(A744, ""ar"", ""en"")"),"Carterler")</f>
        <v>Carterler</v>
      </c>
      <c r="E744" s="19" t="str">
        <f ca="1">IFERROR(__xludf.DUMMYFUNCTION("GOOGLETRANSLATE(B744,""ar"",""en"")"),"stomach")</f>
        <v>stomach</v>
      </c>
      <c r="F744" s="19" t="str">
        <f ca="1">IFERROR(__xludf.DUMMYFUNCTION("GOOGLETRANSLATE(C744,""ar"",""en"")"),"BM 620")</f>
        <v>BM 620</v>
      </c>
      <c r="G744" t="e">
        <f ca="1">VLOOKUP(F:F,matching_transelated_with_ref!A:C,2,0)</f>
        <v>#N/A</v>
      </c>
      <c r="H744" t="e">
        <f>VLOOKUP(C:C,Sheet4!A:C,2,0)</f>
        <v>#N/A</v>
      </c>
    </row>
    <row r="745" spans="1:8" ht="14.4">
      <c r="A745" s="18" t="s">
        <v>85</v>
      </c>
      <c r="B745" s="18" t="s">
        <v>66</v>
      </c>
      <c r="C745" s="18" t="s">
        <v>684</v>
      </c>
      <c r="D745" s="19" t="str">
        <f ca="1">IFERROR(__xludf.DUMMYFUNCTION("GOOGLETRANSLATE(A745, ""ar"", ""en"")"),"Carterler")</f>
        <v>Carterler</v>
      </c>
      <c r="E745" s="19" t="str">
        <f ca="1">IFERROR(__xludf.DUMMYFUNCTION("GOOGLETRANSLATE(B745,""ar"",""en"")"),"stomach")</f>
        <v>stomach</v>
      </c>
      <c r="F745" s="19" t="str">
        <f ca="1">IFERROR(__xludf.DUMMYFUNCTION("GOOGLETRANSLATE(C745,""ar"",""en"")"),"349 D2 th")</f>
        <v>349 D2 th</v>
      </c>
      <c r="G745" t="e">
        <f ca="1">VLOOKUP(F:F,matching_transelated_with_ref!A:C,2,0)</f>
        <v>#N/A</v>
      </c>
      <c r="H745">
        <f>VLOOKUP(C:C,Sheet4!A:C,2,0)</f>
        <v>2</v>
      </c>
    </row>
    <row r="746" spans="1:8" ht="14.4">
      <c r="A746" s="18" t="s">
        <v>85</v>
      </c>
      <c r="B746" s="18" t="s">
        <v>43</v>
      </c>
      <c r="C746" s="18" t="s">
        <v>688</v>
      </c>
      <c r="D746" s="19" t="str">
        <f ca="1">IFERROR(__xludf.DUMMYFUNCTION("GOOGLETRANSLATE(A746, ""ar"", ""en"")"),"Carterler")</f>
        <v>Carterler</v>
      </c>
      <c r="E746" s="19" t="str">
        <f ca="1">IFERROR(__xludf.DUMMYFUNCTION("GOOGLETRANSLATE(B746,""ar"",""en"")"),"stomach")</f>
        <v>stomach</v>
      </c>
      <c r="F746" s="19" t="str">
        <f ca="1">IFERROR(__xludf.DUMMYFUNCTION("GOOGLETRANSLATE(C746,""ar"",""en"")"),"349-07 B")</f>
        <v>349-07 B</v>
      </c>
      <c r="G746" t="e">
        <f ca="1">VLOOKUP(F:F,matching_transelated_with_ref!A:C,2,0)</f>
        <v>#N/A</v>
      </c>
      <c r="H746" t="e">
        <f>VLOOKUP(C:C,Sheet4!A:C,2,0)</f>
        <v>#N/A</v>
      </c>
    </row>
    <row r="747" spans="1:8" ht="14.4">
      <c r="A747" s="18" t="s">
        <v>85</v>
      </c>
      <c r="B747" s="18" t="s">
        <v>43</v>
      </c>
      <c r="C747" s="18" t="s">
        <v>1399</v>
      </c>
      <c r="D747" s="19" t="str">
        <f ca="1">IFERROR(__xludf.DUMMYFUNCTION("GOOGLETRANSLATE(A747, ""ar"", ""en"")"),"Carterler")</f>
        <v>Carterler</v>
      </c>
      <c r="E747" s="19" t="str">
        <f ca="1">IFERROR(__xludf.DUMMYFUNCTION("GOOGLETRANSLATE(B747,""ar"",""en"")"),"stomach")</f>
        <v>stomach</v>
      </c>
      <c r="F747" s="19" t="str">
        <f ca="1">IFERROR(__xludf.DUMMYFUNCTION("GOOGLETRANSLATE(C747,""ar"",""en"")"),"A 08-352")</f>
        <v>A 08-352</v>
      </c>
      <c r="G747" t="e">
        <f ca="1">VLOOKUP(F:F,matching_transelated_with_ref!A:C,2,0)</f>
        <v>#N/A</v>
      </c>
      <c r="H747" t="str">
        <f>VLOOKUP(C:C,Sheet4!A:C,2,0)</f>
        <v>اير</v>
      </c>
    </row>
    <row r="748" spans="1:8" ht="14.4">
      <c r="A748" s="18" t="s">
        <v>85</v>
      </c>
      <c r="B748" s="18" t="s">
        <v>43</v>
      </c>
      <c r="C748" s="18" t="s">
        <v>1167</v>
      </c>
      <c r="D748" s="19" t="str">
        <f ca="1">IFERROR(__xludf.DUMMYFUNCTION("GOOGLETRANSLATE(A748, ""ar"", ""en"")"),"Carterler")</f>
        <v>Carterler</v>
      </c>
      <c r="E748" s="19" t="str">
        <f ca="1">IFERROR(__xludf.DUMMYFUNCTION("GOOGLETRANSLATE(B748,""ar"",""en"")"),"stomach")</f>
        <v>stomach</v>
      </c>
      <c r="F748" s="19" t="str">
        <f ca="1">IFERROR(__xludf.DUMMYFUNCTION("GOOGLETRANSLATE(C748,""ar"",""en"")"),"349-07 C.")</f>
        <v>349-07 C.</v>
      </c>
      <c r="G748" t="e">
        <f ca="1">VLOOKUP(F:F,matching_transelated_with_ref!A:C,2,0)</f>
        <v>#N/A</v>
      </c>
      <c r="H748" t="e">
        <f>VLOOKUP(C:C,Sheet4!A:C,2,0)</f>
        <v>#N/A</v>
      </c>
    </row>
    <row r="749" spans="1:8" ht="14.4">
      <c r="A749" s="18" t="s">
        <v>85</v>
      </c>
      <c r="B749" s="18" t="s">
        <v>66</v>
      </c>
      <c r="C749" s="18" t="s">
        <v>372</v>
      </c>
      <c r="D749" s="19" t="str">
        <f ca="1">IFERROR(__xludf.DUMMYFUNCTION("GOOGLETRANSLATE(A749, ""ar"", ""en"")"),"Carterler")</f>
        <v>Carterler</v>
      </c>
      <c r="E749" s="19" t="str">
        <f ca="1">IFERROR(__xludf.DUMMYFUNCTION("GOOGLETRANSLATE(B749,""ar"",""en"")"),"stomach")</f>
        <v>stomach</v>
      </c>
      <c r="F749" s="19" t="str">
        <f ca="1">IFERROR(__xludf.DUMMYFUNCTION("GOOGLETRANSLATE(C749,""ar"",""en"")"),"14 th")</f>
        <v>14 th</v>
      </c>
      <c r="G749" t="e">
        <f ca="1">VLOOKUP(F:F,matching_transelated_with_ref!A:C,2,0)</f>
        <v>#N/A</v>
      </c>
      <c r="H749" t="e">
        <f>VLOOKUP(C:C,Sheet4!A:C,2,0)</f>
        <v>#N/A</v>
      </c>
    </row>
    <row r="750" spans="1:8" ht="14.4">
      <c r="A750" s="18" t="s">
        <v>85</v>
      </c>
      <c r="B750" s="18" t="s">
        <v>66</v>
      </c>
      <c r="C750" s="18" t="s">
        <v>685</v>
      </c>
      <c r="D750" s="19" t="str">
        <f ca="1">IFERROR(__xludf.DUMMYFUNCTION("GOOGLETRANSLATE(A750, ""ar"", ""en"")"),"Carterler")</f>
        <v>Carterler</v>
      </c>
      <c r="E750" s="19" t="str">
        <f ca="1">IFERROR(__xludf.DUMMYFUNCTION("GOOGLETRANSLATE(B750,""ar"",""en"")"),"stomach")</f>
        <v>stomach</v>
      </c>
      <c r="F750" s="19" t="str">
        <f ca="1">IFERROR(__xludf.DUMMYFUNCTION("GOOGLETRANSLATE(C750,""ar"",""en"")"),"D6R")</f>
        <v>D6R</v>
      </c>
      <c r="G750" t="e">
        <f ca="1">VLOOKUP(F:F,matching_transelated_with_ref!A:C,2,0)</f>
        <v>#N/A</v>
      </c>
      <c r="H750">
        <f>VLOOKUP(C:C,Sheet4!A:C,2,0)</f>
        <v>6</v>
      </c>
    </row>
    <row r="751" spans="1:8" ht="14.4">
      <c r="A751" s="18" t="s">
        <v>85</v>
      </c>
      <c r="B751" s="18" t="s">
        <v>43</v>
      </c>
      <c r="C751" s="18" t="s">
        <v>955</v>
      </c>
      <c r="D751" s="19" t="str">
        <f ca="1">IFERROR(__xludf.DUMMYFUNCTION("GOOGLETRANSLATE(A751, ""ar"", ""en"")"),"Carterler")</f>
        <v>Carterler</v>
      </c>
      <c r="E751" s="19" t="str">
        <f ca="1">IFERROR(__xludf.DUMMYFUNCTION("GOOGLETRANSLATE(B751,""ar"",""en"")"),"stomach")</f>
        <v>stomach</v>
      </c>
      <c r="F751" s="19" t="str">
        <f ca="1">IFERROR(__xludf.DUMMYFUNCTION("GOOGLETRANSLATE(C751,""ar"",""en"")"),"AB 655 F")</f>
        <v>AB 655 F</v>
      </c>
      <c r="G751" t="e">
        <f ca="1">VLOOKUP(F:F,matching_transelated_with_ref!A:C,2,0)</f>
        <v>#N/A</v>
      </c>
      <c r="H751" t="e">
        <f>VLOOKUP(C:C,Sheet4!A:C,2,0)</f>
        <v>#N/A</v>
      </c>
    </row>
    <row r="752" spans="1:8" ht="14.4">
      <c r="A752" s="18" t="s">
        <v>85</v>
      </c>
      <c r="B752" s="18" t="s">
        <v>43</v>
      </c>
      <c r="C752" s="18" t="s">
        <v>375</v>
      </c>
      <c r="D752" s="19" t="str">
        <f ca="1">IFERROR(__xludf.DUMMYFUNCTION("GOOGLETRANSLATE(A752, ""ar"", ""en"")"),"Carterler")</f>
        <v>Carterler</v>
      </c>
      <c r="E752" s="19" t="str">
        <f ca="1">IFERROR(__xludf.DUMMYFUNCTION("GOOGLETRANSLATE(B752,""ar"",""en"")"),"stomach")</f>
        <v>stomach</v>
      </c>
      <c r="F752" s="19" t="str">
        <f ca="1">IFERROR(__xludf.DUMMYFUNCTION("GOOGLETRANSLATE(C752,""ar"",""en"")"),"966 th")</f>
        <v>966 th</v>
      </c>
      <c r="G752" t="e">
        <f ca="1">VLOOKUP(F:F,matching_transelated_with_ref!A:C,2,0)</f>
        <v>#N/A</v>
      </c>
      <c r="H752" t="e">
        <f>VLOOKUP(C:C,Sheet4!A:C,2,0)</f>
        <v>#N/A</v>
      </c>
    </row>
    <row r="753" spans="1:8" ht="14.4">
      <c r="A753" s="18" t="s">
        <v>85</v>
      </c>
      <c r="B753" s="18" t="s">
        <v>43</v>
      </c>
      <c r="C753" s="18" t="s">
        <v>1166</v>
      </c>
      <c r="D753" s="19" t="str">
        <f ca="1">IFERROR(__xludf.DUMMYFUNCTION("GOOGLETRANSLATE(A753, ""ar"", ""en"")"),"Carterler")</f>
        <v>Carterler</v>
      </c>
      <c r="E753" s="19" t="str">
        <f ca="1">IFERROR(__xludf.DUMMYFUNCTION("GOOGLETRANSLATE(B753,""ar"",""en"")"),"stomach")</f>
        <v>stomach</v>
      </c>
      <c r="F753" s="19" t="str">
        <f ca="1">IFERROR(__xludf.DUMMYFUNCTION("GOOGLETRANSLATE(C753,""ar"",""en"")"),"345 GC")</f>
        <v>345 GC</v>
      </c>
      <c r="G753" t="e">
        <f ca="1">VLOOKUP(F:F,matching_transelated_with_ref!A:C,2,0)</f>
        <v>#N/A</v>
      </c>
      <c r="H753" t="e">
        <f>VLOOKUP(C:C,Sheet4!A:C,2,0)</f>
        <v>#N/A</v>
      </c>
    </row>
    <row r="754" spans="1:8" ht="14.4">
      <c r="A754" s="18" t="s">
        <v>85</v>
      </c>
      <c r="B754" s="18" t="s">
        <v>43</v>
      </c>
      <c r="C754" s="18" t="s">
        <v>697</v>
      </c>
      <c r="D754" s="19" t="str">
        <f ca="1">IFERROR(__xludf.DUMMYFUNCTION("GOOGLETRANSLATE(A754, ""ar"", ""en"")"),"Carterler")</f>
        <v>Carterler</v>
      </c>
      <c r="E754" s="19" t="str">
        <f ca="1">IFERROR(__xludf.DUMMYFUNCTION("GOOGLETRANSLATE(B754,""ar"",""en"")"),"stomach")</f>
        <v>stomach</v>
      </c>
      <c r="F754" s="19" t="str">
        <f ca="1">IFERROR(__xludf.DUMMYFUNCTION("GOOGLETRANSLATE(C754,""ar"",""en"")"),"K 160")</f>
        <v>K 160</v>
      </c>
      <c r="G754" t="e">
        <f ca="1">VLOOKUP(F:F,matching_transelated_with_ref!A:C,2,0)</f>
        <v>#N/A</v>
      </c>
      <c r="H754" t="e">
        <f>VLOOKUP(C:C,Sheet4!A:C,2,0)</f>
        <v>#N/A</v>
      </c>
    </row>
    <row r="755" spans="1:8" ht="14.4">
      <c r="A755" s="18" t="s">
        <v>85</v>
      </c>
      <c r="B755" s="18" t="s">
        <v>43</v>
      </c>
      <c r="C755" s="18" t="s">
        <v>1168</v>
      </c>
      <c r="D755" s="19" t="str">
        <f ca="1">IFERROR(__xludf.DUMMYFUNCTION("GOOGLETRANSLATE(A755, ""ar"", ""en"")"),"Carterler")</f>
        <v>Carterler</v>
      </c>
      <c r="E755" s="19" t="str">
        <f ca="1">IFERROR(__xludf.DUMMYFUNCTION("GOOGLETRANSLATE(B755,""ar"",""en"")"),"stomach")</f>
        <v>stomach</v>
      </c>
      <c r="F755" s="19" t="str">
        <f ca="1">IFERROR(__xludf.DUMMYFUNCTION("GOOGLETRANSLATE(C755,""ar"",""en"")"),"966 GC")</f>
        <v>966 GC</v>
      </c>
      <c r="G755" t="e">
        <f ca="1">VLOOKUP(F:F,matching_transelated_with_ref!A:C,2,0)</f>
        <v>#N/A</v>
      </c>
      <c r="H755" t="e">
        <f>VLOOKUP(C:C,Sheet4!A:C,2,0)</f>
        <v>#N/A</v>
      </c>
    </row>
    <row r="756" spans="1:8" ht="14.4">
      <c r="A756" s="18" t="s">
        <v>85</v>
      </c>
      <c r="B756" s="18" t="s">
        <v>43</v>
      </c>
      <c r="C756" s="18" t="s">
        <v>690</v>
      </c>
      <c r="D756" s="19" t="str">
        <f ca="1">IFERROR(__xludf.DUMMYFUNCTION("GOOGLETRANSLATE(A756, ""ar"", ""en"")"),"Carterler")</f>
        <v>Carterler</v>
      </c>
      <c r="E756" s="19" t="str">
        <f ca="1">IFERROR(__xludf.DUMMYFUNCTION("GOOGLETRANSLATE(B756,""ar"",""en"")"),"stomach")</f>
        <v>stomach</v>
      </c>
      <c r="F756" s="19" t="str">
        <f ca="1">IFERROR(__xludf.DUMMYFUNCTION("GOOGLETRANSLATE(C756,""ar"",""en"")"),"950 th")</f>
        <v>950 th</v>
      </c>
      <c r="G756" t="e">
        <f ca="1">VLOOKUP(F:F,matching_transelated_with_ref!A:C,2,0)</f>
        <v>#N/A</v>
      </c>
      <c r="H756" t="e">
        <f>VLOOKUP(C:C,Sheet4!A:C,2,0)</f>
        <v>#N/A</v>
      </c>
    </row>
    <row r="757" spans="1:8" ht="14.4">
      <c r="A757" s="18" t="s">
        <v>85</v>
      </c>
      <c r="B757" s="18" t="s">
        <v>43</v>
      </c>
      <c r="C757" s="18" t="s">
        <v>691</v>
      </c>
      <c r="D757" s="19" t="str">
        <f ca="1">IFERROR(__xludf.DUMMYFUNCTION("GOOGLETRANSLATE(A757, ""ar"", ""en"")"),"Carterler")</f>
        <v>Carterler</v>
      </c>
      <c r="E757" s="19" t="str">
        <f ca="1">IFERROR(__xludf.DUMMYFUNCTION("GOOGLETRANSLATE(B757,""ar"",""en"")"),"stomach")</f>
        <v>stomach</v>
      </c>
      <c r="F757" s="19" t="str">
        <f ca="1">IFERROR(__xludf.DUMMYFUNCTION("GOOGLETRANSLATE(C757,""ar"",""en"")"),"950 GC")</f>
        <v>950 GC</v>
      </c>
      <c r="G757" t="e">
        <f ca="1">VLOOKUP(F:F,matching_transelated_with_ref!A:C,2,0)</f>
        <v>#N/A</v>
      </c>
      <c r="H757" t="e">
        <f>VLOOKUP(C:C,Sheet4!A:C,2,0)</f>
        <v>#N/A</v>
      </c>
    </row>
    <row r="758" spans="1:8" ht="14.4">
      <c r="A758" s="18" t="s">
        <v>85</v>
      </c>
      <c r="B758" s="18" t="s">
        <v>66</v>
      </c>
      <c r="C758" s="18" t="s">
        <v>950</v>
      </c>
      <c r="D758" s="19" t="str">
        <f ca="1">IFERROR(__xludf.DUMMYFUNCTION("GOOGLETRANSLATE(A758, ""ar"", ""en"")"),"Carterler")</f>
        <v>Carterler</v>
      </c>
      <c r="E758" s="19" t="str">
        <f ca="1">IFERROR(__xludf.DUMMYFUNCTION("GOOGLETRANSLATE(B758,""ar"",""en"")"),"stomach")</f>
        <v>stomach</v>
      </c>
      <c r="F758" s="19" t="str">
        <f ca="1">IFERROR(__xludf.DUMMYFUNCTION("GOOGLETRANSLATE(C758,""ar"",""en"")"),"930 k")</f>
        <v>930 k</v>
      </c>
      <c r="G758" t="e">
        <f ca="1">VLOOKUP(F:F,matching_transelated_with_ref!A:C,2,0)</f>
        <v>#N/A</v>
      </c>
      <c r="H758" t="e">
        <f>VLOOKUP(C:C,Sheet4!A:C,2,0)</f>
        <v>#N/A</v>
      </c>
    </row>
    <row r="759" spans="1:8" ht="14.4">
      <c r="A759" s="18" t="s">
        <v>85</v>
      </c>
      <c r="B759" s="18" t="s">
        <v>43</v>
      </c>
      <c r="C759" s="18" t="s">
        <v>1163</v>
      </c>
      <c r="D759" s="19" t="str">
        <f ca="1">IFERROR(__xludf.DUMMYFUNCTION("GOOGLETRANSLATE(A759, ""ar"", ""en"")"),"Carterler")</f>
        <v>Carterler</v>
      </c>
      <c r="E759" s="19" t="str">
        <f ca="1">IFERROR(__xludf.DUMMYFUNCTION("GOOGLETRANSLATE(B759,""ar"",""en"")"),"stomach")</f>
        <v>stomach</v>
      </c>
      <c r="F759" s="19" t="str">
        <f ca="1">IFERROR(__xludf.DUMMYFUNCTION("GOOGLETRANSLATE(C759,""ar"",""en"")"),"320 - 07D")</f>
        <v>320 - 07D</v>
      </c>
      <c r="G759" t="e">
        <f ca="1">VLOOKUP(F:F,matching_transelated_with_ref!A:C,2,0)</f>
        <v>#N/A</v>
      </c>
      <c r="H759" t="e">
        <f>VLOOKUP(C:C,Sheet4!A:C,2,0)</f>
        <v>#N/A</v>
      </c>
    </row>
    <row r="760" spans="1:8" ht="14.4">
      <c r="A760" s="18" t="s">
        <v>85</v>
      </c>
      <c r="B760" s="18" t="s">
        <v>43</v>
      </c>
      <c r="C760" s="18" t="s">
        <v>687</v>
      </c>
      <c r="D760" s="19" t="str">
        <f ca="1">IFERROR(__xludf.DUMMYFUNCTION("GOOGLETRANSLATE(A760, ""ar"", ""en"")"),"Carterler")</f>
        <v>Carterler</v>
      </c>
      <c r="E760" s="19" t="str">
        <f ca="1">IFERROR(__xludf.DUMMYFUNCTION("GOOGLETRANSLATE(B760,""ar"",""en"")"),"stomach")</f>
        <v>stomach</v>
      </c>
      <c r="F760" s="19" t="str">
        <f ca="1">IFERROR(__xludf.DUMMYFUNCTION("GOOGLETRANSLATE(C760,""ar"",""en"")"),"07-320 B")</f>
        <v>07-320 B</v>
      </c>
      <c r="G760" t="e">
        <f ca="1">VLOOKUP(F:F,matching_transelated_with_ref!A:C,2,0)</f>
        <v>#N/A</v>
      </c>
      <c r="H760" t="e">
        <f>VLOOKUP(C:C,Sheet4!A:C,2,0)</f>
        <v>#N/A</v>
      </c>
    </row>
    <row r="761" spans="1:8" ht="14.4">
      <c r="A761" s="18" t="s">
        <v>85</v>
      </c>
      <c r="B761" s="18" t="s">
        <v>43</v>
      </c>
      <c r="C761" s="18" t="s">
        <v>952</v>
      </c>
      <c r="D761" s="19" t="str">
        <f ca="1">IFERROR(__xludf.DUMMYFUNCTION("GOOGLETRANSLATE(A761, ""ar"", ""en"")"),"Carterler")</f>
        <v>Carterler</v>
      </c>
      <c r="E761" s="19" t="str">
        <f ca="1">IFERROR(__xludf.DUMMYFUNCTION("GOOGLETRANSLATE(B761,""ar"",""en"")"),"stomach")</f>
        <v>stomach</v>
      </c>
      <c r="F761" s="19" t="str">
        <f ca="1">IFERROR(__xludf.DUMMYFUNCTION("GOOGLETRANSLATE(C761,""ar"",""en"")"),"320-07 C.")</f>
        <v>320-07 C.</v>
      </c>
      <c r="G761" t="e">
        <f ca="1">VLOOKUP(F:F,matching_transelated_with_ref!A:C,2,0)</f>
        <v>#N/A</v>
      </c>
      <c r="H761" t="e">
        <f>VLOOKUP(C:C,Sheet4!A:C,2,0)</f>
        <v>#N/A</v>
      </c>
    </row>
    <row r="762" spans="1:8" ht="14.4">
      <c r="A762" s="18" t="s">
        <v>85</v>
      </c>
      <c r="B762" s="18" t="s">
        <v>43</v>
      </c>
      <c r="C762" s="18" t="s">
        <v>693</v>
      </c>
      <c r="D762" s="19" t="str">
        <f ca="1">IFERROR(__xludf.DUMMYFUNCTION("GOOGLETRANSLATE(A762, ""ar"", ""en"")"),"Carterler")</f>
        <v>Carterler</v>
      </c>
      <c r="E762" s="19" t="str">
        <f ca="1">IFERROR(__xludf.DUMMYFUNCTION("GOOGLETRANSLATE(B762,""ar"",""en"")"),"stomach")</f>
        <v>stomach</v>
      </c>
      <c r="F762" s="19" t="str">
        <f ca="1">IFERROR(__xludf.DUMMYFUNCTION("GOOGLETRANSLATE(C762,""ar"",""en"")"),"TH 417 D")</f>
        <v>TH 417 D</v>
      </c>
      <c r="G762" t="e">
        <f ca="1">VLOOKUP(F:F,matching_transelated_with_ref!A:C,2,0)</f>
        <v>#N/A</v>
      </c>
      <c r="H762" t="e">
        <f>VLOOKUP(C:C,Sheet4!A:C,2,0)</f>
        <v>#N/A</v>
      </c>
    </row>
    <row r="763" spans="1:8" ht="14.4">
      <c r="A763" s="18" t="s">
        <v>85</v>
      </c>
      <c r="B763" s="18" t="s">
        <v>66</v>
      </c>
      <c r="C763" s="18" t="s">
        <v>686</v>
      </c>
      <c r="D763" s="19" t="str">
        <f ca="1">IFERROR(__xludf.DUMMYFUNCTION("GOOGLETRANSLATE(A763, ""ar"", ""en"")"),"Carterler")</f>
        <v>Carterler</v>
      </c>
      <c r="E763" s="19" t="str">
        <f ca="1">IFERROR(__xludf.DUMMYFUNCTION("GOOGLETRANSLATE(B763,""ar"",""en"")"),"stomach")</f>
        <v>stomach</v>
      </c>
      <c r="F763" s="19" t="str">
        <f ca="1">IFERROR(__xludf.DUMMYFUNCTION("GOOGLETRANSLATE(C763,""ar"",""en"")"),"DB 150 N1S")</f>
        <v>DB 150 N1S</v>
      </c>
      <c r="G763" t="e">
        <f ca="1">VLOOKUP(F:F,matching_transelated_with_ref!A:C,2,0)</f>
        <v>#N/A</v>
      </c>
      <c r="H763" t="e">
        <f>VLOOKUP(C:C,Sheet4!A:C,2,0)</f>
        <v>#N/A</v>
      </c>
    </row>
    <row r="764" spans="1:8" ht="14.4">
      <c r="A764" s="18" t="s">
        <v>85</v>
      </c>
      <c r="B764" s="18" t="s">
        <v>43</v>
      </c>
      <c r="C764" s="18" t="s">
        <v>1165</v>
      </c>
      <c r="D764" s="19" t="str">
        <f ca="1">IFERROR(__xludf.DUMMYFUNCTION("GOOGLETRANSLATE(A764, ""ar"", ""en"")"),"Carterler")</f>
        <v>Carterler</v>
      </c>
      <c r="E764" s="19" t="str">
        <f ca="1">IFERROR(__xludf.DUMMYFUNCTION("GOOGLETRANSLATE(B764,""ar"",""en"")"),"stomach")</f>
        <v>stomach</v>
      </c>
      <c r="F764" s="19" t="str">
        <f ca="1">IFERROR(__xludf.DUMMYFUNCTION("GOOGLETRANSLATE(C764,""ar"",""en"")"),"323 GX")</f>
        <v>323 GX</v>
      </c>
      <c r="G764" t="e">
        <f ca="1">VLOOKUP(F:F,matching_transelated_with_ref!A:C,2,0)</f>
        <v>#N/A</v>
      </c>
      <c r="H764" t="e">
        <f>VLOOKUP(C:C,Sheet4!A:C,2,0)</f>
        <v>#N/A</v>
      </c>
    </row>
    <row r="765" spans="1:8" ht="14.4">
      <c r="A765" s="18" t="s">
        <v>85</v>
      </c>
      <c r="B765" s="18" t="s">
        <v>43</v>
      </c>
      <c r="C765" s="18" t="s">
        <v>951</v>
      </c>
      <c r="D765" s="19" t="str">
        <f ca="1">IFERROR(__xludf.DUMMYFUNCTION("GOOGLETRANSLATE(A765, ""ar"", ""en"")"),"Carterler")</f>
        <v>Carterler</v>
      </c>
      <c r="E765" s="19" t="str">
        <f ca="1">IFERROR(__xludf.DUMMYFUNCTION("GOOGLETRANSLATE(B765,""ar"",""en"")"),"stomach")</f>
        <v>stomach</v>
      </c>
      <c r="F765" s="19" t="str">
        <f ca="1">IFERROR(__xludf.DUMMYFUNCTION("GOOGLETRANSLATE(C765,""ar"",""en"")"),"320 GC")</f>
        <v>320 GC</v>
      </c>
      <c r="G765" t="e">
        <f ca="1">VLOOKUP(F:F,matching_transelated_with_ref!A:C,2,0)</f>
        <v>#N/A</v>
      </c>
      <c r="H765" t="e">
        <f>VLOOKUP(C:C,Sheet4!A:C,2,0)</f>
        <v>#N/A</v>
      </c>
    </row>
    <row r="766" spans="1:8" ht="14.4">
      <c r="A766" s="18" t="s">
        <v>85</v>
      </c>
      <c r="B766" s="18" t="s">
        <v>66</v>
      </c>
      <c r="C766" s="18" t="s">
        <v>1162</v>
      </c>
      <c r="D766" s="19" t="str">
        <f ca="1">IFERROR(__xludf.DUMMYFUNCTION("GOOGLETRANSLATE(A766, ""ar"", ""en"")"),"Carterler")</f>
        <v>Carterler</v>
      </c>
      <c r="E766" s="19" t="str">
        <f ca="1">IFERROR(__xludf.DUMMYFUNCTION("GOOGLETRANSLATE(B766,""ar"",""en"")"),"stomach")</f>
        <v>stomach</v>
      </c>
      <c r="F766" s="19" t="str">
        <f ca="1">IFERROR(__xludf.DUMMYFUNCTION("GOOGLETRANSLATE(C766,""ar"",""en"")"),"DB 100 N1S")</f>
        <v>DB 100 N1S</v>
      </c>
      <c r="G766" t="e">
        <f ca="1">VLOOKUP(F:F,matching_transelated_with_ref!A:C,2,0)</f>
        <v>#N/A</v>
      </c>
      <c r="H766" t="e">
        <f>VLOOKUP(C:C,Sheet4!A:C,2,0)</f>
        <v>#N/A</v>
      </c>
    </row>
    <row r="767" spans="1:8" ht="14.4">
      <c r="A767" s="18" t="s">
        <v>85</v>
      </c>
      <c r="B767" s="18" t="s">
        <v>43</v>
      </c>
      <c r="C767" s="18" t="s">
        <v>1164</v>
      </c>
      <c r="D767" s="19" t="str">
        <f ca="1">IFERROR(__xludf.DUMMYFUNCTION("GOOGLETRANSLATE(A767, ""ar"", ""en"")"),"Carterler")</f>
        <v>Carterler</v>
      </c>
      <c r="E767" s="19" t="str">
        <f ca="1">IFERROR(__xludf.DUMMYFUNCTION("GOOGLETRANSLATE(B767,""ar"",""en"")"),"stomach")</f>
        <v>stomach</v>
      </c>
      <c r="F767" s="19" t="str">
        <f ca="1">IFERROR(__xludf.DUMMYFUNCTION("GOOGLETRANSLATE(C767,""ar"",""en"")"),"320-05 JX")</f>
        <v>320-05 JX</v>
      </c>
      <c r="G767" t="e">
        <f ca="1">VLOOKUP(F:F,matching_transelated_with_ref!A:C,2,0)</f>
        <v>#N/A</v>
      </c>
      <c r="H767" t="e">
        <f>VLOOKUP(C:C,Sheet4!A:C,2,0)</f>
        <v>#N/A</v>
      </c>
    </row>
    <row r="768" spans="1:8" ht="14.4">
      <c r="A768" s="18" t="s">
        <v>85</v>
      </c>
      <c r="B768" s="18" t="s">
        <v>43</v>
      </c>
      <c r="C768" s="18" t="s">
        <v>695</v>
      </c>
      <c r="D768" s="19" t="str">
        <f ca="1">IFERROR(__xludf.DUMMYFUNCTION("GOOGLETRANSLATE(A768, ""ar"", ""en"")"),"Carterler")</f>
        <v>Carterler</v>
      </c>
      <c r="E768" s="19" t="str">
        <f ca="1">IFERROR(__xludf.DUMMYFUNCTION("GOOGLETRANSLATE(B768,""ar"",""en"")"),"stomach")</f>
        <v>stomach</v>
      </c>
      <c r="F768" s="19" t="str">
        <f ca="1">IFERROR(__xludf.DUMMYFUNCTION("GOOGLETRANSLATE(C768,""ar"",""en"")"),"CB 10")</f>
        <v>CB 10</v>
      </c>
      <c r="G768" t="e">
        <f ca="1">VLOOKUP(F:F,matching_transelated_with_ref!A:C,2,0)</f>
        <v>#N/A</v>
      </c>
      <c r="H768" t="e">
        <f>VLOOKUP(C:C,Sheet4!A:C,2,0)</f>
        <v>#N/A</v>
      </c>
    </row>
    <row r="769" spans="1:8" ht="14.4">
      <c r="A769" s="18" t="s">
        <v>85</v>
      </c>
      <c r="B769" s="18" t="s">
        <v>43</v>
      </c>
      <c r="C769" s="18" t="s">
        <v>696</v>
      </c>
      <c r="D769" s="19" t="str">
        <f ca="1">IFERROR(__xludf.DUMMYFUNCTION("GOOGLETRANSLATE(A769, ""ar"", ""en"")"),"Carterler")</f>
        <v>Carterler</v>
      </c>
      <c r="E769" s="19" t="str">
        <f ca="1">IFERROR(__xludf.DUMMYFUNCTION("GOOGLETRANSLATE(B769,""ar"",""en"")"),"stomach")</f>
        <v>stomach</v>
      </c>
      <c r="F769" s="19" t="str">
        <f ca="1">IFERROR(__xludf.DUMMYFUNCTION("GOOGLETRANSLATE(C769,""ar"",""en"")"),"CW 34")</f>
        <v>CW 34</v>
      </c>
      <c r="G769" t="e">
        <f ca="1">VLOOKUP(F:F,matching_transelated_with_ref!A:C,2,0)</f>
        <v>#N/A</v>
      </c>
      <c r="H769" t="e">
        <f>VLOOKUP(C:C,Sheet4!A:C,2,0)</f>
        <v>#N/A</v>
      </c>
    </row>
    <row r="770" spans="1:8" ht="14.4">
      <c r="A770" s="18" t="s">
        <v>85</v>
      </c>
      <c r="B770" s="18" t="s">
        <v>43</v>
      </c>
      <c r="C770" s="18" t="s">
        <v>91</v>
      </c>
      <c r="D770" s="19" t="str">
        <f ca="1">IFERROR(__xludf.DUMMYFUNCTION("GOOGLETRANSLATE(A770, ""ar"", ""en"")"),"Carterler")</f>
        <v>Carterler</v>
      </c>
      <c r="E770" s="19" t="str">
        <f ca="1">IFERROR(__xludf.DUMMYFUNCTION("GOOGLETRANSLATE(B770,""ar"",""en"")"),"stomach")</f>
        <v>stomach</v>
      </c>
      <c r="F770" s="19" t="str">
        <f ca="1">IFERROR(__xludf.DUMMYFUNCTION("GOOGLETRANSLATE(C770,""ar"",""en"")"),"428 A.")</f>
        <v>428 A.</v>
      </c>
      <c r="G770" t="e">
        <f ca="1">VLOOKUP(F:F,matching_transelated_with_ref!A:C,2,0)</f>
        <v>#N/A</v>
      </c>
      <c r="H770" t="e">
        <f>VLOOKUP(C:C,Sheet4!A:C,2,0)</f>
        <v>#N/A</v>
      </c>
    </row>
    <row r="771" spans="1:8" ht="14.4">
      <c r="A771" s="18" t="s">
        <v>85</v>
      </c>
      <c r="B771" s="18" t="s">
        <v>43</v>
      </c>
      <c r="C771" s="18" t="s">
        <v>694</v>
      </c>
      <c r="D771" s="19" t="str">
        <f ca="1">IFERROR(__xludf.DUMMYFUNCTION("GOOGLETRANSLATE(A771, ""ar"", ""en"")"),"Carterler")</f>
        <v>Carterler</v>
      </c>
      <c r="E771" s="19" t="str">
        <f ca="1">IFERROR(__xludf.DUMMYFUNCTION("GOOGLETRANSLATE(B771,""ar"",""en"")"),"stomach")</f>
        <v>stomach</v>
      </c>
      <c r="F771" s="19" t="str">
        <f ca="1">IFERROR(__xludf.DUMMYFUNCTION("GOOGLETRANSLATE(C771,""ar"",""en"")"),"CS11 GC")</f>
        <v>CS11 GC</v>
      </c>
      <c r="G771" t="e">
        <f ca="1">VLOOKUP(F:F,matching_transelated_with_ref!A:C,2,0)</f>
        <v>#N/A</v>
      </c>
      <c r="H771" t="e">
        <f>VLOOKUP(C:C,Sheet4!A:C,2,0)</f>
        <v>#N/A</v>
      </c>
    </row>
    <row r="772" spans="1:8" ht="14.4">
      <c r="A772" s="18" t="s">
        <v>85</v>
      </c>
      <c r="B772" s="18" t="s">
        <v>43</v>
      </c>
      <c r="C772" s="18" t="s">
        <v>689</v>
      </c>
      <c r="D772" s="19" t="str">
        <f ca="1">IFERROR(__xludf.DUMMYFUNCTION("GOOGLETRANSLATE(A772, ""ar"", ""en"")"),"Carterler")</f>
        <v>Carterler</v>
      </c>
      <c r="E772" s="19" t="str">
        <f ca="1">IFERROR(__xludf.DUMMYFUNCTION("GOOGLETRANSLATE(B772,""ar"",""en"")"),"stomach")</f>
        <v>stomach</v>
      </c>
      <c r="F772" s="19" t="str">
        <f ca="1">IFERROR(__xludf.DUMMYFUNCTION("GOOGLETRANSLATE(C772,""ar"",""en"")"),"426 F2")</f>
        <v>426 F2</v>
      </c>
      <c r="G772" t="e">
        <f ca="1">VLOOKUP(F:F,matching_transelated_with_ref!A:C,2,0)</f>
        <v>#N/A</v>
      </c>
      <c r="H772" t="e">
        <f>VLOOKUP(C:C,Sheet4!A:C,2,0)</f>
        <v>#N/A</v>
      </c>
    </row>
    <row r="773" spans="1:8" ht="14.4">
      <c r="A773" s="18" t="s">
        <v>85</v>
      </c>
      <c r="B773" s="18" t="s">
        <v>43</v>
      </c>
      <c r="C773" s="18" t="s">
        <v>1172</v>
      </c>
      <c r="D773" s="19" t="str">
        <f ca="1">IFERROR(__xludf.DUMMYFUNCTION("GOOGLETRANSLATE(A773, ""ar"", ""en"")"),"Carterler")</f>
        <v>Carterler</v>
      </c>
      <c r="E773" s="19" t="str">
        <f ca="1">IFERROR(__xludf.DUMMYFUNCTION("GOOGLETRANSLATE(B773,""ar"",""en"")"),"stomach")</f>
        <v>stomach</v>
      </c>
      <c r="F773" s="19" t="str">
        <f ca="1">IFERROR(__xludf.DUMMYFUNCTION("GOOGLETRANSLATE(C773,""ar"",""en"")"),"DB 100 NH")</f>
        <v>DB 100 NH</v>
      </c>
      <c r="G773" t="e">
        <f ca="1">VLOOKUP(F:F,matching_transelated_with_ref!A:C,2,0)</f>
        <v>#N/A</v>
      </c>
      <c r="H773" t="e">
        <f>VLOOKUP(C:C,Sheet4!A:C,2,0)</f>
        <v>#N/A</v>
      </c>
    </row>
    <row r="774" spans="1:8" ht="14.4">
      <c r="A774" s="18" t="s">
        <v>85</v>
      </c>
      <c r="B774" s="18" t="s">
        <v>43</v>
      </c>
      <c r="C774" s="18" t="s">
        <v>90</v>
      </c>
      <c r="D774" s="19" t="str">
        <f ca="1">IFERROR(__xludf.DUMMYFUNCTION("GOOGLETRANSLATE(A774, ""ar"", ""en"")"),"Carterler")</f>
        <v>Carterler</v>
      </c>
      <c r="E774" s="19" t="str">
        <f ca="1">IFERROR(__xludf.DUMMYFUNCTION("GOOGLETRANSLATE(B774,""ar"",""en"")"),"stomach")</f>
        <v>stomach</v>
      </c>
      <c r="F774" s="19" t="str">
        <f ca="1">IFERROR(__xludf.DUMMYFUNCTION("GOOGLETRANSLATE(C774,""ar"",""en"")"),"422 f")</f>
        <v>422 f</v>
      </c>
      <c r="G774" t="e">
        <f ca="1">VLOOKUP(F:F,matching_transelated_with_ref!A:C,2,0)</f>
        <v>#N/A</v>
      </c>
      <c r="H774" t="e">
        <f>VLOOKUP(C:C,Sheet4!A:C,2,0)</f>
        <v>#N/A</v>
      </c>
    </row>
    <row r="775" spans="1:8" ht="14.4">
      <c r="A775" s="18" t="s">
        <v>85</v>
      </c>
      <c r="B775" s="18" t="s">
        <v>43</v>
      </c>
      <c r="C775" s="18" t="s">
        <v>1174</v>
      </c>
      <c r="D775" s="19" t="str">
        <f ca="1">IFERROR(__xludf.DUMMYFUNCTION("GOOGLETRANSLATE(A775, ""ar"", ""en"")"),"Carterler")</f>
        <v>Carterler</v>
      </c>
      <c r="E775" s="19" t="str">
        <f ca="1">IFERROR(__xludf.DUMMYFUNCTION("GOOGLETRANSLATE(B775,""ar"",""en"")"),"stomach")</f>
        <v>stomach</v>
      </c>
      <c r="F775" s="19" t="str">
        <f ca="1">IFERROR(__xludf.DUMMYFUNCTION("GOOGLETRANSLATE(C775,""ar"",""en"")"),"DP 70")</f>
        <v>DP 70</v>
      </c>
      <c r="G775" t="e">
        <f ca="1">VLOOKUP(F:F,matching_transelated_with_ref!A:C,2,0)</f>
        <v>#N/A</v>
      </c>
      <c r="H775" t="e">
        <f>VLOOKUP(C:C,Sheet4!A:C,2,0)</f>
        <v>#N/A</v>
      </c>
    </row>
    <row r="776" spans="1:8" ht="14.4">
      <c r="A776" s="18" t="s">
        <v>85</v>
      </c>
      <c r="B776" s="18" t="s">
        <v>43</v>
      </c>
      <c r="C776" s="18" t="s">
        <v>89</v>
      </c>
      <c r="D776" s="19" t="str">
        <f ca="1">IFERROR(__xludf.DUMMYFUNCTION("GOOGLETRANSLATE(A776, ""ar"", ""en"")"),"Carterler")</f>
        <v>Carterler</v>
      </c>
      <c r="E776" s="19" t="str">
        <f ca="1">IFERROR(__xludf.DUMMYFUNCTION("GOOGLETRANSLATE(B776,""ar"",""en"")"),"stomach")</f>
        <v>stomach</v>
      </c>
      <c r="F776" s="19" t="str">
        <f ca="1">IFERROR(__xludf.DUMMYFUNCTION("GOOGLETRANSLATE(C776,""ar"",""en"")"),"246")</f>
        <v>246</v>
      </c>
      <c r="G776" t="e">
        <f ca="1">VLOOKUP(F:F,matching_transelated_with_ref!A:C,2,0)</f>
        <v>#N/A</v>
      </c>
      <c r="H776" t="e">
        <f>VLOOKUP(C:C,Sheet4!A:C,2,0)</f>
        <v>#N/A</v>
      </c>
    </row>
    <row r="777" spans="1:8" ht="14.4">
      <c r="A777" s="18" t="s">
        <v>85</v>
      </c>
      <c r="B777" s="18" t="s">
        <v>8</v>
      </c>
      <c r="C777" s="18" t="s">
        <v>86</v>
      </c>
      <c r="D777" s="19" t="str">
        <f ca="1">IFERROR(__xludf.DUMMYFUNCTION("GOOGLETRANSLATE(A777, ""ar"", ""en"")"),"Carterler")</f>
        <v>Carterler</v>
      </c>
      <c r="E777" s="19" t="str">
        <f ca="1">IFERROR(__xludf.DUMMYFUNCTION("GOOGLETRANSLATE(B777,""ar"",""en"")"),"-")</f>
        <v>-</v>
      </c>
      <c r="F777" s="19" t="str">
        <f ca="1">IFERROR(__xludf.DUMMYFUNCTION("GOOGLETRANSLATE(C777,""ar"",""en"")"),"262")</f>
        <v>262</v>
      </c>
      <c r="G777" t="e">
        <f ca="1">VLOOKUP(F:F,matching_transelated_with_ref!A:C,2,0)</f>
        <v>#N/A</v>
      </c>
      <c r="H777" t="e">
        <f>VLOOKUP(C:C,Sheet4!A:C,2,0)</f>
        <v>#N/A</v>
      </c>
    </row>
    <row r="778" spans="1:8" ht="14.4">
      <c r="A778" s="18" t="s">
        <v>85</v>
      </c>
      <c r="B778" s="18" t="s">
        <v>43</v>
      </c>
      <c r="C778" s="18" t="s">
        <v>382</v>
      </c>
      <c r="D778" s="19" t="str">
        <f ca="1">IFERROR(__xludf.DUMMYFUNCTION("GOOGLETRANSLATE(A778, ""ar"", ""en"")"),"Carterler")</f>
        <v>Carterler</v>
      </c>
      <c r="E778" s="19" t="str">
        <f ca="1">IFERROR(__xludf.DUMMYFUNCTION("GOOGLETRANSLATE(B778,""ar"",""en"")"),"stomach")</f>
        <v>stomach</v>
      </c>
      <c r="F778" s="19" t="str">
        <f ca="1">IFERROR(__xludf.DUMMYFUNCTION("GOOGLETRANSLATE(C778,""ar"",""en"")"),"DB 50 CNT")</f>
        <v>DB 50 CNT</v>
      </c>
      <c r="G778" t="e">
        <f ca="1">VLOOKUP(F:F,matching_transelated_with_ref!A:C,2,0)</f>
        <v>#N/A</v>
      </c>
      <c r="H778" t="e">
        <f>VLOOKUP(C:C,Sheet4!A:C,2,0)</f>
        <v>#N/A</v>
      </c>
    </row>
    <row r="779" spans="1:8" ht="14.4">
      <c r="A779" s="18" t="s">
        <v>85</v>
      </c>
      <c r="B779" s="18" t="s">
        <v>43</v>
      </c>
      <c r="C779" s="18" t="s">
        <v>383</v>
      </c>
      <c r="D779" s="19" t="str">
        <f ca="1">IFERROR(__xludf.DUMMYFUNCTION("GOOGLETRANSLATE(A779, ""ar"", ""en"")"),"Carterler")</f>
        <v>Carterler</v>
      </c>
      <c r="E779" s="19" t="str">
        <f ca="1">IFERROR(__xludf.DUMMYFUNCTION("GOOGLETRANSLATE(B779,""ar"",""en"")"),"stomach")</f>
        <v>stomach</v>
      </c>
      <c r="F779" s="19" t="str">
        <f ca="1">IFERROR(__xludf.DUMMYFUNCTION("GOOGLETRANSLATE(C779,""ar"",""en"")"),"CB 2.7")</f>
        <v>CB 2.7</v>
      </c>
      <c r="G779" t="e">
        <f ca="1">VLOOKUP(F:F,matching_transelated_with_ref!A:C,2,0)</f>
        <v>#N/A</v>
      </c>
      <c r="H779" t="e">
        <f>VLOOKUP(C:C,Sheet4!A:C,2,0)</f>
        <v>#N/A</v>
      </c>
    </row>
    <row r="780" spans="1:8" ht="14.4">
      <c r="A780" s="18" t="s">
        <v>85</v>
      </c>
      <c r="B780" s="18" t="s">
        <v>43</v>
      </c>
      <c r="C780" s="18" t="s">
        <v>1170</v>
      </c>
      <c r="D780" s="19" t="str">
        <f ca="1">IFERROR(__xludf.DUMMYFUNCTION("GOOGLETRANSLATE(A780, ""ar"", ""en"")"),"Carterler")</f>
        <v>Carterler</v>
      </c>
      <c r="E780" s="19" t="str">
        <f ca="1">IFERROR(__xludf.DUMMYFUNCTION("GOOGLETRANSLATE(B780,""ar"",""en"")"),"stomach")</f>
        <v>stomach</v>
      </c>
      <c r="F780" s="19" t="str">
        <f ca="1">IFERROR(__xludf.DUMMYFUNCTION("GOOGLETRANSLATE(C780,""ar"",""en"")"),"AB3CB")</f>
        <v>AB3CB</v>
      </c>
      <c r="G780" t="e">
        <f ca="1">VLOOKUP(F:F,matching_transelated_with_ref!A:C,2,0)</f>
        <v>#N/A</v>
      </c>
      <c r="H780" t="e">
        <f>VLOOKUP(C:C,Sheet4!A:C,2,0)</f>
        <v>#N/A</v>
      </c>
    </row>
    <row r="781" spans="1:8" ht="14.4">
      <c r="A781" s="18" t="s">
        <v>85</v>
      </c>
      <c r="B781" s="18" t="s">
        <v>66</v>
      </c>
      <c r="C781" s="18" t="s">
        <v>87</v>
      </c>
      <c r="D781" s="19" t="str">
        <f ca="1">IFERROR(__xludf.DUMMYFUNCTION("GOOGLETRANSLATE(A781, ""ar"", ""en"")"),"Carterler")</f>
        <v>Carterler</v>
      </c>
      <c r="E781" s="19" t="str">
        <f ca="1">IFERROR(__xludf.DUMMYFUNCTION("GOOGLETRANSLATE(B781,""ar"",""en"")"),"stomach")</f>
        <v>stomach</v>
      </c>
      <c r="F781" s="19" t="str">
        <f ca="1">IFERROR(__xludf.DUMMYFUNCTION("GOOGLETRANSLATE(C781,""ar"",""en"")"),"216B")</f>
        <v>216B</v>
      </c>
      <c r="G781" t="e">
        <f ca="1">VLOOKUP(F:F,matching_transelated_with_ref!A:C,2,0)</f>
        <v>#N/A</v>
      </c>
      <c r="H781" t="e">
        <f>VLOOKUP(C:C,Sheet4!A:C,2,0)</f>
        <v>#N/A</v>
      </c>
    </row>
    <row r="782" spans="1:8" ht="14.4">
      <c r="A782" s="18" t="s">
        <v>85</v>
      </c>
      <c r="B782" s="18" t="s">
        <v>66</v>
      </c>
      <c r="C782" s="18" t="s">
        <v>373</v>
      </c>
      <c r="D782" s="19" t="str">
        <f ca="1">IFERROR(__xludf.DUMMYFUNCTION("GOOGLETRANSLATE(A782, ""ar"", ""en"")"),"Carterler")</f>
        <v>Carterler</v>
      </c>
      <c r="E782" s="19" t="str">
        <f ca="1">IFERROR(__xludf.DUMMYFUNCTION("GOOGLETRANSLATE(B782,""ar"",""en"")"),"stomach")</f>
        <v>stomach</v>
      </c>
      <c r="F782" s="19" t="str">
        <f ca="1">IFERROR(__xludf.DUMMYFUNCTION("GOOGLETRANSLATE(C782,""ar"",""en"")"),"226B")</f>
        <v>226B</v>
      </c>
      <c r="G782" t="e">
        <f ca="1">VLOOKUP(F:F,matching_transelated_with_ref!A:C,2,0)</f>
        <v>#N/A</v>
      </c>
      <c r="H782" t="e">
        <f>VLOOKUP(C:C,Sheet4!A:C,2,0)</f>
        <v>#N/A</v>
      </c>
    </row>
    <row r="783" spans="1:8" ht="14.4">
      <c r="A783" s="18" t="s">
        <v>85</v>
      </c>
      <c r="B783" s="18" t="s">
        <v>43</v>
      </c>
      <c r="C783" s="18" t="s">
        <v>1175</v>
      </c>
      <c r="D783" s="19" t="str">
        <f ca="1">IFERROR(__xludf.DUMMYFUNCTION("GOOGLETRANSLATE(A783, ""ar"", ""en"")"),"Carterler")</f>
        <v>Carterler</v>
      </c>
      <c r="E783" s="19" t="str">
        <f ca="1">IFERROR(__xludf.DUMMYFUNCTION("GOOGLETRANSLATE(B783,""ar"",""en"")"),"stomach")</f>
        <v>stomach</v>
      </c>
      <c r="F783" s="19" t="str">
        <f ca="1">IFERROR(__xludf.DUMMYFUNCTION("GOOGLETRANSLATE(C783,""ar"",""en"")"),"CB 2.5")</f>
        <v>CB 2.5</v>
      </c>
      <c r="G783" t="e">
        <f ca="1">VLOOKUP(F:F,matching_transelated_with_ref!A:C,2,0)</f>
        <v>#N/A</v>
      </c>
      <c r="H783">
        <f>VLOOKUP(C:C,Sheet4!A:C,2,0)</f>
        <v>5</v>
      </c>
    </row>
    <row r="784" spans="1:8" ht="14.4">
      <c r="A784" s="18" t="s">
        <v>85</v>
      </c>
      <c r="B784" s="18" t="s">
        <v>43</v>
      </c>
      <c r="C784" s="18" t="s">
        <v>692</v>
      </c>
      <c r="D784" s="19" t="str">
        <f ca="1">IFERROR(__xludf.DUMMYFUNCTION("GOOGLETRANSLATE(A784, ""ar"", ""en"")"),"Carterler")</f>
        <v>Carterler</v>
      </c>
      <c r="E784" s="19" t="str">
        <f ca="1">IFERROR(__xludf.DUMMYFUNCTION("GOOGLETRANSLATE(B784,""ar"",""en"")"),"stomach")</f>
        <v>stomach</v>
      </c>
      <c r="F784" s="19" t="str">
        <f ca="1">IFERROR(__xludf.DUMMYFUNCTION("GOOGLETRANSLATE(C784,""ar"",""en"")"),"AB 30C a")</f>
        <v>AB 30C a</v>
      </c>
      <c r="G784" t="e">
        <f ca="1">VLOOKUP(F:F,matching_transelated_with_ref!A:C,2,0)</f>
        <v>#N/A</v>
      </c>
      <c r="H784" t="e">
        <f>VLOOKUP(C:C,Sheet4!A:C,2,0)</f>
        <v>#N/A</v>
      </c>
    </row>
    <row r="785" spans="1:8" ht="14.4">
      <c r="A785" s="18" t="s">
        <v>85</v>
      </c>
      <c r="B785" s="18" t="s">
        <v>66</v>
      </c>
      <c r="C785" s="18" t="s">
        <v>88</v>
      </c>
      <c r="D785" s="19" t="str">
        <f ca="1">IFERROR(__xludf.DUMMYFUNCTION("GOOGLETRANSLATE(A785, ""ar"", ""en"")"),"Carterler")</f>
        <v>Carterler</v>
      </c>
      <c r="E785" s="19" t="str">
        <f ca="1">IFERROR(__xludf.DUMMYFUNCTION("GOOGLETRANSLATE(B785,""ar"",""en"")"),"stomach")</f>
        <v>stomach</v>
      </c>
      <c r="F785" s="19" t="str">
        <f ca="1">IFERROR(__xludf.DUMMYFUNCTION("GOOGLETRANSLATE(C785,""ar"",""en"")"),"CB 14P")</f>
        <v>CB 14P</v>
      </c>
      <c r="G785" t="e">
        <f ca="1">VLOOKUP(F:F,matching_transelated_with_ref!A:C,2,0)</f>
        <v>#N/A</v>
      </c>
      <c r="H785" t="e">
        <f>VLOOKUP(C:C,Sheet4!A:C,2,0)</f>
        <v>#N/A</v>
      </c>
    </row>
    <row r="786" spans="1:8" ht="14.4">
      <c r="A786" s="18" t="s">
        <v>85</v>
      </c>
      <c r="B786" s="18" t="s">
        <v>43</v>
      </c>
      <c r="C786" s="18" t="s">
        <v>1173</v>
      </c>
      <c r="D786" s="19" t="str">
        <f ca="1">IFERROR(__xludf.DUMMYFUNCTION("GOOGLETRANSLATE(A786, ""ar"", ""en"")"),"Carterler")</f>
        <v>Carterler</v>
      </c>
      <c r="E786" s="19" t="str">
        <f ca="1">IFERROR(__xludf.DUMMYFUNCTION("GOOGLETRANSLATE(B786,""ar"",""en"")"),"stomach")</f>
        <v>stomach</v>
      </c>
      <c r="F786" s="19" t="str">
        <f ca="1">IFERROR(__xludf.DUMMYFUNCTION("GOOGLETRANSLATE(C786,""ar"",""en"")"),"DP 35 NT")</f>
        <v>DP 35 NT</v>
      </c>
      <c r="G786" t="e">
        <f ca="1">VLOOKUP(F:F,matching_transelated_with_ref!A:C,2,0)</f>
        <v>#N/A</v>
      </c>
      <c r="H786" t="e">
        <f>VLOOKUP(C:C,Sheet4!A:C,2,0)</f>
        <v>#N/A</v>
      </c>
    </row>
    <row r="787" spans="1:8" ht="14.4">
      <c r="A787" s="18" t="s">
        <v>85</v>
      </c>
      <c r="B787" s="18" t="s">
        <v>43</v>
      </c>
      <c r="C787" s="18" t="s">
        <v>92</v>
      </c>
      <c r="D787" s="19" t="str">
        <f ca="1">IFERROR(__xludf.DUMMYFUNCTION("GOOGLETRANSLATE(A787, ""ar"", ""en"")"),"Carterler")</f>
        <v>Carterler</v>
      </c>
      <c r="E787" s="19" t="str">
        <f ca="1">IFERROR(__xludf.DUMMYFUNCTION("GOOGLETRANSLATE(B787,""ar"",""en"")"),"stomach")</f>
        <v>stomach</v>
      </c>
      <c r="F787" s="19" t="str">
        <f ca="1">IFERROR(__xludf.DUMMYFUNCTION("GOOGLETRANSLATE(C787,""ar"",""en"")"),"DP 30 in T.TT")</f>
        <v>DP 30 in T.TT</v>
      </c>
      <c r="G787" t="e">
        <f ca="1">VLOOKUP(F:F,matching_transelated_with_ref!A:C,2,0)</f>
        <v>#N/A</v>
      </c>
      <c r="H787" t="e">
        <f>VLOOKUP(C:C,Sheet4!A:C,2,0)</f>
        <v>#N/A</v>
      </c>
    </row>
    <row r="788" spans="1:8" ht="14.4">
      <c r="A788" s="18" t="s">
        <v>85</v>
      </c>
      <c r="B788" s="18" t="s">
        <v>43</v>
      </c>
      <c r="C788" s="18" t="s">
        <v>956</v>
      </c>
      <c r="D788" s="19" t="str">
        <f ca="1">IFERROR(__xludf.DUMMYFUNCTION("GOOGLETRANSLATE(A788, ""ar"", ""en"")"),"Carterler")</f>
        <v>Carterler</v>
      </c>
      <c r="E788" s="19" t="str">
        <f ca="1">IFERROR(__xludf.DUMMYFUNCTION("GOOGLETRANSLATE(B788,""ar"",""en"")"),"stomach")</f>
        <v>stomach</v>
      </c>
      <c r="F788" s="19" t="str">
        <f ca="1">IFERROR(__xludf.DUMMYFUNCTION("GOOGLETRANSLATE(C788,""ar"",""en"")"),"CB 1.7")</f>
        <v>CB 1.7</v>
      </c>
      <c r="G788" t="e">
        <f ca="1">VLOOKUP(F:F,matching_transelated_with_ref!A:C,2,0)</f>
        <v>#N/A</v>
      </c>
      <c r="H788" t="e">
        <f>VLOOKUP(C:C,Sheet4!A:C,2,0)</f>
        <v>#N/A</v>
      </c>
    </row>
    <row r="789" spans="1:8" ht="14.4">
      <c r="A789" s="18" t="s">
        <v>85</v>
      </c>
      <c r="B789" s="18" t="s">
        <v>43</v>
      </c>
      <c r="C789" s="18" t="s">
        <v>1169</v>
      </c>
      <c r="D789" s="19" t="str">
        <f ca="1">IFERROR(__xludf.DUMMYFUNCTION("GOOGLETRANSLATE(A789, ""ar"", ""en"")"),"Carterler")</f>
        <v>Carterler</v>
      </c>
      <c r="E789" s="19" t="str">
        <f ca="1">IFERROR(__xludf.DUMMYFUNCTION("GOOGLETRANSLATE(B789,""ar"",""en"")"),"stomach")</f>
        <v>stomach</v>
      </c>
      <c r="F789" s="19" t="str">
        <f ca="1">IFERROR(__xludf.DUMMYFUNCTION("GOOGLETRANSLATE(C789,""ar"",""en"")"),"AB 25CB")</f>
        <v>AB 25CB</v>
      </c>
      <c r="G789" t="e">
        <f ca="1">VLOOKUP(F:F,matching_transelated_with_ref!A:C,2,0)</f>
        <v>#N/A</v>
      </c>
      <c r="H789" t="e">
        <f>VLOOKUP(C:C,Sheet4!A:C,2,0)</f>
        <v>#N/A</v>
      </c>
    </row>
    <row r="790" spans="1:8" ht="14.4">
      <c r="A790" s="18" t="s">
        <v>85</v>
      </c>
      <c r="B790" s="18" t="s">
        <v>43</v>
      </c>
      <c r="C790" s="18" t="s">
        <v>378</v>
      </c>
      <c r="D790" s="19" t="str">
        <f ca="1">IFERROR(__xludf.DUMMYFUNCTION("GOOGLETRANSLATE(A790, ""ar"", ""en"")"),"Carterler")</f>
        <v>Carterler</v>
      </c>
      <c r="E790" s="19" t="str">
        <f ca="1">IFERROR(__xludf.DUMMYFUNCTION("GOOGLETRANSLATE(B790,""ar"",""en"")"),"stomach")</f>
        <v>stomach</v>
      </c>
      <c r="F790" s="19" t="str">
        <f ca="1">IFERROR(__xludf.DUMMYFUNCTION("GOOGLETRANSLATE(C790,""ar"",""en"")"),"GB 30 TT")</f>
        <v>GB 30 TT</v>
      </c>
      <c r="G790" t="e">
        <f ca="1">VLOOKUP(F:F,matching_transelated_with_ref!A:C,2,0)</f>
        <v>#N/A</v>
      </c>
      <c r="H790" t="e">
        <f>VLOOKUP(C:C,Sheet4!A:C,2,0)</f>
        <v>#N/A</v>
      </c>
    </row>
    <row r="791" spans="1:8" ht="14.4">
      <c r="A791" s="18" t="s">
        <v>85</v>
      </c>
      <c r="B791" s="18" t="s">
        <v>43</v>
      </c>
      <c r="C791" s="18" t="s">
        <v>953</v>
      </c>
      <c r="D791" s="19" t="str">
        <f ca="1">IFERROR(__xludf.DUMMYFUNCTION("GOOGLETRANSLATE(A791, ""ar"", ""en"")"),"Carterler")</f>
        <v>Carterler</v>
      </c>
      <c r="E791" s="19" t="str">
        <f ca="1">IFERROR(__xludf.DUMMYFUNCTION("GOOGLETRANSLATE(B791,""ar"",""en"")"),"stomach")</f>
        <v>stomach</v>
      </c>
      <c r="F791" s="19" t="str">
        <f ca="1">IFERROR(__xludf.DUMMYFUNCTION("GOOGLETRANSLATE(C791,""ar"",""en"")"),"AB 20 TCB")</f>
        <v>AB 20 TCB</v>
      </c>
      <c r="G791" t="e">
        <f ca="1">VLOOKUP(F:F,matching_transelated_with_ref!A:C,2,0)</f>
        <v>#N/A</v>
      </c>
      <c r="H791" t="e">
        <f>VLOOKUP(C:C,Sheet4!A:C,2,0)</f>
        <v>#N/A</v>
      </c>
    </row>
    <row r="792" spans="1:8" ht="14.4">
      <c r="A792" s="18" t="s">
        <v>85</v>
      </c>
      <c r="B792" s="18" t="s">
        <v>43</v>
      </c>
      <c r="C792" s="18" t="s">
        <v>381</v>
      </c>
      <c r="D792" s="19" t="str">
        <f ca="1">IFERROR(__xludf.DUMMYFUNCTION("GOOGLETRANSLATE(A792, ""ar"", ""en"")"),"Carterler")</f>
        <v>Carterler</v>
      </c>
      <c r="E792" s="19" t="str">
        <f ca="1">IFERROR(__xludf.DUMMYFUNCTION("GOOGLETRANSLATE(B792,""ar"",""en"")"),"stomach")</f>
        <v>stomach</v>
      </c>
      <c r="F792" s="19" t="str">
        <f ca="1">IFERROR(__xludf.DUMMYFUNCTION("GOOGLETRANSLATE(C792,""ar"",""en"")"),"DB 25 NT")</f>
        <v>DB 25 NT</v>
      </c>
      <c r="G792" t="e">
        <f ca="1">VLOOKUP(F:F,matching_transelated_with_ref!A:C,2,0)</f>
        <v>#N/A</v>
      </c>
      <c r="H792" t="e">
        <f>VLOOKUP(C:C,Sheet4!A:C,2,0)</f>
        <v>#N/A</v>
      </c>
    </row>
    <row r="793" spans="1:8" ht="14.4">
      <c r="A793" s="18" t="s">
        <v>85</v>
      </c>
      <c r="B793" s="18" t="s">
        <v>43</v>
      </c>
      <c r="C793" s="18" t="s">
        <v>377</v>
      </c>
      <c r="D793" s="19" t="str">
        <f ca="1">IFERROR(__xludf.DUMMYFUNCTION("GOOGLETRANSLATE(A793, ""ar"", ""en"")"),"Carterler")</f>
        <v>Carterler</v>
      </c>
      <c r="E793" s="19" t="str">
        <f ca="1">IFERROR(__xludf.DUMMYFUNCTION("GOOGLETRANSLATE(B793,""ar"",""en"")"),"stomach")</f>
        <v>stomach</v>
      </c>
      <c r="F793" s="19" t="str">
        <f ca="1">IFERROR(__xludf.DUMMYFUNCTION("GOOGLETRANSLATE(C793,""ar"",""en"")"),"GB 25 NT")</f>
        <v>GB 25 NT</v>
      </c>
      <c r="G793" t="e">
        <f ca="1">VLOOKUP(F:F,matching_transelated_with_ref!A:C,2,0)</f>
        <v>#N/A</v>
      </c>
      <c r="H793" t="e">
        <f>VLOOKUP(C:C,Sheet4!A:C,2,0)</f>
        <v>#N/A</v>
      </c>
    </row>
    <row r="794" spans="1:8" ht="14.4">
      <c r="A794" s="18" t="s">
        <v>85</v>
      </c>
      <c r="B794" s="18" t="s">
        <v>43</v>
      </c>
      <c r="C794" s="18" t="s">
        <v>954</v>
      </c>
      <c r="D794" s="19" t="str">
        <f ca="1">IFERROR(__xludf.DUMMYFUNCTION("GOOGLETRANSLATE(A794, ""ar"", ""en"")"),"Carterler")</f>
        <v>Carterler</v>
      </c>
      <c r="E794" s="19" t="str">
        <f ca="1">IFERROR(__xludf.DUMMYFUNCTION("GOOGLETRANSLATE(B794,""ar"",""en"")"),"stomach")</f>
        <v>stomach</v>
      </c>
      <c r="F794" s="19" t="str">
        <f ca="1">IFERROR(__xludf.DUMMYFUNCTION("GOOGLETRANSLATE(C794,""ar"",""en"")"),"AB 20CA")</f>
        <v>AB 20CA</v>
      </c>
      <c r="G794" t="e">
        <f ca="1">VLOOKUP(F:F,matching_transelated_with_ref!A:C,2,0)</f>
        <v>#N/A</v>
      </c>
      <c r="H794" t="e">
        <f>VLOOKUP(C:C,Sheet4!A:C,2,0)</f>
        <v>#N/A</v>
      </c>
    </row>
    <row r="795" spans="1:8" ht="14.4">
      <c r="A795" s="18" t="s">
        <v>384</v>
      </c>
      <c r="B795" s="18" t="s">
        <v>387</v>
      </c>
      <c r="C795" s="18" t="s">
        <v>390</v>
      </c>
      <c r="D795" s="19" t="str">
        <f ca="1">IFERROR(__xludf.DUMMYFUNCTION("GOOGLETRANSLATE(A795, ""ar"", ""en"")"),"Kia Motors")</f>
        <v>Kia Motors</v>
      </c>
      <c r="E795" s="19" t="str">
        <f ca="1">IFERROR(__xludf.DUMMYFUNCTION("GOOGLETRANSLATE(B795,""ar"",""en"")"),"Kia")</f>
        <v>Kia</v>
      </c>
      <c r="F795" s="19" t="str">
        <f ca="1">IFERROR(__xludf.DUMMYFUNCTION("GOOGLETRANSLATE(C795,""ar"",""en"")"),"Stinger")</f>
        <v>Stinger</v>
      </c>
      <c r="G795" t="e">
        <f ca="1">VLOOKUP(F:F,matching_transelated_with_ref!A:C,2,0)</f>
        <v>#N/A</v>
      </c>
      <c r="H795" t="str">
        <f>VLOOKUP(C:C,Sheet4!A:C,2,0)</f>
        <v>ستينجر</v>
      </c>
    </row>
    <row r="796" spans="1:8" ht="14.4">
      <c r="A796" s="18" t="s">
        <v>384</v>
      </c>
      <c r="B796" s="18" t="s">
        <v>387</v>
      </c>
      <c r="C796" s="18" t="s">
        <v>962</v>
      </c>
      <c r="D796" s="19" t="str">
        <f ca="1">IFERROR(__xludf.DUMMYFUNCTION("GOOGLETRANSLATE(A796, ""ar"", ""en"")"),"Kia Motors")</f>
        <v>Kia Motors</v>
      </c>
      <c r="E796" s="19" t="str">
        <f ca="1">IFERROR(__xludf.DUMMYFUNCTION("GOOGLETRANSLATE(B796,""ar"",""en"")"),"Kia")</f>
        <v>Kia</v>
      </c>
      <c r="F796" s="19" t="str">
        <f ca="1">IFERROR(__xludf.DUMMYFUNCTION("GOOGLETRANSLATE(C796,""ar"",""en"")"),"Ki 900")</f>
        <v>Ki 900</v>
      </c>
      <c r="G796" t="e">
        <f ca="1">VLOOKUP(F:F,matching_transelated_with_ref!A:C,2,0)</f>
        <v>#N/A</v>
      </c>
      <c r="H796" t="e">
        <f>VLOOKUP(C:C,Sheet4!A:C,2,0)</f>
        <v>#N/A</v>
      </c>
    </row>
    <row r="797" spans="1:8" ht="14.4">
      <c r="A797" s="18" t="s">
        <v>384</v>
      </c>
      <c r="B797" s="18" t="s">
        <v>387</v>
      </c>
      <c r="C797" s="18" t="s">
        <v>1408</v>
      </c>
      <c r="D797" s="19" t="str">
        <f ca="1">IFERROR(__xludf.DUMMYFUNCTION("GOOGLETRANSLATE(A797, ""ar"", ""en"")"),"Kia Motors")</f>
        <v>Kia Motors</v>
      </c>
      <c r="E797" s="19" t="str">
        <f ca="1">IFERROR(__xludf.DUMMYFUNCTION("GOOGLETRANSLATE(B797,""ar"",""en"")"),"Kia")</f>
        <v>Kia</v>
      </c>
      <c r="F797" s="19" t="str">
        <f ca="1">IFERROR(__xludf.DUMMYFUNCTION("GOOGLETRANSLATE(C797,""ar"",""en"")"),"Ki8")</f>
        <v>Ki8</v>
      </c>
      <c r="G797" t="e">
        <f ca="1">VLOOKUP(F:F,matching_transelated_with_ref!A:C,2,0)</f>
        <v>#N/A</v>
      </c>
      <c r="H797" t="e">
        <f>VLOOKUP(C:C,Sheet4!A:C,2,0)</f>
        <v>#N/A</v>
      </c>
    </row>
    <row r="798" spans="1:8" ht="14.4">
      <c r="A798" s="18" t="s">
        <v>384</v>
      </c>
      <c r="B798" s="18" t="s">
        <v>387</v>
      </c>
      <c r="C798" s="18" t="s">
        <v>1400</v>
      </c>
      <c r="D798" s="19" t="str">
        <f ca="1">IFERROR(__xludf.DUMMYFUNCTION("GOOGLETRANSLATE(A798, ""ar"", ""en"")"),"Kia Motors")</f>
        <v>Kia Motors</v>
      </c>
      <c r="E798" s="19" t="str">
        <f ca="1">IFERROR(__xludf.DUMMYFUNCTION("GOOGLETRANSLATE(B798,""ar"",""en"")"),"Kia")</f>
        <v>Kia</v>
      </c>
      <c r="F798" s="19" t="str">
        <f ca="1">IFERROR(__xludf.DUMMYFUNCTION("GOOGLETRANSLATE(C798,""ar"",""en"")"),"3.8 liters of payment of Lord")</f>
        <v>3.8 liters of payment of Lord</v>
      </c>
      <c r="G798" t="e">
        <f ca="1">VLOOKUP(F:F,matching_transelated_with_ref!A:C,2,0)</f>
        <v>#N/A</v>
      </c>
      <c r="H798" t="str">
        <f>VLOOKUP(C:C,Sheet4!A:C,2,0)</f>
        <v>تيلورايد</v>
      </c>
    </row>
    <row r="799" spans="1:8" ht="14.4">
      <c r="A799" s="18" t="s">
        <v>384</v>
      </c>
      <c r="B799" s="18" t="s">
        <v>387</v>
      </c>
      <c r="C799" s="18" t="s">
        <v>959</v>
      </c>
      <c r="D799" s="19" t="str">
        <f ca="1">IFERROR(__xludf.DUMMYFUNCTION("GOOGLETRANSLATE(A799, ""ar"", ""en"")"),"Kia Motors")</f>
        <v>Kia Motors</v>
      </c>
      <c r="E799" s="19" t="str">
        <f ca="1">IFERROR(__xludf.DUMMYFUNCTION("GOOGLETRANSLATE(B799,""ar"",""en"")"),"Kia")</f>
        <v>Kia</v>
      </c>
      <c r="F799" s="19" t="str">
        <f ca="1">IFERROR(__xludf.DUMMYFUNCTION("GOOGLETRANSLATE(C799,""ar"",""en"")"),"Tiloride")</f>
        <v>Tiloride</v>
      </c>
      <c r="G799" t="e">
        <f ca="1">VLOOKUP(F:F,matching_transelated_with_ref!A:C,2,0)</f>
        <v>#N/A</v>
      </c>
      <c r="H799" t="str">
        <f>VLOOKUP(C:C,Sheet4!A:C,2,0)</f>
        <v>تيلورايد</v>
      </c>
    </row>
    <row r="800" spans="1:8" ht="14.4">
      <c r="A800" s="18" t="s">
        <v>384</v>
      </c>
      <c r="B800" s="18" t="s">
        <v>387</v>
      </c>
      <c r="C800" s="18" t="s">
        <v>1407</v>
      </c>
      <c r="D800" s="19" t="str">
        <f ca="1">IFERROR(__xludf.DUMMYFUNCTION("GOOGLETRANSLATE(A800, ""ar"", ""en"")"),"Kia Motors")</f>
        <v>Kia Motors</v>
      </c>
      <c r="E800" s="19" t="str">
        <f ca="1">IFERROR(__xludf.DUMMYFUNCTION("GOOGLETRANSLATE(B800,""ar"",""en"")"),"Kia")</f>
        <v>Kia</v>
      </c>
      <c r="F800" s="19" t="str">
        <f ca="1">IFERROR(__xludf.DUMMYFUNCTION("GOOGLETRANSLATE(C800,""ar"",""en"")"),"Carnival I 3.5 LTI")</f>
        <v>Carnival I 3.5 LTI</v>
      </c>
      <c r="G800" t="e">
        <f ca="1">VLOOKUP(F:F,matching_transelated_with_ref!A:C,2,0)</f>
        <v>#N/A</v>
      </c>
      <c r="H800">
        <f>VLOOKUP(C:C,Sheet4!A:C,2,0)</f>
        <v>3</v>
      </c>
    </row>
    <row r="801" spans="1:8" ht="14.4">
      <c r="A801" s="18" t="s">
        <v>384</v>
      </c>
      <c r="B801" s="18" t="s">
        <v>387</v>
      </c>
      <c r="C801" s="18" t="s">
        <v>393</v>
      </c>
      <c r="D801" s="19" t="str">
        <f ca="1">IFERROR(__xludf.DUMMYFUNCTION("GOOGLETRANSLATE(A801, ""ar"", ""en"")"),"Kia Motors")</f>
        <v>Kia Motors</v>
      </c>
      <c r="E801" s="19" t="str">
        <f ca="1">IFERROR(__xludf.DUMMYFUNCTION("GOOGLETRANSLATE(B801,""ar"",""en"")"),"Kia")</f>
        <v>Kia</v>
      </c>
      <c r="F801" s="19" t="str">
        <f ca="1">IFERROR(__xludf.DUMMYFUNCTION("GOOGLETRANSLATE(C801,""ar"",""en"")"),"Carnival")</f>
        <v>Carnival</v>
      </c>
      <c r="G801" t="e">
        <f ca="1">VLOOKUP(F:F,matching_transelated_with_ref!A:C,2,0)</f>
        <v>#N/A</v>
      </c>
      <c r="H801" t="str">
        <f>VLOOKUP(C:C,Sheet4!A:C,2,0)</f>
        <v>كارنفال</v>
      </c>
    </row>
    <row r="802" spans="1:8" ht="14.4">
      <c r="A802" s="18" t="s">
        <v>384</v>
      </c>
      <c r="B802" s="18" t="s">
        <v>387</v>
      </c>
      <c r="C802" s="18" t="s">
        <v>1177</v>
      </c>
      <c r="D802" s="19" t="str">
        <f ca="1">IFERROR(__xludf.DUMMYFUNCTION("GOOGLETRANSLATE(A802, ""ar"", ""en"")"),"Kia Motors")</f>
        <v>Kia Motors</v>
      </c>
      <c r="E802" s="19" t="str">
        <f ca="1">IFERROR(__xludf.DUMMYFUNCTION("GOOGLETRANSLATE(B802,""ar"",""en"")"),"Kia")</f>
        <v>Kia</v>
      </c>
      <c r="F802" s="19" t="str">
        <f ca="1">IFERROR(__xludf.DUMMYFUNCTION("GOOGLETRANSLATE(C802,""ar"",""en"")"),"Sorento Mi 4")</f>
        <v>Sorento Mi 4</v>
      </c>
      <c r="G802" t="e">
        <f ca="1">VLOOKUP(F:F,matching_transelated_with_ref!A:C,2,0)</f>
        <v>#N/A</v>
      </c>
      <c r="H802" t="str">
        <f>VLOOKUP(C:C,Sheet4!A:C,2,0)</f>
        <v xml:space="preserve">سورنتو </v>
      </c>
    </row>
    <row r="803" spans="1:8" ht="14.4">
      <c r="A803" s="18" t="s">
        <v>384</v>
      </c>
      <c r="B803" s="18" t="s">
        <v>387</v>
      </c>
      <c r="C803" s="18" t="s">
        <v>394</v>
      </c>
      <c r="D803" s="19" t="str">
        <f ca="1">IFERROR(__xludf.DUMMYFUNCTION("GOOGLETRANSLATE(A803, ""ar"", ""en"")"),"Kia Motors")</f>
        <v>Kia Motors</v>
      </c>
      <c r="E803" s="19" t="str">
        <f ca="1">IFERROR(__xludf.DUMMYFUNCTION("GOOGLETRANSLATE(B803,""ar"",""en"")"),"Kia")</f>
        <v>Kia</v>
      </c>
      <c r="F803" s="19" t="str">
        <f ca="1">IFERROR(__xludf.DUMMYFUNCTION("GOOGLETRANSLATE(C803,""ar"",""en"")"),"Muhafi")</f>
        <v>Muhafi</v>
      </c>
      <c r="G803" t="e">
        <f ca="1">VLOOKUP(F:F,matching_transelated_with_ref!A:C,2,0)</f>
        <v>#N/A</v>
      </c>
      <c r="H803" t="str">
        <f>VLOOKUP(C:C,Sheet4!A:C,2,0)</f>
        <v>موهافي</v>
      </c>
    </row>
    <row r="804" spans="1:8" ht="14.4">
      <c r="A804" s="18" t="s">
        <v>384</v>
      </c>
      <c r="B804" s="18" t="s">
        <v>387</v>
      </c>
      <c r="C804" s="18" t="s">
        <v>392</v>
      </c>
      <c r="D804" s="19" t="str">
        <f ca="1">IFERROR(__xludf.DUMMYFUNCTION("GOOGLETRANSLATE(A804, ""ar"", ""en"")"),"Kia Motors")</f>
        <v>Kia Motors</v>
      </c>
      <c r="E804" s="19" t="str">
        <f ca="1">IFERROR(__xludf.DUMMYFUNCTION("GOOGLETRANSLATE(B804,""ar"",""en"")"),"Kia")</f>
        <v>Kia</v>
      </c>
      <c r="F804" s="19" t="str">
        <f ca="1">IFERROR(__xludf.DUMMYFUNCTION("GOOGLETRANSLATE(C804,""ar"",""en"")"),"Cadadza")</f>
        <v>Cadadza</v>
      </c>
      <c r="G804" t="e">
        <f ca="1">VLOOKUP(F:F,matching_transelated_with_ref!A:C,2,0)</f>
        <v>#N/A</v>
      </c>
      <c r="H804" t="str">
        <f>VLOOKUP(C:C,Sheet4!A:C,2,0)</f>
        <v>كادنزا V6</v>
      </c>
    </row>
    <row r="805" spans="1:8" ht="14.4">
      <c r="A805" s="18" t="s">
        <v>384</v>
      </c>
      <c r="B805" s="18" t="s">
        <v>387</v>
      </c>
      <c r="C805" s="18" t="s">
        <v>698</v>
      </c>
      <c r="D805" s="19" t="str">
        <f ca="1">IFERROR(__xludf.DUMMYFUNCTION("GOOGLETRANSLATE(A805, ""ar"", ""en"")"),"Kia Motors")</f>
        <v>Kia Motors</v>
      </c>
      <c r="E805" s="19" t="str">
        <f ca="1">IFERROR(__xludf.DUMMYFUNCTION("GOOGLETRANSLATE(B805,""ar"",""en"")"),"Kia")</f>
        <v>Kia</v>
      </c>
      <c r="F805" s="19" t="str">
        <f ca="1">IFERROR(__xludf.DUMMYFUNCTION("GOOGLETRANSLATE(C805,""ar"",""en"")"),"Optima")</f>
        <v>Optima</v>
      </c>
      <c r="G805" t="e">
        <f ca="1">VLOOKUP(F:F,matching_transelated_with_ref!A:C,2,0)</f>
        <v>#N/A</v>
      </c>
    </row>
    <row r="806" spans="1:8" ht="14.4">
      <c r="A806" s="18" t="s">
        <v>384</v>
      </c>
      <c r="B806" s="18" t="s">
        <v>387</v>
      </c>
      <c r="C806" s="18" t="s">
        <v>391</v>
      </c>
      <c r="D806" s="19" t="str">
        <f ca="1">IFERROR(__xludf.DUMMYFUNCTION("GOOGLETRANSLATE(A806, ""ar"", ""en"")"),"Kia Motors")</f>
        <v>Kia Motors</v>
      </c>
      <c r="E806" s="19" t="str">
        <f ca="1">IFERROR(__xludf.DUMMYFUNCTION("GOOGLETRANSLATE(B806,""ar"",""en"")"),"Kia")</f>
        <v>Kia</v>
      </c>
      <c r="F806" s="19" t="str">
        <f ca="1">IFERROR(__xludf.DUMMYFUNCTION("GOOGLETRANSLATE(C806,""ar"",""en"")"),"Sorento UM")</f>
        <v>Sorento UM</v>
      </c>
      <c r="G806" t="e">
        <f ca="1">VLOOKUP(F:F,matching_transelated_with_ref!A:C,2,0)</f>
        <v>#N/A</v>
      </c>
      <c r="H806" t="str">
        <f>VLOOKUP(C:C,Sheet4!A:C,2,0)</f>
        <v xml:space="preserve">سورنتو </v>
      </c>
    </row>
    <row r="807" spans="1:8" ht="14.4">
      <c r="A807" s="18" t="s">
        <v>384</v>
      </c>
      <c r="B807" s="18" t="s">
        <v>387</v>
      </c>
      <c r="C807" s="18" t="s">
        <v>1409</v>
      </c>
      <c r="D807" s="19" t="str">
        <f ca="1">IFERROR(__xludf.DUMMYFUNCTION("GOOGLETRANSLATE(A807, ""ar"", ""en"")"),"Kia Motors")</f>
        <v>Kia Motors</v>
      </c>
      <c r="E807" s="19" t="str">
        <f ca="1">IFERROR(__xludf.DUMMYFUNCTION("GOOGLETRANSLATE(B807,""ar"",""en"")"),"Kia")</f>
        <v>Kia</v>
      </c>
      <c r="F807" s="19" t="str">
        <f ca="1">IFERROR(__xludf.DUMMYFUNCTION("GOOGLETRANSLATE(C807,""ar"",""en"")"),"K8 pushed in front of me")</f>
        <v>K8 pushed in front of me</v>
      </c>
      <c r="G807" t="e">
        <f ca="1">VLOOKUP(F:F,matching_transelated_with_ref!A:C,2,0)</f>
        <v>#N/A</v>
      </c>
      <c r="H807" t="e">
        <f>VLOOKUP(C:C,Sheet4!A:C,2,0)</f>
        <v>#N/A</v>
      </c>
    </row>
    <row r="808" spans="1:8" ht="14.4">
      <c r="A808" s="18" t="s">
        <v>384</v>
      </c>
      <c r="B808" s="18" t="s">
        <v>387</v>
      </c>
      <c r="C808" s="18" t="s">
        <v>1406</v>
      </c>
      <c r="D808" s="19" t="str">
        <f ca="1">IFERROR(__xludf.DUMMYFUNCTION("GOOGLETRANSLATE(A808, ""ar"", ""en"")"),"Kia Motors")</f>
        <v>Kia Motors</v>
      </c>
      <c r="E808" s="19" t="str">
        <f ca="1">IFERROR(__xludf.DUMMYFUNCTION("GOOGLETRANSLATE(B808,""ar"",""en"")"),"Kia")</f>
        <v>Kia</v>
      </c>
      <c r="F808" s="19" t="str">
        <f ca="1">IFERROR(__xludf.DUMMYFUNCTION("GOOGLETRANSLATE(C808,""ar"",""en"")"),"Celtos SP2 EI")</f>
        <v>Celtos SP2 EI</v>
      </c>
      <c r="G808" t="e">
        <f ca="1">VLOOKUP(F:F,matching_transelated_with_ref!A:C,2,0)</f>
        <v>#N/A</v>
      </c>
      <c r="H808" t="str">
        <f>VLOOKUP(C:C,Sheet4!A:C,2,0)</f>
        <v>سيلتوس</v>
      </c>
    </row>
    <row r="809" spans="1:8" ht="14.4">
      <c r="A809" s="18" t="s">
        <v>384</v>
      </c>
      <c r="B809" s="18" t="s">
        <v>387</v>
      </c>
      <c r="C809" s="18" t="s">
        <v>1182</v>
      </c>
      <c r="D809" s="19" t="str">
        <f ca="1">IFERROR(__xludf.DUMMYFUNCTION("GOOGLETRANSLATE(A809, ""ar"", ""en"")"),"Kia Motors")</f>
        <v>Kia Motors</v>
      </c>
      <c r="E809" s="19" t="str">
        <f ca="1">IFERROR(__xludf.DUMMYFUNCTION("GOOGLETRANSLATE(B809,""ar"",""en"")"),"Kia")</f>
        <v>Kia</v>
      </c>
      <c r="F809" s="19" t="str">
        <f ca="1">IFERROR(__xludf.DUMMYFUNCTION("GOOGLETRANSLATE(C809,""ar"",""en"")"),"Ki 5")</f>
        <v>Ki 5</v>
      </c>
      <c r="G809">
        <f ca="1">VLOOKUP(F:F,matching_transelated_with_ref!A:C,2,0)</f>
        <v>5</v>
      </c>
      <c r="H809">
        <f>VLOOKUP(C:C,Sheet4!A:C,2,0)</f>
        <v>5</v>
      </c>
    </row>
    <row r="810" spans="1:8" ht="14.4">
      <c r="A810" s="18" t="s">
        <v>384</v>
      </c>
      <c r="B810" s="18" t="s">
        <v>387</v>
      </c>
      <c r="C810" s="18" t="s">
        <v>702</v>
      </c>
      <c r="D810" s="19" t="str">
        <f ca="1">IFERROR(__xludf.DUMMYFUNCTION("GOOGLETRANSLATE(A810, ""ar"", ""en"")"),"Kia Motors")</f>
        <v>Kia Motors</v>
      </c>
      <c r="E810" s="19" t="str">
        <f ca="1">IFERROR(__xludf.DUMMYFUNCTION("GOOGLETRANSLATE(B810,""ar"",""en"")"),"Kia")</f>
        <v>Kia</v>
      </c>
      <c r="F810" s="19" t="str">
        <f ca="1">IFERROR(__xludf.DUMMYFUNCTION("GOOGLETRANSLATE(C810,""ar"",""en"")"),"Ceratio IX")</f>
        <v>Ceratio IX</v>
      </c>
      <c r="G810" t="e">
        <f ca="1">VLOOKUP(F:F,matching_transelated_with_ref!A:C,2,0)</f>
        <v>#N/A</v>
      </c>
      <c r="H810" t="e">
        <f>VLOOKUP(C:C,Sheet4!A:C,2,0)</f>
        <v>#N/A</v>
      </c>
    </row>
    <row r="811" spans="1:8" ht="14.4">
      <c r="A811" s="18" t="s">
        <v>384</v>
      </c>
      <c r="B811" s="18" t="s">
        <v>387</v>
      </c>
      <c r="C811" s="18" t="s">
        <v>388</v>
      </c>
      <c r="D811" s="19" t="str">
        <f ca="1">IFERROR(__xludf.DUMMYFUNCTION("GOOGLETRANSLATE(A811, ""ar"", ""en"")"),"Kia Motors")</f>
        <v>Kia Motors</v>
      </c>
      <c r="E811" s="19" t="str">
        <f ca="1">IFERROR(__xludf.DUMMYFUNCTION("GOOGLETRANSLATE(B811,""ar"",""en"")"),"Kia")</f>
        <v>Kia</v>
      </c>
      <c r="F811" s="19" t="str">
        <f ca="1">IFERROR(__xludf.DUMMYFUNCTION("GOOGLETRANSLATE(C811,""ar"",""en"")"),"Asportage")</f>
        <v>Asportage</v>
      </c>
      <c r="G811" t="e">
        <f ca="1">VLOOKUP(F:F,matching_transelated_with_ref!A:C,2,0)</f>
        <v>#N/A</v>
      </c>
      <c r="H811" t="str">
        <f>VLOOKUP(C:C,Sheet4!A:C,2,0)</f>
        <v xml:space="preserve"> سبورتاج</v>
      </c>
    </row>
    <row r="812" spans="1:8" ht="14.4">
      <c r="A812" s="18" t="s">
        <v>384</v>
      </c>
      <c r="B812" s="18" t="s">
        <v>387</v>
      </c>
      <c r="C812" s="18" t="s">
        <v>1410</v>
      </c>
      <c r="D812" s="19" t="str">
        <f ca="1">IFERROR(__xludf.DUMMYFUNCTION("GOOGLETRANSLATE(A812, ""ar"", ""en"")"),"Kia Motors")</f>
        <v>Kia Motors</v>
      </c>
      <c r="E812" s="19" t="str">
        <f ca="1">IFERROR(__xludf.DUMMYFUNCTION("GOOGLETRANSLATE(B812,""ar"",""en"")"),"Kia")</f>
        <v>Kia</v>
      </c>
      <c r="F812" s="19" t="str">
        <f ca="1">IFERROR(__xludf.DUMMYFUNCTION("GOOGLETRANSLATE(C812,""ar"",""en"")"),"K5D 3 in front of me 2")</f>
        <v>K5D 3 in front of me 2</v>
      </c>
      <c r="G812" t="e">
        <f ca="1">VLOOKUP(F:F,matching_transelated_with_ref!A:C,2,0)</f>
        <v>#N/A</v>
      </c>
      <c r="H812">
        <f>VLOOKUP(C:C,Sheet4!A:C,2,0)</f>
        <v>3</v>
      </c>
    </row>
    <row r="813" spans="1:8" ht="14.4">
      <c r="A813" s="18" t="s">
        <v>384</v>
      </c>
      <c r="B813" s="18" t="s">
        <v>387</v>
      </c>
      <c r="C813" s="18" t="s">
        <v>1411</v>
      </c>
      <c r="D813" s="19" t="str">
        <f ca="1">IFERROR(__xludf.DUMMYFUNCTION("GOOGLETRANSLATE(A813, ""ar"", ""en"")"),"Kia Motors")</f>
        <v>Kia Motors</v>
      </c>
      <c r="E813" s="19" t="str">
        <f ca="1">IFERROR(__xludf.DUMMYFUNCTION("GOOGLETRANSLATE(B813,""ar"",""en"")"),"Kia")</f>
        <v>Kia</v>
      </c>
      <c r="F813" s="19" t="str">
        <f ca="1">IFERROR(__xludf.DUMMYFUNCTION("GOOGLETRANSLATE(C813,""ar"",""en"")"),"K8G -3 in front of me 3")</f>
        <v>K8G -3 in front of me 3</v>
      </c>
      <c r="G813" t="e">
        <f ca="1">VLOOKUP(F:F,matching_transelated_with_ref!A:C,2,0)</f>
        <v>#N/A</v>
      </c>
      <c r="H813" t="e">
        <f>VLOOKUP(C:C,Sheet4!A:C,2,0)</f>
        <v>#N/A</v>
      </c>
    </row>
    <row r="814" spans="1:8" ht="14.4">
      <c r="A814" s="18" t="s">
        <v>384</v>
      </c>
      <c r="B814" s="18" t="s">
        <v>387</v>
      </c>
      <c r="C814" s="18" t="s">
        <v>1401</v>
      </c>
      <c r="D814" s="19" t="str">
        <f ca="1">IFERROR(__xludf.DUMMYFUNCTION("GOOGLETRANSLATE(A814, ""ar"", ""en"")"),"Kia Motors")</f>
        <v>Kia Motors</v>
      </c>
      <c r="E814" s="19" t="str">
        <f ca="1">IFERROR(__xludf.DUMMYFUNCTION("GOOGLETRANSLATE(B814,""ar"",""en"")"),"Kia")</f>
        <v>Kia</v>
      </c>
      <c r="F814" s="19" t="str">
        <f ca="1">IFERROR(__xludf.DUMMYFUNCTION("GOOGLETRANSLATE(C814,""ar"",""en"")"),"Sportage 1.6 liters in front of")</f>
        <v>Sportage 1.6 liters in front of</v>
      </c>
      <c r="G814" t="e">
        <f ca="1">VLOOKUP(F:F,matching_transelated_with_ref!A:C,2,0)</f>
        <v>#N/A</v>
      </c>
      <c r="H814" t="str">
        <f>VLOOKUP(C:C,Sheet4!A:C,2,0)</f>
        <v xml:space="preserve"> سبورتاج</v>
      </c>
    </row>
    <row r="815" spans="1:8" ht="14.4">
      <c r="A815" s="18" t="s">
        <v>384</v>
      </c>
      <c r="B815" s="18" t="s">
        <v>387</v>
      </c>
      <c r="C815" s="18" t="s">
        <v>1181</v>
      </c>
      <c r="D815" s="19" t="str">
        <f ca="1">IFERROR(__xludf.DUMMYFUNCTION("GOOGLETRANSLATE(A815, ""ar"", ""en"")"),"Kia Motors")</f>
        <v>Kia Motors</v>
      </c>
      <c r="E815" s="19" t="str">
        <f ca="1">IFERROR(__xludf.DUMMYFUNCTION("GOOGLETRANSLATE(B815,""ar"",""en"")"),"Kia")</f>
        <v>Kia</v>
      </c>
      <c r="F815" s="19" t="str">
        <f ca="1">IFERROR(__xludf.DUMMYFUNCTION("GOOGLETRANSLATE(C815,""ar"",""en"")"),"Ki 4000 G")</f>
        <v>Ki 4000 G</v>
      </c>
      <c r="G815" t="e">
        <f ca="1">VLOOKUP(F:F,matching_transelated_with_ref!A:C,2,0)</f>
        <v>#N/A</v>
      </c>
      <c r="H815" t="e">
        <f>VLOOKUP(C:C,Sheet4!A:C,2,0)</f>
        <v>#N/A</v>
      </c>
    </row>
    <row r="816" spans="1:8" ht="14.4">
      <c r="A816" s="18" t="s">
        <v>384</v>
      </c>
      <c r="B816" s="18" t="s">
        <v>387</v>
      </c>
      <c r="C816" s="18" t="s">
        <v>961</v>
      </c>
      <c r="D816" s="19" t="str">
        <f ca="1">IFERROR(__xludf.DUMMYFUNCTION("GOOGLETRANSLATE(A816, ""ar"", ""en"")"),"Kia Motors")</f>
        <v>Kia Motors</v>
      </c>
      <c r="E816" s="19" t="str">
        <f ca="1">IFERROR(__xludf.DUMMYFUNCTION("GOOGLETRANSLATE(B816,""ar"",""en"")"),"Kia")</f>
        <v>Kia</v>
      </c>
      <c r="F816" s="19" t="str">
        <f ca="1">IFERROR(__xludf.DUMMYFUNCTION("GOOGLETRANSLATE(C816,""ar"",""en"")"),"Celtos")</f>
        <v>Celtos</v>
      </c>
      <c r="G816" t="e">
        <f ca="1">VLOOKUP(F:F,matching_transelated_with_ref!A:C,2,0)</f>
        <v>#N/A</v>
      </c>
      <c r="H816" t="str">
        <f>VLOOKUP(C:C,Sheet4!A:C,2,0)</f>
        <v>سيلتوس</v>
      </c>
    </row>
    <row r="817" spans="1:8" ht="14.4">
      <c r="A817" s="18" t="s">
        <v>384</v>
      </c>
      <c r="B817" s="18" t="s">
        <v>387</v>
      </c>
      <c r="C817" s="18" t="s">
        <v>389</v>
      </c>
      <c r="D817" s="19" t="str">
        <f ca="1">IFERROR(__xludf.DUMMYFUNCTION("GOOGLETRANSLATE(A817, ""ar"", ""en"")"),"Kia Motors")</f>
        <v>Kia Motors</v>
      </c>
      <c r="E817" s="19" t="str">
        <f ca="1">IFERROR(__xludf.DUMMYFUNCTION("GOOGLETRANSLATE(B817,""ar"",""en"")"),"Kia")</f>
        <v>Kia</v>
      </c>
      <c r="F817" s="19" t="str">
        <f ca="1">IFERROR(__xludf.DUMMYFUNCTION("GOOGLETRANSLATE(C817,""ar"",""en"")"),"Opta")</f>
        <v>Opta</v>
      </c>
      <c r="G817" t="e">
        <f ca="1">VLOOKUP(F:F,matching_transelated_with_ref!A:C,2,0)</f>
        <v>#N/A</v>
      </c>
      <c r="H817" t="str">
        <f>VLOOKUP(C:C,Sheet4!A:C,2,0)</f>
        <v xml:space="preserve"> اوبتما K5</v>
      </c>
    </row>
    <row r="818" spans="1:8" ht="14.4">
      <c r="A818" s="18" t="s">
        <v>384</v>
      </c>
      <c r="B818" s="18" t="s">
        <v>387</v>
      </c>
      <c r="C818" s="18" t="s">
        <v>1405</v>
      </c>
      <c r="D818" s="19" t="str">
        <f ca="1">IFERROR(__xludf.DUMMYFUNCTION("GOOGLETRANSLATE(A818, ""ar"", ""en"")"),"Kia Motors")</f>
        <v>Kia Motors</v>
      </c>
      <c r="E818" s="19" t="str">
        <f ca="1">IFERROR(__xludf.DUMMYFUNCTION("GOOGLETRANSLATE(B818,""ar"",""en"")"),"Kia")</f>
        <v>Kia</v>
      </c>
      <c r="F818" s="19" t="str">
        <f ca="1">IFERROR(__xludf.DUMMYFUNCTION("GOOGLETRANSLATE(C818,""ar"",""en"")"),"Celtos 1.6 liters in front of me")</f>
        <v>Celtos 1.6 liters in front of me</v>
      </c>
      <c r="G818" t="e">
        <f ca="1">VLOOKUP(F:F,matching_transelated_with_ref!A:C,2,0)</f>
        <v>#N/A</v>
      </c>
      <c r="H818" t="str">
        <f>VLOOKUP(C:C,Sheet4!A:C,2,0)</f>
        <v>سيلتوس</v>
      </c>
    </row>
    <row r="819" spans="1:8" ht="14.4">
      <c r="A819" s="18" t="s">
        <v>384</v>
      </c>
      <c r="B819" s="18" t="s">
        <v>387</v>
      </c>
      <c r="C819" s="18" t="s">
        <v>1403</v>
      </c>
      <c r="D819" s="19" t="str">
        <f ca="1">IFERROR(__xludf.DUMMYFUNCTION("GOOGLETRANSLATE(A819, ""ar"", ""en"")"),"Kia Motors")</f>
        <v>Kia Motors</v>
      </c>
      <c r="E819" s="19" t="str">
        <f ca="1">IFERROR(__xludf.DUMMYFUNCTION("GOOGLETRANSLATE(B819,""ar"",""en"")"),"Kia")</f>
        <v>Kia</v>
      </c>
      <c r="F819" s="19" t="str">
        <f ca="1">IFERROR(__xludf.DUMMYFUNCTION("GOOGLETRANSLATE(C819,""ar"",""en"")"),"Sonnet CVTIY")</f>
        <v>Sonnet CVTIY</v>
      </c>
      <c r="G819" t="e">
        <f ca="1">VLOOKUP(F:F,matching_transelated_with_ref!A:C,2,0)</f>
        <v>#N/A</v>
      </c>
      <c r="H819" t="str">
        <f>VLOOKUP(C:C,Sheet4!A:C,2,0)</f>
        <v xml:space="preserve">سونيت </v>
      </c>
    </row>
    <row r="820" spans="1:8" ht="14.4">
      <c r="A820" s="18" t="s">
        <v>384</v>
      </c>
      <c r="B820" s="18" t="s">
        <v>387</v>
      </c>
      <c r="C820" s="18" t="s">
        <v>1402</v>
      </c>
      <c r="D820" s="19" t="str">
        <f ca="1">IFERROR(__xludf.DUMMYFUNCTION("GOOGLETRANSLATE(A820, ""ar"", ""en"")"),"Kia Motors")</f>
        <v>Kia Motors</v>
      </c>
      <c r="E820" s="19" t="str">
        <f ca="1">IFERROR(__xludf.DUMMYFUNCTION("GOOGLETRANSLATE(B820,""ar"",""en"")"),"Kia")</f>
        <v>Kia</v>
      </c>
      <c r="F820" s="19" t="str">
        <f ca="1">IFERROR(__xludf.DUMMYFUNCTION("GOOGLETRANSLATE(C820,""ar"",""en"")"),"Sol 1.6 liters in front of me")</f>
        <v>Sol 1.6 liters in front of me</v>
      </c>
      <c r="G820" t="e">
        <f ca="1">VLOOKUP(F:F,matching_transelated_with_ref!A:C,2,0)</f>
        <v>#N/A</v>
      </c>
      <c r="H820" t="e">
        <f>VLOOKUP(C:C,Sheet4!A:C,2,0)</f>
        <v>#N/A</v>
      </c>
    </row>
    <row r="821" spans="1:8" ht="14.4">
      <c r="A821" s="18" t="s">
        <v>384</v>
      </c>
      <c r="B821" s="18" t="s">
        <v>387</v>
      </c>
      <c r="C821" s="18" t="s">
        <v>1178</v>
      </c>
      <c r="D821" s="19" t="str">
        <f ca="1">IFERROR(__xludf.DUMMYFUNCTION("GOOGLETRANSLATE(A821, ""ar"", ""en"")"),"Kia Motors")</f>
        <v>Kia Motors</v>
      </c>
      <c r="E821" s="19" t="str">
        <f ca="1">IFERROR(__xludf.DUMMYFUNCTION("GOOGLETRANSLATE(B821,""ar"",""en"")"),"Kia")</f>
        <v>Kia</v>
      </c>
      <c r="F821" s="19" t="str">
        <f ca="1">IFERROR(__xludf.DUMMYFUNCTION("GOOGLETRANSLATE(C821,""ar"",""en"")"),"Sont")</f>
        <v>Sont</v>
      </c>
      <c r="G821" t="e">
        <f ca="1">VLOOKUP(F:F,matching_transelated_with_ref!A:C,2,0)</f>
        <v>#N/A</v>
      </c>
      <c r="H821" t="str">
        <f>VLOOKUP(C:C,Sheet4!A:C,2,0)</f>
        <v xml:space="preserve">سونيت </v>
      </c>
    </row>
    <row r="822" spans="1:8" ht="14.4">
      <c r="A822" s="18" t="s">
        <v>384</v>
      </c>
      <c r="B822" s="18" t="s">
        <v>387</v>
      </c>
      <c r="C822" s="18" t="s">
        <v>700</v>
      </c>
      <c r="D822" s="19" t="str">
        <f ca="1">IFERROR(__xludf.DUMMYFUNCTION("GOOGLETRANSLATE(A822, ""ar"", ""en"")"),"Kia Motors")</f>
        <v>Kia Motors</v>
      </c>
      <c r="E822" s="19" t="str">
        <f ca="1">IFERROR(__xludf.DUMMYFUNCTION("GOOGLETRANSLATE(B822,""ar"",""en"")"),"Kia")</f>
        <v>Kia</v>
      </c>
      <c r="F822" s="19" t="str">
        <f ca="1">IFERROR(__xludf.DUMMYFUNCTION("GOOGLETRANSLATE(C822,""ar"",""en"")"),"Cerato")</f>
        <v>Cerato</v>
      </c>
      <c r="G822" t="e">
        <f ca="1">VLOOKUP(F:F,matching_transelated_with_ref!A:C,2,0)</f>
        <v>#N/A</v>
      </c>
      <c r="H822" t="str">
        <f>VLOOKUP(C:C,Sheet4!A:C,2,0)</f>
        <v xml:space="preserve"> K3 سيراتو </v>
      </c>
    </row>
    <row r="823" spans="1:8" ht="14.4">
      <c r="A823" s="18" t="s">
        <v>384</v>
      </c>
      <c r="B823" s="18" t="s">
        <v>387</v>
      </c>
      <c r="C823" s="18" t="s">
        <v>1404</v>
      </c>
      <c r="D823" s="19" t="str">
        <f ca="1">IFERROR(__xludf.DUMMYFUNCTION("GOOGLETRANSLATE(A823, ""ar"", ""en"")"),"Kia Motors")</f>
        <v>Kia Motors</v>
      </c>
      <c r="E823" s="19" t="str">
        <f ca="1">IFERROR(__xludf.DUMMYFUNCTION("GOOGLETRANSLATE(B823,""ar"",""en"")"),"Kia")</f>
        <v>Kia</v>
      </c>
      <c r="F823" s="19" t="str">
        <f ca="1">IFERROR(__xludf.DUMMYFUNCTION("GOOGLETRANSLATE(C823,""ar"",""en"")"),"Sonnet QICVT")</f>
        <v>Sonnet QICVT</v>
      </c>
      <c r="G823" t="e">
        <f ca="1">VLOOKUP(F:F,matching_transelated_with_ref!A:C,2,0)</f>
        <v>#N/A</v>
      </c>
      <c r="H823" t="str">
        <f>VLOOKUP(C:C,Sheet4!A:C,2,0)</f>
        <v xml:space="preserve">سونيت </v>
      </c>
    </row>
    <row r="824" spans="1:8" ht="14.4">
      <c r="A824" s="18" t="s">
        <v>384</v>
      </c>
      <c r="B824" s="18" t="s">
        <v>387</v>
      </c>
      <c r="C824" s="18" t="s">
        <v>1179</v>
      </c>
      <c r="D824" s="19" t="str">
        <f ca="1">IFERROR(__xludf.DUMMYFUNCTION("GOOGLETRANSLATE(A824, ""ar"", ""en"")"),"Kia Motors")</f>
        <v>Kia Motors</v>
      </c>
      <c r="E824" s="19" t="str">
        <f ca="1">IFERROR(__xludf.DUMMYFUNCTION("GOOGLETRANSLATE(B824,""ar"",""en"")"),"Kia")</f>
        <v>Kia</v>
      </c>
      <c r="F824" s="19" t="str">
        <f ca="1">IFERROR(__xludf.DUMMYFUNCTION("GOOGLETRANSLATE(C824,""ar"",""en"")"),"Sonnet 1.5 liter front -wheel drive")</f>
        <v>Sonnet 1.5 liter front -wheel drive</v>
      </c>
      <c r="G824" t="e">
        <f ca="1">VLOOKUP(F:F,matching_transelated_with_ref!A:C,2,0)</f>
        <v>#N/A</v>
      </c>
      <c r="H824" t="str">
        <f>VLOOKUP(C:C,Sheet4!A:C,2,0)</f>
        <v xml:space="preserve">سونيت </v>
      </c>
    </row>
    <row r="825" spans="1:8" ht="14.4">
      <c r="A825" s="18" t="s">
        <v>384</v>
      </c>
      <c r="B825" s="18" t="s">
        <v>387</v>
      </c>
      <c r="C825" s="18" t="s">
        <v>960</v>
      </c>
      <c r="D825" s="19" t="str">
        <f ca="1">IFERROR(__xludf.DUMMYFUNCTION("GOOGLETRANSLATE(A825, ""ar"", ""en"")"),"Kia Motors")</f>
        <v>Kia Motors</v>
      </c>
      <c r="E825" s="19" t="str">
        <f ca="1">IFERROR(__xludf.DUMMYFUNCTION("GOOGLETRANSLATE(B825,""ar"",""en"")"),"Kia")</f>
        <v>Kia</v>
      </c>
      <c r="F825" s="19" t="str">
        <f ca="1">IFERROR(__xludf.DUMMYFUNCTION("GOOGLETRANSLATE(C825,""ar"",""en"")"),"Teller")</f>
        <v>Teller</v>
      </c>
      <c r="G825" t="e">
        <f ca="1">VLOOKUP(F:F,matching_transelated_with_ref!A:C,2,0)</f>
        <v>#N/A</v>
      </c>
      <c r="H825" t="e">
        <f>VLOOKUP(C:C,Sheet4!A:C,2,0)</f>
        <v>#N/A</v>
      </c>
    </row>
    <row r="826" spans="1:8" ht="14.4">
      <c r="A826" s="18" t="s">
        <v>384</v>
      </c>
      <c r="B826" s="18" t="s">
        <v>387</v>
      </c>
      <c r="C826" s="18" t="s">
        <v>1180</v>
      </c>
      <c r="D826" s="19" t="str">
        <f ca="1">IFERROR(__xludf.DUMMYFUNCTION("GOOGLETRANSLATE(A826, ""ar"", ""en"")"),"Kia Motors")</f>
        <v>Kia Motors</v>
      </c>
      <c r="E826" s="19" t="str">
        <f ca="1">IFERROR(__xludf.DUMMYFUNCTION("GOOGLETRANSLATE(B826,""ar"",""en"")"),"Kia")</f>
        <v>Kia</v>
      </c>
      <c r="F826" s="19" t="str">
        <f ca="1">IFERROR(__xludf.DUMMYFUNCTION("GOOGLETRANSLATE(C826,""ar"",""en"")"),"Sonit pushed me in front of me")</f>
        <v>Sonit pushed me in front of me</v>
      </c>
      <c r="G826" t="e">
        <f ca="1">VLOOKUP(F:F,matching_transelated_with_ref!A:C,2,0)</f>
        <v>#N/A</v>
      </c>
      <c r="H826" t="str">
        <f>VLOOKUP(C:C,Sheet4!A:C,2,0)</f>
        <v xml:space="preserve">سونيت </v>
      </c>
    </row>
    <row r="827" spans="1:8" ht="14.4">
      <c r="A827" s="18" t="s">
        <v>384</v>
      </c>
      <c r="B827" s="18" t="s">
        <v>703</v>
      </c>
      <c r="C827" s="18" t="s">
        <v>704</v>
      </c>
      <c r="D827" s="19" t="str">
        <f ca="1">IFERROR(__xludf.DUMMYFUNCTION("GOOGLETRANSLATE(A827, ""ar"", ""en"")"),"Kia Motors")</f>
        <v>Kia Motors</v>
      </c>
      <c r="E827" s="19" t="str">
        <f ca="1">IFERROR(__xludf.DUMMYFUNCTION("GOOGLETRANSLATE(B827,""ar"",""en"")"),"Kia Cerato")</f>
        <v>Kia Cerato</v>
      </c>
      <c r="F827" s="19" t="str">
        <f ca="1">IFERROR(__xludf.DUMMYFUNCTION("GOOGLETRANSLATE(C827,""ar"",""en"")"),"The 1.6")</f>
        <v>The 1.6</v>
      </c>
      <c r="G827" t="e">
        <f ca="1">VLOOKUP(F:F,matching_transelated_with_ref!A:C,2,0)</f>
        <v>#N/A</v>
      </c>
      <c r="H827" t="e">
        <f>VLOOKUP(C:C,Sheet4!A:C,2,0)</f>
        <v>#N/A</v>
      </c>
    </row>
    <row r="828" spans="1:8" ht="14.4">
      <c r="A828" s="18" t="s">
        <v>384</v>
      </c>
      <c r="B828" s="18" t="s">
        <v>387</v>
      </c>
      <c r="C828" s="18" t="s">
        <v>701</v>
      </c>
      <c r="D828" s="19" t="str">
        <f ca="1">IFERROR(__xludf.DUMMYFUNCTION("GOOGLETRANSLATE(A828, ""ar"", ""en"")"),"Kia Motors")</f>
        <v>Kia Motors</v>
      </c>
      <c r="E828" s="19" t="str">
        <f ca="1">IFERROR(__xludf.DUMMYFUNCTION("GOOGLETRANSLATE(B828,""ar"",""en"")"),"Kia")</f>
        <v>Kia</v>
      </c>
      <c r="F828" s="19" t="str">
        <f ca="1">IFERROR(__xludf.DUMMYFUNCTION("GOOGLETRANSLATE(C828,""ar"",""en"")"),"Ceratio LX")</f>
        <v>Ceratio LX</v>
      </c>
      <c r="G828" t="e">
        <f ca="1">VLOOKUP(F:F,matching_transelated_with_ref!A:C,2,0)</f>
        <v>#N/A</v>
      </c>
      <c r="H828" t="e">
        <f>VLOOKUP(C:C,Sheet4!A:C,2,0)</f>
        <v>#N/A</v>
      </c>
    </row>
    <row r="829" spans="1:8" ht="14.4">
      <c r="A829" s="18" t="s">
        <v>384</v>
      </c>
      <c r="B829" s="18" t="s">
        <v>387</v>
      </c>
      <c r="C829" s="18" t="s">
        <v>1176</v>
      </c>
      <c r="D829" s="19" t="str">
        <f ca="1">IFERROR(__xludf.DUMMYFUNCTION("GOOGLETRANSLATE(A829, ""ar"", ""en"")"),"Kia Motors")</f>
        <v>Kia Motors</v>
      </c>
      <c r="E829" s="19" t="str">
        <f ca="1">IFERROR(__xludf.DUMMYFUNCTION("GOOGLETRANSLATE(B829,""ar"",""en"")"),"Kia")</f>
        <v>Kia</v>
      </c>
      <c r="F829" s="19" t="str">
        <f ca="1">IFERROR(__xludf.DUMMYFUNCTION("GOOGLETRANSLATE(C829,""ar"",""en"")"),"Rio paid 1.4 liters in front of me")</f>
        <v>Rio paid 1.4 liters in front of me</v>
      </c>
      <c r="G829" t="e">
        <f ca="1">VLOOKUP(F:F,matching_transelated_with_ref!A:C,2,0)</f>
        <v>#N/A</v>
      </c>
      <c r="H829" t="str">
        <f>VLOOKUP(C:C,Sheet4!A:C,2,0)</f>
        <v xml:space="preserve"> ريو</v>
      </c>
    </row>
    <row r="830" spans="1:8" ht="14.4">
      <c r="A830" s="18" t="s">
        <v>384</v>
      </c>
      <c r="B830" s="18" t="s">
        <v>385</v>
      </c>
      <c r="C830" s="18" t="s">
        <v>386</v>
      </c>
      <c r="D830" s="19" t="str">
        <f ca="1">IFERROR(__xludf.DUMMYFUNCTION("GOOGLETRANSLATE(A830, ""ar"", ""en"")"),"Kia Motors")</f>
        <v>Kia Motors</v>
      </c>
      <c r="E830" s="19" t="str">
        <f ca="1">IFERROR(__xludf.DUMMYFUNCTION("GOOGLETRANSLATE(B830,""ar"",""en"")"),"Rio")</f>
        <v>Rio</v>
      </c>
      <c r="F830" s="19" t="str">
        <f ca="1">IFERROR(__xludf.DUMMYFUNCTION("GOOGLETRANSLATE(C830,""ar"",""en"")"),"Kia Rio")</f>
        <v>Kia Rio</v>
      </c>
      <c r="G830" t="e">
        <f ca="1">VLOOKUP(F:F,matching_transelated_with_ref!A:C,2,0)</f>
        <v>#N/A</v>
      </c>
      <c r="H830" t="str">
        <f>VLOOKUP(C:C,Sheet4!A:C,2,0)</f>
        <v xml:space="preserve"> ريو</v>
      </c>
    </row>
    <row r="831" spans="1:8" ht="14.4">
      <c r="A831" s="18" t="s">
        <v>384</v>
      </c>
      <c r="B831" s="18" t="s">
        <v>387</v>
      </c>
      <c r="C831" s="18" t="s">
        <v>958</v>
      </c>
      <c r="D831" s="19" t="str">
        <f ca="1">IFERROR(__xludf.DUMMYFUNCTION("GOOGLETRANSLATE(A831, ""ar"", ""en"")"),"Kia Motors")</f>
        <v>Kia Motors</v>
      </c>
      <c r="E831" s="19" t="str">
        <f ca="1">IFERROR(__xludf.DUMMYFUNCTION("GOOGLETRANSLATE(B831,""ar"",""en"")"),"Kia")</f>
        <v>Kia</v>
      </c>
      <c r="F831" s="19" t="str">
        <f ca="1">IFERROR(__xludf.DUMMYFUNCTION("GOOGLETRANSLATE(C831,""ar"",""en"")"),"Picanto EX")</f>
        <v>Picanto EX</v>
      </c>
      <c r="G831" t="e">
        <f ca="1">VLOOKUP(F:F,matching_transelated_with_ref!A:C,2,0)</f>
        <v>#N/A</v>
      </c>
      <c r="H831" t="e">
        <f>VLOOKUP(C:C,Sheet4!A:C,2,0)</f>
        <v>#N/A</v>
      </c>
    </row>
    <row r="832" spans="1:8" ht="14.4">
      <c r="A832" s="18" t="s">
        <v>384</v>
      </c>
      <c r="B832" s="18" t="s">
        <v>387</v>
      </c>
      <c r="C832" s="18" t="s">
        <v>699</v>
      </c>
      <c r="D832" s="19" t="str">
        <f ca="1">IFERROR(__xludf.DUMMYFUNCTION("GOOGLETRANSLATE(A832, ""ar"", ""en"")"),"Kia Motors")</f>
        <v>Kia Motors</v>
      </c>
      <c r="E832" s="19" t="str">
        <f ca="1">IFERROR(__xludf.DUMMYFUNCTION("GOOGLETRANSLATE(B832,""ar"",""en"")"),"Kia")</f>
        <v>Kia</v>
      </c>
      <c r="F832" s="19" t="str">
        <f ca="1">IFERROR(__xludf.DUMMYFUNCTION("GOOGLETRANSLATE(C832,""ar"",""en"")"),"Picanto LX")</f>
        <v>Picanto LX</v>
      </c>
      <c r="G832" t="e">
        <f ca="1">VLOOKUP(F:F,matching_transelated_with_ref!A:C,2,0)</f>
        <v>#N/A</v>
      </c>
      <c r="H832" t="e">
        <f>VLOOKUP(C:C,Sheet4!A:C,2,0)</f>
        <v>#N/A</v>
      </c>
    </row>
    <row r="833" spans="1:8" ht="14.4">
      <c r="A833" s="18" t="s">
        <v>384</v>
      </c>
      <c r="B833" s="18" t="s">
        <v>387</v>
      </c>
      <c r="C833" s="18" t="s">
        <v>957</v>
      </c>
      <c r="D833" s="19" t="str">
        <f ca="1">IFERROR(__xludf.DUMMYFUNCTION("GOOGLETRANSLATE(A833, ""ar"", ""en"")"),"Kia Motors")</f>
        <v>Kia Motors</v>
      </c>
      <c r="E833" s="19" t="str">
        <f ca="1">IFERROR(__xludf.DUMMYFUNCTION("GOOGLETRANSLATE(B833,""ar"",""en"")"),"Kia")</f>
        <v>Kia</v>
      </c>
      <c r="F833" s="19" t="str">
        <f ca="1">IFERROR(__xludf.DUMMYFUNCTION("GOOGLETRANSLATE(C833,""ar"",""en"")"),"Begas")</f>
        <v>Begas</v>
      </c>
      <c r="G833" t="e">
        <f ca="1">VLOOKUP(F:F,matching_transelated_with_ref!A:C,2,0)</f>
        <v>#N/A</v>
      </c>
      <c r="H833" t="str">
        <f>VLOOKUP(C:C,Sheet4!A:C,2,0)</f>
        <v xml:space="preserve"> بيجاس</v>
      </c>
    </row>
    <row r="834" spans="1:8" ht="14.4">
      <c r="A834" s="18" t="s">
        <v>395</v>
      </c>
      <c r="B834" s="18" t="s">
        <v>43</v>
      </c>
      <c r="C834" s="18" t="s">
        <v>396</v>
      </c>
      <c r="D834" s="19" t="str">
        <f ca="1">IFERROR(__xludf.DUMMYFUNCTION("GOOGLETRANSLATE(A834, ""ar"", ""en"")"),"bag")</f>
        <v>bag</v>
      </c>
      <c r="E834" s="19" t="str">
        <f ca="1">IFERROR(__xludf.DUMMYFUNCTION("GOOGLETRANSLATE(B834,""ar"",""en"")"),"stomach")</f>
        <v>stomach</v>
      </c>
      <c r="F834" s="19" t="str">
        <f ca="1">IFERROR(__xludf.DUMMYFUNCTION("GOOGLETRANSLATE(C834,""ar"",""en"")"),"570 T.")</f>
        <v>570 T.</v>
      </c>
      <c r="G834" t="e">
        <f ca="1">VLOOKUP(F:F,matching_transelated_with_ref!A:C,2,0)</f>
        <v>#N/A</v>
      </c>
      <c r="H834" t="e">
        <f>VLOOKUP(C:C,Sheet4!A:C,2,0)</f>
        <v>#N/A</v>
      </c>
    </row>
    <row r="835" spans="1:8" ht="14.4">
      <c r="A835" s="18" t="s">
        <v>395</v>
      </c>
      <c r="B835" s="18" t="s">
        <v>43</v>
      </c>
      <c r="C835" s="18" t="s">
        <v>706</v>
      </c>
      <c r="D835" s="19" t="str">
        <f ca="1">IFERROR(__xludf.DUMMYFUNCTION("GOOGLETRANSLATE(A835, ""ar"", ""en"")"),"bag")</f>
        <v>bag</v>
      </c>
      <c r="E835" s="19" t="str">
        <f ca="1">IFERROR(__xludf.DUMMYFUNCTION("GOOGLETRANSLATE(B835,""ar"",""en"")"),"stomach")</f>
        <v>stomach</v>
      </c>
      <c r="F835" s="19" t="str">
        <f ca="1">IFERROR(__xludf.DUMMYFUNCTION("GOOGLETRANSLATE(C835,""ar"",""en"")"),"SR 250")</f>
        <v>SR 250</v>
      </c>
      <c r="G835" t="e">
        <f ca="1">VLOOKUP(F:F,matching_transelated_with_ref!A:C,2,0)</f>
        <v>#N/A</v>
      </c>
      <c r="H835" t="e">
        <f>VLOOKUP(C:C,Sheet4!A:C,2,0)</f>
        <v>#N/A</v>
      </c>
    </row>
    <row r="836" spans="1:8" ht="14.4">
      <c r="A836" s="18" t="s">
        <v>395</v>
      </c>
      <c r="B836" s="18" t="s">
        <v>43</v>
      </c>
      <c r="C836" s="18" t="s">
        <v>705</v>
      </c>
      <c r="D836" s="19" t="str">
        <f ca="1">IFERROR(__xludf.DUMMYFUNCTION("GOOGLETRANSLATE(A836, ""ar"", ""en"")"),"bag")</f>
        <v>bag</v>
      </c>
      <c r="E836" s="19" t="str">
        <f ca="1">IFERROR(__xludf.DUMMYFUNCTION("GOOGLETRANSLATE(B836,""ar"",""en"")"),"stomach")</f>
        <v>stomach</v>
      </c>
      <c r="F836" s="19" t="str">
        <f ca="1">IFERROR(__xludf.DUMMYFUNCTION("GOOGLETRANSLATE(C836,""ar"",""en"")"),"SR 130")</f>
        <v>SR 130</v>
      </c>
      <c r="G836" t="e">
        <f ca="1">VLOOKUP(F:F,matching_transelated_with_ref!A:C,2,0)</f>
        <v>#N/A</v>
      </c>
      <c r="H836" t="e">
        <f>VLOOKUP(C:C,Sheet4!A:C,2,0)</f>
        <v>#N/A</v>
      </c>
    </row>
    <row r="837" spans="1:8" ht="14.4">
      <c r="A837" s="18" t="s">
        <v>93</v>
      </c>
      <c r="B837" s="18" t="s">
        <v>93</v>
      </c>
      <c r="C837" s="18" t="s">
        <v>406</v>
      </c>
      <c r="D837" s="19" t="str">
        <f ca="1">IFERROR(__xludf.DUMMYFUNCTION("GOOGLETRANSLATE(A837, ""ar"", ""en"")"),"land Rover")</f>
        <v>land Rover</v>
      </c>
      <c r="E837" s="19" t="str">
        <f ca="1">IFERROR(__xludf.DUMMYFUNCTION("GOOGLETRANSLATE(B837,""ar"",""en"")"),"land Rover")</f>
        <v>land Rover</v>
      </c>
      <c r="F837" s="19" t="str">
        <f ca="1">IFERROR(__xludf.DUMMYFUNCTION("GOOGLETRANSLATE(C837,""ar"",""en"")"),"Range Rover above SE")</f>
        <v>Range Rover above SE</v>
      </c>
      <c r="G837" t="e">
        <f ca="1">VLOOKUP(F:F,matching_transelated_with_ref!A:C,2,0)</f>
        <v>#N/A</v>
      </c>
      <c r="H837" t="e">
        <f>VLOOKUP(C:C,Sheet4!A:C,2,0)</f>
        <v>#N/A</v>
      </c>
    </row>
    <row r="838" spans="1:8" ht="14.4">
      <c r="A838" s="18" t="s">
        <v>93</v>
      </c>
      <c r="B838" s="18" t="s">
        <v>93</v>
      </c>
      <c r="C838" s="18" t="s">
        <v>404</v>
      </c>
      <c r="D838" s="19" t="str">
        <f ca="1">IFERROR(__xludf.DUMMYFUNCTION("GOOGLETRANSLATE(A838, ""ar"", ""en"")"),"land Rover")</f>
        <v>land Rover</v>
      </c>
      <c r="E838" s="19" t="str">
        <f ca="1">IFERROR(__xludf.DUMMYFUNCTION("GOOGLETRANSLATE(B838,""ar"",""en"")"),"land Rover")</f>
        <v>land Rover</v>
      </c>
      <c r="F838" s="19" t="str">
        <f ca="1">IFERROR(__xludf.DUMMYFUNCTION("GOOGLETRANSLATE(C838,""ar"",""en"")"),"Range Rover Auto Pegeraf")</f>
        <v>Range Rover Auto Pegeraf</v>
      </c>
      <c r="G838" t="e">
        <f ca="1">VLOOKUP(F:F,matching_transelated_with_ref!A:C,2,0)</f>
        <v>#N/A</v>
      </c>
      <c r="H838" t="e">
        <f>VLOOKUP(C:C,Sheet4!A:C,2,0)</f>
        <v>#N/A</v>
      </c>
    </row>
    <row r="839" spans="1:8" ht="14.4">
      <c r="A839" s="18" t="s">
        <v>93</v>
      </c>
      <c r="B839" s="18" t="s">
        <v>93</v>
      </c>
      <c r="C839" s="18" t="s">
        <v>405</v>
      </c>
      <c r="D839" s="19" t="str">
        <f ca="1">IFERROR(__xludf.DUMMYFUNCTION("GOOGLETRANSLATE(A839, ""ar"", ""en"")"),"land Rover")</f>
        <v>land Rover</v>
      </c>
      <c r="E839" s="19" t="str">
        <f ca="1">IFERROR(__xludf.DUMMYFUNCTION("GOOGLETRANSLATE(B839,""ar"",""en"")"),"land Rover")</f>
        <v>land Rover</v>
      </c>
      <c r="F839" s="19" t="str">
        <f ca="1">IFERROR(__xludf.DUMMYFUNCTION("GOOGLETRANSLATE(C839,""ar"",""en"")"),"Range Rover above")</f>
        <v>Range Rover above</v>
      </c>
      <c r="G839" t="e">
        <f ca="1">VLOOKUP(F:F,matching_transelated_with_ref!A:C,2,0)</f>
        <v>#N/A</v>
      </c>
      <c r="H839" t="e">
        <f>VLOOKUP(C:C,Sheet4!A:C,2,0)</f>
        <v>#N/A</v>
      </c>
    </row>
    <row r="840" spans="1:8" ht="14.4">
      <c r="A840" s="18" t="s">
        <v>93</v>
      </c>
      <c r="B840" s="18" t="s">
        <v>93</v>
      </c>
      <c r="C840" s="18" t="s">
        <v>707</v>
      </c>
      <c r="D840" s="19" t="str">
        <f ca="1">IFERROR(__xludf.DUMMYFUNCTION("GOOGLETRANSLATE(A840, ""ar"", ""en"")"),"land Rover")</f>
        <v>land Rover</v>
      </c>
      <c r="E840" s="19" t="str">
        <f ca="1">IFERROR(__xludf.DUMMYFUNCTION("GOOGLETRANSLATE(B840,""ar"",""en"")"),"land Rover")</f>
        <v>land Rover</v>
      </c>
      <c r="F840" s="19" t="str">
        <f ca="1">IFERROR(__xludf.DUMMYFUNCTION("GOOGLETRANSLATE(C840,""ar"",""en"")"),"Range Rover Sport Otop")</f>
        <v>Range Rover Sport Otop</v>
      </c>
      <c r="G840" t="e">
        <f ca="1">VLOOKUP(F:F,matching_transelated_with_ref!A:C,2,0)</f>
        <v>#N/A</v>
      </c>
      <c r="H840" t="str">
        <f>VLOOKUP(C:C,Sheet4!A:C,2,0)</f>
        <v xml:space="preserve">رانج روفر 3.0-6V- HSE سبورت </v>
      </c>
    </row>
    <row r="841" spans="1:8" ht="14.4">
      <c r="A841" s="18" t="s">
        <v>93</v>
      </c>
      <c r="B841" s="18" t="s">
        <v>93</v>
      </c>
      <c r="C841" s="18" t="s">
        <v>94</v>
      </c>
      <c r="D841" s="19" t="str">
        <f ca="1">IFERROR(__xludf.DUMMYFUNCTION("GOOGLETRANSLATE(A841, ""ar"", ""en"")"),"land Rover")</f>
        <v>land Rover</v>
      </c>
      <c r="E841" s="19" t="str">
        <f ca="1">IFERROR(__xludf.DUMMYFUNCTION("GOOGLETRANSLATE(B841,""ar"",""en"")"),"land Rover")</f>
        <v>land Rover</v>
      </c>
      <c r="F841" s="19" t="str">
        <f ca="1">IFERROR(__xludf.DUMMYFUNCTION("GOOGLETRANSLATE(C841,""ar"",""en"")"),"Range Rover HSI")</f>
        <v>Range Rover HSI</v>
      </c>
      <c r="G841" t="e">
        <f ca="1">VLOOKUP(F:F,matching_transelated_with_ref!A:C,2,0)</f>
        <v>#N/A</v>
      </c>
      <c r="H841" t="e">
        <f>VLOOKUP(C:C,Sheet4!A:C,2,0)</f>
        <v>#N/A</v>
      </c>
    </row>
    <row r="842" spans="1:8" ht="14.4">
      <c r="A842" s="18" t="s">
        <v>93</v>
      </c>
      <c r="B842" s="18" t="s">
        <v>93</v>
      </c>
      <c r="C842" s="18" t="s">
        <v>95</v>
      </c>
      <c r="D842" s="19" t="str">
        <f ca="1">IFERROR(__xludf.DUMMYFUNCTION("GOOGLETRANSLATE(A842, ""ar"", ""en"")"),"land Rover")</f>
        <v>land Rover</v>
      </c>
      <c r="E842" s="19" t="str">
        <f ca="1">IFERROR(__xludf.DUMMYFUNCTION("GOOGLETRANSLATE(B842,""ar"",""en"")"),"land Rover")</f>
        <v>land Rover</v>
      </c>
      <c r="F842" s="19" t="str">
        <f ca="1">IFERROR(__xludf.DUMMYFUNCTION("GOOGLETRANSLATE(C842,""ar"",""en"")"),"Range Rover Sport HS")</f>
        <v>Range Rover Sport HS</v>
      </c>
      <c r="G842" t="e">
        <f ca="1">VLOOKUP(F:F,matching_transelated_with_ref!A:C,2,0)</f>
        <v>#N/A</v>
      </c>
      <c r="H842" t="e">
        <f>VLOOKUP(C:C,Sheet4!A:C,2,0)</f>
        <v>#N/A</v>
      </c>
    </row>
    <row r="843" spans="1:8" ht="14.4">
      <c r="A843" s="18" t="s">
        <v>93</v>
      </c>
      <c r="B843" s="18" t="s">
        <v>397</v>
      </c>
      <c r="C843" s="18" t="s">
        <v>1412</v>
      </c>
      <c r="D843" s="19" t="str">
        <f ca="1">IFERROR(__xludf.DUMMYFUNCTION("GOOGLETRANSLATE(A843, ""ar"", ""en"")"),"land Rover")</f>
        <v>land Rover</v>
      </c>
      <c r="E843" s="19" t="str">
        <f ca="1">IFERROR(__xludf.DUMMYFUNCTION("GOOGLETRANSLATE(B843,""ar"",""en"")"),"Range Rover")</f>
        <v>Range Rover</v>
      </c>
      <c r="F843" s="19" t="str">
        <f ca="1">IFERROR(__xludf.DUMMYFUNCTION("GOOGLETRANSLATE(C843,""ar"",""en"")"),"Sport 3 liters")</f>
        <v>Sport 3 liters</v>
      </c>
      <c r="G843" t="e">
        <f ca="1">VLOOKUP(F:F,matching_transelated_with_ref!A:C,2,0)</f>
        <v>#N/A</v>
      </c>
      <c r="H843" t="e">
        <f>VLOOKUP(C:C,Sheet4!A:C,2,0)</f>
        <v>#N/A</v>
      </c>
    </row>
    <row r="844" spans="1:8" ht="14.4">
      <c r="A844" s="18" t="s">
        <v>93</v>
      </c>
      <c r="B844" s="18" t="s">
        <v>93</v>
      </c>
      <c r="C844" s="18" t="s">
        <v>708</v>
      </c>
      <c r="D844" s="19" t="str">
        <f ca="1">IFERROR(__xludf.DUMMYFUNCTION("GOOGLETRANSLATE(A844, ""ar"", ""en"")"),"land Rover")</f>
        <v>land Rover</v>
      </c>
      <c r="E844" s="19" t="str">
        <f ca="1">IFERROR(__xludf.DUMMYFUNCTION("GOOGLETRANSLATE(B844,""ar"",""en"")"),"land Rover")</f>
        <v>land Rover</v>
      </c>
      <c r="F844" s="19" t="str">
        <f ca="1">IFERROR(__xludf.DUMMYFUNCTION("GOOGLETRANSLATE(C844,""ar"",""en"")"),"Range Rover Sport SA")</f>
        <v>Range Rover Sport SA</v>
      </c>
      <c r="G844" t="e">
        <f ca="1">VLOOKUP(F:F,matching_transelated_with_ref!A:C,2,0)</f>
        <v>#N/A</v>
      </c>
      <c r="H844" t="e">
        <f>VLOOKUP(C:C,Sheet4!A:C,2,0)</f>
        <v>#N/A</v>
      </c>
    </row>
    <row r="845" spans="1:8" ht="14.4">
      <c r="A845" s="18" t="s">
        <v>93</v>
      </c>
      <c r="B845" s="18" t="s">
        <v>93</v>
      </c>
      <c r="C845" s="18" t="s">
        <v>1413</v>
      </c>
      <c r="D845" s="19" t="str">
        <f ca="1">IFERROR(__xludf.DUMMYFUNCTION("GOOGLETRANSLATE(A845, ""ar"", ""en"")"),"land Rover")</f>
        <v>land Rover</v>
      </c>
      <c r="E845" s="19" t="str">
        <f ca="1">IFERROR(__xludf.DUMMYFUNCTION("GOOGLETRANSLATE(B845,""ar"",""en"")"),"land Rover")</f>
        <v>land Rover</v>
      </c>
      <c r="F845" s="19" t="str">
        <f ca="1">IFERROR(__xludf.DUMMYFUNCTION("GOOGLETRANSLATE(C845,""ar"",""en"")"),"Defander 110 3 liters")</f>
        <v>Defander 110 3 liters</v>
      </c>
      <c r="G845" t="e">
        <f ca="1">VLOOKUP(F:F,matching_transelated_with_ref!A:C,2,0)</f>
        <v>#N/A</v>
      </c>
      <c r="H845" t="e">
        <f>VLOOKUP(C:C,Sheet4!A:C,2,0)</f>
        <v>#N/A</v>
      </c>
    </row>
    <row r="846" spans="1:8" ht="14.4">
      <c r="A846" s="18" t="s">
        <v>93</v>
      </c>
      <c r="B846" s="18" t="s">
        <v>93</v>
      </c>
      <c r="C846" s="18" t="s">
        <v>967</v>
      </c>
      <c r="D846" s="19" t="str">
        <f ca="1">IFERROR(__xludf.DUMMYFUNCTION("GOOGLETRANSLATE(A846, ""ar"", ""en"")"),"land Rover")</f>
        <v>land Rover</v>
      </c>
      <c r="E846" s="19" t="str">
        <f ca="1">IFERROR(__xludf.DUMMYFUNCTION("GOOGLETRANSLATE(B846,""ar"",""en"")"),"land Rover")</f>
        <v>land Rover</v>
      </c>
      <c r="F846" s="19" t="str">
        <f ca="1">IFERROR(__xludf.DUMMYFUNCTION("GOOGLETRANSLATE(C846,""ar"",""en"")"),"Defenner 110 four -liter payment 3 liters")</f>
        <v>Defenner 110 four -liter payment 3 liters</v>
      </c>
      <c r="G846" t="e">
        <f ca="1">VLOOKUP(F:F,matching_transelated_with_ref!A:C,2,0)</f>
        <v>#N/A</v>
      </c>
      <c r="H846">
        <f>VLOOKUP(C:C,Sheet4!A:C,2,0)</f>
        <v>3</v>
      </c>
    </row>
    <row r="847" spans="1:8" ht="14.4">
      <c r="A847" s="18" t="s">
        <v>93</v>
      </c>
      <c r="B847" s="18" t="s">
        <v>93</v>
      </c>
      <c r="C847" s="18" t="s">
        <v>1414</v>
      </c>
      <c r="D847" s="19" t="str">
        <f ca="1">IFERROR(__xludf.DUMMYFUNCTION("GOOGLETRANSLATE(A847, ""ar"", ""en"")"),"land Rover")</f>
        <v>land Rover</v>
      </c>
      <c r="E847" s="19" t="str">
        <f ca="1">IFERROR(__xludf.DUMMYFUNCTION("GOOGLETRANSLATE(B847,""ar"",""en"")"),"land Rover")</f>
        <v>land Rover</v>
      </c>
      <c r="F847" s="19" t="str">
        <f ca="1">IFERROR(__xludf.DUMMYFUNCTION("GOOGLETRANSLATE(C847,""ar"",""en"")"),"Devinder 110 5 liters")</f>
        <v>Devinder 110 5 liters</v>
      </c>
      <c r="G847" t="e">
        <f ca="1">VLOOKUP(F:F,matching_transelated_with_ref!A:C,2,0)</f>
        <v>#N/A</v>
      </c>
      <c r="H847" t="e">
        <f>VLOOKUP(C:C,Sheet4!A:C,2,0)</f>
        <v>#N/A</v>
      </c>
    </row>
    <row r="848" spans="1:8" ht="14.4">
      <c r="A848" s="18" t="s">
        <v>93</v>
      </c>
      <c r="B848" s="18" t="s">
        <v>93</v>
      </c>
      <c r="C848" s="18" t="s">
        <v>966</v>
      </c>
      <c r="D848" s="19" t="str">
        <f ca="1">IFERROR(__xludf.DUMMYFUNCTION("GOOGLETRANSLATE(A848, ""ar"", ""en"")"),"land Rover")</f>
        <v>land Rover</v>
      </c>
      <c r="E848" s="19" t="str">
        <f ca="1">IFERROR(__xludf.DUMMYFUNCTION("GOOGLETRANSLATE(B848,""ar"",""en"")"),"land Rover")</f>
        <v>land Rover</v>
      </c>
      <c r="F848" s="19" t="str">
        <f ca="1">IFERROR(__xludf.DUMMYFUNCTION("GOOGLETRANSLATE(C848,""ar"",""en"")"),"Defenner 110 four -wheel drive 2 liters")</f>
        <v>Defenner 110 four -wheel drive 2 liters</v>
      </c>
      <c r="G848" t="e">
        <f ca="1">VLOOKUP(F:F,matching_transelated_with_ref!A:C,2,0)</f>
        <v>#N/A</v>
      </c>
      <c r="H848" t="e">
        <f>VLOOKUP(C:C,Sheet4!A:C,2,0)</f>
        <v>#N/A</v>
      </c>
    </row>
    <row r="849" spans="1:8" ht="14.4">
      <c r="A849" s="18" t="s">
        <v>93</v>
      </c>
      <c r="B849" s="18" t="s">
        <v>397</v>
      </c>
      <c r="C849" s="18" t="s">
        <v>401</v>
      </c>
      <c r="D849" s="19" t="str">
        <f ca="1">IFERROR(__xludf.DUMMYFUNCTION("GOOGLETRANSLATE(A849, ""ar"", ""en"")"),"land Rover")</f>
        <v>land Rover</v>
      </c>
      <c r="E849" s="19" t="str">
        <f ca="1">IFERROR(__xludf.DUMMYFUNCTION("GOOGLETRANSLATE(B849,""ar"",""en"")"),"Range Rover")</f>
        <v>Range Rover</v>
      </c>
      <c r="F849" s="19" t="str">
        <f ca="1">IFERROR(__xludf.DUMMYFUNCTION("GOOGLETRANSLATE(C849,""ar"",""en"")"),"Velarid Edesen")</f>
        <v>Velarid Edesen</v>
      </c>
      <c r="G849" t="e">
        <f ca="1">VLOOKUP(F:F,matching_transelated_with_ref!A:C,2,0)</f>
        <v>#N/A</v>
      </c>
      <c r="H849" t="str">
        <f>VLOOKUP(C:C,Sheet4!A:C,2,0)</f>
        <v xml:space="preserve"> فيلار</v>
      </c>
    </row>
    <row r="850" spans="1:8" ht="14.4">
      <c r="A850" s="18" t="s">
        <v>93</v>
      </c>
      <c r="B850" s="18" t="s">
        <v>397</v>
      </c>
      <c r="C850" s="18" t="s">
        <v>400</v>
      </c>
      <c r="D850" s="19" t="str">
        <f ca="1">IFERROR(__xludf.DUMMYFUNCTION("GOOGLETRANSLATE(A850, ""ar"", ""en"")"),"land Rover")</f>
        <v>land Rover</v>
      </c>
      <c r="E850" s="19" t="str">
        <f ca="1">IFERROR(__xludf.DUMMYFUNCTION("GOOGLETRANSLATE(B850,""ar"",""en"")"),"Range Rover")</f>
        <v>Range Rover</v>
      </c>
      <c r="F850" s="19" t="str">
        <f ca="1">IFERROR(__xludf.DUMMYFUNCTION("GOOGLETRANSLATE(C850,""ar"",""en"")"),"Villar R-Denmak SA")</f>
        <v>Villar R-Denmak SA</v>
      </c>
      <c r="G850" t="e">
        <f ca="1">VLOOKUP(F:F,matching_transelated_with_ref!A:C,2,0)</f>
        <v>#N/A</v>
      </c>
      <c r="H850" t="str">
        <f>VLOOKUP(C:C,Sheet4!A:C,2,0)</f>
        <v xml:space="preserve"> فيلار</v>
      </c>
    </row>
    <row r="851" spans="1:8" ht="14.4">
      <c r="A851" s="18" t="s">
        <v>93</v>
      </c>
      <c r="B851" s="18" t="s">
        <v>93</v>
      </c>
      <c r="C851" s="18" t="s">
        <v>1184</v>
      </c>
      <c r="D851" s="19" t="str">
        <f ca="1">IFERROR(__xludf.DUMMYFUNCTION("GOOGLETRANSLATE(A851, ""ar"", ""en"")"),"land Rover")</f>
        <v>land Rover</v>
      </c>
      <c r="E851" s="19" t="str">
        <f ca="1">IFERROR(__xludf.DUMMYFUNCTION("GOOGLETRANSLATE(B851,""ar"",""en"")"),"land Rover")</f>
        <v>land Rover</v>
      </c>
      <c r="F851" s="19" t="str">
        <f ca="1">IFERROR(__xludf.DUMMYFUNCTION("GOOGLETRANSLATE(C851,""ar"",""en"")"),"Defander 90 3 doors 3 liters")</f>
        <v>Defander 90 3 doors 3 liters</v>
      </c>
      <c r="G851" t="e">
        <f ca="1">VLOOKUP(F:F,matching_transelated_with_ref!A:C,2,0)</f>
        <v>#N/A</v>
      </c>
      <c r="H851" t="e">
        <f>VLOOKUP(C:C,Sheet4!A:C,2,0)</f>
        <v>#N/A</v>
      </c>
    </row>
    <row r="852" spans="1:8" ht="14.4">
      <c r="A852" s="18" t="s">
        <v>93</v>
      </c>
      <c r="B852" s="18" t="s">
        <v>93</v>
      </c>
      <c r="C852" s="18" t="s">
        <v>1183</v>
      </c>
      <c r="D852" s="19" t="str">
        <f ca="1">IFERROR(__xludf.DUMMYFUNCTION("GOOGLETRANSLATE(A852, ""ar"", ""en"")"),"land Rover")</f>
        <v>land Rover</v>
      </c>
      <c r="E852" s="19" t="str">
        <f ca="1">IFERROR(__xludf.DUMMYFUNCTION("GOOGLETRANSLATE(B852,""ar"",""en"")"),"land Rover")</f>
        <v>land Rover</v>
      </c>
      <c r="F852" s="19" t="str">
        <f ca="1">IFERROR(__xludf.DUMMYFUNCTION("GOOGLETRANSLATE(C852,""ar"",""en"")"),"Defander 90 3 doors 3 liters")</f>
        <v>Defander 90 3 doors 3 liters</v>
      </c>
      <c r="G852" t="e">
        <f ca="1">VLOOKUP(F:F,matching_transelated_with_ref!A:C,2,0)</f>
        <v>#N/A</v>
      </c>
      <c r="H852" t="e">
        <f>VLOOKUP(C:C,Sheet4!A:C,2,0)</f>
        <v>#N/A</v>
      </c>
    </row>
    <row r="853" spans="1:8" ht="14.4">
      <c r="A853" s="18" t="s">
        <v>93</v>
      </c>
      <c r="B853" s="18" t="s">
        <v>397</v>
      </c>
      <c r="C853" s="18" t="s">
        <v>399</v>
      </c>
      <c r="D853" s="19" t="str">
        <f ca="1">IFERROR(__xludf.DUMMYFUNCTION("GOOGLETRANSLATE(A853, ""ar"", ""en"")"),"land Rover")</f>
        <v>land Rover</v>
      </c>
      <c r="E853" s="19" t="str">
        <f ca="1">IFERROR(__xludf.DUMMYFUNCTION("GOOGLETRANSLATE(B853,""ar"",""en"")"),"Range Rover")</f>
        <v>Range Rover</v>
      </c>
      <c r="F853" s="19" t="str">
        <f ca="1">IFERROR(__xludf.DUMMYFUNCTION("GOOGLETRANSLATE(C853,""ar"",""en"")"),"Villar R Denmak S")</f>
        <v>Villar R Denmak S</v>
      </c>
      <c r="G853" t="e">
        <f ca="1">VLOOKUP(F:F,matching_transelated_with_ref!A:C,2,0)</f>
        <v>#N/A</v>
      </c>
      <c r="H853" t="str">
        <f>VLOOKUP(C:C,Sheet4!A:C,2,0)</f>
        <v xml:space="preserve"> فيلار</v>
      </c>
    </row>
    <row r="854" spans="1:8" ht="14.4">
      <c r="A854" s="18" t="s">
        <v>93</v>
      </c>
      <c r="B854" s="18" t="s">
        <v>397</v>
      </c>
      <c r="C854" s="18" t="s">
        <v>964</v>
      </c>
      <c r="D854" s="19" t="str">
        <f ca="1">IFERROR(__xludf.DUMMYFUNCTION("GOOGLETRANSLATE(A854, ""ar"", ""en"")"),"land Rover")</f>
        <v>land Rover</v>
      </c>
      <c r="E854" s="19" t="str">
        <f ca="1">IFERROR(__xludf.DUMMYFUNCTION("GOOGLETRANSLATE(B854,""ar"",""en"")"),"Range Rover")</f>
        <v>Range Rover</v>
      </c>
      <c r="F854" s="19" t="str">
        <f ca="1">IFERROR(__xludf.DUMMYFUNCTION("GOOGLETRANSLATE(C854,""ar"",""en"")"),"Villar R-Denmak Piece")</f>
        <v>Villar R-Denmak Piece</v>
      </c>
      <c r="G854" t="e">
        <f ca="1">VLOOKUP(F:F,matching_transelated_with_ref!A:C,2,0)</f>
        <v>#N/A</v>
      </c>
      <c r="H854" t="str">
        <f>VLOOKUP(C:C,Sheet4!A:C,2,0)</f>
        <v xml:space="preserve"> فيلار</v>
      </c>
    </row>
    <row r="855" spans="1:8" ht="14.4">
      <c r="A855" s="18" t="s">
        <v>93</v>
      </c>
      <c r="B855" s="18" t="s">
        <v>397</v>
      </c>
      <c r="C855" s="18" t="s">
        <v>963</v>
      </c>
      <c r="D855" s="19" t="str">
        <f ca="1">IFERROR(__xludf.DUMMYFUNCTION("GOOGLETRANSLATE(A855, ""ar"", ""en"")"),"land Rover")</f>
        <v>land Rover</v>
      </c>
      <c r="E855" s="19" t="str">
        <f ca="1">IFERROR(__xludf.DUMMYFUNCTION("GOOGLETRANSLATE(B855,""ar"",""en"")"),"Range Rover")</f>
        <v>Range Rover</v>
      </c>
      <c r="F855" s="19" t="str">
        <f ca="1">IFERROR(__xludf.DUMMYFUNCTION("GOOGLETRANSLATE(C855,""ar"",""en"")"),"Evoque")</f>
        <v>Evoque</v>
      </c>
      <c r="G855" t="e">
        <f ca="1">VLOOKUP(F:F,matching_transelated_with_ref!A:C,2,0)</f>
        <v>#N/A</v>
      </c>
      <c r="H855" t="str">
        <f>VLOOKUP(C:C,Sheet4!A:C,2,0)</f>
        <v xml:space="preserve"> ايفوك</v>
      </c>
    </row>
    <row r="856" spans="1:8" ht="14.4">
      <c r="A856" s="18" t="s">
        <v>93</v>
      </c>
      <c r="B856" s="18" t="s">
        <v>93</v>
      </c>
      <c r="C856" s="18" t="s">
        <v>965</v>
      </c>
      <c r="D856" s="19" t="str">
        <f ca="1">IFERROR(__xludf.DUMMYFUNCTION("GOOGLETRANSLATE(A856, ""ar"", ""en"")"),"land Rover")</f>
        <v>land Rover</v>
      </c>
      <c r="E856" s="19" t="str">
        <f ca="1">IFERROR(__xludf.DUMMYFUNCTION("GOOGLETRANSLATE(B856,""ar"",""en"")"),"land Rover")</f>
        <v>land Rover</v>
      </c>
      <c r="F856" s="19" t="str">
        <f ca="1">IFERROR(__xludf.DUMMYFUNCTION("GOOGLETRANSLATE(C856,""ar"",""en"")"),"Discovery Sport")</f>
        <v>Discovery Sport</v>
      </c>
      <c r="G856" t="e">
        <f ca="1">VLOOKUP(F:F,matching_transelated_with_ref!A:C,2,0)</f>
        <v>#N/A</v>
      </c>
      <c r="H856" t="e">
        <f>VLOOKUP(C:C,Sheet4!A:C,2,0)</f>
        <v>#N/A</v>
      </c>
    </row>
    <row r="857" spans="1:8" ht="14.4">
      <c r="A857" s="18" t="s">
        <v>93</v>
      </c>
      <c r="B857" s="18" t="s">
        <v>397</v>
      </c>
      <c r="C857" s="18" t="s">
        <v>398</v>
      </c>
      <c r="D857" s="19" t="str">
        <f ca="1">IFERROR(__xludf.DUMMYFUNCTION("GOOGLETRANSLATE(A857, ""ar"", ""en"")"),"land Rover")</f>
        <v>land Rover</v>
      </c>
      <c r="E857" s="19" t="str">
        <f ca="1">IFERROR(__xludf.DUMMYFUNCTION("GOOGLETRANSLATE(B857,""ar"",""en"")"),"Range Rover")</f>
        <v>Range Rover</v>
      </c>
      <c r="F857" s="19" t="str">
        <f ca="1">IFERROR(__xludf.DUMMYFUNCTION("GOOGLETRANSLATE(C857,""ar"",""en"")"),"Evoque SI Plus")</f>
        <v>Evoque SI Plus</v>
      </c>
      <c r="G857" t="e">
        <f ca="1">VLOOKUP(F:F,matching_transelated_with_ref!A:C,2,0)</f>
        <v>#N/A</v>
      </c>
      <c r="H857" t="str">
        <f>VLOOKUP(C:C,Sheet4!A:C,2,0)</f>
        <v xml:space="preserve"> ايفوك</v>
      </c>
    </row>
    <row r="858" spans="1:8" ht="14.4">
      <c r="A858" s="18" t="s">
        <v>93</v>
      </c>
      <c r="B858" s="18" t="s">
        <v>93</v>
      </c>
      <c r="C858" s="18" t="s">
        <v>402</v>
      </c>
      <c r="D858" s="19" t="str">
        <f ca="1">IFERROR(__xludf.DUMMYFUNCTION("GOOGLETRANSLATE(A858, ""ar"", ""en"")"),"land Rover")</f>
        <v>land Rover</v>
      </c>
      <c r="E858" s="19" t="str">
        <f ca="1">IFERROR(__xludf.DUMMYFUNCTION("GOOGLETRANSLATE(B858,""ar"",""en"")"),"land Rover")</f>
        <v>land Rover</v>
      </c>
      <c r="F858" s="19" t="str">
        <f ca="1">IFERROR(__xludf.DUMMYFUNCTION("GOOGLETRANSLATE(C858,""ar"",""en"")"),"Discovery HSI 2 liter")</f>
        <v>Discovery HSI 2 liter</v>
      </c>
      <c r="G858" t="e">
        <f ca="1">VLOOKUP(F:F,matching_transelated_with_ref!A:C,2,0)</f>
        <v>#N/A</v>
      </c>
      <c r="H858" t="e">
        <f>VLOOKUP(C:C,Sheet4!A:C,2,0)</f>
        <v>#N/A</v>
      </c>
    </row>
    <row r="859" spans="1:8" ht="14.4">
      <c r="A859" s="18" t="s">
        <v>93</v>
      </c>
      <c r="B859" s="18" t="s">
        <v>93</v>
      </c>
      <c r="C859" s="18" t="s">
        <v>403</v>
      </c>
      <c r="D859" s="19" t="str">
        <f ca="1">IFERROR(__xludf.DUMMYFUNCTION("GOOGLETRANSLATE(A859, ""ar"", ""en"")"),"land Rover")</f>
        <v>land Rover</v>
      </c>
      <c r="E859" s="19" t="str">
        <f ca="1">IFERROR(__xludf.DUMMYFUNCTION("GOOGLETRANSLATE(B859,""ar"",""en"")"),"land Rover")</f>
        <v>land Rover</v>
      </c>
      <c r="F859" s="19" t="str">
        <f ca="1">IFERROR(__xludf.DUMMYFUNCTION("GOOGLETRANSLATE(C859,""ar"",""en"")"),"Discovery Sport HSA")</f>
        <v>Discovery Sport HSA</v>
      </c>
      <c r="G859" t="e">
        <f ca="1">VLOOKUP(F:F,matching_transelated_with_ref!A:C,2,0)</f>
        <v>#N/A</v>
      </c>
      <c r="H859" t="e">
        <f>VLOOKUP(C:C,Sheet4!A:C,2,0)</f>
        <v>#N/A</v>
      </c>
    </row>
    <row r="860" spans="1:8" ht="14.4">
      <c r="A860" s="18" t="s">
        <v>407</v>
      </c>
      <c r="B860" s="18" t="s">
        <v>407</v>
      </c>
      <c r="C860" s="18" t="s">
        <v>408</v>
      </c>
      <c r="D860" s="19" t="str">
        <f ca="1">IFERROR(__xludf.DUMMYFUNCTION("GOOGLETRANSLATE(A860, ""ar"", ""en"")"),"Labergini")</f>
        <v>Labergini</v>
      </c>
      <c r="E860" s="19" t="str">
        <f ca="1">IFERROR(__xludf.DUMMYFUNCTION("GOOGLETRANSLATE(B860,""ar"",""en"")"),"Labergini")</f>
        <v>Labergini</v>
      </c>
      <c r="F860" s="19" t="str">
        <f ca="1">IFERROR(__xludf.DUMMYFUNCTION("GOOGLETRANSLATE(C860,""ar"",""en"")"),"Lesteeni Avenor SK")</f>
        <v>Lesteeni Avenor SK</v>
      </c>
      <c r="G860" t="e">
        <f ca="1">VLOOKUP(F:F,matching_transelated_with_ref!A:C,2,0)</f>
        <v>#N/A</v>
      </c>
      <c r="H860" t="e">
        <f>VLOOKUP(C:C,Sheet4!A:C,2,0)</f>
        <v>#N/A</v>
      </c>
    </row>
    <row r="861" spans="1:8" ht="14.4">
      <c r="A861" s="18" t="s">
        <v>407</v>
      </c>
      <c r="B861" s="18" t="s">
        <v>407</v>
      </c>
      <c r="C861" s="18" t="s">
        <v>709</v>
      </c>
      <c r="D861" s="19" t="str">
        <f ca="1">IFERROR(__xludf.DUMMYFUNCTION("GOOGLETRANSLATE(A861, ""ar"", ""en"")"),"Labergini")</f>
        <v>Labergini</v>
      </c>
      <c r="E861" s="19" t="str">
        <f ca="1">IFERROR(__xludf.DUMMYFUNCTION("GOOGLETRANSLATE(B861,""ar"",""en"")"),"Labergini")</f>
        <v>Labergini</v>
      </c>
      <c r="F861" s="19" t="str">
        <f ca="1">IFERROR(__xludf.DUMMYFUNCTION("GOOGLETRANSLATE(C861,""ar"",""en"")"),"Eurus 4*4")</f>
        <v>Eurus 4*4</v>
      </c>
      <c r="G861" t="e">
        <f ca="1">VLOOKUP(F:F,matching_transelated_with_ref!A:C,2,0)</f>
        <v>#N/A</v>
      </c>
      <c r="H861" t="e">
        <f>VLOOKUP(C:C,Sheet4!A:C,2,0)</f>
        <v>#N/A</v>
      </c>
    </row>
    <row r="862" spans="1:8" ht="14.4">
      <c r="A862" s="18" t="s">
        <v>407</v>
      </c>
      <c r="B862" s="18" t="s">
        <v>407</v>
      </c>
      <c r="C862" s="18" t="s">
        <v>968</v>
      </c>
      <c r="D862" s="19" t="str">
        <f ca="1">IFERROR(__xludf.DUMMYFUNCTION("GOOGLETRANSLATE(A862, ""ar"", ""en"")"),"Labergini")</f>
        <v>Labergini</v>
      </c>
      <c r="E862" s="19" t="str">
        <f ca="1">IFERROR(__xludf.DUMMYFUNCTION("GOOGLETRANSLATE(B862,""ar"",""en"")"),"Labergini")</f>
        <v>Labergini</v>
      </c>
      <c r="F862" s="19" t="str">
        <f ca="1">IFERROR(__xludf.DUMMYFUNCTION("GOOGLETRANSLATE(C862,""ar"",""en"")"),"Hirkan")</f>
        <v>Hirkan</v>
      </c>
      <c r="G862" t="e">
        <f ca="1">VLOOKUP(F:F,matching_transelated_with_ref!A:C,2,0)</f>
        <v>#N/A</v>
      </c>
      <c r="H862" t="str">
        <f>VLOOKUP(C:C,Sheet4!A:C,2,0)</f>
        <v xml:space="preserve">HURACAN-هوراكان  </v>
      </c>
    </row>
    <row r="863" spans="1:8" ht="14.4">
      <c r="A863" s="18" t="s">
        <v>710</v>
      </c>
      <c r="B863" s="18" t="s">
        <v>8</v>
      </c>
      <c r="C863" s="18" t="s">
        <v>711</v>
      </c>
      <c r="D863" s="19" t="str">
        <f ca="1">IFERROR(__xludf.DUMMYFUNCTION("GOOGLETRANSLATE(A863, ""ar"", ""en"")"),"Lincoln")</f>
        <v>Lincoln</v>
      </c>
      <c r="E863" s="19" t="str">
        <f ca="1">IFERROR(__xludf.DUMMYFUNCTION("GOOGLETRANSLATE(B863,""ar"",""en"")"),"-")</f>
        <v>-</v>
      </c>
      <c r="F863" s="19" t="str">
        <f ca="1">IFERROR(__xludf.DUMMYFUNCTION("GOOGLETRANSLATE(C863,""ar"",""en"")"),"Navigitor Reserve 4 x 4 3.5")</f>
        <v>Navigitor Reserve 4 x 4 3.5</v>
      </c>
      <c r="G863" t="e">
        <f ca="1">VLOOKUP(F:F,matching_transelated_with_ref!A:C,2,0)</f>
        <v>#N/A</v>
      </c>
      <c r="H863">
        <f>VLOOKUP(C:C,Sheet4!A:C,2,0)</f>
        <v>3</v>
      </c>
    </row>
    <row r="864" spans="1:8" ht="14.4">
      <c r="A864" s="18" t="s">
        <v>710</v>
      </c>
      <c r="B864" s="18" t="s">
        <v>8</v>
      </c>
      <c r="C864" s="18" t="s">
        <v>712</v>
      </c>
      <c r="D864" s="19" t="str">
        <f ca="1">IFERROR(__xludf.DUMMYFUNCTION("GOOGLETRANSLATE(A864, ""ar"", ""en"")"),"Lincoln")</f>
        <v>Lincoln</v>
      </c>
      <c r="E864" s="19" t="str">
        <f ca="1">IFERROR(__xludf.DUMMYFUNCTION("GOOGLETRANSLATE(B864,""ar"",""en"")"),"-")</f>
        <v>-</v>
      </c>
      <c r="F864" s="19" t="str">
        <f ca="1">IFERROR(__xludf.DUMMYFUNCTION("GOOGLETRANSLATE(C864,""ar"",""en"")"),"Navigitor Silket 4 x 4 3.5")</f>
        <v>Navigitor Silket 4 x 4 3.5</v>
      </c>
      <c r="G864" t="e">
        <f ca="1">VLOOKUP(F:F,matching_transelated_with_ref!A:C,2,0)</f>
        <v>#N/A</v>
      </c>
      <c r="H864">
        <f>VLOOKUP(C:C,Sheet4!A:C,2,0)</f>
        <v>3</v>
      </c>
    </row>
    <row r="865" spans="1:8" ht="14.4">
      <c r="A865" s="18" t="s">
        <v>409</v>
      </c>
      <c r="B865" s="18" t="s">
        <v>409</v>
      </c>
      <c r="C865" s="18" t="s">
        <v>413</v>
      </c>
      <c r="D865" s="19" t="str">
        <f ca="1">IFERROR(__xludf.DUMMYFUNCTION("GOOGLETRANSLATE(A865, ""ar"", ""en"")"),"Mazda")</f>
        <v>Mazda</v>
      </c>
      <c r="E865" s="19" t="str">
        <f ca="1">IFERROR(__xludf.DUMMYFUNCTION("GOOGLETRANSLATE(B865,""ar"",""en"")"),"Mazda")</f>
        <v>Mazda</v>
      </c>
      <c r="F865" s="19" t="str">
        <f ca="1">IFERROR(__xludf.DUMMYFUNCTION("GOOGLETRANSLATE(C865,""ar"",""en"")"),"CX -9 4*4")</f>
        <v>CX -9 4*4</v>
      </c>
      <c r="G865" t="e">
        <f ca="1">VLOOKUP(F:F,matching_transelated_with_ref!A:C,2,0)</f>
        <v>#N/A</v>
      </c>
      <c r="H865" t="e">
        <f>VLOOKUP(C:C,Sheet4!A:C,2,0)</f>
        <v>#N/A</v>
      </c>
    </row>
    <row r="866" spans="1:8" ht="14.4">
      <c r="A866" s="18" t="s">
        <v>409</v>
      </c>
      <c r="B866" s="18" t="s">
        <v>409</v>
      </c>
      <c r="C866" s="18" t="s">
        <v>1416</v>
      </c>
      <c r="D866" s="19" t="str">
        <f ca="1">IFERROR(__xludf.DUMMYFUNCTION("GOOGLETRANSLATE(A866, ""ar"", ""en"")"),"Mazda")</f>
        <v>Mazda</v>
      </c>
      <c r="E866" s="19" t="str">
        <f ca="1">IFERROR(__xludf.DUMMYFUNCTION("GOOGLETRANSLATE(B866,""ar"",""en"")"),"Mazda")</f>
        <v>Mazda</v>
      </c>
      <c r="F866" s="19" t="str">
        <f ca="1">IFERROR(__xludf.DUMMYFUNCTION("GOOGLETRANSLATE(C866,""ar"",""en"")"),"CX -5 SUV 4 x 4")</f>
        <v>CX -5 SUV 4 x 4</v>
      </c>
      <c r="G866" t="e">
        <f ca="1">VLOOKUP(F:F,matching_transelated_with_ref!A:C,2,0)</f>
        <v>#N/A</v>
      </c>
      <c r="H866">
        <f>VLOOKUP(C:C,Sheet4!A:C,2,0)</f>
        <v>5</v>
      </c>
    </row>
    <row r="867" spans="1:8" ht="14.4">
      <c r="A867" s="18" t="s">
        <v>409</v>
      </c>
      <c r="B867" s="18" t="s">
        <v>409</v>
      </c>
      <c r="C867" s="18" t="s">
        <v>414</v>
      </c>
      <c r="D867" s="19" t="str">
        <f ca="1">IFERROR(__xludf.DUMMYFUNCTION("GOOGLETRANSLATE(A867, ""ar"", ""en"")"),"Mazda")</f>
        <v>Mazda</v>
      </c>
      <c r="E867" s="19" t="str">
        <f ca="1">IFERROR(__xludf.DUMMYFUNCTION("GOOGLETRANSLATE(B867,""ar"",""en"")"),"Mazda")</f>
        <v>Mazda</v>
      </c>
      <c r="F867" s="19" t="str">
        <f ca="1">IFERROR(__xludf.DUMMYFUNCTION("GOOGLETRANSLATE(C867,""ar"",""en"")"),"CX -9 4 x 2")</f>
        <v>CX -9 4 x 2</v>
      </c>
      <c r="G867" t="e">
        <f ca="1">VLOOKUP(F:F,matching_transelated_with_ref!A:C,2,0)</f>
        <v>#N/A</v>
      </c>
      <c r="H867" t="e">
        <f>VLOOKUP(C:C,Sheet4!A:C,2,0)</f>
        <v>#N/A</v>
      </c>
    </row>
    <row r="868" spans="1:8" ht="14.4">
      <c r="A868" s="18" t="s">
        <v>409</v>
      </c>
      <c r="B868" s="18" t="s">
        <v>409</v>
      </c>
      <c r="C868" s="18" t="s">
        <v>713</v>
      </c>
      <c r="D868" s="19" t="str">
        <f ca="1">IFERROR(__xludf.DUMMYFUNCTION("GOOGLETRANSLATE(A868, ""ar"", ""en"")"),"Mazda")</f>
        <v>Mazda</v>
      </c>
      <c r="E868" s="19" t="str">
        <f ca="1">IFERROR(__xludf.DUMMYFUNCTION("GOOGLETRANSLATE(B868,""ar"",""en"")"),"Mazda")</f>
        <v>Mazda</v>
      </c>
      <c r="F868" s="19" t="str">
        <f ca="1">IFERROR(__xludf.DUMMYFUNCTION("GOOGLETRANSLATE(C868,""ar"",""en"")"),"CX 4*4")</f>
        <v>CX 4*4</v>
      </c>
      <c r="G868" t="e">
        <f ca="1">VLOOKUP(F:F,matching_transelated_with_ref!A:C,2,0)</f>
        <v>#N/A</v>
      </c>
      <c r="H868" t="e">
        <f>VLOOKUP(C:C,Sheet4!A:C,2,0)</f>
        <v>#N/A</v>
      </c>
    </row>
    <row r="869" spans="1:8" ht="14.4">
      <c r="A869" s="18" t="s">
        <v>409</v>
      </c>
      <c r="B869" s="18" t="s">
        <v>409</v>
      </c>
      <c r="C869" s="18" t="s">
        <v>969</v>
      </c>
      <c r="D869" s="19" t="str">
        <f ca="1">IFERROR(__xludf.DUMMYFUNCTION("GOOGLETRANSLATE(A869, ""ar"", ""en"")"),"Mazda")</f>
        <v>Mazda</v>
      </c>
      <c r="E869" s="19" t="str">
        <f ca="1">IFERROR(__xludf.DUMMYFUNCTION("GOOGLETRANSLATE(B869,""ar"",""en"")"),"Mazda")</f>
        <v>Mazda</v>
      </c>
      <c r="F869" s="19" t="str">
        <f ca="1">IFERROR(__xludf.DUMMYFUNCTION("GOOGLETRANSLATE(C869,""ar"",""en"")"),"CX 30 bilateral payment")</f>
        <v>CX 30 bilateral payment</v>
      </c>
      <c r="G869" t="e">
        <f ca="1">VLOOKUP(F:F,matching_transelated_with_ref!A:C,2,0)</f>
        <v>#N/A</v>
      </c>
      <c r="H869" t="e">
        <f>VLOOKUP(C:C,Sheet4!A:C,2,0)</f>
        <v>#N/A</v>
      </c>
    </row>
    <row r="870" spans="1:8" ht="14.4">
      <c r="A870" s="18" t="s">
        <v>409</v>
      </c>
      <c r="B870" s="18" t="s">
        <v>409</v>
      </c>
      <c r="C870" s="18" t="s">
        <v>412</v>
      </c>
      <c r="D870" s="19" t="str">
        <f ca="1">IFERROR(__xludf.DUMMYFUNCTION("GOOGLETRANSLATE(A870, ""ar"", ""en"")"),"Mazda")</f>
        <v>Mazda</v>
      </c>
      <c r="E870" s="19" t="str">
        <f ca="1">IFERROR(__xludf.DUMMYFUNCTION("GOOGLETRANSLATE(B870,""ar"",""en"")"),"Mazda")</f>
        <v>Mazda</v>
      </c>
      <c r="F870" s="19" t="str">
        <f ca="1">IFERROR(__xludf.DUMMYFUNCTION("GOOGLETRANSLATE(C870,""ar"",""en"")"),"CX -5")</f>
        <v>CX -5</v>
      </c>
      <c r="G870" t="str">
        <f ca="1">VLOOKUP(F:F,matching_transelated_with_ref!A:C,2,0)</f>
        <v>CX5</v>
      </c>
      <c r="H870" t="e">
        <f>VLOOKUP(C:C,Sheet4!A:C,2,0)</f>
        <v>#N/A</v>
      </c>
    </row>
    <row r="871" spans="1:8" ht="14.4">
      <c r="A871" s="18" t="s">
        <v>409</v>
      </c>
      <c r="B871" s="18" t="s">
        <v>409</v>
      </c>
      <c r="C871" s="18" t="s">
        <v>1415</v>
      </c>
      <c r="D871" s="19" t="str">
        <f ca="1">IFERROR(__xludf.DUMMYFUNCTION("GOOGLETRANSLATE(A871, ""ar"", ""en"")"),"Mazda")</f>
        <v>Mazda</v>
      </c>
      <c r="E871" s="19" t="str">
        <f ca="1">IFERROR(__xludf.DUMMYFUNCTION("GOOGLETRANSLATE(B871,""ar"",""en"")"),"Mazda")</f>
        <v>Mazda</v>
      </c>
      <c r="F871" s="19" t="str">
        <f ca="1">IFERROR(__xludf.DUMMYFUNCTION("GOOGLETRANSLATE(C871,""ar"",""en"")"),"CX -5 Binary Pay 4 x 2")</f>
        <v>CX -5 Binary Pay 4 x 2</v>
      </c>
      <c r="G871" t="e">
        <f ca="1">VLOOKUP(F:F,matching_transelated_with_ref!A:C,2,0)</f>
        <v>#N/A</v>
      </c>
      <c r="H871">
        <f>VLOOKUP(C:C,Sheet4!A:C,2,0)</f>
        <v>5</v>
      </c>
    </row>
    <row r="872" spans="1:8" ht="14.4">
      <c r="A872" s="18" t="s">
        <v>409</v>
      </c>
      <c r="B872" s="18" t="s">
        <v>409</v>
      </c>
      <c r="C872" s="18" t="s">
        <v>411</v>
      </c>
      <c r="D872" s="19" t="str">
        <f ca="1">IFERROR(__xludf.DUMMYFUNCTION("GOOGLETRANSLATE(A872, ""ar"", ""en"")"),"Mazda")</f>
        <v>Mazda</v>
      </c>
      <c r="E872" s="19" t="str">
        <f ca="1">IFERROR(__xludf.DUMMYFUNCTION("GOOGLETRANSLATE(B872,""ar"",""en"")"),"Mazda")</f>
        <v>Mazda</v>
      </c>
      <c r="F872" s="19" t="str">
        <f ca="1">IFERROR(__xludf.DUMMYFUNCTION("GOOGLETRANSLATE(C872,""ar"",""en"")"),"6")</f>
        <v>6</v>
      </c>
      <c r="G872" t="e">
        <f ca="1">VLOOKUP(F:F,matching_transelated_with_ref!A:C,2,0)</f>
        <v>#N/A</v>
      </c>
      <c r="H872" t="e">
        <f>VLOOKUP(C:C,Sheet4!A:C,2,0)</f>
        <v>#N/A</v>
      </c>
    </row>
    <row r="873" spans="1:8" ht="14.4">
      <c r="A873" s="18" t="s">
        <v>409</v>
      </c>
      <c r="B873" s="18" t="s">
        <v>409</v>
      </c>
      <c r="C873" s="18" t="s">
        <v>415</v>
      </c>
      <c r="D873" s="19" t="str">
        <f ca="1">IFERROR(__xludf.DUMMYFUNCTION("GOOGLETRANSLATE(A873, ""ar"", ""en"")"),"Mazda")</f>
        <v>Mazda</v>
      </c>
      <c r="E873" s="19" t="str">
        <f ca="1">IFERROR(__xludf.DUMMYFUNCTION("GOOGLETRANSLATE(B873,""ar"",""en"")"),"Mazda")</f>
        <v>Mazda</v>
      </c>
      <c r="F873" s="19" t="str">
        <f ca="1">IFERROR(__xludf.DUMMYFUNCTION("GOOGLETRANSLATE(C873,""ar"",""en"")"),"CX 4*2")</f>
        <v>CX 4*2</v>
      </c>
      <c r="G873" t="e">
        <f ca="1">VLOOKUP(F:F,matching_transelated_with_ref!A:C,2,0)</f>
        <v>#N/A</v>
      </c>
      <c r="H873" t="e">
        <f>VLOOKUP(C:C,Sheet4!A:C,2,0)</f>
        <v>#N/A</v>
      </c>
    </row>
    <row r="874" spans="1:8" ht="14.4">
      <c r="A874" s="18" t="s">
        <v>409</v>
      </c>
      <c r="B874" s="18" t="s">
        <v>409</v>
      </c>
      <c r="C874" s="18" t="s">
        <v>410</v>
      </c>
      <c r="D874" s="19" t="str">
        <f ca="1">IFERROR(__xludf.DUMMYFUNCTION("GOOGLETRANSLATE(A874, ""ar"", ""en"")"),"Mazda")</f>
        <v>Mazda</v>
      </c>
      <c r="E874" s="19" t="str">
        <f ca="1">IFERROR(__xludf.DUMMYFUNCTION("GOOGLETRANSLATE(B874,""ar"",""en"")"),"Mazda")</f>
        <v>Mazda</v>
      </c>
      <c r="F874" s="19" t="str">
        <f ca="1">IFERROR(__xludf.DUMMYFUNCTION("GOOGLETRANSLATE(C874,""ar"",""en"")"),"3")</f>
        <v>3</v>
      </c>
      <c r="G874" t="e">
        <f ca="1">VLOOKUP(F:F,matching_transelated_with_ref!A:C,2,0)</f>
        <v>#N/A</v>
      </c>
      <c r="H874" t="e">
        <f>VLOOKUP(C:C,Sheet4!A:C,2,0)</f>
        <v>#N/A</v>
      </c>
    </row>
    <row r="875" spans="1:8" ht="14.4">
      <c r="A875" s="18" t="s">
        <v>96</v>
      </c>
      <c r="B875" s="18" t="s">
        <v>96</v>
      </c>
      <c r="C875" s="18" t="s">
        <v>1417</v>
      </c>
      <c r="D875" s="19" t="str">
        <f ca="1">IFERROR(__xludf.DUMMYFUNCTION("GOOGLETRANSLATE(A875, ""ar"", ""en"")"),"Maserati")</f>
        <v>Maserati</v>
      </c>
      <c r="E875" s="19" t="str">
        <f ca="1">IFERROR(__xludf.DUMMYFUNCTION("GOOGLETRANSLATE(B875,""ar"",""en"")"),"Maserati")</f>
        <v>Maserati</v>
      </c>
      <c r="F875" s="19" t="str">
        <f ca="1">IFERROR(__xludf.DUMMYFUNCTION("GOOGLETRANSLATE(C875,""ar"",""en"")"),"Levante Modena pushed Lord")</f>
        <v>Levante Modena pushed Lord</v>
      </c>
      <c r="G875" t="e">
        <f ca="1">VLOOKUP(F:F,matching_transelated_with_ref!A:C,2,0)</f>
        <v>#N/A</v>
      </c>
      <c r="H875" t="e">
        <f>VLOOKUP(C:C,Sheet4!A:C,2,0)</f>
        <v>#N/A</v>
      </c>
    </row>
    <row r="876" spans="1:8" ht="14.4">
      <c r="A876" s="18" t="s">
        <v>96</v>
      </c>
      <c r="B876" s="18" t="s">
        <v>96</v>
      </c>
      <c r="C876" s="18" t="s">
        <v>97</v>
      </c>
      <c r="D876" s="19" t="str">
        <f ca="1">IFERROR(__xludf.DUMMYFUNCTION("GOOGLETRANSLATE(A876, ""ar"", ""en"")"),"Maserati")</f>
        <v>Maserati</v>
      </c>
      <c r="E876" s="19" t="str">
        <f ca="1">IFERROR(__xludf.DUMMYFUNCTION("GOOGLETRANSLATE(B876,""ar"",""en"")"),"Maserati")</f>
        <v>Maserati</v>
      </c>
      <c r="F876" s="19" t="str">
        <f ca="1">IFERROR(__xludf.DUMMYFUNCTION("GOOGLETRANSLATE(C876,""ar"",""en"")"),"Quattroporte")</f>
        <v>Quattroporte</v>
      </c>
      <c r="G876" t="str">
        <f ca="1">VLOOKUP(F:F,matching_transelated_with_ref!A:C,2,0)</f>
        <v>Quattroporte Trofeo</v>
      </c>
      <c r="H876" t="e">
        <f>VLOOKUP(C:C,Sheet4!A:C,2,0)</f>
        <v>#N/A</v>
      </c>
    </row>
    <row r="877" spans="1:8" ht="14.4">
      <c r="A877" s="18" t="s">
        <v>96</v>
      </c>
      <c r="B877" s="18" t="s">
        <v>96</v>
      </c>
      <c r="C877" s="18" t="s">
        <v>970</v>
      </c>
      <c r="D877" s="19" t="str">
        <f ca="1">IFERROR(__xludf.DUMMYFUNCTION("GOOGLETRANSLATE(A877, ""ar"", ""en"")"),"Maserati")</f>
        <v>Maserati</v>
      </c>
      <c r="E877" s="19" t="str">
        <f ca="1">IFERROR(__xludf.DUMMYFUNCTION("GOOGLETRANSLATE(B877,""ar"",""en"")"),"Maserati")</f>
        <v>Maserati</v>
      </c>
      <c r="F877" s="19" t="str">
        <f ca="1">IFERROR(__xludf.DUMMYFUNCTION("GOOGLETRANSLATE(C877,""ar"",""en"")"),"Livatni S")</f>
        <v>Livatni S</v>
      </c>
      <c r="G877" t="str">
        <f ca="1">VLOOKUP(F:F,matching_transelated_with_ref!A:C,2,0)</f>
        <v>S</v>
      </c>
      <c r="H877" t="e">
        <f>VLOOKUP(C:C,Sheet4!A:C,2,0)</f>
        <v>#N/A</v>
      </c>
    </row>
    <row r="878" spans="1:8" ht="14.4">
      <c r="A878" s="18" t="s">
        <v>96</v>
      </c>
      <c r="B878" s="18" t="s">
        <v>96</v>
      </c>
      <c r="C878" s="18" t="s">
        <v>416</v>
      </c>
      <c r="D878" s="19" t="str">
        <f ca="1">IFERROR(__xludf.DUMMYFUNCTION("GOOGLETRANSLATE(A878, ""ar"", ""en"")"),"Maserati")</f>
        <v>Maserati</v>
      </c>
      <c r="E878" s="19" t="str">
        <f ca="1">IFERROR(__xludf.DUMMYFUNCTION("GOOGLETRANSLATE(B878,""ar"",""en"")"),"Maserati")</f>
        <v>Maserati</v>
      </c>
      <c r="F878" s="19" t="str">
        <f ca="1">IFERROR(__xludf.DUMMYFUNCTION("GOOGLETRANSLATE(C878,""ar"",""en"")"),"Levante")</f>
        <v>Levante</v>
      </c>
      <c r="G878" t="e">
        <f ca="1">VLOOKUP(F:F,matching_transelated_with_ref!A:C,2,0)</f>
        <v>#N/A</v>
      </c>
      <c r="H878" t="e">
        <f>VLOOKUP(C:C,Sheet4!A:C,2,0)</f>
        <v>#N/A</v>
      </c>
    </row>
    <row r="879" spans="1:8" ht="14.4">
      <c r="A879" s="18" t="s">
        <v>96</v>
      </c>
      <c r="B879" s="18" t="s">
        <v>96</v>
      </c>
      <c r="C879" s="18" t="s">
        <v>1418</v>
      </c>
      <c r="D879" s="19" t="str">
        <f ca="1">IFERROR(__xludf.DUMMYFUNCTION("GOOGLETRANSLATE(A879, ""ar"", ""en"")"),"Maserati")</f>
        <v>Maserati</v>
      </c>
      <c r="E879" s="19" t="str">
        <f ca="1">IFERROR(__xludf.DUMMYFUNCTION("GOOGLETRANSLATE(B879,""ar"",""en"")"),"Maserati")</f>
        <v>Maserati</v>
      </c>
      <c r="F879" s="19" t="str">
        <f ca="1">IFERROR(__xludf.DUMMYFUNCTION("GOOGLETRANSLATE(C879,""ar"",""en"")"),"Levante Hybrid pushed Lord")</f>
        <v>Levante Hybrid pushed Lord</v>
      </c>
      <c r="G879" t="e">
        <f ca="1">VLOOKUP(F:F,matching_transelated_with_ref!A:C,2,0)</f>
        <v>#N/A</v>
      </c>
      <c r="H879" t="e">
        <f>VLOOKUP(C:C,Sheet4!A:C,2,0)</f>
        <v>#N/A</v>
      </c>
    </row>
    <row r="880" spans="1:8" ht="14.4">
      <c r="A880" s="18" t="s">
        <v>96</v>
      </c>
      <c r="B880" s="18" t="s">
        <v>96</v>
      </c>
      <c r="C880" s="18" t="s">
        <v>714</v>
      </c>
      <c r="D880" s="19" t="str">
        <f ca="1">IFERROR(__xludf.DUMMYFUNCTION("GOOGLETRANSLATE(A880, ""ar"", ""en"")"),"Maserati")</f>
        <v>Maserati</v>
      </c>
      <c r="E880" s="19" t="str">
        <f ca="1">IFERROR(__xludf.DUMMYFUNCTION("GOOGLETRANSLATE(B880,""ar"",""en"")"),"Maserati")</f>
        <v>Maserati</v>
      </c>
      <c r="F880" s="19" t="str">
        <f ca="1">IFERROR(__xludf.DUMMYFUNCTION("GOOGLETRANSLATE(C880,""ar"",""en"")"),"Gibli")</f>
        <v>Gibli</v>
      </c>
      <c r="G880" t="e">
        <f ca="1">VLOOKUP(F:F,matching_transelated_with_ref!A:C,2,0)</f>
        <v>#N/A</v>
      </c>
      <c r="H880" t="e">
        <f>VLOOKUP(C:C,Sheet4!A:C,2,0)</f>
        <v>#N/A</v>
      </c>
    </row>
    <row r="881" spans="1:8" ht="14.4">
      <c r="A881" s="18" t="s">
        <v>98</v>
      </c>
      <c r="B881" s="18" t="s">
        <v>98</v>
      </c>
      <c r="C881" s="18" t="s">
        <v>717</v>
      </c>
      <c r="D881" s="19" t="str">
        <f ca="1">IFERROR(__xludf.DUMMYFUNCTION("GOOGLETRANSLATE(A881, ""ar"", ""en"")"),"Mine")</f>
        <v>Mine</v>
      </c>
      <c r="E881" s="19" t="str">
        <f ca="1">IFERROR(__xludf.DUMMYFUNCTION("GOOGLETRANSLATE(B881,""ar"",""en"")"),"Mine")</f>
        <v>Mine</v>
      </c>
      <c r="F881" s="19" t="str">
        <f ca="1">IFERROR(__xludf.DUMMYFUNCTION("GOOGLETRANSLATE(C881,""ar"",""en"")"),"Line S.CJA 23")</f>
        <v>Line S.CJA 23</v>
      </c>
      <c r="G881" t="e">
        <f ca="1">VLOOKUP(F:F,matching_transelated_with_ref!A:C,2,0)</f>
        <v>#N/A</v>
      </c>
      <c r="H881" t="str">
        <f>VLOOKUP(C:C,Sheet4!A:C,2,0)</f>
        <v xml:space="preserve"> سيتي </v>
      </c>
    </row>
    <row r="882" spans="1:8" ht="14.4">
      <c r="A882" s="18" t="s">
        <v>98</v>
      </c>
      <c r="B882" s="18" t="s">
        <v>715</v>
      </c>
      <c r="C882" s="18" t="s">
        <v>716</v>
      </c>
      <c r="D882" s="19" t="str">
        <f ca="1">IFERROR(__xludf.DUMMYFUNCTION("GOOGLETRANSLATE(A882, ""ar"", ""en"")"),"Mine")</f>
        <v>Mine</v>
      </c>
      <c r="E882" s="19" t="str">
        <f ca="1">IFERROR(__xludf.DUMMYFUNCTION("GOOGLETRANSLATE(B882,""ar"",""en"")"),"Bus")</f>
        <v>Bus</v>
      </c>
      <c r="F882" s="19" t="str">
        <f ca="1">IFERROR(__xludf.DUMMYFUNCTION("GOOGLETRANSLATE(C882,""ar"",""en"")"),"Line S. City A 21")</f>
        <v>Line S. City A 21</v>
      </c>
      <c r="G882" t="e">
        <f ca="1">VLOOKUP(F:F,matching_transelated_with_ref!A:C,2,0)</f>
        <v>#N/A</v>
      </c>
      <c r="H882" t="str">
        <f>VLOOKUP(C:C,Sheet4!A:C,2,0)</f>
        <v xml:space="preserve"> سيتي </v>
      </c>
    </row>
    <row r="883" spans="1:8" ht="14.4">
      <c r="A883" s="18" t="s">
        <v>98</v>
      </c>
      <c r="B883" s="18" t="s">
        <v>98</v>
      </c>
      <c r="C883" s="18" t="s">
        <v>971</v>
      </c>
      <c r="D883" s="19" t="str">
        <f ca="1">IFERROR(__xludf.DUMMYFUNCTION("GOOGLETRANSLATE(A883, ""ar"", ""en"")"),"Mine")</f>
        <v>Mine</v>
      </c>
      <c r="E883" s="19" t="str">
        <f ca="1">IFERROR(__xludf.DUMMYFUNCTION("GOOGLETRANSLATE(B883,""ar"",""en"")"),"Mine")</f>
        <v>Mine</v>
      </c>
      <c r="F883" s="19" t="str">
        <f ca="1">IFERROR(__xludf.DUMMYFUNCTION("GOOGLETRANSLATE(C883,""ar"",""en"")"),"TGS 18.400")</f>
        <v>TGS 18.400</v>
      </c>
      <c r="G883" t="e">
        <f ca="1">VLOOKUP(F:F,matching_transelated_with_ref!A:C,2,0)</f>
        <v>#N/A</v>
      </c>
      <c r="H883" t="e">
        <f>VLOOKUP(C:C,Sheet4!A:C,2,0)</f>
        <v>#N/A</v>
      </c>
    </row>
    <row r="884" spans="1:8" ht="14.4">
      <c r="A884" s="18" t="s">
        <v>98</v>
      </c>
      <c r="B884" s="18" t="s">
        <v>99</v>
      </c>
      <c r="C884" s="18" t="s">
        <v>100</v>
      </c>
      <c r="D884" s="19" t="str">
        <f ca="1">IFERROR(__xludf.DUMMYFUNCTION("GOOGLETRANSLATE(A884, ""ar"", ""en"")"),"Mine")</f>
        <v>Mine</v>
      </c>
      <c r="E884" s="19" t="str">
        <f ca="1">IFERROR(__xludf.DUMMYFUNCTION("GOOGLETRANSLATE(B884,""ar"",""en"")"),"Trille Ras")</f>
        <v>Trille Ras</v>
      </c>
      <c r="F884" s="19" t="str">
        <f ca="1">IFERROR(__xludf.DUMMYFUNCTION("GOOGLETRANSLATE(C884,""ar"",""en"")"),"TGX 18.440")</f>
        <v>TGX 18.440</v>
      </c>
      <c r="G884" t="e">
        <f ca="1">VLOOKUP(F:F,matching_transelated_with_ref!A:C,2,0)</f>
        <v>#N/A</v>
      </c>
      <c r="H884" t="e">
        <f>VLOOKUP(C:C,Sheet4!A:C,2,0)</f>
        <v>#N/A</v>
      </c>
    </row>
    <row r="885" spans="1:8" ht="14.4">
      <c r="A885" s="18" t="s">
        <v>101</v>
      </c>
      <c r="B885" s="18" t="s">
        <v>63</v>
      </c>
      <c r="C885" s="18" t="s">
        <v>732</v>
      </c>
      <c r="D885" s="19" t="str">
        <f ca="1">IFERROR(__xludf.DUMMYFUNCTION("GOOGLETRANSLATE(A885, ""ar"", ""en"")"),"Chrysler Group")</f>
        <v>Chrysler Group</v>
      </c>
      <c r="E885" s="19" t="str">
        <f ca="1">IFERROR(__xludf.DUMMYFUNCTION("GOOGLETRANSLATE(B885,""ar"",""en"")"),"Archer")</f>
        <v>Archer</v>
      </c>
      <c r="F885" s="19" t="str">
        <f ca="1">IFERROR(__xludf.DUMMYFUNCTION("GOOGLETRANSLATE(C885,""ar"",""en"")"),"Two of 1500 5.7 liters")</f>
        <v>Two of 1500 5.7 liters</v>
      </c>
      <c r="G885" t="e">
        <f ca="1">VLOOKUP(F:F,matching_transelated_with_ref!A:C,2,0)</f>
        <v>#N/A</v>
      </c>
      <c r="H885" t="e">
        <f>VLOOKUP(C:C,Sheet4!A:C,2,0)</f>
        <v>#N/A</v>
      </c>
    </row>
    <row r="886" spans="1:8" ht="14.4">
      <c r="A886" s="18" t="s">
        <v>101</v>
      </c>
      <c r="B886" s="18" t="s">
        <v>102</v>
      </c>
      <c r="C886" s="18" t="s">
        <v>421</v>
      </c>
      <c r="D886" s="19" t="str">
        <f ca="1">IFERROR(__xludf.DUMMYFUNCTION("GOOGLETRANSLATE(A886, ""ar"", ""en"")"),"Chrysler Group")</f>
        <v>Chrysler Group</v>
      </c>
      <c r="E886" s="19" t="str">
        <f ca="1">IFERROR(__xludf.DUMMYFUNCTION("GOOGLETRANSLATE(B886,""ar"",""en"")"),"pocket")</f>
        <v>pocket</v>
      </c>
      <c r="F886" s="19" t="str">
        <f ca="1">IFERROR(__xludf.DUMMYFUNCTION("GOOGLETRANSLATE(C886,""ar"",""en"")"),"Wrangler Entlement")</f>
        <v>Wrangler Entlement</v>
      </c>
      <c r="G886" t="e">
        <f ca="1">VLOOKUP(F:F,matching_transelated_with_ref!A:C,2,0)</f>
        <v>#N/A</v>
      </c>
      <c r="H886" t="e">
        <f>VLOOKUP(C:C,Sheet4!A:C,2,0)</f>
        <v>#N/A</v>
      </c>
    </row>
    <row r="887" spans="1:8" ht="14.4">
      <c r="A887" s="18" t="s">
        <v>101</v>
      </c>
      <c r="B887" s="18" t="s">
        <v>102</v>
      </c>
      <c r="C887" s="18" t="s">
        <v>718</v>
      </c>
      <c r="D887" s="19" t="str">
        <f ca="1">IFERROR(__xludf.DUMMYFUNCTION("GOOGLETRANSLATE(A887, ""ar"", ""en"")"),"Chrysler Group")</f>
        <v>Chrysler Group</v>
      </c>
      <c r="E887" s="19" t="str">
        <f ca="1">IFERROR(__xludf.DUMMYFUNCTION("GOOGLETRANSLATE(B887,""ar"",""en"")"),"pocket")</f>
        <v>pocket</v>
      </c>
      <c r="F887" s="19" t="str">
        <f ca="1">IFERROR(__xludf.DUMMYFUNCTION("GOOGLETRANSLATE(C887,""ar"",""en"")"),"Grand Shocke 3.6 liters")</f>
        <v>Grand Shocke 3.6 liters</v>
      </c>
      <c r="G887" t="e">
        <f ca="1">VLOOKUP(F:F,matching_transelated_with_ref!A:C,2,0)</f>
        <v>#N/A</v>
      </c>
      <c r="H887" t="str">
        <f>VLOOKUP(C:C,Sheet4!A:C,2,0)</f>
        <v>جراند شروكي</v>
      </c>
    </row>
    <row r="888" spans="1:8" ht="14.4">
      <c r="A888" s="18" t="s">
        <v>101</v>
      </c>
      <c r="B888" s="18" t="s">
        <v>102</v>
      </c>
      <c r="C888" s="18" t="s">
        <v>422</v>
      </c>
      <c r="D888" s="19" t="str">
        <f ca="1">IFERROR(__xludf.DUMMYFUNCTION("GOOGLETRANSLATE(A888, ""ar"", ""en"")"),"Chrysler Group")</f>
        <v>Chrysler Group</v>
      </c>
      <c r="E888" s="19" t="str">
        <f ca="1">IFERROR(__xludf.DUMMYFUNCTION("GOOGLETRANSLATE(B888,""ar"",""en"")"),"pocket")</f>
        <v>pocket</v>
      </c>
      <c r="F888" s="19" t="str">
        <f ca="1">IFERROR(__xludf.DUMMYFUNCTION("GOOGLETRANSLATE(C888,""ar"",""en"")"),"Wrangler Annolmate")</f>
        <v>Wrangler Annolmate</v>
      </c>
      <c r="G888" t="e">
        <f ca="1">VLOOKUP(F:F,matching_transelated_with_ref!A:C,2,0)</f>
        <v>#N/A</v>
      </c>
      <c r="H888" t="e">
        <f>VLOOKUP(C:C,Sheet4!A:C,2,0)</f>
        <v>#N/A</v>
      </c>
    </row>
    <row r="889" spans="1:8" ht="14.4">
      <c r="A889" s="18" t="s">
        <v>101</v>
      </c>
      <c r="B889" s="18" t="s">
        <v>62</v>
      </c>
      <c r="C889" s="18" t="s">
        <v>427</v>
      </c>
      <c r="D889" s="19" t="str">
        <f ca="1">IFERROR(__xludf.DUMMYFUNCTION("GOOGLETRANSLATE(A889, ""ar"", ""en"")"),"Chrysler Group")</f>
        <v>Chrysler Group</v>
      </c>
      <c r="E889" s="19" t="str">
        <f ca="1">IFERROR(__xludf.DUMMYFUNCTION("GOOGLETRANSLATE(B889,""ar"",""en"")"),"Dodge")</f>
        <v>Dodge</v>
      </c>
      <c r="F889" s="19" t="str">
        <f ca="1">IFERROR(__xludf.DUMMYFUNCTION("GOOGLETRANSLATE(C889,""ar"",""en"")"),"Drango RT 4 x 4")</f>
        <v>Drango RT 4 x 4</v>
      </c>
      <c r="G889" t="e">
        <f ca="1">VLOOKUP(F:F,matching_transelated_with_ref!A:C,2,0)</f>
        <v>#N/A</v>
      </c>
      <c r="H889" t="str">
        <f>VLOOKUP(C:C,Sheet4!A:C,2,0)</f>
        <v xml:space="preserve"> دورانجو</v>
      </c>
    </row>
    <row r="890" spans="1:8" ht="14.4">
      <c r="A890" s="18" t="s">
        <v>101</v>
      </c>
      <c r="B890" s="18" t="s">
        <v>102</v>
      </c>
      <c r="C890" s="18" t="s">
        <v>972</v>
      </c>
      <c r="D890" s="19" t="str">
        <f ca="1">IFERROR(__xludf.DUMMYFUNCTION("GOOGLETRANSLATE(A890, ""ar"", ""en"")"),"Chrysler Group")</f>
        <v>Chrysler Group</v>
      </c>
      <c r="E890" s="19" t="str">
        <f ca="1">IFERROR(__xludf.DUMMYFUNCTION("GOOGLETRANSLATE(B890,""ar"",""en"")"),"pocket")</f>
        <v>pocket</v>
      </c>
      <c r="F890" s="19" t="str">
        <f ca="1">IFERROR(__xludf.DUMMYFUNCTION("GOOGLETRANSLATE(C890,""ar"",""en"")"),"Gladitor")</f>
        <v>Gladitor</v>
      </c>
      <c r="G890" t="e">
        <f ca="1">VLOOKUP(F:F,matching_transelated_with_ref!A:C,2,0)</f>
        <v>#N/A</v>
      </c>
      <c r="H890" t="str">
        <f>VLOOKUP(C:C,Sheet4!A:C,2,0)</f>
        <v xml:space="preserve"> جلاديتور- بيكب غمارة</v>
      </c>
    </row>
    <row r="891" spans="1:8" ht="14.4">
      <c r="A891" s="18" t="s">
        <v>101</v>
      </c>
      <c r="B891" s="18" t="s">
        <v>101</v>
      </c>
      <c r="C891" s="18" t="s">
        <v>446</v>
      </c>
      <c r="D891" s="19" t="str">
        <f ca="1">IFERROR(__xludf.DUMMYFUNCTION("GOOGLETRANSLATE(A891, ""ar"", ""en"")"),"Chrysler Group")</f>
        <v>Chrysler Group</v>
      </c>
      <c r="E891" s="19" t="str">
        <f ca="1">IFERROR(__xludf.DUMMYFUNCTION("GOOGLETRANSLATE(B891,""ar"",""en"")"),"Chrysler Group")</f>
        <v>Chrysler Group</v>
      </c>
      <c r="F891" s="19" t="str">
        <f ca="1">IFERROR(__xludf.DUMMYFUNCTION("GOOGLETRANSLATE(C891,""ar"",""en"")"),"Jeep Grand Cherokee")</f>
        <v>Jeep Grand Cherokee</v>
      </c>
      <c r="G891" t="e">
        <f ca="1">VLOOKUP(F:F,matching_transelated_with_ref!A:C,2,0)</f>
        <v>#N/A</v>
      </c>
      <c r="H891" t="str">
        <f>VLOOKUP(C:C,Sheet4!A:C,2,0)</f>
        <v>جراند شروكي</v>
      </c>
    </row>
    <row r="892" spans="1:8" ht="14.4">
      <c r="A892" s="18" t="s">
        <v>101</v>
      </c>
      <c r="B892" s="18" t="s">
        <v>102</v>
      </c>
      <c r="C892" s="18" t="s">
        <v>1187</v>
      </c>
      <c r="D892" s="19" t="str">
        <f ca="1">IFERROR(__xludf.DUMMYFUNCTION("GOOGLETRANSLATE(A892, ""ar"", ""en"")"),"Chrysler Group")</f>
        <v>Chrysler Group</v>
      </c>
      <c r="E892" s="19" t="str">
        <f ca="1">IFERROR(__xludf.DUMMYFUNCTION("GOOGLETRANSLATE(B892,""ar"",""en"")"),"pocket")</f>
        <v>pocket</v>
      </c>
      <c r="F892" s="19" t="str">
        <f ca="1">IFERROR(__xludf.DUMMYFUNCTION("GOOGLETRANSLATE(C892,""ar"",""en"")"),"Wrangler 2 liter 2 door")</f>
        <v>Wrangler 2 liter 2 door</v>
      </c>
      <c r="G892" t="e">
        <f ca="1">VLOOKUP(F:F,matching_transelated_with_ref!A:C,2,0)</f>
        <v>#N/A</v>
      </c>
      <c r="H892" t="e">
        <f>VLOOKUP(C:C,Sheet4!A:C,2,0)</f>
        <v>#N/A</v>
      </c>
    </row>
    <row r="893" spans="1:8" ht="14.4">
      <c r="A893" s="18" t="s">
        <v>101</v>
      </c>
      <c r="B893" s="18" t="s">
        <v>102</v>
      </c>
      <c r="C893" s="18" t="s">
        <v>419</v>
      </c>
      <c r="D893" s="19" t="str">
        <f ca="1">IFERROR(__xludf.DUMMYFUNCTION("GOOGLETRANSLATE(A893, ""ar"", ""en"")"),"Chrysler Group")</f>
        <v>Chrysler Group</v>
      </c>
      <c r="E893" s="19" t="str">
        <f ca="1">IFERROR(__xludf.DUMMYFUNCTION("GOOGLETRANSLATE(B893,""ar"",""en"")"),"pocket")</f>
        <v>pocket</v>
      </c>
      <c r="F893" s="19" t="str">
        <f ca="1">IFERROR(__xludf.DUMMYFUNCTION("GOOGLETRANSLATE(C893,""ar"",""en"")"),"Grand Cherokee 4*4")</f>
        <v>Grand Cherokee 4*4</v>
      </c>
      <c r="G893" t="e">
        <f ca="1">VLOOKUP(F:F,matching_transelated_with_ref!A:C,2,0)</f>
        <v>#N/A</v>
      </c>
      <c r="H893" t="str">
        <f>VLOOKUP(C:C,Sheet4!A:C,2,0)</f>
        <v>جراند شروكي</v>
      </c>
    </row>
    <row r="894" spans="1:8" ht="14.4">
      <c r="A894" s="18" t="s">
        <v>101</v>
      </c>
      <c r="B894" s="18" t="s">
        <v>102</v>
      </c>
      <c r="C894" s="18" t="s">
        <v>1185</v>
      </c>
      <c r="D894" s="19" t="str">
        <f ca="1">IFERROR(__xludf.DUMMYFUNCTION("GOOGLETRANSLATE(A894, ""ar"", ""en"")"),"Chrysler Group")</f>
        <v>Chrysler Group</v>
      </c>
      <c r="E894" s="19" t="str">
        <f ca="1">IFERROR(__xludf.DUMMYFUNCTION("GOOGLETRANSLATE(B894,""ar"",""en"")"),"pocket")</f>
        <v>pocket</v>
      </c>
      <c r="F894" s="19" t="str">
        <f ca="1">IFERROR(__xludf.DUMMYFUNCTION("GOOGLETRANSLATE(C894,""ar"",""en"")"),"Grand Cherokee 3.6 liter 4")</f>
        <v>Grand Cherokee 3.6 liter 4</v>
      </c>
      <c r="G894" t="e">
        <f ca="1">VLOOKUP(F:F,matching_transelated_with_ref!A:C,2,0)</f>
        <v>#N/A</v>
      </c>
      <c r="H894" t="str">
        <f>VLOOKUP(C:C,Sheet4!A:C,2,0)</f>
        <v>جراند شروكي</v>
      </c>
    </row>
    <row r="895" spans="1:8" ht="14.4">
      <c r="A895" s="18" t="s">
        <v>101</v>
      </c>
      <c r="B895" s="18" t="s">
        <v>102</v>
      </c>
      <c r="C895" s="18" t="s">
        <v>425</v>
      </c>
      <c r="D895" s="19" t="str">
        <f ca="1">IFERROR(__xludf.DUMMYFUNCTION("GOOGLETRANSLATE(A895, ""ar"", ""en"")"),"Chrysler Group")</f>
        <v>Chrysler Group</v>
      </c>
      <c r="E895" s="19" t="str">
        <f ca="1">IFERROR(__xludf.DUMMYFUNCTION("GOOGLETRANSLATE(B895,""ar"",""en"")"),"pocket")</f>
        <v>pocket</v>
      </c>
      <c r="F895" s="19" t="str">
        <f ca="1">IFERROR(__xludf.DUMMYFUNCTION("GOOGLETRANSLATE(C895,""ar"",""en"")"),"Wrangler to extend automatic")</f>
        <v>Wrangler to extend automatic</v>
      </c>
      <c r="G895" t="e">
        <f ca="1">VLOOKUP(F:F,matching_transelated_with_ref!A:C,2,0)</f>
        <v>#N/A</v>
      </c>
      <c r="H895" t="e">
        <f>VLOOKUP(C:C,Sheet4!A:C,2,0)</f>
        <v>#N/A</v>
      </c>
    </row>
    <row r="896" spans="1:8" ht="14.4">
      <c r="A896" s="18" t="s">
        <v>101</v>
      </c>
      <c r="B896" s="18" t="s">
        <v>102</v>
      </c>
      <c r="C896" s="18" t="s">
        <v>418</v>
      </c>
      <c r="D896" s="19" t="str">
        <f ca="1">IFERROR(__xludf.DUMMYFUNCTION("GOOGLETRANSLATE(A896, ""ar"", ""en"")"),"Chrysler Group")</f>
        <v>Chrysler Group</v>
      </c>
      <c r="E896" s="19" t="str">
        <f ca="1">IFERROR(__xludf.DUMMYFUNCTION("GOOGLETRANSLATE(B896,""ar"",""en"")"),"pocket")</f>
        <v>pocket</v>
      </c>
      <c r="F896" s="19" t="str">
        <f ca="1">IFERROR(__xludf.DUMMYFUNCTION("GOOGLETRANSLATE(C896,""ar"",""en"")"),"Grand Shocke Limmet 4 x 4")</f>
        <v>Grand Shocke Limmet 4 x 4</v>
      </c>
      <c r="G896" t="e">
        <f ca="1">VLOOKUP(F:F,matching_transelated_with_ref!A:C,2,0)</f>
        <v>#N/A</v>
      </c>
      <c r="H896" t="str">
        <f>VLOOKUP(C:C,Sheet4!A:C,2,0)</f>
        <v>جراند شروكي</v>
      </c>
    </row>
    <row r="897" spans="1:8" ht="14.4">
      <c r="A897" s="18" t="s">
        <v>101</v>
      </c>
      <c r="B897" s="18" t="s">
        <v>439</v>
      </c>
      <c r="C897" s="18" t="s">
        <v>440</v>
      </c>
      <c r="D897" s="19" t="str">
        <f ca="1">IFERROR(__xludf.DUMMYFUNCTION("GOOGLETRANSLATE(A897, ""ar"", ""en"")"),"Chrysler Group")</f>
        <v>Chrysler Group</v>
      </c>
      <c r="E897" s="19" t="str">
        <f ca="1">IFERROR(__xludf.DUMMYFUNCTION("GOOGLETRANSLATE(B897,""ar"",""en"")"),"Chrysler")</f>
        <v>Chrysler</v>
      </c>
      <c r="F897" s="19" t="str">
        <f ca="1">IFERROR(__xludf.DUMMYFUNCTION("GOOGLETRANSLATE(C897,""ar"",""en"")"),"300")</f>
        <v>300</v>
      </c>
      <c r="G897" t="e">
        <f ca="1">VLOOKUP(F:F,matching_transelated_with_ref!A:C,2,0)</f>
        <v>#N/A</v>
      </c>
      <c r="H897" t="e">
        <f>VLOOKUP(C:C,Sheet4!A:C,2,0)</f>
        <v>#N/A</v>
      </c>
    </row>
    <row r="898" spans="1:8" ht="14.4">
      <c r="A898" s="18" t="s">
        <v>101</v>
      </c>
      <c r="B898" s="18" t="s">
        <v>439</v>
      </c>
      <c r="C898" s="18" t="s">
        <v>442</v>
      </c>
      <c r="D898" s="19" t="str">
        <f ca="1">IFERROR(__xludf.DUMMYFUNCTION("GOOGLETRANSLATE(A898, ""ar"", ""en"")"),"Chrysler Group")</f>
        <v>Chrysler Group</v>
      </c>
      <c r="E898" s="19" t="str">
        <f ca="1">IFERROR(__xludf.DUMMYFUNCTION("GOOGLETRANSLATE(B898,""ar"",""en"")"),"Chrysler")</f>
        <v>Chrysler</v>
      </c>
      <c r="F898" s="19" t="str">
        <f ca="1">IFERROR(__xludf.DUMMYFUNCTION("GOOGLETRANSLATE(C898,""ar"",""en"")"),"300 c")</f>
        <v>300 c</v>
      </c>
      <c r="G898" t="e">
        <f ca="1">VLOOKUP(F:F,matching_transelated_with_ref!A:C,2,0)</f>
        <v>#N/A</v>
      </c>
      <c r="H898" t="e">
        <f>VLOOKUP(C:C,Sheet4!A:C,2,0)</f>
        <v>#N/A</v>
      </c>
    </row>
    <row r="899" spans="1:8" ht="14.4">
      <c r="A899" s="18" t="s">
        <v>101</v>
      </c>
      <c r="B899" s="18" t="s">
        <v>102</v>
      </c>
      <c r="C899" s="18" t="s">
        <v>417</v>
      </c>
      <c r="D899" s="19" t="str">
        <f ca="1">IFERROR(__xludf.DUMMYFUNCTION("GOOGLETRANSLATE(A899, ""ar"", ""en"")"),"Chrysler Group")</f>
        <v>Chrysler Group</v>
      </c>
      <c r="E899" s="19" t="str">
        <f ca="1">IFERROR(__xludf.DUMMYFUNCTION("GOOGLETRANSLATE(B899,""ar"",""en"")"),"pocket")</f>
        <v>pocket</v>
      </c>
      <c r="F899" s="19" t="str">
        <f ca="1">IFERROR(__xludf.DUMMYFUNCTION("GOOGLETRANSLATE(C899,""ar"",""en"")"),"Grand Shocky Larado 4 x 4")</f>
        <v>Grand Shocky Larado 4 x 4</v>
      </c>
      <c r="G899" t="e">
        <f ca="1">VLOOKUP(F:F,matching_transelated_with_ref!A:C,2,0)</f>
        <v>#N/A</v>
      </c>
      <c r="H899" t="str">
        <f>VLOOKUP(C:C,Sheet4!A:C,2,0)</f>
        <v>لاريدو</v>
      </c>
    </row>
    <row r="900" spans="1:8" ht="14.4">
      <c r="A900" s="18" t="s">
        <v>101</v>
      </c>
      <c r="B900" s="18" t="s">
        <v>102</v>
      </c>
      <c r="C900" s="18" t="s">
        <v>423</v>
      </c>
      <c r="D900" s="19" t="str">
        <f ca="1">IFERROR(__xludf.DUMMYFUNCTION("GOOGLETRANSLATE(A900, ""ar"", ""en"")"),"Chrysler Group")</f>
        <v>Chrysler Group</v>
      </c>
      <c r="E900" s="19" t="str">
        <f ca="1">IFERROR(__xludf.DUMMYFUNCTION("GOOGLETRANSLATE(B900,""ar"",""en"")"),"pocket")</f>
        <v>pocket</v>
      </c>
      <c r="F900" s="19" t="str">
        <f ca="1">IFERROR(__xludf.DUMMYFUNCTION("GOOGLETRANSLATE(C900,""ar"",""en"")"),"Wrangler two doors")</f>
        <v>Wrangler two doors</v>
      </c>
      <c r="G900" t="e">
        <f ca="1">VLOOKUP(F:F,matching_transelated_with_ref!A:C,2,0)</f>
        <v>#N/A</v>
      </c>
      <c r="H900" t="e">
        <f>VLOOKUP(C:C,Sheet4!A:C,2,0)</f>
        <v>#N/A</v>
      </c>
    </row>
    <row r="901" spans="1:8" ht="14.4">
      <c r="A901" s="18" t="s">
        <v>101</v>
      </c>
      <c r="B901" s="18" t="s">
        <v>439</v>
      </c>
      <c r="C901" s="18" t="s">
        <v>443</v>
      </c>
      <c r="D901" s="19" t="str">
        <f ca="1">IFERROR(__xludf.DUMMYFUNCTION("GOOGLETRANSLATE(A901, ""ar"", ""en"")"),"Chrysler Group")</f>
        <v>Chrysler Group</v>
      </c>
      <c r="E901" s="19" t="str">
        <f ca="1">IFERROR(__xludf.DUMMYFUNCTION("GOOGLETRANSLATE(B901,""ar"",""en"")"),"Chrysler")</f>
        <v>Chrysler</v>
      </c>
      <c r="F901" s="19" t="str">
        <f ca="1">IFERROR(__xludf.DUMMYFUNCTION("GOOGLETRANSLATE(C901,""ar"",""en"")"),"300 CSRT 8")</f>
        <v>300 CSRT 8</v>
      </c>
      <c r="G901" t="e">
        <f ca="1">VLOOKUP(F:F,matching_transelated_with_ref!A:C,2,0)</f>
        <v>#N/A</v>
      </c>
      <c r="H901" t="e">
        <f>VLOOKUP(C:C,Sheet4!A:C,2,0)</f>
        <v>#N/A</v>
      </c>
    </row>
    <row r="902" spans="1:8" ht="14.4">
      <c r="A902" s="18" t="s">
        <v>101</v>
      </c>
      <c r="B902" s="18" t="s">
        <v>102</v>
      </c>
      <c r="C902" s="18" t="s">
        <v>1188</v>
      </c>
      <c r="D902" s="19" t="str">
        <f ca="1">IFERROR(__xludf.DUMMYFUNCTION("GOOGLETRANSLATE(A902, ""ar"", ""en"")"),"Chrysler Group")</f>
        <v>Chrysler Group</v>
      </c>
      <c r="E902" s="19" t="str">
        <f ca="1">IFERROR(__xludf.DUMMYFUNCTION("GOOGLETRANSLATE(B902,""ar"",""en"")"),"pocket")</f>
        <v>pocket</v>
      </c>
      <c r="F902" s="19" t="str">
        <f ca="1">IFERROR(__xludf.DUMMYFUNCTION("GOOGLETRANSLATE(C902,""ar"",""en"")"),"Wrangler 2 liters 4 doors")</f>
        <v>Wrangler 2 liters 4 doors</v>
      </c>
      <c r="G902" t="e">
        <f ca="1">VLOOKUP(F:F,matching_transelated_with_ref!A:C,2,0)</f>
        <v>#N/A</v>
      </c>
      <c r="H902" t="str">
        <f>VLOOKUP(C:C,Sheet4!A:C,2,0)</f>
        <v xml:space="preserve"> رانجلر- جيب -4 أبواب</v>
      </c>
    </row>
    <row r="903" spans="1:8" ht="14.4">
      <c r="A903" s="18" t="s">
        <v>101</v>
      </c>
      <c r="B903" s="18" t="s">
        <v>62</v>
      </c>
      <c r="C903" s="18" t="s">
        <v>973</v>
      </c>
      <c r="D903" s="19" t="str">
        <f ca="1">IFERROR(__xludf.DUMMYFUNCTION("GOOGLETRANSLATE(A903, ""ar"", ""en"")"),"Chrysler Group")</f>
        <v>Chrysler Group</v>
      </c>
      <c r="E903" s="19" t="str">
        <f ca="1">IFERROR(__xludf.DUMMYFUNCTION("GOOGLETRANSLATE(B903,""ar"",""en"")"),"Dodge")</f>
        <v>Dodge</v>
      </c>
      <c r="F903" s="19" t="str">
        <f ca="1">IFERROR(__xludf.DUMMYFUNCTION("GOOGLETRANSLATE(C903,""ar"",""en"")"),"RAM 1500 3.6 liters 4 x 4")</f>
        <v>RAM 1500 3.6 liters 4 x 4</v>
      </c>
      <c r="G903" t="e">
        <f ca="1">VLOOKUP(F:F,matching_transelated_with_ref!A:C,2,0)</f>
        <v>#N/A</v>
      </c>
      <c r="H903">
        <f>VLOOKUP(C:C,Sheet4!A:C,2,0)</f>
        <v>6</v>
      </c>
    </row>
    <row r="904" spans="1:8" ht="14.4">
      <c r="A904" s="18" t="s">
        <v>101</v>
      </c>
      <c r="B904" s="18" t="s">
        <v>62</v>
      </c>
      <c r="C904" s="18" t="s">
        <v>428</v>
      </c>
      <c r="D904" s="19" t="str">
        <f ca="1">IFERROR(__xludf.DUMMYFUNCTION("GOOGLETRANSLATE(A904, ""ar"", ""en"")"),"Chrysler Group")</f>
        <v>Chrysler Group</v>
      </c>
      <c r="E904" s="19" t="str">
        <f ca="1">IFERROR(__xludf.DUMMYFUNCTION("GOOGLETRANSLATE(B904,""ar"",""en"")"),"Dodge")</f>
        <v>Dodge</v>
      </c>
      <c r="F904" s="19" t="str">
        <f ca="1">IFERROR(__xludf.DUMMYFUNCTION("GOOGLETRANSLATE(C904,""ar"",""en"")"),"The role of the Ango SRT")</f>
        <v>The role of the Ango SRT</v>
      </c>
      <c r="G904" t="e">
        <f ca="1">VLOOKUP(F:F,matching_transelated_with_ref!A:C,2,0)</f>
        <v>#N/A</v>
      </c>
      <c r="H904" t="str">
        <f>VLOOKUP(C:C,Sheet4!A:C,2,0)</f>
        <v xml:space="preserve"> دورانجو</v>
      </c>
    </row>
    <row r="905" spans="1:8" ht="14.4">
      <c r="A905" s="18" t="s">
        <v>101</v>
      </c>
      <c r="B905" s="18" t="s">
        <v>102</v>
      </c>
      <c r="C905" s="18" t="s">
        <v>1189</v>
      </c>
      <c r="D905" s="19" t="str">
        <f ca="1">IFERROR(__xludf.DUMMYFUNCTION("GOOGLETRANSLATE(A905, ""ar"", ""en"")"),"Chrysler Group")</f>
        <v>Chrysler Group</v>
      </c>
      <c r="E905" s="19" t="str">
        <f ca="1">IFERROR(__xludf.DUMMYFUNCTION("GOOGLETRANSLATE(B905,""ar"",""en"")"),"pocket")</f>
        <v>pocket</v>
      </c>
      <c r="F905" s="19" t="str">
        <f ca="1">IFERROR(__xludf.DUMMYFUNCTION("GOOGLETRANSLATE(C905,""ar"",""en"")"),"Wrangler 2 liters 4 doors")</f>
        <v>Wrangler 2 liters 4 doors</v>
      </c>
      <c r="G905" t="e">
        <f ca="1">VLOOKUP(F:F,matching_transelated_with_ref!A:C,2,0)</f>
        <v>#N/A</v>
      </c>
      <c r="H905" t="str">
        <f>VLOOKUP(C:C,Sheet4!A:C,2,0)</f>
        <v xml:space="preserve"> رانجلر- جيب -4 أبواب</v>
      </c>
    </row>
    <row r="906" spans="1:8" ht="14.4">
      <c r="A906" s="18" t="s">
        <v>101</v>
      </c>
      <c r="B906" s="18" t="s">
        <v>102</v>
      </c>
      <c r="C906" s="18" t="s">
        <v>1186</v>
      </c>
      <c r="D906" s="19" t="str">
        <f ca="1">IFERROR(__xludf.DUMMYFUNCTION("GOOGLETRANSLATE(A906, ""ar"", ""en"")"),"Chrysler Group")</f>
        <v>Chrysler Group</v>
      </c>
      <c r="E906" s="19" t="str">
        <f ca="1">IFERROR(__xludf.DUMMYFUNCTION("GOOGLETRANSLATE(B906,""ar"",""en"")"),"pocket")</f>
        <v>pocket</v>
      </c>
      <c r="F906" s="19" t="str">
        <f ca="1">IFERROR(__xludf.DUMMYFUNCTION("GOOGLETRANSLATE(C906,""ar"",""en"")"),"Wrangler 2 liter 2 door")</f>
        <v>Wrangler 2 liter 2 door</v>
      </c>
      <c r="G906" t="e">
        <f ca="1">VLOOKUP(F:F,matching_transelated_with_ref!A:C,2,0)</f>
        <v>#N/A</v>
      </c>
      <c r="H906" t="e">
        <f>VLOOKUP(C:C,Sheet4!A:C,2,0)</f>
        <v>#N/A</v>
      </c>
    </row>
    <row r="907" spans="1:8" ht="14.4">
      <c r="A907" s="18" t="s">
        <v>101</v>
      </c>
      <c r="B907" s="18" t="s">
        <v>102</v>
      </c>
      <c r="C907" s="18" t="s">
        <v>103</v>
      </c>
      <c r="D907" s="19" t="str">
        <f ca="1">IFERROR(__xludf.DUMMYFUNCTION("GOOGLETRANSLATE(A907, ""ar"", ""en"")"),"Chrysler Group")</f>
        <v>Chrysler Group</v>
      </c>
      <c r="E907" s="19" t="str">
        <f ca="1">IFERROR(__xludf.DUMMYFUNCTION("GOOGLETRANSLATE(B907,""ar"",""en"")"),"pocket")</f>
        <v>pocket</v>
      </c>
      <c r="F907" s="19" t="str">
        <f ca="1">IFERROR(__xludf.DUMMYFUNCTION("GOOGLETRANSLATE(C907,""ar"",""en"")"),"Rangler Sahara is 4 x")</f>
        <v>Rangler Sahara is 4 x</v>
      </c>
      <c r="G907" t="e">
        <f ca="1">VLOOKUP(F:F,matching_transelated_with_ref!A:C,2,0)</f>
        <v>#N/A</v>
      </c>
      <c r="H907" t="e">
        <f>VLOOKUP(C:C,Sheet4!A:C,2,0)</f>
        <v>#N/A</v>
      </c>
    </row>
    <row r="908" spans="1:8" ht="14.4">
      <c r="A908" s="18" t="s">
        <v>101</v>
      </c>
      <c r="B908" s="18" t="s">
        <v>439</v>
      </c>
      <c r="C908" s="18" t="s">
        <v>441</v>
      </c>
      <c r="D908" s="19" t="str">
        <f ca="1">IFERROR(__xludf.DUMMYFUNCTION("GOOGLETRANSLATE(A908, ""ar"", ""en"")"),"Chrysler Group")</f>
        <v>Chrysler Group</v>
      </c>
      <c r="E908" s="19" t="str">
        <f ca="1">IFERROR(__xludf.DUMMYFUNCTION("GOOGLETRANSLATE(B908,""ar"",""en"")"),"Chrysler")</f>
        <v>Chrysler</v>
      </c>
      <c r="F908" s="19" t="str">
        <f ca="1">IFERROR(__xludf.DUMMYFUNCTION("GOOGLETRANSLATE(C908,""ar"",""en"")"),"300s")</f>
        <v>300s</v>
      </c>
      <c r="G908" t="e">
        <f ca="1">VLOOKUP(F:F,matching_transelated_with_ref!A:C,2,0)</f>
        <v>#N/A</v>
      </c>
      <c r="H908" t="e">
        <f>VLOOKUP(C:C,Sheet4!A:C,2,0)</f>
        <v>#N/A</v>
      </c>
    </row>
    <row r="909" spans="1:8" ht="14.4">
      <c r="A909" s="18" t="s">
        <v>101</v>
      </c>
      <c r="B909" s="18" t="s">
        <v>62</v>
      </c>
      <c r="C909" s="18" t="s">
        <v>730</v>
      </c>
      <c r="D909" s="19" t="str">
        <f ca="1">IFERROR(__xludf.DUMMYFUNCTION("GOOGLETRANSLATE(A909, ""ar"", ""en"")"),"Chrysler Group")</f>
        <v>Chrysler Group</v>
      </c>
      <c r="E909" s="19" t="str">
        <f ca="1">IFERROR(__xludf.DUMMYFUNCTION("GOOGLETRANSLATE(B909,""ar"",""en"")"),"Dodge")</f>
        <v>Dodge</v>
      </c>
      <c r="F909" s="19" t="str">
        <f ca="1">IFERROR(__xludf.DUMMYFUNCTION("GOOGLETRANSLATE(C909,""ar"",""en"")"),"Challenger 5.7 liters")</f>
        <v>Challenger 5.7 liters</v>
      </c>
      <c r="G909" t="e">
        <f ca="1">VLOOKUP(F:F,matching_transelated_with_ref!A:C,2,0)</f>
        <v>#N/A</v>
      </c>
      <c r="H909" t="str">
        <f>VLOOKUP(C:C,Sheet4!A:C,2,0)</f>
        <v xml:space="preserve"> تشالنجر </v>
      </c>
    </row>
    <row r="910" spans="1:8" ht="14.4">
      <c r="A910" s="18" t="s">
        <v>101</v>
      </c>
      <c r="B910" s="18" t="s">
        <v>62</v>
      </c>
      <c r="C910" s="18" t="s">
        <v>729</v>
      </c>
      <c r="D910" s="19" t="str">
        <f ca="1">IFERROR(__xludf.DUMMYFUNCTION("GOOGLETRANSLATE(A910, ""ar"", ""en"")"),"Chrysler Group")</f>
        <v>Chrysler Group</v>
      </c>
      <c r="E910" s="19" t="str">
        <f ca="1">IFERROR(__xludf.DUMMYFUNCTION("GOOGLETRANSLATE(B910,""ar"",""en"")"),"Dodge")</f>
        <v>Dodge</v>
      </c>
      <c r="F910" s="19" t="str">
        <f ca="1">IFERROR(__xludf.DUMMYFUNCTION("GOOGLETRANSLATE(C910,""ar"",""en"")"),"Challenger 3.6 liters")</f>
        <v>Challenger 3.6 liters</v>
      </c>
      <c r="G910" t="e">
        <f ca="1">VLOOKUP(F:F,matching_transelated_with_ref!A:C,2,0)</f>
        <v>#N/A</v>
      </c>
      <c r="H910">
        <f>VLOOKUP(C:C,Sheet4!A:C,2,0)</f>
        <v>6</v>
      </c>
    </row>
    <row r="911" spans="1:8" ht="14.4">
      <c r="A911" s="18" t="s">
        <v>101</v>
      </c>
      <c r="B911" s="18" t="s">
        <v>62</v>
      </c>
      <c r="C911" s="18" t="s">
        <v>725</v>
      </c>
      <c r="D911" s="19" t="str">
        <f ca="1">IFERROR(__xludf.DUMMYFUNCTION("GOOGLETRANSLATE(A911, ""ar"", ""en"")"),"Chrysler Group")</f>
        <v>Chrysler Group</v>
      </c>
      <c r="E911" s="19" t="str">
        <f ca="1">IFERROR(__xludf.DUMMYFUNCTION("GOOGLETRANSLATE(B911,""ar"",""en"")"),"Dodge")</f>
        <v>Dodge</v>
      </c>
      <c r="F911" s="19" t="str">
        <f ca="1">IFERROR(__xludf.DUMMYFUNCTION("GOOGLETRANSLATE(C911,""ar"",""en"")"),"Drango 4*2")</f>
        <v>Drango 4*2</v>
      </c>
      <c r="G911" t="e">
        <f ca="1">VLOOKUP(F:F,matching_transelated_with_ref!A:C,2,0)</f>
        <v>#N/A</v>
      </c>
      <c r="H911" t="str">
        <f>VLOOKUP(C:C,Sheet4!A:C,2,0)</f>
        <v xml:space="preserve"> دورانجو</v>
      </c>
    </row>
    <row r="912" spans="1:8" ht="14.4">
      <c r="A912" s="18" t="s">
        <v>101</v>
      </c>
      <c r="B912" s="18" t="s">
        <v>102</v>
      </c>
      <c r="C912" s="18" t="s">
        <v>719</v>
      </c>
      <c r="D912" s="19" t="str">
        <f ca="1">IFERROR(__xludf.DUMMYFUNCTION("GOOGLETRANSLATE(A912, ""ar"", ""en"")"),"Chrysler Group")</f>
        <v>Chrysler Group</v>
      </c>
      <c r="E912" s="19" t="str">
        <f ca="1">IFERROR(__xludf.DUMMYFUNCTION("GOOGLETRANSLATE(B912,""ar"",""en"")"),"pocket")</f>
        <v>pocket</v>
      </c>
      <c r="F912" s="19" t="str">
        <f ca="1">IFERROR(__xludf.DUMMYFUNCTION("GOOGLETRANSLATE(C912,""ar"",""en"")"),"Grand Shocke 3.6 liters")</f>
        <v>Grand Shocke 3.6 liters</v>
      </c>
      <c r="G912" t="e">
        <f ca="1">VLOOKUP(F:F,matching_transelated_with_ref!A:C,2,0)</f>
        <v>#N/A</v>
      </c>
      <c r="H912" t="str">
        <f>VLOOKUP(C:C,Sheet4!A:C,2,0)</f>
        <v>جراند شروكي</v>
      </c>
    </row>
    <row r="913" spans="1:8" ht="14.4">
      <c r="A913" s="18" t="s">
        <v>101</v>
      </c>
      <c r="B913" s="18" t="s">
        <v>439</v>
      </c>
      <c r="C913" s="18" t="s">
        <v>445</v>
      </c>
      <c r="D913" s="19" t="str">
        <f ca="1">IFERROR(__xludf.DUMMYFUNCTION("GOOGLETRANSLATE(A913, ""ar"", ""en"")"),"Chrysler Group")</f>
        <v>Chrysler Group</v>
      </c>
      <c r="E913" s="19" t="str">
        <f ca="1">IFERROR(__xludf.DUMMYFUNCTION("GOOGLETRANSLATE(B913,""ar"",""en"")"),"Chrysler")</f>
        <v>Chrysler</v>
      </c>
      <c r="F913" s="19" t="str">
        <f ca="1">IFERROR(__xludf.DUMMYFUNCTION("GOOGLETRANSLATE(C913,""ar"",""en"")"),"Passevica")</f>
        <v>Passevica</v>
      </c>
      <c r="G913" t="e">
        <f ca="1">VLOOKUP(F:F,matching_transelated_with_ref!A:C,2,0)</f>
        <v>#N/A</v>
      </c>
      <c r="H913" t="e">
        <f>VLOOKUP(C:C,Sheet4!A:C,2,0)</f>
        <v>#N/A</v>
      </c>
    </row>
    <row r="914" spans="1:8" ht="14.4">
      <c r="A914" s="18" t="s">
        <v>101</v>
      </c>
      <c r="B914" s="18" t="s">
        <v>102</v>
      </c>
      <c r="C914" s="18" t="s">
        <v>420</v>
      </c>
      <c r="D914" s="19" t="str">
        <f ca="1">IFERROR(__xludf.DUMMYFUNCTION("GOOGLETRANSLATE(A914, ""ar"", ""en"")"),"Chrysler Group")</f>
        <v>Chrysler Group</v>
      </c>
      <c r="E914" s="19" t="str">
        <f ca="1">IFERROR(__xludf.DUMMYFUNCTION("GOOGLETRANSLATE(B914,""ar"",""en"")"),"pocket")</f>
        <v>pocket</v>
      </c>
      <c r="F914" s="19" t="str">
        <f ca="1">IFERROR(__xludf.DUMMYFUNCTION("GOOGLETRANSLATE(C914,""ar"",""en"")"),"Grand Cherokee Silence 4 x 4")</f>
        <v>Grand Cherokee Silence 4 x 4</v>
      </c>
      <c r="G914" t="e">
        <f ca="1">VLOOKUP(F:F,matching_transelated_with_ref!A:C,2,0)</f>
        <v>#N/A</v>
      </c>
      <c r="H914" t="str">
        <f>VLOOKUP(C:C,Sheet4!A:C,2,0)</f>
        <v>جراند شروكي</v>
      </c>
    </row>
    <row r="915" spans="1:8" ht="14.4">
      <c r="A915" s="18" t="s">
        <v>101</v>
      </c>
      <c r="B915" s="18" t="s">
        <v>63</v>
      </c>
      <c r="C915" s="18" t="s">
        <v>731</v>
      </c>
      <c r="D915" s="19" t="str">
        <f ca="1">IFERROR(__xludf.DUMMYFUNCTION("GOOGLETRANSLATE(A915, ""ar"", ""en"")"),"Chrysler Group")</f>
        <v>Chrysler Group</v>
      </c>
      <c r="E915" s="19" t="str">
        <f ca="1">IFERROR(__xludf.DUMMYFUNCTION("GOOGLETRANSLATE(B915,""ar"",""en"")"),"Archer")</f>
        <v>Archer</v>
      </c>
      <c r="F915" s="19" t="str">
        <f ca="1">IFERROR(__xludf.DUMMYFUNCTION("GOOGLETRANSLATE(C915,""ar"",""en"")"),"1500 4 x 4")</f>
        <v>1500 4 x 4</v>
      </c>
      <c r="G915" t="e">
        <f ca="1">VLOOKUP(F:F,matching_transelated_with_ref!A:C,2,0)</f>
        <v>#N/A</v>
      </c>
      <c r="H915" t="e">
        <f>VLOOKUP(C:C,Sheet4!A:C,2,0)</f>
        <v>#N/A</v>
      </c>
    </row>
    <row r="916" spans="1:8" ht="14.4">
      <c r="A916" s="18" t="s">
        <v>101</v>
      </c>
      <c r="B916" s="18" t="s">
        <v>62</v>
      </c>
      <c r="C916" s="18" t="s">
        <v>435</v>
      </c>
      <c r="D916" s="19" t="str">
        <f ca="1">IFERROR(__xludf.DUMMYFUNCTION("GOOGLETRANSLATE(A916, ""ar"", ""en"")"),"Chrysler Group")</f>
        <v>Chrysler Group</v>
      </c>
      <c r="E916" s="19" t="str">
        <f ca="1">IFERROR(__xludf.DUMMYFUNCTION("GOOGLETRANSLATE(B916,""ar"",""en"")"),"Dodge")</f>
        <v>Dodge</v>
      </c>
      <c r="F916" s="19" t="str">
        <f ca="1">IFERROR(__xludf.DUMMYFUNCTION("GOOGLETRANSLATE(C916,""ar"",""en"")"),"Challenge SRT")</f>
        <v>Challenge SRT</v>
      </c>
      <c r="G916" t="e">
        <f ca="1">VLOOKUP(F:F,matching_transelated_with_ref!A:C,2,0)</f>
        <v>#N/A</v>
      </c>
      <c r="H916" t="str">
        <f>VLOOKUP(C:C,Sheet4!A:C,2,0)</f>
        <v xml:space="preserve"> تشالنجر </v>
      </c>
    </row>
    <row r="917" spans="1:8" ht="14.4">
      <c r="A917" s="18" t="s">
        <v>101</v>
      </c>
      <c r="B917" s="18" t="s">
        <v>439</v>
      </c>
      <c r="C917" s="18" t="s">
        <v>444</v>
      </c>
      <c r="D917" s="19" t="str">
        <f ca="1">IFERROR(__xludf.DUMMYFUNCTION("GOOGLETRANSLATE(A917, ""ar"", ""en"")"),"Chrysler Group")</f>
        <v>Chrysler Group</v>
      </c>
      <c r="E917" s="19" t="str">
        <f ca="1">IFERROR(__xludf.DUMMYFUNCTION("GOOGLETRANSLATE(B917,""ar"",""en"")"),"Chrysler")</f>
        <v>Chrysler</v>
      </c>
      <c r="F917" s="19" t="str">
        <f ca="1">IFERROR(__xludf.DUMMYFUNCTION("GOOGLETRANSLATE(C917,""ar"",""en"")"),"300 later")</f>
        <v>300 later</v>
      </c>
      <c r="G917" t="e">
        <f ca="1">VLOOKUP(F:F,matching_transelated_with_ref!A:C,2,0)</f>
        <v>#N/A</v>
      </c>
      <c r="H917" t="e">
        <f>VLOOKUP(C:C,Sheet4!A:C,2,0)</f>
        <v>#N/A</v>
      </c>
    </row>
    <row r="918" spans="1:8" ht="14.4">
      <c r="A918" s="18" t="s">
        <v>101</v>
      </c>
      <c r="B918" s="18" t="s">
        <v>62</v>
      </c>
      <c r="C918" s="18" t="s">
        <v>723</v>
      </c>
      <c r="D918" s="19" t="str">
        <f ca="1">IFERROR(__xludf.DUMMYFUNCTION("GOOGLETRANSLATE(A918, ""ar"", ""en"")"),"Chrysler Group")</f>
        <v>Chrysler Group</v>
      </c>
      <c r="E918" s="19" t="str">
        <f ca="1">IFERROR(__xludf.DUMMYFUNCTION("GOOGLETRANSLATE(B918,""ar"",""en"")"),"Dodge")</f>
        <v>Dodge</v>
      </c>
      <c r="F918" s="19" t="str">
        <f ca="1">IFERROR(__xludf.DUMMYFUNCTION("GOOGLETRANSLATE(C918,""ar"",""en"")"),"Charger 5.7 liters")</f>
        <v>Charger 5.7 liters</v>
      </c>
      <c r="G918" t="e">
        <f ca="1">VLOOKUP(F:F,matching_transelated_with_ref!A:C,2,0)</f>
        <v>#N/A</v>
      </c>
      <c r="H918" t="str">
        <f>VLOOKUP(C:C,Sheet4!A:C,2,0)</f>
        <v xml:space="preserve"> تشالنجر </v>
      </c>
    </row>
    <row r="919" spans="1:8" ht="14.4">
      <c r="A919" s="18" t="s">
        <v>101</v>
      </c>
      <c r="B919" s="18" t="s">
        <v>62</v>
      </c>
      <c r="C919" s="18" t="s">
        <v>429</v>
      </c>
      <c r="D919" s="19" t="str">
        <f ca="1">IFERROR(__xludf.DUMMYFUNCTION("GOOGLETRANSLATE(A919, ""ar"", ""en"")"),"Chrysler Group")</f>
        <v>Chrysler Group</v>
      </c>
      <c r="E919" s="19" t="str">
        <f ca="1">IFERROR(__xludf.DUMMYFUNCTION("GOOGLETRANSLATE(B919,""ar"",""en"")"),"Dodge")</f>
        <v>Dodge</v>
      </c>
      <c r="F919" s="19" t="str">
        <f ca="1">IFERROR(__xludf.DUMMYFUNCTION("GOOGLETRANSLATE(C919,""ar"",""en"")"),"The role of Ango Express 4 x 4")</f>
        <v>The role of Ango Express 4 x 4</v>
      </c>
      <c r="G919" t="e">
        <f ca="1">VLOOKUP(F:F,matching_transelated_with_ref!A:C,2,0)</f>
        <v>#N/A</v>
      </c>
      <c r="H919" t="str">
        <f>VLOOKUP(C:C,Sheet4!A:C,2,0)</f>
        <v xml:space="preserve"> دورانجو</v>
      </c>
    </row>
    <row r="920" spans="1:8" ht="14.4">
      <c r="A920" s="18" t="s">
        <v>101</v>
      </c>
      <c r="B920" s="18" t="s">
        <v>62</v>
      </c>
      <c r="C920" s="18" t="s">
        <v>434</v>
      </c>
      <c r="D920" s="19" t="str">
        <f ca="1">IFERROR(__xludf.DUMMYFUNCTION("GOOGLETRANSLATE(A920, ""ar"", ""en"")"),"Chrysler Group")</f>
        <v>Chrysler Group</v>
      </c>
      <c r="E920" s="19" t="str">
        <f ca="1">IFERROR(__xludf.DUMMYFUNCTION("GOOGLETRANSLATE(B920,""ar"",""en"")"),"Dodge")</f>
        <v>Dodge</v>
      </c>
      <c r="F920" s="19" t="str">
        <f ca="1">IFERROR(__xludf.DUMMYFUNCTION("GOOGLETRANSLATE(C920,""ar"",""en"")"),"Shalinger Arte")</f>
        <v>Shalinger Arte</v>
      </c>
      <c r="G920" t="e">
        <f ca="1">VLOOKUP(F:F,matching_transelated_with_ref!A:C,2,0)</f>
        <v>#N/A</v>
      </c>
      <c r="H920" t="str">
        <f>VLOOKUP(C:C,Sheet4!A:C,2,0)</f>
        <v xml:space="preserve"> تشالنجر </v>
      </c>
    </row>
    <row r="921" spans="1:8" ht="14.4">
      <c r="A921" s="18" t="s">
        <v>101</v>
      </c>
      <c r="B921" s="18" t="s">
        <v>62</v>
      </c>
      <c r="C921" s="18" t="s">
        <v>430</v>
      </c>
      <c r="D921" s="19" t="str">
        <f ca="1">IFERROR(__xludf.DUMMYFUNCTION("GOOGLETRANSLATE(A921, ""ar"", ""en"")"),"Chrysler Group")</f>
        <v>Chrysler Group</v>
      </c>
      <c r="E921" s="19" t="str">
        <f ca="1">IFERROR(__xludf.DUMMYFUNCTION("GOOGLETRANSLATE(B921,""ar"",""en"")"),"Dodge")</f>
        <v>Dodge</v>
      </c>
      <c r="F921" s="19" t="str">
        <f ca="1">IFERROR(__xludf.DUMMYFUNCTION("GOOGLETRANSLATE(C921,""ar"",""en"")"),"The role of Ango 4 x 2")</f>
        <v>The role of Ango 4 x 2</v>
      </c>
      <c r="G921" t="e">
        <f ca="1">VLOOKUP(F:F,matching_transelated_with_ref!A:C,2,0)</f>
        <v>#N/A</v>
      </c>
      <c r="H921" t="e">
        <f>VLOOKUP(C:C,Sheet4!A:C,2,0)</f>
        <v>#N/A</v>
      </c>
    </row>
    <row r="922" spans="1:8" ht="14.4">
      <c r="A922" s="18" t="s">
        <v>101</v>
      </c>
      <c r="B922" s="18" t="s">
        <v>62</v>
      </c>
      <c r="C922" s="18" t="s">
        <v>436</v>
      </c>
      <c r="D922" s="19" t="str">
        <f ca="1">IFERROR(__xludf.DUMMYFUNCTION("GOOGLETRANSLATE(A922, ""ar"", ""en"")"),"Chrysler Group")</f>
        <v>Chrysler Group</v>
      </c>
      <c r="E922" s="19" t="str">
        <f ca="1">IFERROR(__xludf.DUMMYFUNCTION("GOOGLETRANSLATE(B922,""ar"",""en"")"),"Dodge")</f>
        <v>Dodge</v>
      </c>
      <c r="F922" s="19" t="str">
        <f ca="1">IFERROR(__xludf.DUMMYFUNCTION("GOOGLETRANSLATE(C922,""ar"",""en"")"),"Shalinger SA")</f>
        <v>Shalinger SA</v>
      </c>
      <c r="G922" t="e">
        <f ca="1">VLOOKUP(F:F,matching_transelated_with_ref!A:C,2,0)</f>
        <v>#N/A</v>
      </c>
      <c r="H922" t="str">
        <f>VLOOKUP(C:C,Sheet4!A:C,2,0)</f>
        <v xml:space="preserve"> تشالنجر </v>
      </c>
    </row>
    <row r="923" spans="1:8" ht="14.4">
      <c r="A923" s="18" t="s">
        <v>101</v>
      </c>
      <c r="B923" s="18" t="s">
        <v>62</v>
      </c>
      <c r="C923" s="18" t="s">
        <v>431</v>
      </c>
      <c r="D923" s="19" t="str">
        <f ca="1">IFERROR(__xludf.DUMMYFUNCTION("GOOGLETRANSLATE(A923, ""ar"", ""en"")"),"Chrysler Group")</f>
        <v>Chrysler Group</v>
      </c>
      <c r="E923" s="19" t="str">
        <f ca="1">IFERROR(__xludf.DUMMYFUNCTION("GOOGLETRANSLATE(B923,""ar"",""en"")"),"Dodge")</f>
        <v>Dodge</v>
      </c>
      <c r="F923" s="19" t="str">
        <f ca="1">IFERROR(__xludf.DUMMYFUNCTION("GOOGLETRANSLATE(C923,""ar"",""en"")"),"Charger RT")</f>
        <v>Charger RT</v>
      </c>
      <c r="G923" t="e">
        <f ca="1">VLOOKUP(F:F,matching_transelated_with_ref!A:C,2,0)</f>
        <v>#N/A</v>
      </c>
      <c r="H923" t="e">
        <f>VLOOKUP(C:C,Sheet4!A:C,2,0)</f>
        <v>#N/A</v>
      </c>
    </row>
    <row r="924" spans="1:8" ht="14.4">
      <c r="A924" s="18" t="s">
        <v>101</v>
      </c>
      <c r="B924" s="18" t="s">
        <v>62</v>
      </c>
      <c r="C924" s="18" t="s">
        <v>727</v>
      </c>
      <c r="D924" s="19" t="str">
        <f ca="1">IFERROR(__xludf.DUMMYFUNCTION("GOOGLETRANSLATE(A924, ""ar"", ""en"")"),"Chrysler Group")</f>
        <v>Chrysler Group</v>
      </c>
      <c r="E924" s="19" t="str">
        <f ca="1">IFERROR(__xludf.DUMMYFUNCTION("GOOGLETRANSLATE(B924,""ar"",""en"")"),"Dodge")</f>
        <v>Dodge</v>
      </c>
      <c r="F924" s="19" t="str">
        <f ca="1">IFERROR(__xludf.DUMMYFUNCTION("GOOGLETRANSLATE(C924,""ar"",""en"")"),"RAM 1500 Classic 3.6 liter 4 x 4")</f>
        <v>RAM 1500 Classic 3.6 liter 4 x 4</v>
      </c>
      <c r="G924" t="e">
        <f ca="1">VLOOKUP(F:F,matching_transelated_with_ref!A:C,2,0)</f>
        <v>#N/A</v>
      </c>
      <c r="H924">
        <f>VLOOKUP(C:C,Sheet4!A:C,2,0)</f>
        <v>6</v>
      </c>
    </row>
    <row r="925" spans="1:8" ht="14.4">
      <c r="A925" s="18" t="s">
        <v>101</v>
      </c>
      <c r="B925" s="18" t="s">
        <v>62</v>
      </c>
      <c r="C925" s="18" t="s">
        <v>433</v>
      </c>
      <c r="D925" s="19" t="str">
        <f ca="1">IFERROR(__xludf.DUMMYFUNCTION("GOOGLETRANSLATE(A925, ""ar"", ""en"")"),"Chrysler Group")</f>
        <v>Chrysler Group</v>
      </c>
      <c r="E925" s="19" t="str">
        <f ca="1">IFERROR(__xludf.DUMMYFUNCTION("GOOGLETRANSLATE(B925,""ar"",""en"")"),"Dodge")</f>
        <v>Dodge</v>
      </c>
      <c r="F925" s="19" t="str">
        <f ca="1">IFERROR(__xludf.DUMMYFUNCTION("GOOGLETRANSLATE(C925,""ar"",""en"")"),"Charger SA Lux")</f>
        <v>Charger SA Lux</v>
      </c>
      <c r="G925" t="e">
        <f ca="1">VLOOKUP(F:F,matching_transelated_with_ref!A:C,2,0)</f>
        <v>#N/A</v>
      </c>
      <c r="H925" t="str">
        <f>VLOOKUP(C:C,Sheet4!A:C,2,0)</f>
        <v>اير</v>
      </c>
    </row>
    <row r="926" spans="1:8" ht="14.4">
      <c r="A926" s="18" t="s">
        <v>101</v>
      </c>
      <c r="B926" s="18" t="s">
        <v>62</v>
      </c>
      <c r="C926" s="18" t="s">
        <v>426</v>
      </c>
      <c r="D926" s="19" t="str">
        <f ca="1">IFERROR(__xludf.DUMMYFUNCTION("GOOGLETRANSLATE(A926, ""ar"", ""en"")"),"Chrysler Group")</f>
        <v>Chrysler Group</v>
      </c>
      <c r="E926" s="19" t="str">
        <f ca="1">IFERROR(__xludf.DUMMYFUNCTION("GOOGLETRANSLATE(B926,""ar"",""en"")"),"Dodge")</f>
        <v>Dodge</v>
      </c>
      <c r="F926" s="19" t="str">
        <f ca="1">IFERROR(__xludf.DUMMYFUNCTION("GOOGLETRANSLATE(C926,""ar"",""en"")"),"Charger 6.4")</f>
        <v>Charger 6.4</v>
      </c>
      <c r="G926" t="e">
        <f ca="1">VLOOKUP(F:F,matching_transelated_with_ref!A:C,2,0)</f>
        <v>#N/A</v>
      </c>
      <c r="H926" t="str">
        <f>VLOOKUP(C:C,Sheet4!A:C,2,0)</f>
        <v xml:space="preserve"> تشالنجر </v>
      </c>
    </row>
    <row r="927" spans="1:8" ht="14.4">
      <c r="A927" s="18" t="s">
        <v>101</v>
      </c>
      <c r="B927" s="18" t="s">
        <v>62</v>
      </c>
      <c r="C927" s="18" t="s">
        <v>724</v>
      </c>
      <c r="D927" s="19" t="str">
        <f ca="1">IFERROR(__xludf.DUMMYFUNCTION("GOOGLETRANSLATE(A927, ""ar"", ""en"")"),"Chrysler Group")</f>
        <v>Chrysler Group</v>
      </c>
      <c r="E927" s="19" t="str">
        <f ca="1">IFERROR(__xludf.DUMMYFUNCTION("GOOGLETRANSLATE(B927,""ar"",""en"")"),"Dodge")</f>
        <v>Dodge</v>
      </c>
      <c r="F927" s="19" t="str">
        <f ca="1">IFERROR(__xludf.DUMMYFUNCTION("GOOGLETRANSLATE(C927,""ar"",""en"")"),"Charger 3.6 liters")</f>
        <v>Charger 3.6 liters</v>
      </c>
      <c r="G927" t="e">
        <f ca="1">VLOOKUP(F:F,matching_transelated_with_ref!A:C,2,0)</f>
        <v>#N/A</v>
      </c>
      <c r="H927">
        <f>VLOOKUP(C:C,Sheet4!A:C,2,0)</f>
        <v>6</v>
      </c>
    </row>
    <row r="928" spans="1:8" ht="14.4">
      <c r="A928" s="18" t="s">
        <v>101</v>
      </c>
      <c r="B928" s="18" t="s">
        <v>102</v>
      </c>
      <c r="C928" s="18" t="s">
        <v>722</v>
      </c>
      <c r="D928" s="19" t="str">
        <f ca="1">IFERROR(__xludf.DUMMYFUNCTION("GOOGLETRANSLATE(A928, ""ar"", ""en"")"),"Chrysler Group")</f>
        <v>Chrysler Group</v>
      </c>
      <c r="E928" s="19" t="str">
        <f ca="1">IFERROR(__xludf.DUMMYFUNCTION("GOOGLETRANSLATE(B928,""ar"",""en"")"),"pocket")</f>
        <v>pocket</v>
      </c>
      <c r="F928" s="19" t="str">
        <f ca="1">IFERROR(__xludf.DUMMYFUNCTION("GOOGLETRANSLATE(C928,""ar"",""en"")"),"Compass 2.4 liter 4 x 4")</f>
        <v>Compass 2.4 liter 4 x 4</v>
      </c>
      <c r="G928" t="e">
        <f ca="1">VLOOKUP(F:F,matching_transelated_with_ref!A:C,2,0)</f>
        <v>#N/A</v>
      </c>
      <c r="H928" t="str">
        <f>VLOOKUP(C:C,Sheet4!A:C,2,0)</f>
        <v>كومباس</v>
      </c>
    </row>
    <row r="929" spans="1:8" ht="14.4">
      <c r="A929" s="18" t="s">
        <v>101</v>
      </c>
      <c r="B929" s="18" t="s">
        <v>63</v>
      </c>
      <c r="C929" s="18" t="s">
        <v>437</v>
      </c>
      <c r="D929" s="19" t="str">
        <f ca="1">IFERROR(__xludf.DUMMYFUNCTION("GOOGLETRANSLATE(A929, ""ar"", ""en"")"),"Chrysler Group")</f>
        <v>Chrysler Group</v>
      </c>
      <c r="E929" s="19" t="str">
        <f ca="1">IFERROR(__xludf.DUMMYFUNCTION("GOOGLETRANSLATE(B929,""ar"",""en"")"),"Archer")</f>
        <v>Archer</v>
      </c>
      <c r="F929" s="19" t="str">
        <f ca="1">IFERROR(__xludf.DUMMYFUNCTION("GOOGLETRANSLATE(C929,""ar"",""en"")")," 1500 GD")</f>
        <v xml:space="preserve"> 1500 GD</v>
      </c>
      <c r="G929" t="e">
        <f ca="1">VLOOKUP(F:F,matching_transelated_with_ref!A:C,2,0)</f>
        <v>#N/A</v>
      </c>
      <c r="H929" t="str">
        <f>VLOOKUP(C:C,Sheet4!A:C,2,0)</f>
        <v xml:space="preserve">رام 1500-غمارتين-4x4 -V8  6.4L </v>
      </c>
    </row>
    <row r="930" spans="1:8" ht="14.4">
      <c r="A930" s="18" t="s">
        <v>101</v>
      </c>
      <c r="B930" s="18" t="s">
        <v>102</v>
      </c>
      <c r="C930" s="18" t="s">
        <v>424</v>
      </c>
      <c r="D930" s="19" t="str">
        <f ca="1">IFERROR(__xludf.DUMMYFUNCTION("GOOGLETRANSLATE(A930, ""ar"", ""en"")"),"Chrysler Group")</f>
        <v>Chrysler Group</v>
      </c>
      <c r="E930" s="19" t="str">
        <f ca="1">IFERROR(__xludf.DUMMYFUNCTION("GOOGLETRANSLATE(B930,""ar"",""en"")"),"pocket")</f>
        <v>pocket</v>
      </c>
      <c r="F930" s="19" t="str">
        <f ca="1">IFERROR(__xludf.DUMMYFUNCTION("GOOGLETRANSLATE(C930,""ar"",""en"")"),"Wrangler Sport 4 x 4")</f>
        <v>Wrangler Sport 4 x 4</v>
      </c>
      <c r="G930" t="e">
        <f ca="1">VLOOKUP(F:F,matching_transelated_with_ref!A:C,2,0)</f>
        <v>#N/A</v>
      </c>
      <c r="H930" t="e">
        <f>VLOOKUP(C:C,Sheet4!A:C,2,0)</f>
        <v>#N/A</v>
      </c>
    </row>
    <row r="931" spans="1:8" ht="14.4">
      <c r="A931" s="18" t="s">
        <v>101</v>
      </c>
      <c r="B931" s="18" t="s">
        <v>62</v>
      </c>
      <c r="C931" s="18" t="s">
        <v>432</v>
      </c>
      <c r="D931" s="19" t="str">
        <f ca="1">IFERROR(__xludf.DUMMYFUNCTION("GOOGLETRANSLATE(A931, ""ar"", ""en"")"),"Chrysler Group")</f>
        <v>Chrysler Group</v>
      </c>
      <c r="E931" s="19" t="str">
        <f ca="1">IFERROR(__xludf.DUMMYFUNCTION("GOOGLETRANSLATE(B931,""ar"",""en"")"),"Dodge")</f>
        <v>Dodge</v>
      </c>
      <c r="F931" s="19" t="str">
        <f ca="1">IFERROR(__xludf.DUMMYFUNCTION("GOOGLETRANSLATE(C931,""ar"",""en"")"),"Charger SA Express")</f>
        <v>Charger SA Express</v>
      </c>
      <c r="G931" t="e">
        <f ca="1">VLOOKUP(F:F,matching_transelated_with_ref!A:C,2,0)</f>
        <v>#N/A</v>
      </c>
      <c r="H931" t="str">
        <f>VLOOKUP(C:C,Sheet4!A:C,2,0)</f>
        <v xml:space="preserve"> اكسبرت </v>
      </c>
    </row>
    <row r="932" spans="1:8" ht="14.4">
      <c r="A932" s="18" t="s">
        <v>101</v>
      </c>
      <c r="B932" s="18" t="s">
        <v>102</v>
      </c>
      <c r="C932" s="18" t="s">
        <v>720</v>
      </c>
      <c r="D932" s="19" t="str">
        <f ca="1">IFERROR(__xludf.DUMMYFUNCTION("GOOGLETRANSLATE(A932, ""ar"", ""en"")"),"Chrysler Group")</f>
        <v>Chrysler Group</v>
      </c>
      <c r="E932" s="19" t="str">
        <f ca="1">IFERROR(__xludf.DUMMYFUNCTION("GOOGLETRANSLATE(B932,""ar"",""en"")"),"pocket")</f>
        <v>pocket</v>
      </c>
      <c r="F932" s="19" t="str">
        <f ca="1">IFERROR(__xludf.DUMMYFUNCTION("GOOGLETRANSLATE(C932,""ar"",""en"")"),"Cherokee 3.2 liters")</f>
        <v>Cherokee 3.2 liters</v>
      </c>
      <c r="G932" t="e">
        <f ca="1">VLOOKUP(F:F,matching_transelated_with_ref!A:C,2,0)</f>
        <v>#N/A</v>
      </c>
      <c r="H932">
        <f>VLOOKUP(C:C,Sheet4!A:C,2,0)</f>
        <v>3</v>
      </c>
    </row>
    <row r="933" spans="1:8" ht="14.4">
      <c r="A933" s="18" t="s">
        <v>101</v>
      </c>
      <c r="B933" s="18" t="s">
        <v>62</v>
      </c>
      <c r="C933" s="18" t="s">
        <v>728</v>
      </c>
      <c r="D933" s="19" t="str">
        <f ca="1">IFERROR(__xludf.DUMMYFUNCTION("GOOGLETRANSLATE(A933, ""ar"", ""en"")"),"Chrysler Group")</f>
        <v>Chrysler Group</v>
      </c>
      <c r="E933" s="19" t="str">
        <f ca="1">IFERROR(__xludf.DUMMYFUNCTION("GOOGLETRANSLATE(B933,""ar"",""en"")"),"Dodge")</f>
        <v>Dodge</v>
      </c>
      <c r="F933" s="19" t="str">
        <f ca="1">IFERROR(__xludf.DUMMYFUNCTION("GOOGLETRANSLATE(C933,""ar"",""en"")"),"Charger liter 3.6")</f>
        <v>Charger liter 3.6</v>
      </c>
      <c r="G933" t="e">
        <f ca="1">VLOOKUP(F:F,matching_transelated_with_ref!A:C,2,0)</f>
        <v>#N/A</v>
      </c>
      <c r="H933">
        <f>VLOOKUP(C:C,Sheet4!A:C,2,0)</f>
        <v>6</v>
      </c>
    </row>
    <row r="934" spans="1:8" ht="14.4">
      <c r="A934" s="18" t="s">
        <v>101</v>
      </c>
      <c r="B934" s="18" t="s">
        <v>62</v>
      </c>
      <c r="C934" s="18" t="s">
        <v>726</v>
      </c>
      <c r="D934" s="19" t="str">
        <f ca="1">IFERROR(__xludf.DUMMYFUNCTION("GOOGLETRANSLATE(A934, ""ar"", ""en"")"),"Chrysler Group")</f>
        <v>Chrysler Group</v>
      </c>
      <c r="E934" s="19" t="str">
        <f ca="1">IFERROR(__xludf.DUMMYFUNCTION("GOOGLETRANSLATE(B934,""ar"",""en"")"),"Dodge")</f>
        <v>Dodge</v>
      </c>
      <c r="F934" s="19" t="str">
        <f ca="1">IFERROR(__xludf.DUMMYFUNCTION("GOOGLETRANSLATE(C934,""ar"",""en"")"),"RAM 1500 Classic 3.6 4 x 4")</f>
        <v>RAM 1500 Classic 3.6 4 x 4</v>
      </c>
      <c r="G934" t="e">
        <f ca="1">VLOOKUP(F:F,matching_transelated_with_ref!A:C,2,0)</f>
        <v>#N/A</v>
      </c>
      <c r="H934">
        <f>VLOOKUP(C:C,Sheet4!A:C,2,0)</f>
        <v>6</v>
      </c>
    </row>
    <row r="935" spans="1:8" ht="14.4">
      <c r="A935" s="18" t="s">
        <v>101</v>
      </c>
      <c r="B935" s="18" t="s">
        <v>102</v>
      </c>
      <c r="C935" s="18" t="s">
        <v>721</v>
      </c>
      <c r="D935" s="19" t="str">
        <f ca="1">IFERROR(__xludf.DUMMYFUNCTION("GOOGLETRANSLATE(A935, ""ar"", ""en"")"),"Chrysler Group")</f>
        <v>Chrysler Group</v>
      </c>
      <c r="E935" s="19" t="str">
        <f ca="1">IFERROR(__xludf.DUMMYFUNCTION("GOOGLETRANSLATE(B935,""ar"",""en"")"),"pocket")</f>
        <v>pocket</v>
      </c>
      <c r="F935" s="19" t="str">
        <f ca="1">IFERROR(__xludf.DUMMYFUNCTION("GOOGLETRANSLATE(C935,""ar"",""en"")"),"Compass 2.4 liter 4*4")</f>
        <v>Compass 2.4 liter 4*4</v>
      </c>
      <c r="G935" t="e">
        <f ca="1">VLOOKUP(F:F,matching_transelated_with_ref!A:C,2,0)</f>
        <v>#N/A</v>
      </c>
      <c r="H935" t="str">
        <f>VLOOKUP(C:C,Sheet4!A:C,2,0)</f>
        <v>كومباس</v>
      </c>
    </row>
    <row r="936" spans="1:8" ht="14.4">
      <c r="A936" s="18" t="s">
        <v>101</v>
      </c>
      <c r="B936" s="18" t="s">
        <v>63</v>
      </c>
      <c r="C936" s="18" t="s">
        <v>438</v>
      </c>
      <c r="D936" s="19" t="str">
        <f ca="1">IFERROR(__xludf.DUMMYFUNCTION("GOOGLETRANSLATE(A936, ""ar"", ""en"")"),"Chrysler Group")</f>
        <v>Chrysler Group</v>
      </c>
      <c r="E936" s="19" t="str">
        <f ca="1">IFERROR(__xludf.DUMMYFUNCTION("GOOGLETRANSLATE(B936,""ar"",""en"")"),"Archer")</f>
        <v>Archer</v>
      </c>
      <c r="F936" s="19" t="str">
        <f ca="1">IFERROR(__xludf.DUMMYFUNCTION("GOOGLETRANSLATE(C936,""ar"",""en"")"),"1500 clouds")</f>
        <v>1500 clouds</v>
      </c>
      <c r="G936" t="e">
        <f ca="1">VLOOKUP(F:F,matching_transelated_with_ref!A:C,2,0)</f>
        <v>#N/A</v>
      </c>
      <c r="H936" t="str">
        <f>VLOOKUP(C:C,Sheet4!A:C,2,0)</f>
        <v>رام 1500 - غمارة - 4x4 - V8</v>
      </c>
    </row>
    <row r="937" spans="1:8" ht="14.4">
      <c r="A937" s="18" t="s">
        <v>104</v>
      </c>
      <c r="B937" s="18" t="s">
        <v>107</v>
      </c>
      <c r="C937" s="18" t="s">
        <v>470</v>
      </c>
      <c r="D937" s="19" t="str">
        <f ca="1">IFERROR(__xludf.DUMMYFUNCTION("GOOGLETRANSLATE(A937, ""ar"", ""en"")"),"Mercedes")</f>
        <v>Mercedes</v>
      </c>
      <c r="E937" s="19" t="str">
        <f ca="1">IFERROR(__xludf.DUMMYFUNCTION("GOOGLETRANSLATE(B937,""ar"",""en"")"),"Benz")</f>
        <v>Benz</v>
      </c>
      <c r="F937" s="19" t="str">
        <f ca="1">IFERROR(__xludf.DUMMYFUNCTION("GOOGLETRANSLATE(C937,""ar"",""en"")"),"Citaru GC2")</f>
        <v>Citaru GC2</v>
      </c>
      <c r="G937" t="e">
        <f ca="1">VLOOKUP(F:F,matching_transelated_with_ref!A:C,2,0)</f>
        <v>#N/A</v>
      </c>
      <c r="H937" t="e">
        <f>VLOOKUP(C:C,Sheet4!A:C,2,0)</f>
        <v>#N/A</v>
      </c>
    </row>
    <row r="938" spans="1:8" ht="14.4">
      <c r="A938" s="18" t="s">
        <v>104</v>
      </c>
      <c r="B938" s="18" t="s">
        <v>107</v>
      </c>
      <c r="C938" s="18" t="s">
        <v>469</v>
      </c>
      <c r="D938" s="19" t="str">
        <f ca="1">IFERROR(__xludf.DUMMYFUNCTION("GOOGLETRANSLATE(A938, ""ar"", ""en"")"),"Mercedes")</f>
        <v>Mercedes</v>
      </c>
      <c r="E938" s="19" t="str">
        <f ca="1">IFERROR(__xludf.DUMMYFUNCTION("GOOGLETRANSLATE(B938,""ar"",""en"")"),"Benz")</f>
        <v>Benz</v>
      </c>
      <c r="F938" s="19" t="str">
        <f ca="1">IFERROR(__xludf.DUMMYFUNCTION("GOOGLETRANSLATE(C938,""ar"",""en"")"),"Citaru C 2 x 4")</f>
        <v>Citaru C 2 x 4</v>
      </c>
      <c r="G938" t="e">
        <f ca="1">VLOOKUP(F:F,matching_transelated_with_ref!A:C,2,0)</f>
        <v>#N/A</v>
      </c>
      <c r="H938">
        <f>VLOOKUP(C:C,Sheet4!A:C,2,0)</f>
        <v>2</v>
      </c>
    </row>
    <row r="939" spans="1:8" ht="14.4">
      <c r="A939" s="18" t="s">
        <v>104</v>
      </c>
      <c r="B939" s="18" t="s">
        <v>114</v>
      </c>
      <c r="C939" s="18" t="s">
        <v>987</v>
      </c>
      <c r="D939" s="19" t="str">
        <f ca="1">IFERROR(__xludf.DUMMYFUNCTION("GOOGLETRANSLATE(A939, ""ar"", ""en"")"),"Mercedes")</f>
        <v>Mercedes</v>
      </c>
      <c r="E939" s="19" t="str">
        <f ca="1">IFERROR(__xludf.DUMMYFUNCTION("GOOGLETRANSLATE(B939,""ar"",""en"")"),"a truck")</f>
        <v>a truck</v>
      </c>
      <c r="F939" s="19" t="str">
        <f ca="1">IFERROR(__xludf.DUMMYFUNCTION("GOOGLETRANSLATE(C939,""ar"",""en"")"),"4440")</f>
        <v>4440</v>
      </c>
      <c r="G939" t="e">
        <f ca="1">VLOOKUP(F:F,matching_transelated_with_ref!A:C,2,0)</f>
        <v>#N/A</v>
      </c>
      <c r="H939" t="e">
        <f>VLOOKUP(C:C,Sheet4!A:C,2,0)</f>
        <v>#N/A</v>
      </c>
    </row>
    <row r="940" spans="1:8" ht="14.4">
      <c r="A940" s="18" t="s">
        <v>104</v>
      </c>
      <c r="B940" s="18" t="s">
        <v>107</v>
      </c>
      <c r="C940" s="18" t="s">
        <v>1421</v>
      </c>
      <c r="D940" s="19" t="str">
        <f ca="1">IFERROR(__xludf.DUMMYFUNCTION("GOOGLETRANSLATE(A940, ""ar"", ""en"")"),"Mercedes")</f>
        <v>Mercedes</v>
      </c>
      <c r="E940" s="19" t="str">
        <f ca="1">IFERROR(__xludf.DUMMYFUNCTION("GOOGLETRANSLATE(B940,""ar"",""en"")"),"Benz")</f>
        <v>Benz</v>
      </c>
      <c r="F940" s="19" t="str">
        <f ca="1">IFERROR(__xludf.DUMMYFUNCTION("GOOGLETRANSLATE(C940,""ar"",""en"")"),"S 680 Maybach Formate")</f>
        <v>S 680 Maybach Formate</v>
      </c>
      <c r="G940" t="e">
        <f ca="1">VLOOKUP(F:F,matching_transelated_with_ref!A:C,2,0)</f>
        <v>#N/A</v>
      </c>
      <c r="H940" t="e">
        <f>VLOOKUP(C:C,Sheet4!A:C,2,0)</f>
        <v>#N/A</v>
      </c>
    </row>
    <row r="941" spans="1:8" ht="14.4">
      <c r="A941" s="18" t="s">
        <v>104</v>
      </c>
      <c r="B941" s="18" t="s">
        <v>107</v>
      </c>
      <c r="C941" s="18" t="s">
        <v>454</v>
      </c>
      <c r="D941" s="19" t="str">
        <f ca="1">IFERROR(__xludf.DUMMYFUNCTION("GOOGLETRANSLATE(A941, ""ar"", ""en"")"),"Mercedes")</f>
        <v>Mercedes</v>
      </c>
      <c r="E941" s="19" t="str">
        <f ca="1">IFERROR(__xludf.DUMMYFUNCTION("GOOGLETRANSLATE(B941,""ar"",""en"")"),"Benz")</f>
        <v>Benz</v>
      </c>
      <c r="F941" s="19" t="str">
        <f ca="1">IFERROR(__xludf.DUMMYFUNCTION("GOOGLETRANSLATE(C941,""ar"",""en"")"),"S 650 Maybach")</f>
        <v>S 650 Maybach</v>
      </c>
      <c r="G941" t="e">
        <f ca="1">VLOOKUP(F:F,matching_transelated_with_ref!A:C,2,0)</f>
        <v>#N/A</v>
      </c>
      <c r="H941" t="e">
        <f>VLOOKUP(C:C,Sheet4!A:C,2,0)</f>
        <v>#N/A</v>
      </c>
    </row>
    <row r="942" spans="1:8" ht="14.4">
      <c r="A942" s="18" t="s">
        <v>104</v>
      </c>
      <c r="B942" s="18" t="s">
        <v>107</v>
      </c>
      <c r="C942" s="18" t="s">
        <v>1422</v>
      </c>
      <c r="D942" s="19" t="str">
        <f ca="1">IFERROR(__xludf.DUMMYFUNCTION("GOOGLETRANSLATE(A942, ""ar"", ""en"")"),"Mercedes")</f>
        <v>Mercedes</v>
      </c>
      <c r="E942" s="19" t="str">
        <f ca="1">IFERROR(__xludf.DUMMYFUNCTION("GOOGLETRANSLATE(B942,""ar"",""en"")"),"Benz")</f>
        <v>Benz</v>
      </c>
      <c r="F942" s="19" t="str">
        <f ca="1">IFERROR(__xludf.DUMMYFUNCTION("GOOGLETRANSLATE(C942,""ar"",""en"")"),"GLS 600 Formate")</f>
        <v>GLS 600 Formate</v>
      </c>
      <c r="G942" t="e">
        <f ca="1">VLOOKUP(F:F,matching_transelated_with_ref!A:C,2,0)</f>
        <v>#N/A</v>
      </c>
      <c r="H942" t="e">
        <f>VLOOKUP(C:C,Sheet4!A:C,2,0)</f>
        <v>#N/A</v>
      </c>
    </row>
    <row r="943" spans="1:8" ht="14.4">
      <c r="A943" s="18" t="s">
        <v>104</v>
      </c>
      <c r="B943" s="18" t="s">
        <v>107</v>
      </c>
      <c r="C943" s="18" t="s">
        <v>453</v>
      </c>
      <c r="D943" s="19" t="str">
        <f ca="1">IFERROR(__xludf.DUMMYFUNCTION("GOOGLETRANSLATE(A943, ""ar"", ""en"")"),"Mercedes")</f>
        <v>Mercedes</v>
      </c>
      <c r="E943" s="19" t="str">
        <f ca="1">IFERROR(__xludf.DUMMYFUNCTION("GOOGLETRANSLATE(B943,""ar"",""en"")"),"Benz")</f>
        <v>Benz</v>
      </c>
      <c r="F943" s="19" t="str">
        <f ca="1">IFERROR(__xludf.DUMMYFUNCTION("GOOGLETRANSLATE(C943,""ar"",""en"")"),"S63 AMG")</f>
        <v>S63 AMG</v>
      </c>
      <c r="G943" t="e">
        <f ca="1">VLOOKUP(F:F,matching_transelated_with_ref!A:C,2,0)</f>
        <v>#N/A</v>
      </c>
      <c r="H943" t="e">
        <f>VLOOKUP(C:C,Sheet4!A:C,2,0)</f>
        <v>#N/A</v>
      </c>
    </row>
    <row r="944" spans="1:8" ht="14.4">
      <c r="A944" s="18" t="s">
        <v>104</v>
      </c>
      <c r="B944" s="18" t="s">
        <v>107</v>
      </c>
      <c r="C944" s="18" t="s">
        <v>977</v>
      </c>
      <c r="D944" s="19" t="str">
        <f ca="1">IFERROR(__xludf.DUMMYFUNCTION("GOOGLETRANSLATE(A944, ""ar"", ""en"")"),"Mercedes")</f>
        <v>Mercedes</v>
      </c>
      <c r="E944" s="19" t="str">
        <f ca="1">IFERROR(__xludf.DUMMYFUNCTION("GOOGLETRANSLATE(B944,""ar"",""en"")"),"Benz")</f>
        <v>Benz</v>
      </c>
      <c r="F944" s="19" t="str">
        <f ca="1">IFERROR(__xludf.DUMMYFUNCTION("GOOGLETRANSLATE(C944,""ar"",""en"")"),"AM GGT 63S F")</f>
        <v>AM GGT 63S F</v>
      </c>
      <c r="G944" t="e">
        <f ca="1">VLOOKUP(F:F,matching_transelated_with_ref!A:C,2,0)</f>
        <v>#N/A</v>
      </c>
      <c r="H944" t="e">
        <f>VLOOKUP(C:C,Sheet4!A:C,2,0)</f>
        <v>#N/A</v>
      </c>
    </row>
    <row r="945" spans="1:8" ht="14.4">
      <c r="A945" s="18" t="s">
        <v>104</v>
      </c>
      <c r="B945" s="18" t="s">
        <v>107</v>
      </c>
      <c r="C945" s="18" t="s">
        <v>739</v>
      </c>
      <c r="D945" s="19" t="str">
        <f ca="1">IFERROR(__xludf.DUMMYFUNCTION("GOOGLETRANSLATE(A945, ""ar"", ""en"")"),"Mercedes")</f>
        <v>Mercedes</v>
      </c>
      <c r="E945" s="19" t="str">
        <f ca="1">IFERROR(__xludf.DUMMYFUNCTION("GOOGLETRANSLATE(B945,""ar"",""en"")"),"Benz")</f>
        <v>Benz</v>
      </c>
      <c r="F945" s="19" t="str">
        <f ca="1">IFERROR(__xludf.DUMMYFUNCTION("GOOGLETRANSLATE(C945,""ar"",""en"")"),"AMG GT 63S Fu")</f>
        <v>AMG GT 63S Fu</v>
      </c>
      <c r="G945" t="e">
        <f ca="1">VLOOKUP(F:F,matching_transelated_with_ref!A:C,2,0)</f>
        <v>#N/A</v>
      </c>
      <c r="H945" t="e">
        <f>VLOOKUP(C:C,Sheet4!A:C,2,0)</f>
        <v>#N/A</v>
      </c>
    </row>
    <row r="946" spans="1:8" ht="14.4">
      <c r="A946" s="18" t="s">
        <v>104</v>
      </c>
      <c r="B946" s="18" t="s">
        <v>107</v>
      </c>
      <c r="C946" s="18" t="s">
        <v>737</v>
      </c>
      <c r="D946" s="19" t="str">
        <f ca="1">IFERROR(__xludf.DUMMYFUNCTION("GOOGLETRANSLATE(A946, ""ar"", ""en"")"),"Mercedes")</f>
        <v>Mercedes</v>
      </c>
      <c r="E946" s="19" t="str">
        <f ca="1">IFERROR(__xludf.DUMMYFUNCTION("GOOGLETRANSLATE(B946,""ar"",""en"")"),"Benz")</f>
        <v>Benz</v>
      </c>
      <c r="F946" s="19" t="str">
        <f ca="1">IFERROR(__xludf.DUMMYFUNCTION("GOOGLETRANSLATE(C946,""ar"",""en"")"),"AG GG 63")</f>
        <v>AG GG 63</v>
      </c>
      <c r="G946" t="e">
        <f ca="1">VLOOKUP(F:F,matching_transelated_with_ref!A:C,2,0)</f>
        <v>#N/A</v>
      </c>
      <c r="H946" t="e">
        <f>VLOOKUP(C:C,Sheet4!A:C,2,0)</f>
        <v>#N/A</v>
      </c>
    </row>
    <row r="947" spans="1:8" ht="14.4">
      <c r="A947" s="18" t="s">
        <v>104</v>
      </c>
      <c r="B947" s="18" t="s">
        <v>107</v>
      </c>
      <c r="C947" s="18" t="s">
        <v>1420</v>
      </c>
      <c r="D947" s="19" t="str">
        <f ca="1">IFERROR(__xludf.DUMMYFUNCTION("GOOGLETRANSLATE(A947, ""ar"", ""en"")"),"Mercedes")</f>
        <v>Mercedes</v>
      </c>
      <c r="E947" s="19" t="str">
        <f ca="1">IFERROR(__xludf.DUMMYFUNCTION("GOOGLETRANSLATE(B947,""ar"",""en"")"),"Benz")</f>
        <v>Benz</v>
      </c>
      <c r="F947" s="19" t="str">
        <f ca="1">IFERROR(__xludf.DUMMYFUNCTION("GOOGLETRANSLATE(C947,""ar"",""en"")"),"S 580 Formate")</f>
        <v>S 580 Formate</v>
      </c>
      <c r="G947" t="str">
        <f ca="1">VLOOKUP(F:F,matching_transelated_with_ref!A:C,2,0)</f>
        <v>S</v>
      </c>
      <c r="H947" t="e">
        <f>VLOOKUP(C:C,Sheet4!A:C,2,0)</f>
        <v>#N/A</v>
      </c>
    </row>
    <row r="948" spans="1:8" ht="14.4">
      <c r="A948" s="18" t="s">
        <v>104</v>
      </c>
      <c r="B948" s="18" t="s">
        <v>107</v>
      </c>
      <c r="C948" s="18" t="s">
        <v>740</v>
      </c>
      <c r="D948" s="19" t="str">
        <f ca="1">IFERROR(__xludf.DUMMYFUNCTION("GOOGLETRANSLATE(A948, ""ar"", ""en"")"),"Mercedes")</f>
        <v>Mercedes</v>
      </c>
      <c r="E948" s="19" t="str">
        <f ca="1">IFERROR(__xludf.DUMMYFUNCTION("GOOGLETRANSLATE(B948,""ar"",""en"")"),"Benz")</f>
        <v>Benz</v>
      </c>
      <c r="F948" s="19" t="str">
        <f ca="1">IFERROR(__xludf.DUMMYFUNCTION("GOOGLETRANSLATE(C948,""ar"",""en"")"),"G63 AMG")</f>
        <v>G63 AMG</v>
      </c>
      <c r="G948" t="e">
        <f ca="1">VLOOKUP(F:F,matching_transelated_with_ref!A:C,2,0)</f>
        <v>#N/A</v>
      </c>
      <c r="H948" t="e">
        <f>VLOOKUP(C:C,Sheet4!A:C,2,0)</f>
        <v>#N/A</v>
      </c>
    </row>
    <row r="949" spans="1:8" ht="14.4">
      <c r="A949" s="18" t="s">
        <v>104</v>
      </c>
      <c r="B949" s="18" t="s">
        <v>107</v>
      </c>
      <c r="C949" s="18" t="s">
        <v>1193</v>
      </c>
      <c r="D949" s="19" t="str">
        <f ca="1">IFERROR(__xludf.DUMMYFUNCTION("GOOGLETRANSLATE(A949, ""ar"", ""en"")"),"Mercedes")</f>
        <v>Mercedes</v>
      </c>
      <c r="E949" s="19" t="str">
        <f ca="1">IFERROR(__xludf.DUMMYFUNCTION("GOOGLETRANSLATE(B949,""ar"",""en"")"),"Benz")</f>
        <v>Benz</v>
      </c>
      <c r="F949" s="19" t="str">
        <f ca="1">IFERROR(__xludf.DUMMYFUNCTION("GOOGLETRANSLATE(C949,""ar"",""en"")"),"AG GGL 63S")</f>
        <v>AG GGL 63S</v>
      </c>
      <c r="G949" t="e">
        <f ca="1">VLOOKUP(F:F,matching_transelated_with_ref!A:C,2,0)</f>
        <v>#N/A</v>
      </c>
      <c r="H949" t="e">
        <f>VLOOKUP(C:C,Sheet4!A:C,2,0)</f>
        <v>#N/A</v>
      </c>
    </row>
    <row r="950" spans="1:8" ht="14.4">
      <c r="A950" s="18" t="s">
        <v>104</v>
      </c>
      <c r="B950" s="18" t="s">
        <v>107</v>
      </c>
      <c r="C950" s="18" t="s">
        <v>1191</v>
      </c>
      <c r="D950" s="19" t="str">
        <f ca="1">IFERROR(__xludf.DUMMYFUNCTION("GOOGLETRANSLATE(A950, ""ar"", ""en"")"),"Mercedes")</f>
        <v>Mercedes</v>
      </c>
      <c r="E950" s="19" t="str">
        <f ca="1">IFERROR(__xludf.DUMMYFUNCTION("GOOGLETRANSLATE(B950,""ar"",""en"")"),"Benz")</f>
        <v>Benz</v>
      </c>
      <c r="F950" s="19" t="str">
        <f ca="1">IFERROR(__xludf.DUMMYFUNCTION("GOOGLETRANSLATE(C950,""ar"",""en"")"),"S 500 Formate")</f>
        <v>S 500 Formate</v>
      </c>
      <c r="G950" t="e">
        <f ca="1">VLOOKUP(F:F,matching_transelated_with_ref!A:C,2,0)</f>
        <v>#N/A</v>
      </c>
      <c r="H950">
        <f>VLOOKUP(C:C,Sheet4!A:C,2,0)</f>
        <v>500</v>
      </c>
    </row>
    <row r="951" spans="1:8" ht="14.4">
      <c r="A951" s="18" t="s">
        <v>104</v>
      </c>
      <c r="B951" s="18" t="s">
        <v>107</v>
      </c>
      <c r="C951" s="18" t="s">
        <v>466</v>
      </c>
      <c r="D951" s="19" t="str">
        <f ca="1">IFERROR(__xludf.DUMMYFUNCTION("GOOGLETRANSLATE(A951, ""ar"", ""en"")"),"Mercedes")</f>
        <v>Mercedes</v>
      </c>
      <c r="E951" s="19" t="str">
        <f ca="1">IFERROR(__xludf.DUMMYFUNCTION("GOOGLETRANSLATE(B951,""ar"",""en"")"),"Benz")</f>
        <v>Benz</v>
      </c>
      <c r="F951" s="19" t="str">
        <f ca="1">IFERROR(__xludf.DUMMYFUNCTION("GOOGLETRANSLATE(C951,""ar"",""en"")"),"G500 th")</f>
        <v>G500 th</v>
      </c>
      <c r="G951" t="str">
        <f ca="1">VLOOKUP(F:F,matching_transelated_with_ref!A:C,2,0)</f>
        <v xml:space="preserve"> G500</v>
      </c>
      <c r="H951" t="e">
        <f>VLOOKUP(C:C,Sheet4!A:C,2,0)</f>
        <v>#N/A</v>
      </c>
    </row>
    <row r="952" spans="1:8" ht="14.4">
      <c r="A952" s="18" t="s">
        <v>104</v>
      </c>
      <c r="B952" s="18" t="s">
        <v>107</v>
      </c>
      <c r="C952" s="18" t="s">
        <v>452</v>
      </c>
      <c r="D952" s="19" t="str">
        <f ca="1">IFERROR(__xludf.DUMMYFUNCTION("GOOGLETRANSLATE(A952, ""ar"", ""en"")"),"Mercedes")</f>
        <v>Mercedes</v>
      </c>
      <c r="E952" s="19" t="str">
        <f ca="1">IFERROR(__xludf.DUMMYFUNCTION("GOOGLETRANSLATE(B952,""ar"",""en"")"),"Benz")</f>
        <v>Benz</v>
      </c>
      <c r="F952" s="19" t="str">
        <f ca="1">IFERROR(__xludf.DUMMYFUNCTION("GOOGLETRANSLATE(C952,""ar"",""en"")"),"S 560 Formate")</f>
        <v>S 560 Formate</v>
      </c>
      <c r="G952" t="str">
        <f ca="1">VLOOKUP(F:F,matching_transelated_with_ref!A:C,2,0)</f>
        <v>S</v>
      </c>
      <c r="H952" t="e">
        <f>VLOOKUP(C:C,Sheet4!A:C,2,0)</f>
        <v>#N/A</v>
      </c>
    </row>
    <row r="953" spans="1:8" ht="14.4">
      <c r="A953" s="18" t="s">
        <v>104</v>
      </c>
      <c r="B953" s="18" t="s">
        <v>107</v>
      </c>
      <c r="C953" s="18" t="s">
        <v>457</v>
      </c>
      <c r="D953" s="19" t="str">
        <f ca="1">IFERROR(__xludf.DUMMYFUNCTION("GOOGLETRANSLATE(A953, ""ar"", ""en"")"),"Mercedes")</f>
        <v>Mercedes</v>
      </c>
      <c r="E953" s="19" t="str">
        <f ca="1">IFERROR(__xludf.DUMMYFUNCTION("GOOGLETRANSLATE(B953,""ar"",""en"")"),"Benz")</f>
        <v>Benz</v>
      </c>
      <c r="F953" s="19" t="str">
        <f ca="1">IFERROR(__xludf.DUMMYFUNCTION("GOOGLETRANSLATE(C953,""ar"",""en"")"),"AMGI 63S Form")</f>
        <v>AMGI 63S Form</v>
      </c>
      <c r="G953" t="e">
        <f ca="1">VLOOKUP(F:F,matching_transelated_with_ref!A:C,2,0)</f>
        <v>#N/A</v>
      </c>
      <c r="H953" t="e">
        <f>VLOOKUP(C:C,Sheet4!A:C,2,0)</f>
        <v>#N/A</v>
      </c>
    </row>
    <row r="954" spans="1:8" ht="14.4">
      <c r="A954" s="18" t="s">
        <v>104</v>
      </c>
      <c r="B954" s="18" t="s">
        <v>107</v>
      </c>
      <c r="C954" s="18" t="s">
        <v>738</v>
      </c>
      <c r="D954" s="19" t="str">
        <f ca="1">IFERROR(__xludf.DUMMYFUNCTION("GOOGLETRANSLATE(A954, ""ar"", ""en"")"),"Mercedes")</f>
        <v>Mercedes</v>
      </c>
      <c r="E954" s="19" t="str">
        <f ca="1">IFERROR(__xludf.DUMMYFUNCTION("GOOGLETRANSLATE(B954,""ar"",""en"")"),"Benz")</f>
        <v>Benz</v>
      </c>
      <c r="F954" s="19" t="str">
        <f ca="1">IFERROR(__xludf.DUMMYFUNCTION("GOOGLETRANSLATE(C954,""ar"",""en"")"),"AMG GT 53 Form")</f>
        <v>AMG GT 53 Form</v>
      </c>
      <c r="G954" t="e">
        <f ca="1">VLOOKUP(F:F,matching_transelated_with_ref!A:C,2,0)</f>
        <v>#N/A</v>
      </c>
      <c r="H954" t="e">
        <f>VLOOKUP(C:C,Sheet4!A:C,2,0)</f>
        <v>#N/A</v>
      </c>
    </row>
    <row r="955" spans="1:8" ht="14.4">
      <c r="A955" s="18" t="s">
        <v>104</v>
      </c>
      <c r="B955" s="18" t="s">
        <v>107</v>
      </c>
      <c r="C955" s="18" t="s">
        <v>463</v>
      </c>
      <c r="D955" s="19" t="str">
        <f ca="1">IFERROR(__xludf.DUMMYFUNCTION("GOOGLETRANSLATE(A955, ""ar"", ""en"")"),"Mercedes")</f>
        <v>Mercedes</v>
      </c>
      <c r="E955" s="19" t="str">
        <f ca="1">IFERROR(__xludf.DUMMYFUNCTION("GOOGLETRANSLATE(B955,""ar"",""en"")"),"Benz")</f>
        <v>Benz</v>
      </c>
      <c r="F955" s="19" t="str">
        <f ca="1">IFERROR(__xludf.DUMMYFUNCTION("GOOGLETRANSLATE(C955,""ar"",""en"")"),"GLA 63S AAMG")</f>
        <v>GLA 63S AAMG</v>
      </c>
      <c r="G955" t="e">
        <f ca="1">VLOOKUP(F:F,matching_transelated_with_ref!A:C,2,0)</f>
        <v>#N/A</v>
      </c>
      <c r="H955" t="e">
        <f>VLOOKUP(C:C,Sheet4!A:C,2,0)</f>
        <v>#N/A</v>
      </c>
    </row>
    <row r="956" spans="1:8" ht="14.4">
      <c r="A956" s="18" t="s">
        <v>104</v>
      </c>
      <c r="B956" s="18" t="s">
        <v>107</v>
      </c>
      <c r="C956" s="18" t="s">
        <v>1419</v>
      </c>
      <c r="D956" s="19" t="str">
        <f ca="1">IFERROR(__xludf.DUMMYFUNCTION("GOOGLETRANSLATE(A956, ""ar"", ""en"")"),"Mercedes")</f>
        <v>Mercedes</v>
      </c>
      <c r="E956" s="19" t="str">
        <f ca="1">IFERROR(__xludf.DUMMYFUNCTION("GOOGLETRANSLATE(B956,""ar"",""en"")"),"Benz")</f>
        <v>Benz</v>
      </c>
      <c r="F956" s="19" t="str">
        <f ca="1">IFERROR(__xludf.DUMMYFUNCTION("GOOGLETRANSLATE(C956,""ar"",""en"")"),"Arox 3048 A 6*6")</f>
        <v>Arox 3048 A 6*6</v>
      </c>
      <c r="G956" t="e">
        <f ca="1">VLOOKUP(F:F,matching_transelated_with_ref!A:C,2,0)</f>
        <v>#N/A</v>
      </c>
      <c r="H956">
        <f>VLOOKUP(C:C,Sheet4!A:C,2,0)</f>
        <v>6</v>
      </c>
    </row>
    <row r="957" spans="1:8" ht="14.4">
      <c r="A957" s="18" t="s">
        <v>104</v>
      </c>
      <c r="B957" s="18" t="s">
        <v>107</v>
      </c>
      <c r="C957" s="18" t="s">
        <v>1424</v>
      </c>
      <c r="D957" s="19" t="str">
        <f ca="1">IFERROR(__xludf.DUMMYFUNCTION("GOOGLETRANSLATE(A957, ""ar"", ""en"")"),"Mercedes")</f>
        <v>Mercedes</v>
      </c>
      <c r="E957" s="19" t="str">
        <f ca="1">IFERROR(__xludf.DUMMYFUNCTION("GOOGLETRANSLATE(B957,""ar"",""en"")"),"Benz")</f>
        <v>Benz</v>
      </c>
      <c r="F957" s="19" t="str">
        <f ca="1">IFERROR(__xludf.DUMMYFUNCTION("GOOGLETRANSLATE(C957,""ar"",""en"")"),"Zitros 3342 IS 6 x 6")</f>
        <v>Zitros 3342 IS 6 x 6</v>
      </c>
      <c r="G957" t="e">
        <f ca="1">VLOOKUP(F:F,matching_transelated_with_ref!A:C,2,0)</f>
        <v>#N/A</v>
      </c>
      <c r="H957" t="e">
        <f>VLOOKUP(C:C,Sheet4!A:C,2,0)</f>
        <v>#N/A</v>
      </c>
    </row>
    <row r="958" spans="1:8" ht="14.4">
      <c r="A958" s="18" t="s">
        <v>104</v>
      </c>
      <c r="B958" s="18" t="s">
        <v>107</v>
      </c>
      <c r="C958" s="18" t="s">
        <v>1190</v>
      </c>
      <c r="D958" s="19" t="str">
        <f ca="1">IFERROR(__xludf.DUMMYFUNCTION("GOOGLETRANSLATE(A958, ""ar"", ""en"")"),"Mercedes")</f>
        <v>Mercedes</v>
      </c>
      <c r="E958" s="19" t="str">
        <f ca="1">IFERROR(__xludf.DUMMYFUNCTION("GOOGLETRANSLATE(B958,""ar"",""en"")"),"Benz")</f>
        <v>Benz</v>
      </c>
      <c r="F958" s="19" t="str">
        <f ca="1">IFERROR(__xludf.DUMMYFUNCTION("GOOGLETRANSLATE(C958,""ar"",""en"")"),"S450 Formate")</f>
        <v>S450 Formate</v>
      </c>
      <c r="G958" t="str">
        <f ca="1">VLOOKUP(F:F,matching_transelated_with_ref!A:C,2,0)</f>
        <v xml:space="preserve">   S450</v>
      </c>
      <c r="H958" t="e">
        <f>VLOOKUP(C:C,Sheet4!A:C,2,0)</f>
        <v>#N/A</v>
      </c>
    </row>
    <row r="959" spans="1:8" ht="14.4">
      <c r="A959" s="18" t="s">
        <v>104</v>
      </c>
      <c r="B959" s="18" t="s">
        <v>472</v>
      </c>
      <c r="C959" s="18" t="s">
        <v>473</v>
      </c>
      <c r="D959" s="19" t="str">
        <f ca="1">IFERROR(__xludf.DUMMYFUNCTION("GOOGLETRANSLATE(A959, ""ar"", ""en"")"),"Mercedes")</f>
        <v>Mercedes</v>
      </c>
      <c r="E959" s="19" t="str">
        <f ca="1">IFERROR(__xludf.DUMMYFUNCTION("GOOGLETRANSLATE(B959,""ar"",""en"")"),"Zitros")</f>
        <v>Zitros</v>
      </c>
      <c r="F959" s="19" t="str">
        <f ca="1">IFERROR(__xludf.DUMMYFUNCTION("GOOGLETRANSLATE(C959,""ar"",""en"")"),"4800 any 2733")</f>
        <v>4800 any 2733</v>
      </c>
      <c r="G959" t="e">
        <f ca="1">VLOOKUP(F:F,matching_transelated_with_ref!A:C,2,0)</f>
        <v>#N/A</v>
      </c>
      <c r="H959" t="e">
        <f>VLOOKUP(C:C,Sheet4!A:C,2,0)</f>
        <v>#N/A</v>
      </c>
    </row>
    <row r="960" spans="1:8" ht="14.4">
      <c r="A960" s="18" t="s">
        <v>104</v>
      </c>
      <c r="B960" s="18" t="s">
        <v>107</v>
      </c>
      <c r="C960" s="18" t="s">
        <v>1192</v>
      </c>
      <c r="D960" s="19" t="str">
        <f ca="1">IFERROR(__xludf.DUMMYFUNCTION("GOOGLETRANSLATE(A960, ""ar"", ""en"")"),"Mercedes")</f>
        <v>Mercedes</v>
      </c>
      <c r="E960" s="19" t="str">
        <f ca="1">IFERROR(__xludf.DUMMYFUNCTION("GOOGLETRANSLATE(B960,""ar"",""en"")"),"Benz")</f>
        <v>Benz</v>
      </c>
      <c r="F960" s="19" t="str">
        <f ca="1">IFERROR(__xludf.DUMMYFUNCTION("GOOGLETRANSLATE(C960,""ar"",""en"")"),"AMG GT 43")</f>
        <v>AMG GT 43</v>
      </c>
      <c r="G960" t="str">
        <f ca="1">VLOOKUP(F:F,matching_transelated_with_ref!A:C,2,0)</f>
        <v xml:space="preserve"> AMG-GT43</v>
      </c>
      <c r="H960" t="e">
        <f>VLOOKUP(C:C,Sheet4!A:C,2,0)</f>
        <v>#N/A</v>
      </c>
    </row>
    <row r="961" spans="1:8" ht="14.4">
      <c r="A961" s="18" t="s">
        <v>104</v>
      </c>
      <c r="B961" s="18" t="s">
        <v>107</v>
      </c>
      <c r="C961" s="18" t="s">
        <v>978</v>
      </c>
      <c r="D961" s="19" t="str">
        <f ca="1">IFERROR(__xludf.DUMMYFUNCTION("GOOGLETRANSLATE(A961, ""ar"", ""en"")"),"Mercedes")</f>
        <v>Mercedes</v>
      </c>
      <c r="E961" s="19" t="str">
        <f ca="1">IFERROR(__xludf.DUMMYFUNCTION("GOOGLETRANSLATE(B961,""ar"",""en"")"),"Benz")</f>
        <v>Benz</v>
      </c>
      <c r="F961" s="19" t="str">
        <f ca="1">IFERROR(__xludf.DUMMYFUNCTION("GOOGLETRANSLATE(C961,""ar"",""en"")"),"AG GGL 53 Fu")</f>
        <v>AG GGL 53 Fu</v>
      </c>
      <c r="G961" t="e">
        <f ca="1">VLOOKUP(F:F,matching_transelated_with_ref!A:C,2,0)</f>
        <v>#N/A</v>
      </c>
      <c r="H961" t="e">
        <f>VLOOKUP(C:C,Sheet4!A:C,2,0)</f>
        <v>#N/A</v>
      </c>
    </row>
    <row r="962" spans="1:8" ht="14.4">
      <c r="A962" s="18" t="s">
        <v>104</v>
      </c>
      <c r="B962" s="18" t="s">
        <v>107</v>
      </c>
      <c r="C962" s="18" t="s">
        <v>451</v>
      </c>
      <c r="D962" s="19" t="str">
        <f ca="1">IFERROR(__xludf.DUMMYFUNCTION("GOOGLETRANSLATE(A962, ""ar"", ""en"")"),"Mercedes")</f>
        <v>Mercedes</v>
      </c>
      <c r="E962" s="19" t="str">
        <f ca="1">IFERROR(__xludf.DUMMYFUNCTION("GOOGLETRANSLATE(B962,""ar"",""en"")"),"Benz")</f>
        <v>Benz</v>
      </c>
      <c r="F962" s="19" t="str">
        <f ca="1">IFERROR(__xludf.DUMMYFUNCTION("GOOGLETRANSLATE(C962,""ar"",""en"")"),"S 450")</f>
        <v>S 450</v>
      </c>
      <c r="G962" t="str">
        <f ca="1">VLOOKUP(F:F,matching_transelated_with_ref!A:C,2,0)</f>
        <v xml:space="preserve">   S450</v>
      </c>
      <c r="H962" t="e">
        <f>VLOOKUP(C:C,Sheet4!A:C,2,0)</f>
        <v>#N/A</v>
      </c>
    </row>
    <row r="963" spans="1:8" ht="14.4">
      <c r="A963" s="18" t="s">
        <v>104</v>
      </c>
      <c r="B963" s="18" t="s">
        <v>107</v>
      </c>
      <c r="C963" s="18" t="s">
        <v>975</v>
      </c>
      <c r="D963" s="19" t="str">
        <f ca="1">IFERROR(__xludf.DUMMYFUNCTION("GOOGLETRANSLATE(A963, ""ar"", ""en"")"),"Mercedes")</f>
        <v>Mercedes</v>
      </c>
      <c r="E963" s="19" t="str">
        <f ca="1">IFERROR(__xludf.DUMMYFUNCTION("GOOGLETRANSLATE(B963,""ar"",""en"")"),"Benz")</f>
        <v>Benz</v>
      </c>
      <c r="F963" s="19" t="str">
        <f ca="1">IFERROR(__xludf.DUMMYFUNCTION("GOOGLETRANSLATE(C963,""ar"",""en"")"),"S 320")</f>
        <v>S 320</v>
      </c>
      <c r="G963" t="str">
        <f ca="1">VLOOKUP(F:F,matching_transelated_with_ref!A:C,2,0)</f>
        <v>S</v>
      </c>
      <c r="H963" t="e">
        <f>VLOOKUP(C:C,Sheet4!A:C,2,0)</f>
        <v>#N/A</v>
      </c>
    </row>
    <row r="964" spans="1:8" ht="14.4">
      <c r="A964" s="18" t="s">
        <v>104</v>
      </c>
      <c r="B964" s="18" t="s">
        <v>107</v>
      </c>
      <c r="C964" s="18" t="s">
        <v>980</v>
      </c>
      <c r="D964" s="19" t="str">
        <f ca="1">IFERROR(__xludf.DUMMYFUNCTION("GOOGLETRANSLATE(A964, ""ar"", ""en"")"),"Mercedes")</f>
        <v>Mercedes</v>
      </c>
      <c r="E964" s="19" t="str">
        <f ca="1">IFERROR(__xludf.DUMMYFUNCTION("GOOGLETRANSLATE(B964,""ar"",""en"")"),"Benz")</f>
        <v>Benz</v>
      </c>
      <c r="F964" s="19" t="str">
        <f ca="1">IFERROR(__xludf.DUMMYFUNCTION("GOOGLETRANSLATE(C964,""ar"",""en"")"),"GLS 450 Formate")</f>
        <v>GLS 450 Formate</v>
      </c>
      <c r="G964" t="str">
        <f ca="1">VLOOKUP(F:F,matching_transelated_with_ref!A:C,2,0)</f>
        <v xml:space="preserve"> GLS450</v>
      </c>
      <c r="H964" t="e">
        <f>VLOOKUP(C:C,Sheet4!A:C,2,0)</f>
        <v>#N/A</v>
      </c>
    </row>
    <row r="965" spans="1:8" ht="14.4">
      <c r="A965" s="18" t="s">
        <v>104</v>
      </c>
      <c r="B965" s="18" t="s">
        <v>107</v>
      </c>
      <c r="C965" s="18" t="s">
        <v>458</v>
      </c>
      <c r="D965" s="19" t="str">
        <f ca="1">IFERROR(__xludf.DUMMYFUNCTION("GOOGLETRANSLATE(A965, ""ar"", ""en"")"),"Mercedes")</f>
        <v>Mercedes</v>
      </c>
      <c r="E965" s="19" t="str">
        <f ca="1">IFERROR(__xludf.DUMMYFUNCTION("GOOGLETRANSLATE(B965,""ar"",""en"")"),"Benz")</f>
        <v>Benz</v>
      </c>
      <c r="F965" s="19" t="str">
        <f ca="1">IFERROR(__xludf.DUMMYFUNCTION("GOOGLETRANSLATE(C965,""ar"",""en"")"),"AMG C 63s")</f>
        <v>AMG C 63s</v>
      </c>
      <c r="G965" t="e">
        <f ca="1">VLOOKUP(F:F,matching_transelated_with_ref!A:C,2,0)</f>
        <v>#N/A</v>
      </c>
      <c r="H965" t="e">
        <f>VLOOKUP(C:C,Sheet4!A:C,2,0)</f>
        <v>#N/A</v>
      </c>
    </row>
    <row r="966" spans="1:8" ht="14.4">
      <c r="A966" s="18" t="s">
        <v>104</v>
      </c>
      <c r="B966" s="18" t="s">
        <v>107</v>
      </c>
      <c r="C966" s="18" t="s">
        <v>462</v>
      </c>
      <c r="D966" s="19" t="str">
        <f ca="1">IFERROR(__xludf.DUMMYFUNCTION("GOOGLETRANSLATE(A966, ""ar"", ""en"")"),"Mercedes")</f>
        <v>Mercedes</v>
      </c>
      <c r="E966" s="19" t="str">
        <f ca="1">IFERROR(__xludf.DUMMYFUNCTION("GOOGLETRANSLATE(B966,""ar"",""en"")"),"Benz")</f>
        <v>Benz</v>
      </c>
      <c r="F966" s="19" t="str">
        <f ca="1">IFERROR(__xludf.DUMMYFUNCTION("GOOGLETRANSLATE(C966,""ar"",""en"")"),"GLS 500")</f>
        <v>GLS 500</v>
      </c>
      <c r="G966">
        <f ca="1">VLOOKUP(F:F,matching_transelated_with_ref!A:C,2,0)</f>
        <v>500</v>
      </c>
      <c r="H966" t="e">
        <f>VLOOKUP(C:C,Sheet4!A:C,2,0)</f>
        <v>#N/A</v>
      </c>
    </row>
    <row r="967" spans="1:8" ht="14.4">
      <c r="A967" s="18" t="s">
        <v>104</v>
      </c>
      <c r="B967" s="18" t="s">
        <v>107</v>
      </c>
      <c r="C967" s="18" t="s">
        <v>741</v>
      </c>
      <c r="D967" s="19" t="str">
        <f ca="1">IFERROR(__xludf.DUMMYFUNCTION("GOOGLETRANSLATE(A967, ""ar"", ""en"")"),"Mercedes")</f>
        <v>Mercedes</v>
      </c>
      <c r="E967" s="19" t="str">
        <f ca="1">IFERROR(__xludf.DUMMYFUNCTION("GOOGLETRANSLATE(B967,""ar"",""en"")"),"Benz")</f>
        <v>Benz</v>
      </c>
      <c r="F967" s="19" t="str">
        <f ca="1">IFERROR(__xludf.DUMMYFUNCTION("GOOGLETRANSLATE(C967,""ar"",""en"")"),"GLS 450 Mattik 4")</f>
        <v>GLS 450 Mattik 4</v>
      </c>
      <c r="G967" t="e">
        <f ca="1">VLOOKUP(F:F,matching_transelated_with_ref!A:C,2,0)</f>
        <v>#N/A</v>
      </c>
      <c r="H967" t="e">
        <f>VLOOKUP(C:C,Sheet4!A:C,2,0)</f>
        <v>#N/A</v>
      </c>
    </row>
    <row r="968" spans="1:8" ht="14.4">
      <c r="A968" s="18" t="s">
        <v>104</v>
      </c>
      <c r="B968" s="18" t="s">
        <v>107</v>
      </c>
      <c r="C968" s="18" t="s">
        <v>743</v>
      </c>
      <c r="D968" s="19" t="str">
        <f ca="1">IFERROR(__xludf.DUMMYFUNCTION("GOOGLETRANSLATE(A968, ""ar"", ""en"")"),"Mercedes")</f>
        <v>Mercedes</v>
      </c>
      <c r="E968" s="19" t="str">
        <f ca="1">IFERROR(__xludf.DUMMYFUNCTION("GOOGLETRANSLATE(B968,""ar"",""en"")"),"Benz")</f>
        <v>Benz</v>
      </c>
      <c r="F968" s="19" t="str">
        <f ca="1">IFERROR(__xludf.DUMMYFUNCTION("GOOGLETRANSLATE(C968,""ar"",""en"")"),"GL 450 for Mattik")</f>
        <v>GL 450 for Mattik</v>
      </c>
      <c r="G968" t="e">
        <f ca="1">VLOOKUP(F:F,matching_transelated_with_ref!A:C,2,0)</f>
        <v>#N/A</v>
      </c>
      <c r="H968" t="e">
        <f>VLOOKUP(C:C,Sheet4!A:C,2,0)</f>
        <v>#N/A</v>
      </c>
    </row>
    <row r="969" spans="1:8" ht="14.4">
      <c r="A969" s="18" t="s">
        <v>104</v>
      </c>
      <c r="B969" s="18" t="s">
        <v>107</v>
      </c>
      <c r="C969" s="18" t="s">
        <v>461</v>
      </c>
      <c r="D969" s="19" t="str">
        <f ca="1">IFERROR(__xludf.DUMMYFUNCTION("GOOGLETRANSLATE(A969, ""ar"", ""en"")"),"Mercedes")</f>
        <v>Mercedes</v>
      </c>
      <c r="E969" s="19" t="str">
        <f ca="1">IFERROR(__xludf.DUMMYFUNCTION("GOOGLETRANSLATE(B969,""ar"",""en"")"),"Benz")</f>
        <v>Benz</v>
      </c>
      <c r="F969" s="19" t="str">
        <f ca="1">IFERROR(__xludf.DUMMYFUNCTION("GOOGLETRANSLATE(C969,""ar"",""en"")"),"GL 43")</f>
        <v>GL 43</v>
      </c>
      <c r="G969" t="e">
        <f ca="1">VLOOKUP(F:F,matching_transelated_with_ref!A:C,2,0)</f>
        <v>#N/A</v>
      </c>
      <c r="H969" t="e">
        <f>VLOOKUP(C:C,Sheet4!A:C,2,0)</f>
        <v>#N/A</v>
      </c>
    </row>
    <row r="970" spans="1:8" ht="14.4">
      <c r="A970" s="18" t="s">
        <v>104</v>
      </c>
      <c r="B970" s="18" t="s">
        <v>107</v>
      </c>
      <c r="C970" s="18" t="s">
        <v>748</v>
      </c>
      <c r="D970" s="19" t="str">
        <f ca="1">IFERROR(__xludf.DUMMYFUNCTION("GOOGLETRANSLATE(A970, ""ar"", ""en"")"),"Mercedes")</f>
        <v>Mercedes</v>
      </c>
      <c r="E970" s="19" t="str">
        <f ca="1">IFERROR(__xludf.DUMMYFUNCTION("GOOGLETRANSLATE(B970,""ar"",""en"")"),"Benz")</f>
        <v>Benz</v>
      </c>
      <c r="F970" s="19" t="str">
        <f ca="1">IFERROR(__xludf.DUMMYFUNCTION("GOOGLETRANSLATE(C970,""ar"",""en"")"),"CLS 450 Formate")</f>
        <v>CLS 450 Formate</v>
      </c>
      <c r="G970" t="str">
        <f ca="1">VLOOKUP(F:F,matching_transelated_with_ref!A:C,2,0)</f>
        <v xml:space="preserve"> CLS450</v>
      </c>
      <c r="H970" t="e">
        <f>VLOOKUP(C:C,Sheet4!A:C,2,0)</f>
        <v>#N/A</v>
      </c>
    </row>
    <row r="971" spans="1:8" ht="14.4">
      <c r="A971" s="18" t="s">
        <v>104</v>
      </c>
      <c r="B971" s="18" t="s">
        <v>114</v>
      </c>
      <c r="C971" s="18" t="s">
        <v>988</v>
      </c>
      <c r="D971" s="19" t="str">
        <f ca="1">IFERROR(__xludf.DUMMYFUNCTION("GOOGLETRANSLATE(A971, ""ar"", ""en"")"),"Mercedes")</f>
        <v>Mercedes</v>
      </c>
      <c r="E971" s="19" t="str">
        <f ca="1">IFERROR(__xludf.DUMMYFUNCTION("GOOGLETRANSLATE(B971,""ar"",""en"")"),"a truck")</f>
        <v>a truck</v>
      </c>
      <c r="F971" s="19" t="str">
        <f ca="1">IFERROR(__xludf.DUMMYFUNCTION("GOOGLETRANSLATE(C971,""ar"",""en"")"),"Arox 3342 AS 6 x 6")</f>
        <v>Arox 3342 AS 6 x 6</v>
      </c>
      <c r="G971" t="e">
        <f ca="1">VLOOKUP(F:F,matching_transelated_with_ref!A:C,2,0)</f>
        <v>#N/A</v>
      </c>
      <c r="H971" t="e">
        <f>VLOOKUP(C:C,Sheet4!A:C,2,0)</f>
        <v>#N/A</v>
      </c>
    </row>
    <row r="972" spans="1:8" ht="14.4">
      <c r="A972" s="18" t="s">
        <v>104</v>
      </c>
      <c r="B972" s="18" t="s">
        <v>107</v>
      </c>
      <c r="C972" s="18" t="s">
        <v>742</v>
      </c>
      <c r="D972" s="19" t="str">
        <f ca="1">IFERROR(__xludf.DUMMYFUNCTION("GOOGLETRANSLATE(A972, ""ar"", ""en"")"),"Mercedes")</f>
        <v>Mercedes</v>
      </c>
      <c r="E972" s="19" t="str">
        <f ca="1">IFERROR(__xludf.DUMMYFUNCTION("GOOGLETRANSLATE(B972,""ar"",""en"")"),"Benz")</f>
        <v>Benz</v>
      </c>
      <c r="F972" s="19" t="str">
        <f ca="1">IFERROR(__xludf.DUMMYFUNCTION("GOOGLETRANSLATE(C972,""ar"",""en"")"),"GLS 400 Formate")</f>
        <v>GLS 400 Formate</v>
      </c>
      <c r="G972" t="e">
        <f ca="1">VLOOKUP(F:F,matching_transelated_with_ref!A:C,2,0)</f>
        <v>#N/A</v>
      </c>
      <c r="H972" t="e">
        <f>VLOOKUP(C:C,Sheet4!A:C,2,0)</f>
        <v>#N/A</v>
      </c>
    </row>
    <row r="973" spans="1:8" ht="14.4">
      <c r="A973" s="18" t="s">
        <v>104</v>
      </c>
      <c r="B973" s="18" t="s">
        <v>107</v>
      </c>
      <c r="C973" s="18" t="s">
        <v>455</v>
      </c>
      <c r="D973" s="19" t="str">
        <f ca="1">IFERROR(__xludf.DUMMYFUNCTION("GOOGLETRANSLATE(A973, ""ar"", ""en"")"),"Mercedes")</f>
        <v>Mercedes</v>
      </c>
      <c r="E973" s="19" t="str">
        <f ca="1">IFERROR(__xludf.DUMMYFUNCTION("GOOGLETRANSLATE(B973,""ar"",""en"")"),"Benz")</f>
        <v>Benz</v>
      </c>
      <c r="F973" s="19" t="str">
        <f ca="1">IFERROR(__xludf.DUMMYFUNCTION("GOOGLETRANSLATE(C973,""ar"",""en"")"),"I 300")</f>
        <v>I 300</v>
      </c>
      <c r="G973" t="e">
        <f ca="1">VLOOKUP(F:F,matching_transelated_with_ref!A:C,2,0)</f>
        <v>#N/A</v>
      </c>
      <c r="H973" t="e">
        <f>VLOOKUP(C:C,Sheet4!A:C,2,0)</f>
        <v>#N/A</v>
      </c>
    </row>
    <row r="974" spans="1:8" ht="14.4">
      <c r="A974" s="18" t="s">
        <v>104</v>
      </c>
      <c r="B974" s="18" t="s">
        <v>107</v>
      </c>
      <c r="C974" s="18" t="s">
        <v>747</v>
      </c>
      <c r="D974" s="19" t="str">
        <f ca="1">IFERROR(__xludf.DUMMYFUNCTION("GOOGLETRANSLATE(A974, ""ar"", ""en"")"),"Mercedes")</f>
        <v>Mercedes</v>
      </c>
      <c r="E974" s="19" t="str">
        <f ca="1">IFERROR(__xludf.DUMMYFUNCTION("GOOGLETRANSLATE(B974,""ar"",""en"")"),"Benz")</f>
        <v>Benz</v>
      </c>
      <c r="F974" s="19" t="str">
        <f ca="1">IFERROR(__xludf.DUMMYFUNCTION("GOOGLETRANSLATE(C974,""ar"",""en"")"),"CLS 350")</f>
        <v>CLS 350</v>
      </c>
      <c r="G974" t="str">
        <f ca="1">VLOOKUP(F:F,matching_transelated_with_ref!A:C,2,0)</f>
        <v>CLS350</v>
      </c>
      <c r="H974" t="e">
        <f>VLOOKUP(C:C,Sheet4!A:C,2,0)</f>
        <v>#N/A</v>
      </c>
    </row>
    <row r="975" spans="1:8" ht="14.4">
      <c r="A975" s="18" t="s">
        <v>104</v>
      </c>
      <c r="B975" s="18" t="s">
        <v>107</v>
      </c>
      <c r="C975" s="18" t="s">
        <v>733</v>
      </c>
      <c r="D975" s="19" t="str">
        <f ca="1">IFERROR(__xludf.DUMMYFUNCTION("GOOGLETRANSLATE(A975, ""ar"", ""en"")"),"Mercedes")</f>
        <v>Mercedes</v>
      </c>
      <c r="E975" s="19" t="str">
        <f ca="1">IFERROR(__xludf.DUMMYFUNCTION("GOOGLETRANSLATE(B975,""ar"",""en"")"),"Benz")</f>
        <v>Benz</v>
      </c>
      <c r="F975" s="19" t="str">
        <f ca="1">IFERROR(__xludf.DUMMYFUNCTION("GOOGLETRANSLATE(C975,""ar"",""en"")"),"E 450 formatic")</f>
        <v>E 450 formatic</v>
      </c>
      <c r="G975" t="e">
        <f ca="1">VLOOKUP(F:F,matching_transelated_with_ref!A:C,2,0)</f>
        <v>#N/A</v>
      </c>
      <c r="H975" t="e">
        <f>VLOOKUP(C:C,Sheet4!A:C,2,0)</f>
        <v>#N/A</v>
      </c>
    </row>
    <row r="976" spans="1:8" ht="14.4">
      <c r="A976" s="18" t="s">
        <v>104</v>
      </c>
      <c r="B976" s="18" t="s">
        <v>107</v>
      </c>
      <c r="C976" s="18" t="s">
        <v>460</v>
      </c>
      <c r="D976" s="19" t="str">
        <f ca="1">IFERROR(__xludf.DUMMYFUNCTION("GOOGLETRANSLATE(A976, ""ar"", ""en"")"),"Mercedes")</f>
        <v>Mercedes</v>
      </c>
      <c r="E976" s="19" t="str">
        <f ca="1">IFERROR(__xludf.DUMMYFUNCTION("GOOGLETRANSLATE(B976,""ar"",""en"")"),"Benz")</f>
        <v>Benz</v>
      </c>
      <c r="F976" s="19" t="str">
        <f ca="1">IFERROR(__xludf.DUMMYFUNCTION("GOOGLETRANSLATE(C976,""ar"",""en"")"),"GL 400 Formate")</f>
        <v>GL 400 Formate</v>
      </c>
      <c r="G976" t="e">
        <f ca="1">VLOOKUP(F:F,matching_transelated_with_ref!A:C,2,0)</f>
        <v>#N/A</v>
      </c>
      <c r="H976" t="e">
        <f>VLOOKUP(C:C,Sheet4!A:C,2,0)</f>
        <v>#N/A</v>
      </c>
    </row>
    <row r="977" spans="1:8" ht="14.4">
      <c r="A977" s="18" t="s">
        <v>104</v>
      </c>
      <c r="B977" s="18" t="s">
        <v>107</v>
      </c>
      <c r="C977" s="18" t="s">
        <v>108</v>
      </c>
      <c r="D977" s="19" t="str">
        <f ca="1">IFERROR(__xludf.DUMMYFUNCTION("GOOGLETRANSLATE(A977, ""ar"", ""en"")"),"Mercedes")</f>
        <v>Mercedes</v>
      </c>
      <c r="E977" s="19" t="str">
        <f ca="1">IFERROR(__xludf.DUMMYFUNCTION("GOOGLETRANSLATE(B977,""ar"",""en"")"),"Benz")</f>
        <v>Benz</v>
      </c>
      <c r="F977" s="19" t="str">
        <f ca="1">IFERROR(__xludf.DUMMYFUNCTION("GOOGLETRANSLATE(C977,""ar"",""en"")"),"I 200")</f>
        <v>I 200</v>
      </c>
      <c r="G977" t="e">
        <f ca="1">VLOOKUP(F:F,matching_transelated_with_ref!A:C,2,0)</f>
        <v>#N/A</v>
      </c>
      <c r="H977" t="e">
        <f>VLOOKUP(C:C,Sheet4!A:C,2,0)</f>
        <v>#N/A</v>
      </c>
    </row>
    <row r="978" spans="1:8" ht="14.4">
      <c r="A978" s="18" t="s">
        <v>104</v>
      </c>
      <c r="B978" s="18" t="s">
        <v>107</v>
      </c>
      <c r="C978" s="18" t="s">
        <v>734</v>
      </c>
      <c r="D978" s="19" t="str">
        <f ca="1">IFERROR(__xludf.DUMMYFUNCTION("GOOGLETRANSLATE(A978, ""ar"", ""en"")"),"Mercedes")</f>
        <v>Mercedes</v>
      </c>
      <c r="E978" s="19" t="str">
        <f ca="1">IFERROR(__xludf.DUMMYFUNCTION("GOOGLETRANSLATE(B978,""ar"",""en"")"),"Benz")</f>
        <v>Benz</v>
      </c>
      <c r="F978" s="19" t="str">
        <f ca="1">IFERROR(__xludf.DUMMYFUNCTION("GOOGLETRANSLATE(C978,""ar"",""en"")"),"I 350")</f>
        <v>I 350</v>
      </c>
      <c r="G978" t="e">
        <f ca="1">VLOOKUP(F:F,matching_transelated_with_ref!A:C,2,0)</f>
        <v>#N/A</v>
      </c>
      <c r="H978" t="e">
        <f>VLOOKUP(C:C,Sheet4!A:C,2,0)</f>
        <v>#N/A</v>
      </c>
    </row>
    <row r="979" spans="1:8" ht="14.4">
      <c r="A979" s="18" t="s">
        <v>104</v>
      </c>
      <c r="B979" s="18" t="s">
        <v>107</v>
      </c>
      <c r="C979" s="18" t="s">
        <v>465</v>
      </c>
      <c r="D979" s="19" t="str">
        <f ca="1">IFERROR(__xludf.DUMMYFUNCTION("GOOGLETRANSLATE(A979, ""ar"", ""en"")"),"Mercedes")</f>
        <v>Mercedes</v>
      </c>
      <c r="E979" s="19" t="str">
        <f ca="1">IFERROR(__xludf.DUMMYFUNCTION("GOOGLETRANSLATE(B979,""ar"",""en"")"),"Benz")</f>
        <v>Benz</v>
      </c>
      <c r="F979" s="19" t="str">
        <f ca="1">IFERROR(__xludf.DUMMYFUNCTION("GOOGLETRANSLATE(C979,""ar"",""en"")"),"GLC 300 Formate")</f>
        <v>GLC 300 Formate</v>
      </c>
      <c r="G979" t="str">
        <f ca="1">VLOOKUP(F:F,matching_transelated_with_ref!A:C,2,0)</f>
        <v xml:space="preserve"> GLC300</v>
      </c>
      <c r="H979" t="e">
        <f>VLOOKUP(C:C,Sheet4!A:C,2,0)</f>
        <v>#N/A</v>
      </c>
    </row>
    <row r="980" spans="1:8" ht="14.4">
      <c r="A980" s="18" t="s">
        <v>104</v>
      </c>
      <c r="B980" s="18" t="s">
        <v>107</v>
      </c>
      <c r="C980" s="18" t="s">
        <v>1423</v>
      </c>
      <c r="D980" s="19" t="str">
        <f ca="1">IFERROR(__xludf.DUMMYFUNCTION("GOOGLETRANSLATE(A980, ""ar"", ""en"")"),"Mercedes")</f>
        <v>Mercedes</v>
      </c>
      <c r="E980" s="19" t="str">
        <f ca="1">IFERROR(__xludf.DUMMYFUNCTION("GOOGLETRANSLATE(B980,""ar"",""en"")"),"Benz")</f>
        <v>Benz</v>
      </c>
      <c r="F980" s="19" t="str">
        <f ca="1">IFERROR(__xludf.DUMMYFUNCTION("GOOGLETRANSLATE(C980,""ar"",""en"")"),"GLC 200 Formate")</f>
        <v>GLC 200 Formate</v>
      </c>
      <c r="G980" t="str">
        <f ca="1">VLOOKUP(F:F,matching_transelated_with_ref!A:C,2,0)</f>
        <v xml:space="preserve"> GLC200</v>
      </c>
      <c r="H980" t="e">
        <f>VLOOKUP(C:C,Sheet4!A:C,2,0)</f>
        <v>#N/A</v>
      </c>
    </row>
    <row r="981" spans="1:8" ht="14.4">
      <c r="A981" s="18" t="s">
        <v>104</v>
      </c>
      <c r="B981" s="18" t="s">
        <v>107</v>
      </c>
      <c r="C981" s="18" t="s">
        <v>745</v>
      </c>
      <c r="D981" s="19" t="str">
        <f ca="1">IFERROR(__xludf.DUMMYFUNCTION("GOOGLETRANSLATE(A981, ""ar"", ""en"")"),"Mercedes")</f>
        <v>Mercedes</v>
      </c>
      <c r="E981" s="19" t="str">
        <f ca="1">IFERROR(__xludf.DUMMYFUNCTION("GOOGLETRANSLATE(B981,""ar"",""en"")"),"Benz")</f>
        <v>Benz</v>
      </c>
      <c r="F981" s="19" t="str">
        <f ca="1">IFERROR(__xludf.DUMMYFUNCTION("GOOGLETRANSLATE(C981,""ar"",""en"")"),"GLC 300 Formate")</f>
        <v>GLC 300 Formate</v>
      </c>
      <c r="G981" t="str">
        <f ca="1">VLOOKUP(F:F,matching_transelated_with_ref!A:C,2,0)</f>
        <v xml:space="preserve"> GLC300</v>
      </c>
      <c r="H981" t="e">
        <f>VLOOKUP(C:C,Sheet4!A:C,2,0)</f>
        <v>#N/A</v>
      </c>
    </row>
    <row r="982" spans="1:8" ht="14.4">
      <c r="A982" s="18" t="s">
        <v>104</v>
      </c>
      <c r="B982" s="18" t="s">
        <v>107</v>
      </c>
      <c r="C982" s="18" t="s">
        <v>746</v>
      </c>
      <c r="D982" s="19" t="str">
        <f ca="1">IFERROR(__xludf.DUMMYFUNCTION("GOOGLETRANSLATE(A982, ""ar"", ""en"")"),"Mercedes")</f>
        <v>Mercedes</v>
      </c>
      <c r="E982" s="19" t="str">
        <f ca="1">IFERROR(__xludf.DUMMYFUNCTION("GOOGLETRANSLATE(B982,""ar"",""en"")"),"Benz")</f>
        <v>Benz</v>
      </c>
      <c r="F982" s="19" t="str">
        <f ca="1">IFERROR(__xludf.DUMMYFUNCTION("GOOGLETRANSLATE(C982,""ar"",""en"")"),"C 300")</f>
        <v>C 300</v>
      </c>
      <c r="G982" t="str">
        <f ca="1">VLOOKUP(F:F,matching_transelated_with_ref!A:C,2,0)</f>
        <v>C300</v>
      </c>
      <c r="H982" t="e">
        <f>VLOOKUP(C:C,Sheet4!A:C,2,0)</f>
        <v>#N/A</v>
      </c>
    </row>
    <row r="983" spans="1:8" ht="14.4">
      <c r="A983" s="18" t="s">
        <v>104</v>
      </c>
      <c r="B983" s="18" t="s">
        <v>107</v>
      </c>
      <c r="C983" s="18" t="s">
        <v>471</v>
      </c>
      <c r="D983" s="19" t="str">
        <f ca="1">IFERROR(__xludf.DUMMYFUNCTION("GOOGLETRANSLATE(A983, ""ar"", ""en"")"),"Mercedes")</f>
        <v>Mercedes</v>
      </c>
      <c r="E983" s="19" t="str">
        <f ca="1">IFERROR(__xludf.DUMMYFUNCTION("GOOGLETRANSLATE(B983,""ar"",""en"")"),"Benz")</f>
        <v>Benz</v>
      </c>
      <c r="F983" s="19" t="str">
        <f ca="1">IFERROR(__xludf.DUMMYFUNCTION("GOOGLETRANSLATE(C983,""ar"",""en"")"),"In 250")</f>
        <v>In 250</v>
      </c>
      <c r="G983" t="e">
        <f ca="1">VLOOKUP(F:F,matching_transelated_with_ref!A:C,2,0)</f>
        <v>#N/A</v>
      </c>
      <c r="H983" t="e">
        <f>VLOOKUP(C:C,Sheet4!A:C,2,0)</f>
        <v>#N/A</v>
      </c>
    </row>
    <row r="984" spans="1:8" ht="14.4">
      <c r="A984" s="18" t="s">
        <v>104</v>
      </c>
      <c r="B984" s="18" t="s">
        <v>107</v>
      </c>
      <c r="C984" s="18" t="s">
        <v>467</v>
      </c>
      <c r="D984" s="19" t="str">
        <f ca="1">IFERROR(__xludf.DUMMYFUNCTION("GOOGLETRANSLATE(A984, ""ar"", ""en"")"),"Mercedes")</f>
        <v>Mercedes</v>
      </c>
      <c r="E984" s="19" t="str">
        <f ca="1">IFERROR(__xludf.DUMMYFUNCTION("GOOGLETRANSLATE(B984,""ar"",""en"")"),"Benz")</f>
        <v>Benz</v>
      </c>
      <c r="F984" s="19" t="str">
        <f ca="1">IFERROR(__xludf.DUMMYFUNCTION("GOOGLETRANSLATE(C984,""ar"",""en"")"),"C 200")</f>
        <v>C 200</v>
      </c>
      <c r="G984" t="str">
        <f ca="1">VLOOKUP(F:F,matching_transelated_with_ref!A:C,2,0)</f>
        <v xml:space="preserve">   C200</v>
      </c>
      <c r="H984" t="e">
        <f>VLOOKUP(C:C,Sheet4!A:C,2,0)</f>
        <v>#N/A</v>
      </c>
    </row>
    <row r="985" spans="1:8" ht="14.4">
      <c r="A985" s="18" t="s">
        <v>104</v>
      </c>
      <c r="B985" s="18" t="s">
        <v>107</v>
      </c>
      <c r="C985" s="18" t="s">
        <v>981</v>
      </c>
      <c r="D985" s="19" t="str">
        <f ca="1">IFERROR(__xludf.DUMMYFUNCTION("GOOGLETRANSLATE(A985, ""ar"", ""en"")"),"Mercedes")</f>
        <v>Mercedes</v>
      </c>
      <c r="E985" s="19" t="str">
        <f ca="1">IFERROR(__xludf.DUMMYFUNCTION("GOOGLETRANSLATE(B985,""ar"",""en"")"),"Benz")</f>
        <v>Benz</v>
      </c>
      <c r="F985" s="19" t="str">
        <f ca="1">IFERROR(__xludf.DUMMYFUNCTION("GOOGLETRANSLATE(C985,""ar"",""en"")"),"GLC 200 Formate Duff")</f>
        <v>GLC 200 Formate Duff</v>
      </c>
      <c r="G985" t="e">
        <f ca="1">VLOOKUP(F:F,matching_transelated_with_ref!A:C,2,0)</f>
        <v>#N/A</v>
      </c>
      <c r="H985" t="e">
        <f>VLOOKUP(C:C,Sheet4!A:C,2,0)</f>
        <v>#N/A</v>
      </c>
    </row>
    <row r="986" spans="1:8" ht="14.4">
      <c r="A986" s="18" t="s">
        <v>104</v>
      </c>
      <c r="B986" s="18" t="s">
        <v>107</v>
      </c>
      <c r="C986" s="18" t="s">
        <v>979</v>
      </c>
      <c r="D986" s="19" t="str">
        <f ca="1">IFERROR(__xludf.DUMMYFUNCTION("GOOGLETRANSLATE(A986, ""ar"", ""en"")"),"Mercedes")</f>
        <v>Mercedes</v>
      </c>
      <c r="E986" s="19" t="str">
        <f ca="1">IFERROR(__xludf.DUMMYFUNCTION("GOOGLETRANSLATE(B986,""ar"",""en"")"),"Benz")</f>
        <v>Benz</v>
      </c>
      <c r="F986" s="19" t="str">
        <f ca="1">IFERROR(__xludf.DUMMYFUNCTION("GOOGLETRANSLATE(C986,""ar"",""en"")"),"AMGC LA 35 FF")</f>
        <v>AMGC LA 35 FF</v>
      </c>
      <c r="G986" t="e">
        <f ca="1">VLOOKUP(F:F,matching_transelated_with_ref!A:C,2,0)</f>
        <v>#N/A</v>
      </c>
      <c r="H986" t="e">
        <f>VLOOKUP(C:C,Sheet4!A:C,2,0)</f>
        <v>#N/A</v>
      </c>
    </row>
    <row r="987" spans="1:8" ht="14.4">
      <c r="A987" s="18" t="s">
        <v>104</v>
      </c>
      <c r="B987" s="18" t="s">
        <v>107</v>
      </c>
      <c r="C987" s="18" t="s">
        <v>456</v>
      </c>
      <c r="D987" s="19" t="str">
        <f ca="1">IFERROR(__xludf.DUMMYFUNCTION("GOOGLETRANSLATE(A987, ""ar"", ""en"")"),"Mercedes")</f>
        <v>Mercedes</v>
      </c>
      <c r="E987" s="19" t="str">
        <f ca="1">IFERROR(__xludf.DUMMYFUNCTION("GOOGLETRANSLATE(B987,""ar"",""en"")"),"Benz")</f>
        <v>Benz</v>
      </c>
      <c r="F987" s="19" t="str">
        <f ca="1">IFERROR(__xludf.DUMMYFUNCTION("GOOGLETRANSLATE(C987,""ar"",""en"")"),"I 400 formatic")</f>
        <v>I 400 formatic</v>
      </c>
      <c r="G987" t="e">
        <f ca="1">VLOOKUP(F:F,matching_transelated_with_ref!A:C,2,0)</f>
        <v>#N/A</v>
      </c>
      <c r="H987" t="e">
        <f>VLOOKUP(C:C,Sheet4!A:C,2,0)</f>
        <v>#N/A</v>
      </c>
    </row>
    <row r="988" spans="1:8" ht="14.4">
      <c r="A988" s="18" t="s">
        <v>104</v>
      </c>
      <c r="B988" s="18" t="s">
        <v>107</v>
      </c>
      <c r="C988" s="18" t="s">
        <v>1425</v>
      </c>
      <c r="D988" s="19" t="str">
        <f ca="1">IFERROR(__xludf.DUMMYFUNCTION("GOOGLETRANSLATE(A988, ""ar"", ""en"")"),"Mercedes")</f>
        <v>Mercedes</v>
      </c>
      <c r="E988" s="19" t="str">
        <f ca="1">IFERROR(__xludf.DUMMYFUNCTION("GOOGLETRANSLATE(B988,""ar"",""en"")"),"Benz")</f>
        <v>Benz</v>
      </c>
      <c r="F988" s="19" t="str">
        <f ca="1">IFERROR(__xludf.DUMMYFUNCTION("GOOGLETRANSLATE(C988,""ar"",""en"")"),"C 200")</f>
        <v>C 200</v>
      </c>
      <c r="G988" t="str">
        <f ca="1">VLOOKUP(F:F,matching_transelated_with_ref!A:C,2,0)</f>
        <v xml:space="preserve">   C200</v>
      </c>
      <c r="H988" t="e">
        <f>VLOOKUP(C:C,Sheet4!A:C,2,0)</f>
        <v>#N/A</v>
      </c>
    </row>
    <row r="989" spans="1:8" ht="14.4">
      <c r="A989" s="18" t="s">
        <v>104</v>
      </c>
      <c r="B989" s="18" t="s">
        <v>107</v>
      </c>
      <c r="C989" s="18" t="s">
        <v>464</v>
      </c>
      <c r="D989" s="19" t="str">
        <f ca="1">IFERROR(__xludf.DUMMYFUNCTION("GOOGLETRANSLATE(A989, ""ar"", ""en"")"),"Mercedes")</f>
        <v>Mercedes</v>
      </c>
      <c r="E989" s="19" t="str">
        <f ca="1">IFERROR(__xludf.DUMMYFUNCTION("GOOGLETRANSLATE(B989,""ar"",""en"")"),"Benz")</f>
        <v>Benz</v>
      </c>
      <c r="F989" s="19" t="str">
        <f ca="1">IFERROR(__xludf.DUMMYFUNCTION("GOOGLETRANSLATE(C989,""ar"",""en"")"),"GLC 250 Formate")</f>
        <v>GLC 250 Formate</v>
      </c>
      <c r="G989" t="str">
        <f ca="1">VLOOKUP(F:F,matching_transelated_with_ref!A:C,2,0)</f>
        <v xml:space="preserve"> GLC250</v>
      </c>
      <c r="H989" t="e">
        <f>VLOOKUP(C:C,Sheet4!A:C,2,0)</f>
        <v>#N/A</v>
      </c>
    </row>
    <row r="990" spans="1:8" ht="14.4">
      <c r="A990" s="18" t="s">
        <v>104</v>
      </c>
      <c r="B990" s="18" t="s">
        <v>107</v>
      </c>
      <c r="C990" s="18" t="s">
        <v>976</v>
      </c>
      <c r="D990" s="19" t="str">
        <f ca="1">IFERROR(__xludf.DUMMYFUNCTION("GOOGLETRANSLATE(A990, ""ar"", ""en"")"),"Mercedes")</f>
        <v>Mercedes</v>
      </c>
      <c r="E990" s="19" t="str">
        <f ca="1">IFERROR(__xludf.DUMMYFUNCTION("GOOGLETRANSLATE(B990,""ar"",""en"")"),"Benz")</f>
        <v>Benz</v>
      </c>
      <c r="F990" s="19" t="str">
        <f ca="1">IFERROR(__xludf.DUMMYFUNCTION("GOOGLETRANSLATE(C990,""ar"",""en"")"),"AMGA 35 Format")</f>
        <v>AMGA 35 Format</v>
      </c>
      <c r="G990" t="e">
        <f ca="1">VLOOKUP(F:F,matching_transelated_with_ref!A:C,2,0)</f>
        <v>#N/A</v>
      </c>
      <c r="H990" t="e">
        <f>VLOOKUP(C:C,Sheet4!A:C,2,0)</f>
        <v>#N/A</v>
      </c>
    </row>
    <row r="991" spans="1:8" ht="14.4">
      <c r="A991" s="18" t="s">
        <v>104</v>
      </c>
      <c r="B991" s="18" t="s">
        <v>107</v>
      </c>
      <c r="C991" s="18" t="s">
        <v>1196</v>
      </c>
      <c r="D991" s="19" t="str">
        <f ca="1">IFERROR(__xludf.DUMMYFUNCTION("GOOGLETRANSLATE(A991, ""ar"", ""en"")"),"Mercedes")</f>
        <v>Mercedes</v>
      </c>
      <c r="E991" s="19" t="str">
        <f ca="1">IFERROR(__xludf.DUMMYFUNCTION("GOOGLETRANSLATE(B991,""ar"",""en"")"),"Benz")</f>
        <v>Benz</v>
      </c>
      <c r="F991" s="19" t="str">
        <f ca="1">IFERROR(__xludf.DUMMYFUNCTION("GOOGLETRANSLATE(C991,""ar"",""en"")"),"GLC 200")</f>
        <v>GLC 200</v>
      </c>
      <c r="G991" t="str">
        <f ca="1">VLOOKUP(F:F,matching_transelated_with_ref!A:C,2,0)</f>
        <v xml:space="preserve"> GLC200</v>
      </c>
      <c r="H991" t="e">
        <f>VLOOKUP(C:C,Sheet4!A:C,2,0)</f>
        <v>#N/A</v>
      </c>
    </row>
    <row r="992" spans="1:8" ht="14.4">
      <c r="A992" s="18" t="s">
        <v>104</v>
      </c>
      <c r="B992" s="18" t="s">
        <v>107</v>
      </c>
      <c r="C992" s="18" t="s">
        <v>985</v>
      </c>
      <c r="D992" s="19" t="str">
        <f ca="1">IFERROR(__xludf.DUMMYFUNCTION("GOOGLETRANSLATE(A992, ""ar"", ""en"")"),"Mercedes")</f>
        <v>Mercedes</v>
      </c>
      <c r="E992" s="19" t="str">
        <f ca="1">IFERROR(__xludf.DUMMYFUNCTION("GOOGLETRANSLATE(B992,""ar"",""en"")"),"Benz")</f>
        <v>Benz</v>
      </c>
      <c r="F992" s="19" t="str">
        <f ca="1">IFERROR(__xludf.DUMMYFUNCTION("GOOGLETRANSLATE(C992,""ar"",""en"")"),"CLA 250")</f>
        <v>CLA 250</v>
      </c>
      <c r="G992" t="str">
        <f ca="1">VLOOKUP(F:F,matching_transelated_with_ref!A:C,2,0)</f>
        <v>CLA250</v>
      </c>
      <c r="H992" t="str">
        <f>VLOOKUP(C:C,Sheet4!A:C,2,0)</f>
        <v>اير</v>
      </c>
    </row>
    <row r="993" spans="1:8" ht="14.4">
      <c r="A993" s="18" t="s">
        <v>104</v>
      </c>
      <c r="B993" s="18" t="s">
        <v>107</v>
      </c>
      <c r="C993" s="18" t="s">
        <v>1194</v>
      </c>
      <c r="D993" s="19" t="str">
        <f ca="1">IFERROR(__xludf.DUMMYFUNCTION("GOOGLETRANSLATE(A993, ""ar"", ""en"")"),"Mercedes")</f>
        <v>Mercedes</v>
      </c>
      <c r="E993" s="19" t="str">
        <f ca="1">IFERROR(__xludf.DUMMYFUNCTION("GOOGLETRANSLATE(B993,""ar"",""en"")"),"Benz")</f>
        <v>Benz</v>
      </c>
      <c r="F993" s="19" t="str">
        <f ca="1">IFERROR(__xludf.DUMMYFUNCTION("GOOGLETRANSLATE(C993,""ar"",""en"")"),"GLA 200")</f>
        <v>GLA 200</v>
      </c>
      <c r="G993" t="str">
        <f ca="1">VLOOKUP(F:F,matching_transelated_with_ref!A:C,2,0)</f>
        <v>GLA200</v>
      </c>
      <c r="H993" t="e">
        <f>VLOOKUP(C:C,Sheet4!A:C,2,0)</f>
        <v>#N/A</v>
      </c>
    </row>
    <row r="994" spans="1:8" ht="14.4">
      <c r="A994" s="18" t="s">
        <v>104</v>
      </c>
      <c r="B994" s="18" t="s">
        <v>107</v>
      </c>
      <c r="C994" s="18" t="s">
        <v>982</v>
      </c>
      <c r="D994" s="19" t="str">
        <f ca="1">IFERROR(__xludf.DUMMYFUNCTION("GOOGLETRANSLATE(A994, ""ar"", ""en"")"),"Mercedes")</f>
        <v>Mercedes</v>
      </c>
      <c r="E994" s="19" t="str">
        <f ca="1">IFERROR(__xludf.DUMMYFUNCTION("GOOGLETRANSLATE(B994,""ar"",""en"")"),"Benz")</f>
        <v>Benz</v>
      </c>
      <c r="F994" s="19" t="str">
        <f ca="1">IFERROR(__xludf.DUMMYFUNCTION("GOOGLETRANSLATE(C994,""ar"",""en"")"),"Sprinter 516")</f>
        <v>Sprinter 516</v>
      </c>
      <c r="G994" t="e">
        <f ca="1">VLOOKUP(F:F,matching_transelated_with_ref!A:C,2,0)</f>
        <v>#N/A</v>
      </c>
      <c r="H994" t="str">
        <f>VLOOKUP(C:C,Sheet4!A:C,2,0)</f>
        <v xml:space="preserve">سورنتو </v>
      </c>
    </row>
    <row r="995" spans="1:8" ht="14.4">
      <c r="A995" s="18" t="s">
        <v>104</v>
      </c>
      <c r="B995" s="18" t="s">
        <v>107</v>
      </c>
      <c r="C995" s="18" t="s">
        <v>448</v>
      </c>
      <c r="D995" s="19" t="str">
        <f ca="1">IFERROR(__xludf.DUMMYFUNCTION("GOOGLETRANSLATE(A995, ""ar"", ""en"")"),"Mercedes")</f>
        <v>Mercedes</v>
      </c>
      <c r="E995" s="19" t="str">
        <f ca="1">IFERROR(__xludf.DUMMYFUNCTION("GOOGLETRANSLATE(B995,""ar"",""en"")"),"Benz")</f>
        <v>Benz</v>
      </c>
      <c r="F995" s="19" t="str">
        <f ca="1">IFERROR(__xludf.DUMMYFUNCTION("GOOGLETRANSLATE(C995,""ar"",""en"")"),"200 c")</f>
        <v>200 c</v>
      </c>
      <c r="G995" t="e">
        <f ca="1">VLOOKUP(F:F,matching_transelated_with_ref!A:C,2,0)</f>
        <v>#N/A</v>
      </c>
      <c r="H995" t="e">
        <f>VLOOKUP(C:C,Sheet4!A:C,2,0)</f>
        <v>#N/A</v>
      </c>
    </row>
    <row r="996" spans="1:8" ht="14.4">
      <c r="A996" s="18" t="s">
        <v>104</v>
      </c>
      <c r="B996" s="18" t="s">
        <v>107</v>
      </c>
      <c r="C996" s="18" t="s">
        <v>984</v>
      </c>
      <c r="D996" s="19" t="str">
        <f ca="1">IFERROR(__xludf.DUMMYFUNCTION("GOOGLETRANSLATE(A996, ""ar"", ""en"")"),"Mercedes")</f>
        <v>Mercedes</v>
      </c>
      <c r="E996" s="19" t="str">
        <f ca="1">IFERROR(__xludf.DUMMYFUNCTION("GOOGLETRANSLATE(B996,""ar"",""en"")"),"Benz")</f>
        <v>Benz</v>
      </c>
      <c r="F996" s="19" t="str">
        <f ca="1">IFERROR(__xludf.DUMMYFUNCTION("GOOGLETRANSLATE(C996,""ar"",""en"")"),"CLA 200")</f>
        <v>CLA 200</v>
      </c>
      <c r="G996" t="str">
        <f ca="1">VLOOKUP(F:F,matching_transelated_with_ref!A:C,2,0)</f>
        <v xml:space="preserve"> CLA200</v>
      </c>
      <c r="H996" t="str">
        <f>VLOOKUP(C:C,Sheet4!A:C,2,0)</f>
        <v>اير</v>
      </c>
    </row>
    <row r="997" spans="1:8" ht="14.4">
      <c r="A997" s="18" t="s">
        <v>104</v>
      </c>
      <c r="B997" s="18" t="s">
        <v>107</v>
      </c>
      <c r="C997" s="18" t="s">
        <v>447</v>
      </c>
      <c r="D997" s="19" t="str">
        <f ca="1">IFERROR(__xludf.DUMMYFUNCTION("GOOGLETRANSLATE(A997, ""ar"", ""en"")"),"Mercedes")</f>
        <v>Mercedes</v>
      </c>
      <c r="E997" s="19" t="str">
        <f ca="1">IFERROR(__xludf.DUMMYFUNCTION("GOOGLETRANSLATE(B997,""ar"",""en"")"),"Benz")</f>
        <v>Benz</v>
      </c>
      <c r="F997" s="19" t="str">
        <f ca="1">IFERROR(__xludf.DUMMYFUNCTION("GOOGLETRANSLATE(C997,""ar"",""en"")"),"180 c")</f>
        <v>180 c</v>
      </c>
      <c r="G997" t="e">
        <f ca="1">VLOOKUP(F:F,matching_transelated_with_ref!A:C,2,0)</f>
        <v>#N/A</v>
      </c>
      <c r="H997" t="e">
        <f>VLOOKUP(C:C,Sheet4!A:C,2,0)</f>
        <v>#N/A</v>
      </c>
    </row>
    <row r="998" spans="1:8" ht="14.4">
      <c r="A998" s="18" t="s">
        <v>104</v>
      </c>
      <c r="B998" s="18" t="s">
        <v>107</v>
      </c>
      <c r="C998" s="18" t="s">
        <v>750</v>
      </c>
      <c r="D998" s="19" t="str">
        <f ca="1">IFERROR(__xludf.DUMMYFUNCTION("GOOGLETRANSLATE(A998, ""ar"", ""en"")"),"Mercedes")</f>
        <v>Mercedes</v>
      </c>
      <c r="E998" s="19" t="str">
        <f ca="1">IFERROR(__xludf.DUMMYFUNCTION("GOOGLETRANSLATE(B998,""ar"",""en"")"),"Benz")</f>
        <v>Benz</v>
      </c>
      <c r="F998" s="19" t="str">
        <f ca="1">IFERROR(__xludf.DUMMYFUNCTION("GOOGLETRANSLATE(C998,""ar"",""en"")"),"In Class in 250 5 doors")</f>
        <v>In Class in 250 5 doors</v>
      </c>
      <c r="G998" t="e">
        <f ca="1">VLOOKUP(F:F,matching_transelated_with_ref!A:C,2,0)</f>
        <v>#N/A</v>
      </c>
      <c r="H998" t="e">
        <f>VLOOKUP(C:C,Sheet4!A:C,2,0)</f>
        <v>#N/A</v>
      </c>
    </row>
    <row r="999" spans="1:8" ht="14.4">
      <c r="A999" s="18" t="s">
        <v>104</v>
      </c>
      <c r="B999" s="18" t="s">
        <v>107</v>
      </c>
      <c r="C999" s="18" t="s">
        <v>1202</v>
      </c>
      <c r="D999" s="19" t="str">
        <f ca="1">IFERROR(__xludf.DUMMYFUNCTION("GOOGLETRANSLATE(A999, ""ar"", ""en"")"),"Mercedes")</f>
        <v>Mercedes</v>
      </c>
      <c r="E999" s="19" t="str">
        <f ca="1">IFERROR(__xludf.DUMMYFUNCTION("GOOGLETRANSLATE(B999,""ar"",""en"")"),"Benz")</f>
        <v>Benz</v>
      </c>
      <c r="F999" s="19" t="str">
        <f ca="1">IFERROR(__xludf.DUMMYFUNCTION("GOOGLETRANSLATE(C999,""ar"",""en"")"),"Veto Tuir 121")</f>
        <v>Veto Tuir 121</v>
      </c>
      <c r="G999" t="e">
        <f ca="1">VLOOKUP(F:F,matching_transelated_with_ref!A:C,2,0)</f>
        <v>#N/A</v>
      </c>
      <c r="H999" t="str">
        <f>VLOOKUP(C:C,Sheet4!A:C,2,0)</f>
        <v xml:space="preserve"> فيجو</v>
      </c>
    </row>
    <row r="1000" spans="1:8" ht="14.4">
      <c r="A1000" s="18" t="s">
        <v>104</v>
      </c>
      <c r="B1000" s="18" t="s">
        <v>107</v>
      </c>
      <c r="C1000" s="18" t="s">
        <v>1426</v>
      </c>
      <c r="D1000" s="19" t="str">
        <f ca="1">IFERROR(__xludf.DUMMYFUNCTION("GOOGLETRANSLATE(A1000, ""ar"", ""en"")"),"Mercedes")</f>
        <v>Mercedes</v>
      </c>
      <c r="E1000" s="19" t="str">
        <f ca="1">IFERROR(__xludf.DUMMYFUNCTION("GOOGLETRANSLATE(B1000,""ar"",""en"")"),"Benz")</f>
        <v>Benz</v>
      </c>
      <c r="F1000" s="19" t="str">
        <f ca="1">IFERROR(__xludf.DUMMYFUNCTION("GOOGLETRANSLATE(C1000,""ar"",""en"")"),"Veto Torer 121")</f>
        <v>Veto Torer 121</v>
      </c>
      <c r="G1000" t="e">
        <f ca="1">VLOOKUP(F:F,matching_transelated_with_ref!A:C,2,0)</f>
        <v>#N/A</v>
      </c>
      <c r="H1000" t="str">
        <f>VLOOKUP(C:C,Sheet4!A:C,2,0)</f>
        <v xml:space="preserve"> فيجو</v>
      </c>
    </row>
    <row r="1001" spans="1:8" ht="14.4">
      <c r="A1001" s="18" t="s">
        <v>104</v>
      </c>
      <c r="B1001" s="18" t="s">
        <v>107</v>
      </c>
      <c r="C1001" s="18" t="s">
        <v>459</v>
      </c>
      <c r="D1001" s="19" t="str">
        <f ca="1">IFERROR(__xludf.DUMMYFUNCTION("GOOGLETRANSLATE(A1001, ""ar"", ""en"")"),"Mercedes")</f>
        <v>Mercedes</v>
      </c>
      <c r="E1001" s="19" t="str">
        <f ca="1">IFERROR(__xludf.DUMMYFUNCTION("GOOGLETRANSLATE(B1001,""ar"",""en"")"),"Benz")</f>
        <v>Benz</v>
      </c>
      <c r="F1001" s="19" t="str">
        <f ca="1">IFERROR(__xludf.DUMMYFUNCTION("GOOGLETRANSLATE(C1001,""ar"",""en"")"),"GLA 250 for Mattik")</f>
        <v>GLA 250 for Mattik</v>
      </c>
      <c r="G1001" t="e">
        <f ca="1">VLOOKUP(F:F,matching_transelated_with_ref!A:C,2,0)</f>
        <v>#N/A</v>
      </c>
      <c r="H1001" t="e">
        <f>VLOOKUP(C:C,Sheet4!A:C,2,0)</f>
        <v>#N/A</v>
      </c>
    </row>
    <row r="1002" spans="1:8" ht="14.4">
      <c r="A1002" s="18" t="s">
        <v>104</v>
      </c>
      <c r="B1002" s="18" t="s">
        <v>107</v>
      </c>
      <c r="C1002" s="18" t="s">
        <v>468</v>
      </c>
      <c r="D1002" s="19" t="str">
        <f ca="1">IFERROR(__xludf.DUMMYFUNCTION("GOOGLETRANSLATE(A1002, ""ar"", ""en"")"),"Mercedes")</f>
        <v>Mercedes</v>
      </c>
      <c r="E1002" s="19" t="str">
        <f ca="1">IFERROR(__xludf.DUMMYFUNCTION("GOOGLETRANSLATE(B1002,""ar"",""en"")"),"Benz")</f>
        <v>Benz</v>
      </c>
      <c r="F1002" s="19" t="str">
        <f ca="1">IFERROR(__xludf.DUMMYFUNCTION("GOOGLETRANSLATE(C1002,""ar"",""en"")"),"CLA 250 Formate")</f>
        <v>CLA 250 Formate</v>
      </c>
      <c r="G1002" t="str">
        <f ca="1">VLOOKUP(F:F,matching_transelated_with_ref!A:C,2,0)</f>
        <v>CLA250</v>
      </c>
      <c r="H1002" t="e">
        <f>VLOOKUP(C:C,Sheet4!A:C,2,0)</f>
        <v>#N/A</v>
      </c>
    </row>
    <row r="1003" spans="1:8" ht="14.4">
      <c r="A1003" s="18" t="s">
        <v>104</v>
      </c>
      <c r="B1003" s="18" t="s">
        <v>107</v>
      </c>
      <c r="C1003" s="18" t="s">
        <v>1197</v>
      </c>
      <c r="D1003" s="19" t="str">
        <f ca="1">IFERROR(__xludf.DUMMYFUNCTION("GOOGLETRANSLATE(A1003, ""ar"", ""en"")"),"Mercedes")</f>
        <v>Mercedes</v>
      </c>
      <c r="E1003" s="19" t="str">
        <f ca="1">IFERROR(__xludf.DUMMYFUNCTION("GOOGLETRANSLATE(B1003,""ar"",""en"")"),"Benz")</f>
        <v>Benz</v>
      </c>
      <c r="F1003" s="19" t="str">
        <f ca="1">IFERROR(__xludf.DUMMYFUNCTION("GOOGLETRANSLATE(C1003,""ar"",""en"")"),"Passim")</f>
        <v>Passim</v>
      </c>
      <c r="G1003" t="e">
        <f ca="1">VLOOKUP(F:F,matching_transelated_with_ref!A:C,2,0)</f>
        <v>#N/A</v>
      </c>
      <c r="H1003" t="e">
        <f>VLOOKUP(C:C,Sheet4!A:C,2,0)</f>
        <v>#N/A</v>
      </c>
    </row>
    <row r="1004" spans="1:8" ht="14.4">
      <c r="A1004" s="18" t="s">
        <v>104</v>
      </c>
      <c r="B1004" s="18" t="s">
        <v>107</v>
      </c>
      <c r="C1004" s="18" t="s">
        <v>744</v>
      </c>
      <c r="D1004" s="19" t="str">
        <f ca="1">IFERROR(__xludf.DUMMYFUNCTION("GOOGLETRANSLATE(A1004, ""ar"", ""en"")"),"Mercedes")</f>
        <v>Mercedes</v>
      </c>
      <c r="E1004" s="19" t="str">
        <f ca="1">IFERROR(__xludf.DUMMYFUNCTION("GOOGLETRANSLATE(B1004,""ar"",""en"")"),"Benz")</f>
        <v>Benz</v>
      </c>
      <c r="F1004" s="19" t="str">
        <f ca="1">IFERROR(__xludf.DUMMYFUNCTION("GOOGLETRANSLATE(C1004,""ar"",""en"")"),"GLA 220 Formate 4")</f>
        <v>GLA 220 Formate 4</v>
      </c>
      <c r="G1004" t="e">
        <f ca="1">VLOOKUP(F:F,matching_transelated_with_ref!A:C,2,0)</f>
        <v>#N/A</v>
      </c>
      <c r="H1004" t="e">
        <f>VLOOKUP(C:C,Sheet4!A:C,2,0)</f>
        <v>#N/A</v>
      </c>
    </row>
    <row r="1005" spans="1:8" ht="14.4">
      <c r="A1005" s="18" t="s">
        <v>104</v>
      </c>
      <c r="B1005" s="18" t="s">
        <v>107</v>
      </c>
      <c r="C1005" s="18" t="s">
        <v>1195</v>
      </c>
      <c r="D1005" s="19" t="str">
        <f ca="1">IFERROR(__xludf.DUMMYFUNCTION("GOOGLETRANSLATE(A1005, ""ar"", ""en"")"),"Mercedes")</f>
        <v>Mercedes</v>
      </c>
      <c r="E1005" s="19" t="str">
        <f ca="1">IFERROR(__xludf.DUMMYFUNCTION("GOOGLETRANSLATE(B1005,""ar"",""en"")"),"Benz")</f>
        <v>Benz</v>
      </c>
      <c r="F1005" s="19" t="str">
        <f ca="1">IFERROR(__xludf.DUMMYFUNCTION("GOOGLETRANSLATE(C1005,""ar"",""en"")"),"GLB 200")</f>
        <v>GLB 200</v>
      </c>
      <c r="G1005" t="str">
        <f ca="1">VLOOKUP(F:F,matching_transelated_with_ref!A:C,2,0)</f>
        <v xml:space="preserve"> GLB200</v>
      </c>
      <c r="H1005" t="e">
        <f>VLOOKUP(C:C,Sheet4!A:C,2,0)</f>
        <v>#N/A</v>
      </c>
    </row>
    <row r="1006" spans="1:8" ht="14.4">
      <c r="A1006" s="18" t="s">
        <v>104</v>
      </c>
      <c r="B1006" s="18" t="s">
        <v>107</v>
      </c>
      <c r="C1006" s="18" t="s">
        <v>1200</v>
      </c>
      <c r="D1006" s="19" t="str">
        <f ca="1">IFERROR(__xludf.DUMMYFUNCTION("GOOGLETRANSLATE(A1006, ""ar"", ""en"")"),"Mercedes")</f>
        <v>Mercedes</v>
      </c>
      <c r="E1006" s="19" t="str">
        <f ca="1">IFERROR(__xludf.DUMMYFUNCTION("GOOGLETRANSLATE(B1006,""ar"",""en"")"),"Benz")</f>
        <v>Benz</v>
      </c>
      <c r="F1006" s="19" t="str">
        <f ca="1">IFERROR(__xludf.DUMMYFUNCTION("GOOGLETRANSLATE(C1006,""ar"",""en"")"),"Sprinter 416")</f>
        <v>Sprinter 416</v>
      </c>
      <c r="G1006" t="e">
        <f ca="1">VLOOKUP(F:F,matching_transelated_with_ref!A:C,2,0)</f>
        <v>#N/A</v>
      </c>
      <c r="H1006" t="e">
        <f>VLOOKUP(C:C,Sheet4!A:C,2,0)</f>
        <v>#N/A</v>
      </c>
    </row>
    <row r="1007" spans="1:8" ht="14.4">
      <c r="A1007" s="18" t="s">
        <v>104</v>
      </c>
      <c r="B1007" s="18" t="s">
        <v>107</v>
      </c>
      <c r="C1007" s="18" t="s">
        <v>735</v>
      </c>
      <c r="D1007" s="19" t="str">
        <f ca="1">IFERROR(__xludf.DUMMYFUNCTION("GOOGLETRANSLATE(A1007, ""ar"", ""en"")"),"Mercedes")</f>
        <v>Mercedes</v>
      </c>
      <c r="E1007" s="19" t="str">
        <f ca="1">IFERROR(__xludf.DUMMYFUNCTION("GOOGLETRANSLATE(B1007,""ar"",""en"")"),"Benz")</f>
        <v>Benz</v>
      </c>
      <c r="F1007" s="19" t="str">
        <f ca="1">IFERROR(__xludf.DUMMYFUNCTION("GOOGLETRANSLATE(C1007,""ar"",""en"")"),"A 250")</f>
        <v>A 250</v>
      </c>
      <c r="G1007" t="str">
        <f ca="1">VLOOKUP(F:F,matching_transelated_with_ref!A:C,2,0)</f>
        <v>A250</v>
      </c>
      <c r="H1007" t="str">
        <f>VLOOKUP(C:C,Sheet4!A:C,2,0)</f>
        <v>اير</v>
      </c>
    </row>
    <row r="1008" spans="1:8" ht="14.4">
      <c r="A1008" s="18" t="s">
        <v>104</v>
      </c>
      <c r="B1008" s="18" t="s">
        <v>107</v>
      </c>
      <c r="C1008" s="18" t="s">
        <v>736</v>
      </c>
      <c r="D1008" s="19" t="str">
        <f ca="1">IFERROR(__xludf.DUMMYFUNCTION("GOOGLETRANSLATE(A1008, ""ar"", ""en"")"),"Mercedes")</f>
        <v>Mercedes</v>
      </c>
      <c r="E1008" s="19" t="str">
        <f ca="1">IFERROR(__xludf.DUMMYFUNCTION("GOOGLETRANSLATE(B1008,""ar"",""en"")"),"Benz")</f>
        <v>Benz</v>
      </c>
      <c r="F1008" s="19" t="str">
        <f ca="1">IFERROR(__xludf.DUMMYFUNCTION("GOOGLETRANSLATE(C1008,""ar"",""en"")"),"A 200")</f>
        <v>A 200</v>
      </c>
      <c r="G1008" t="str">
        <f ca="1">VLOOKUP(F:F,matching_transelated_with_ref!A:C,2,0)</f>
        <v xml:space="preserve"> A200</v>
      </c>
      <c r="H1008" t="str">
        <f>VLOOKUP(C:C,Sheet4!A:C,2,0)</f>
        <v>اير</v>
      </c>
    </row>
    <row r="1009" spans="1:8" ht="14.4">
      <c r="A1009" s="18" t="s">
        <v>104</v>
      </c>
      <c r="B1009" s="18" t="s">
        <v>107</v>
      </c>
      <c r="C1009" s="18" t="s">
        <v>986</v>
      </c>
      <c r="D1009" s="19" t="str">
        <f ca="1">IFERROR(__xludf.DUMMYFUNCTION("GOOGLETRANSLATE(A1009, ""ar"", ""en"")"),"Mercedes")</f>
        <v>Mercedes</v>
      </c>
      <c r="E1009" s="19" t="str">
        <f ca="1">IFERROR(__xludf.DUMMYFUNCTION("GOOGLETRANSLATE(B1009,""ar"",""en"")"),"Benz")</f>
        <v>Benz</v>
      </c>
      <c r="F1009" s="19" t="str">
        <f ca="1">IFERROR(__xludf.DUMMYFUNCTION("GOOGLETRANSLATE(C1009,""ar"",""en"")"),"Veto Touir 121")</f>
        <v>Veto Touir 121</v>
      </c>
      <c r="G1009" t="e">
        <f ca="1">VLOOKUP(F:F,matching_transelated_with_ref!A:C,2,0)</f>
        <v>#N/A</v>
      </c>
      <c r="H1009" t="str">
        <f>VLOOKUP(C:C,Sheet4!A:C,2,0)</f>
        <v xml:space="preserve"> فيجو</v>
      </c>
    </row>
    <row r="1010" spans="1:8" ht="14.4">
      <c r="A1010" s="18" t="s">
        <v>104</v>
      </c>
      <c r="B1010" s="18" t="s">
        <v>107</v>
      </c>
      <c r="C1010" s="18" t="s">
        <v>1199</v>
      </c>
      <c r="D1010" s="19" t="str">
        <f ca="1">IFERROR(__xludf.DUMMYFUNCTION("GOOGLETRANSLATE(A1010, ""ar"", ""en"")"),"Mercedes")</f>
        <v>Mercedes</v>
      </c>
      <c r="E1010" s="19" t="str">
        <f ca="1">IFERROR(__xludf.DUMMYFUNCTION("GOOGLETRANSLATE(B1010,""ar"",""en"")"),"Benz")</f>
        <v>Benz</v>
      </c>
      <c r="F1010" s="19" t="str">
        <f ca="1">IFERROR(__xludf.DUMMYFUNCTION("GOOGLETRANSLATE(C1010,""ar"",""en"")"),"Sprinter 316")</f>
        <v>Sprinter 316</v>
      </c>
      <c r="G1010" t="e">
        <f ca="1">VLOOKUP(F:F,matching_transelated_with_ref!A:C,2,0)</f>
        <v>#N/A</v>
      </c>
      <c r="H1010" t="e">
        <f>VLOOKUP(C:C,Sheet4!A:C,2,0)</f>
        <v>#N/A</v>
      </c>
    </row>
    <row r="1011" spans="1:8" ht="14.4">
      <c r="A1011" s="18" t="s">
        <v>104</v>
      </c>
      <c r="B1011" s="18" t="s">
        <v>107</v>
      </c>
      <c r="C1011" s="18" t="s">
        <v>974</v>
      </c>
      <c r="D1011" s="19" t="str">
        <f ca="1">IFERROR(__xludf.DUMMYFUNCTION("GOOGLETRANSLATE(A1011, ""ar"", ""en"")"),"Mercedes")</f>
        <v>Mercedes</v>
      </c>
      <c r="E1011" s="19" t="str">
        <f ca="1">IFERROR(__xludf.DUMMYFUNCTION("GOOGLETRANSLATE(B1011,""ar"",""en"")"),"Benz")</f>
        <v>Benz</v>
      </c>
      <c r="F1011" s="19" t="str">
        <f ca="1">IFERROR(__xludf.DUMMYFUNCTION("GOOGLETRANSLATE(C1011,""ar"",""en"")"),"200")</f>
        <v>200</v>
      </c>
      <c r="G1011" t="e">
        <f ca="1">VLOOKUP(F:F,matching_transelated_with_ref!A:C,2,0)</f>
        <v>#N/A</v>
      </c>
      <c r="H1011" t="e">
        <f>VLOOKUP(C:C,Sheet4!A:C,2,0)</f>
        <v>#N/A</v>
      </c>
    </row>
    <row r="1012" spans="1:8" ht="14.4">
      <c r="A1012" s="18" t="s">
        <v>104</v>
      </c>
      <c r="B1012" s="18" t="s">
        <v>107</v>
      </c>
      <c r="C1012" s="18" t="s">
        <v>1198</v>
      </c>
      <c r="D1012" s="19" t="str">
        <f ca="1">IFERROR(__xludf.DUMMYFUNCTION("GOOGLETRANSLATE(A1012, ""ar"", ""en"")"),"Mercedes")</f>
        <v>Mercedes</v>
      </c>
      <c r="E1012" s="19" t="str">
        <f ca="1">IFERROR(__xludf.DUMMYFUNCTION("GOOGLETRANSLATE(B1012,""ar"",""en"")"),"Benz")</f>
        <v>Benz</v>
      </c>
      <c r="F1012" s="19" t="str">
        <f ca="1">IFERROR(__xludf.DUMMYFUNCTION("GOOGLETRANSLATE(C1012,""ar"",""en"")"),"Sprinter")</f>
        <v>Sprinter</v>
      </c>
      <c r="G1012" t="e">
        <f ca="1">VLOOKUP(F:F,matching_transelated_with_ref!A:C,2,0)</f>
        <v>#N/A</v>
      </c>
      <c r="H1012" t="str">
        <f>VLOOKUP(C:C,Sheet4!A:C,2,0)</f>
        <v xml:space="preserve">سورنتو </v>
      </c>
    </row>
    <row r="1013" spans="1:8" ht="14.4">
      <c r="A1013" s="18" t="s">
        <v>104</v>
      </c>
      <c r="B1013" s="18" t="s">
        <v>107</v>
      </c>
      <c r="C1013" s="18" t="s">
        <v>983</v>
      </c>
      <c r="D1013" s="19" t="str">
        <f ca="1">IFERROR(__xludf.DUMMYFUNCTION("GOOGLETRANSLATE(A1013, ""ar"", ""en"")"),"Mercedes")</f>
        <v>Mercedes</v>
      </c>
      <c r="E1013" s="19" t="str">
        <f ca="1">IFERROR(__xludf.DUMMYFUNCTION("GOOGLETRANSLATE(B1013,""ar"",""en"")"),"Benz")</f>
        <v>Benz</v>
      </c>
      <c r="F1013" s="19" t="str">
        <f ca="1">IFERROR(__xludf.DUMMYFUNCTION("GOOGLETRANSLATE(C1013,""ar"",""en"")"),"Sprinter 311 CI2 x 4")</f>
        <v>Sprinter 311 CI2 x 4</v>
      </c>
      <c r="G1013" t="e">
        <f ca="1">VLOOKUP(F:F,matching_transelated_with_ref!A:C,2,0)</f>
        <v>#N/A</v>
      </c>
      <c r="H1013" t="e">
        <f>VLOOKUP(C:C,Sheet4!A:C,2,0)</f>
        <v>#N/A</v>
      </c>
    </row>
    <row r="1014" spans="1:8" ht="14.4">
      <c r="A1014" s="18" t="s">
        <v>104</v>
      </c>
      <c r="B1014" s="18" t="s">
        <v>107</v>
      </c>
      <c r="C1014" s="18" t="s">
        <v>1201</v>
      </c>
      <c r="D1014" s="19" t="str">
        <f ca="1">IFERROR(__xludf.DUMMYFUNCTION("GOOGLETRANSLATE(A1014, ""ar"", ""en"")"),"Mercedes")</f>
        <v>Mercedes</v>
      </c>
      <c r="E1014" s="19" t="str">
        <f ca="1">IFERROR(__xludf.DUMMYFUNCTION("GOOGLETRANSLATE(B1014,""ar"",""en"")"),"Benz")</f>
        <v>Benz</v>
      </c>
      <c r="F1014" s="19" t="str">
        <f ca="1">IFERROR(__xludf.DUMMYFUNCTION("GOOGLETRANSLATE(C1014,""ar"",""en"")"),"Veto 116")</f>
        <v>Veto 116</v>
      </c>
      <c r="G1014" t="e">
        <f ca="1">VLOOKUP(F:F,matching_transelated_with_ref!A:C,2,0)</f>
        <v>#N/A</v>
      </c>
      <c r="H1014" t="str">
        <f>VLOOKUP(C:C,Sheet4!A:C,2,0)</f>
        <v xml:space="preserve"> فيجو</v>
      </c>
    </row>
    <row r="1015" spans="1:8" ht="14.4">
      <c r="A1015" s="18" t="s">
        <v>104</v>
      </c>
      <c r="B1015" s="18" t="s">
        <v>107</v>
      </c>
      <c r="C1015" s="18" t="s">
        <v>749</v>
      </c>
      <c r="D1015" s="19" t="str">
        <f ca="1">IFERROR(__xludf.DUMMYFUNCTION("GOOGLETRANSLATE(A1015, ""ar"", ""en"")"),"Mercedes")</f>
        <v>Mercedes</v>
      </c>
      <c r="E1015" s="19" t="str">
        <f ca="1">IFERROR(__xludf.DUMMYFUNCTION("GOOGLETRANSLATE(B1015,""ar"",""en"")"),"Benz")</f>
        <v>Benz</v>
      </c>
      <c r="F1015" s="19" t="str">
        <f ca="1">IFERROR(__xludf.DUMMYFUNCTION("GOOGLETRANSLATE(C1015,""ar"",""en"")"),"C does 200")</f>
        <v>C does 200</v>
      </c>
      <c r="G1015" t="e">
        <f ca="1">VLOOKUP(F:F,matching_transelated_with_ref!A:C,2,0)</f>
        <v>#N/A</v>
      </c>
      <c r="H1015" t="str">
        <f>VLOOKUP(C:C,Sheet4!A:C,2,0)</f>
        <v>اير</v>
      </c>
    </row>
    <row r="1016" spans="1:8" ht="14.4">
      <c r="A1016" s="18" t="s">
        <v>104</v>
      </c>
      <c r="B1016" s="18" t="s">
        <v>99</v>
      </c>
      <c r="C1016" s="18" t="s">
        <v>110</v>
      </c>
      <c r="D1016" s="19" t="str">
        <f ca="1">IFERROR(__xludf.DUMMYFUNCTION("GOOGLETRANSLATE(A1016, ""ar"", ""en"")"),"Mercedes")</f>
        <v>Mercedes</v>
      </c>
      <c r="E1016" s="19" t="str">
        <f ca="1">IFERROR(__xludf.DUMMYFUNCTION("GOOGLETRANSLATE(B1016,""ar"",""en"")"),"Trille Ras")</f>
        <v>Trille Ras</v>
      </c>
      <c r="F1016" s="19" t="str">
        <f ca="1">IFERROR(__xludf.DUMMYFUNCTION("GOOGLETRANSLATE(C1016,""ar"",""en"")"),"1845")</f>
        <v>1845</v>
      </c>
      <c r="G1016" t="e">
        <f ca="1">VLOOKUP(F:F,matching_transelated_with_ref!A:C,2,0)</f>
        <v>#N/A</v>
      </c>
      <c r="H1016" t="e">
        <f>VLOOKUP(C:C,Sheet4!A:C,2,0)</f>
        <v>#N/A</v>
      </c>
    </row>
    <row r="1017" spans="1:8" ht="14.4">
      <c r="A1017" s="18" t="s">
        <v>104</v>
      </c>
      <c r="B1017" s="18" t="s">
        <v>105</v>
      </c>
      <c r="C1017" s="18" t="s">
        <v>106</v>
      </c>
      <c r="D1017" s="19" t="str">
        <f ca="1">IFERROR(__xludf.DUMMYFUNCTION("GOOGLETRANSLATE(A1017, ""ar"", ""en"")"),"Mercedes")</f>
        <v>Mercedes</v>
      </c>
      <c r="E1017" s="19" t="str">
        <f ca="1">IFERROR(__xludf.DUMMYFUNCTION("GOOGLETRANSLATE(B1017,""ar"",""en"")"),"Electros")</f>
        <v>Electros</v>
      </c>
      <c r="F1017" s="19" t="str">
        <f ca="1">IFERROR(__xludf.DUMMYFUNCTION("GOOGLETRANSLATE(C1017,""ar"",""en"")"),"1842 LS")</f>
        <v>1842 LS</v>
      </c>
      <c r="G1017" t="e">
        <f ca="1">VLOOKUP(F:F,matching_transelated_with_ref!A:C,2,0)</f>
        <v>#N/A</v>
      </c>
      <c r="H1017" t="e">
        <f>VLOOKUP(C:C,Sheet4!A:C,2,0)</f>
        <v>#N/A</v>
      </c>
    </row>
    <row r="1018" spans="1:8" ht="14.4">
      <c r="A1018" s="18" t="s">
        <v>104</v>
      </c>
      <c r="B1018" s="18" t="s">
        <v>99</v>
      </c>
      <c r="C1018" s="18" t="s">
        <v>109</v>
      </c>
      <c r="D1018" s="19" t="str">
        <f ca="1">IFERROR(__xludf.DUMMYFUNCTION("GOOGLETRANSLATE(A1018, ""ar"", ""en"")"),"Mercedes")</f>
        <v>Mercedes</v>
      </c>
      <c r="E1018" s="19" t="str">
        <f ca="1">IFERROR(__xludf.DUMMYFUNCTION("GOOGLETRANSLATE(B1018,""ar"",""en"")"),"Trille Ras")</f>
        <v>Trille Ras</v>
      </c>
      <c r="F1018" s="19" t="str">
        <f ca="1">IFERROR(__xludf.DUMMYFUNCTION("GOOGLETRANSLATE(C1018,""ar"",""en"")"),"1843")</f>
        <v>1843</v>
      </c>
      <c r="G1018" t="e">
        <f ca="1">VLOOKUP(F:F,matching_transelated_with_ref!A:C,2,0)</f>
        <v>#N/A</v>
      </c>
      <c r="H1018" t="e">
        <f>VLOOKUP(C:C,Sheet4!A:C,2,0)</f>
        <v>#N/A</v>
      </c>
    </row>
    <row r="1019" spans="1:8" ht="14.4">
      <c r="A1019" s="18" t="s">
        <v>111</v>
      </c>
      <c r="B1019" s="18" t="s">
        <v>111</v>
      </c>
      <c r="C1019" s="18" t="s">
        <v>1451</v>
      </c>
      <c r="D1019" s="19" t="str">
        <f ca="1">IFERROR(__xludf.DUMMYFUNCTION("GOOGLETRANSLATE(A1019, ""ar"", ""en"")"),"Mitsubishi")</f>
        <v>Mitsubishi</v>
      </c>
      <c r="E1019" s="19" t="str">
        <f ca="1">IFERROR(__xludf.DUMMYFUNCTION("GOOGLETRANSLATE(B1019,""ar"",""en"")"),"Mitsubishi")</f>
        <v>Mitsubishi</v>
      </c>
      <c r="F1019" s="19" t="str">
        <f ca="1">IFERROR(__xludf.DUMMYFUNCTION("GOOGLETRANSLATE(C1019,""ar"",""en"")"),"Fors")</f>
        <v>Fors</v>
      </c>
      <c r="G1019" t="e">
        <f ca="1">VLOOKUP(F:F,matching_transelated_with_ref!A:C,2,0)</f>
        <v>#N/A</v>
      </c>
      <c r="H1019" t="str">
        <f>VLOOKUP(C:C,Sheet4!A:C,2,0)</f>
        <v>اف جي</v>
      </c>
    </row>
    <row r="1020" spans="1:8" ht="14.4">
      <c r="A1020" s="18" t="s">
        <v>111</v>
      </c>
      <c r="B1020" s="18" t="s">
        <v>117</v>
      </c>
      <c r="C1020" s="18" t="s">
        <v>1432</v>
      </c>
      <c r="D1020" s="19" t="str">
        <f ca="1">IFERROR(__xludf.DUMMYFUNCTION("GOOGLETRANSLATE(A1020, ""ar"", ""en"")"),"Mitsubishi")</f>
        <v>Mitsubishi</v>
      </c>
      <c r="E1020" s="19" t="str">
        <f ca="1">IFERROR(__xludf.DUMMYFUNCTION("GOOGLETRANSLATE(B1020,""ar"",""en"")"),"Win")</f>
        <v>Win</v>
      </c>
      <c r="F1020" s="19" t="str">
        <f ca="1">IFERROR(__xludf.DUMMYFUNCTION("GOOGLETRANSLATE(C1020,""ar"",""en"")"),"FJX 4W B.")</f>
        <v>FJX 4W B.</v>
      </c>
      <c r="G1020" t="e">
        <f ca="1">VLOOKUP(F:F,matching_transelated_with_ref!A:C,2,0)</f>
        <v>#N/A</v>
      </c>
      <c r="H1020" t="e">
        <f>VLOOKUP(C:C,Sheet4!A:C,2,0)</f>
        <v>#N/A</v>
      </c>
    </row>
    <row r="1021" spans="1:8" ht="14.4">
      <c r="A1021" s="18" t="s">
        <v>111</v>
      </c>
      <c r="B1021" s="18" t="s">
        <v>111</v>
      </c>
      <c r="C1021" s="18" t="s">
        <v>1004</v>
      </c>
      <c r="D1021" s="19" t="str">
        <f ca="1">IFERROR(__xludf.DUMMYFUNCTION("GOOGLETRANSLATE(A1021, ""ar"", ""en"")"),"Mitsubishi")</f>
        <v>Mitsubishi</v>
      </c>
      <c r="E1021" s="19" t="str">
        <f ca="1">IFERROR(__xludf.DUMMYFUNCTION("GOOGLETRANSLATE(B1021,""ar"",""en"")"),"Mitsubishi")</f>
        <v>Mitsubishi</v>
      </c>
      <c r="F1021" s="19" t="str">
        <f ca="1">IFERROR(__xludf.DUMMYFUNCTION("GOOGLETRANSLATE(C1021,""ar"",""en"")"),"Rosa BI 637 J 637 J.")</f>
        <v>Rosa BI 637 J 637 J.</v>
      </c>
      <c r="G1021" t="e">
        <f ca="1">VLOOKUP(F:F,matching_transelated_with_ref!A:C,2,0)</f>
        <v>#N/A</v>
      </c>
      <c r="H1021" t="e">
        <f>VLOOKUP(C:C,Sheet4!A:C,2,0)</f>
        <v>#N/A</v>
      </c>
    </row>
    <row r="1022" spans="1:8" ht="14.4">
      <c r="A1022" s="18" t="s">
        <v>111</v>
      </c>
      <c r="B1022" s="18" t="s">
        <v>111</v>
      </c>
      <c r="C1022" s="18" t="s">
        <v>751</v>
      </c>
      <c r="D1022" s="19" t="str">
        <f ca="1">IFERROR(__xludf.DUMMYFUNCTION("GOOGLETRANSLATE(A1022, ""ar"", ""en"")"),"Mitsubishi")</f>
        <v>Mitsubishi</v>
      </c>
      <c r="E1022" s="19" t="str">
        <f ca="1">IFERROR(__xludf.DUMMYFUNCTION("GOOGLETRANSLATE(B1022,""ar"",""en"")"),"Mitsubishi")</f>
        <v>Mitsubishi</v>
      </c>
      <c r="F1022" s="19" t="str">
        <f ca="1">IFERROR(__xludf.DUMMYFUNCTION("GOOGLETRANSLATE(C1022,""ar"",""en"")"),"Fawzu FJX 4W")</f>
        <v>Fawzu FJX 4W</v>
      </c>
      <c r="G1022" t="e">
        <f ca="1">VLOOKUP(F:F,matching_transelated_with_ref!A:C,2,0)</f>
        <v>#N/A</v>
      </c>
      <c r="H1022" t="e">
        <f>VLOOKUP(C:C,Sheet4!A:C,2,0)</f>
        <v>#N/A</v>
      </c>
    </row>
    <row r="1023" spans="1:8" ht="14.4">
      <c r="A1023" s="18" t="s">
        <v>111</v>
      </c>
      <c r="B1023" s="18" t="s">
        <v>117</v>
      </c>
      <c r="C1023" s="18" t="s">
        <v>1427</v>
      </c>
      <c r="D1023" s="19" t="str">
        <f ca="1">IFERROR(__xludf.DUMMYFUNCTION("GOOGLETRANSLATE(A1023, ""ar"", ""en"")"),"Mitsubishi")</f>
        <v>Mitsubishi</v>
      </c>
      <c r="E1023" s="19" t="str">
        <f ca="1">IFERROR(__xludf.DUMMYFUNCTION("GOOGLETRANSLATE(B1023,""ar"",""en"")"),"Win")</f>
        <v>Win</v>
      </c>
      <c r="F1023" s="19" t="str">
        <f ca="1">IFERROR(__xludf.DUMMYFUNCTION("GOOGLETRANSLATE(C1023,""ar"",""en"")"),"FM 65 FM 2 x 4")</f>
        <v>FM 65 FM 2 x 4</v>
      </c>
      <c r="G1023" t="e">
        <f ca="1">VLOOKUP(F:F,matching_transelated_with_ref!A:C,2,0)</f>
        <v>#N/A</v>
      </c>
      <c r="H1023" t="e">
        <f>VLOOKUP(C:C,Sheet4!A:C,2,0)</f>
        <v>#N/A</v>
      </c>
    </row>
    <row r="1024" spans="1:8" ht="14.4">
      <c r="A1024" s="18" t="s">
        <v>111</v>
      </c>
      <c r="B1024" s="18" t="s">
        <v>117</v>
      </c>
      <c r="C1024" s="18" t="s">
        <v>1431</v>
      </c>
      <c r="D1024" s="19" t="str">
        <f ca="1">IFERROR(__xludf.DUMMYFUNCTION("GOOGLETRANSLATE(A1024, ""ar"", ""en"")"),"Mitsubishi")</f>
        <v>Mitsubishi</v>
      </c>
      <c r="E1024" s="19" t="str">
        <f ca="1">IFERROR(__xludf.DUMMYFUNCTION("GOOGLETRANSLATE(B1024,""ar"",""en"")"),"Win")</f>
        <v>Win</v>
      </c>
      <c r="F1024" s="19" t="str">
        <f ca="1">IFERROR(__xludf.DUMMYFUNCTION("GOOGLETRANSLATE(C1024,""ar"",""en"")"),"FJX 4 6.3")</f>
        <v>FJX 4 6.3</v>
      </c>
      <c r="G1024" t="e">
        <f ca="1">VLOOKUP(F:F,matching_transelated_with_ref!A:C,2,0)</f>
        <v>#N/A</v>
      </c>
      <c r="H1024" t="e">
        <f>VLOOKUP(C:C,Sheet4!A:C,2,0)</f>
        <v>#N/A</v>
      </c>
    </row>
    <row r="1025" spans="1:8" ht="14.4">
      <c r="A1025" s="18" t="s">
        <v>111</v>
      </c>
      <c r="B1025" s="18" t="s">
        <v>111</v>
      </c>
      <c r="C1025" s="18" t="s">
        <v>759</v>
      </c>
      <c r="D1025" s="19" t="str">
        <f ca="1">IFERROR(__xludf.DUMMYFUNCTION("GOOGLETRANSLATE(A1025, ""ar"", ""en"")"),"Mitsubishi")</f>
        <v>Mitsubishi</v>
      </c>
      <c r="E1025" s="19" t="str">
        <f ca="1">IFERROR(__xludf.DUMMYFUNCTION("GOOGLETRANSLATE(B1025,""ar"",""en"")"),"Mitsubishi")</f>
        <v>Mitsubishi</v>
      </c>
      <c r="F1025" s="19" t="str">
        <f ca="1">IFERROR(__xludf.DUMMYFUNCTION("GOOGLETRANSLATE(C1025,""ar"",""en"")"),"Rosa Diesel")</f>
        <v>Rosa Diesel</v>
      </c>
      <c r="G1025" t="e">
        <f ca="1">VLOOKUP(F:F,matching_transelated_with_ref!A:C,2,0)</f>
        <v>#N/A</v>
      </c>
      <c r="H1025" t="e">
        <f>VLOOKUP(C:C,Sheet4!A:C,2,0)</f>
        <v>#N/A</v>
      </c>
    </row>
    <row r="1026" spans="1:8" ht="14.4">
      <c r="A1026" s="18" t="s">
        <v>111</v>
      </c>
      <c r="B1026" s="18" t="s">
        <v>69</v>
      </c>
      <c r="C1026" s="18" t="s">
        <v>751</v>
      </c>
      <c r="D1026" s="19" t="str">
        <f ca="1">IFERROR(__xludf.DUMMYFUNCTION("GOOGLETRANSLATE(A1026, ""ar"", ""en"")"),"Mitsubishi")</f>
        <v>Mitsubishi</v>
      </c>
      <c r="E1026" s="19" t="str">
        <f ca="1">IFERROR(__xludf.DUMMYFUNCTION("GOOGLETRANSLATE(B1026,""ar"",""en"")"),"a truck")</f>
        <v>a truck</v>
      </c>
      <c r="F1026" s="19" t="str">
        <f ca="1">IFERROR(__xludf.DUMMYFUNCTION("GOOGLETRANSLATE(C1026,""ar"",""en"")"),"Fawzu FJX 4W")</f>
        <v>Fawzu FJX 4W</v>
      </c>
      <c r="G1026" t="e">
        <f ca="1">VLOOKUP(F:F,matching_transelated_with_ref!A:C,2,0)</f>
        <v>#N/A</v>
      </c>
      <c r="H1026" t="e">
        <f>VLOOKUP(C:C,Sheet4!A:C,2,0)</f>
        <v>#N/A</v>
      </c>
    </row>
    <row r="1027" spans="1:8" ht="14.4">
      <c r="A1027" s="18" t="s">
        <v>111</v>
      </c>
      <c r="B1027" s="18" t="s">
        <v>117</v>
      </c>
      <c r="C1027" s="18" t="s">
        <v>992</v>
      </c>
      <c r="D1027" s="19" t="str">
        <f ca="1">IFERROR(__xludf.DUMMYFUNCTION("GOOGLETRANSLATE(A1027, ""ar"", ""en"")"),"Mitsubishi")</f>
        <v>Mitsubishi</v>
      </c>
      <c r="E1027" s="19" t="str">
        <f ca="1">IFERROR(__xludf.DUMMYFUNCTION("GOOGLETRANSLATE(B1027,""ar"",""en"")"),"Win")</f>
        <v>Win</v>
      </c>
      <c r="F1027" s="19" t="str">
        <f ca="1">IFERROR(__xludf.DUMMYFUNCTION("GOOGLETRANSLATE(C1027,""ar"",""en"")"),"BI 63 GLM 4 x 2 2 Ba")</f>
        <v>BI 63 GLM 4 x 2 2 Ba</v>
      </c>
      <c r="G1027" t="e">
        <f ca="1">VLOOKUP(F:F,matching_transelated_with_ref!A:C,2,0)</f>
        <v>#N/A</v>
      </c>
      <c r="H1027">
        <f>VLOOKUP(C:C,Sheet4!A:C,2,0)</f>
        <v>2</v>
      </c>
    </row>
    <row r="1028" spans="1:8" ht="14.4">
      <c r="A1028" s="18" t="s">
        <v>111</v>
      </c>
      <c r="B1028" s="18" t="s">
        <v>117</v>
      </c>
      <c r="C1028" s="18" t="s">
        <v>1433</v>
      </c>
      <c r="D1028" s="19" t="str">
        <f ca="1">IFERROR(__xludf.DUMMYFUNCTION("GOOGLETRANSLATE(A1028, ""ar"", ""en"")"),"Mitsubishi")</f>
        <v>Mitsubishi</v>
      </c>
      <c r="E1028" s="19" t="str">
        <f ca="1">IFERROR(__xludf.DUMMYFUNCTION("GOOGLETRANSLATE(B1028,""ar"",""en"")"),"Win")</f>
        <v>Win</v>
      </c>
      <c r="F1028" s="19" t="str">
        <f ca="1">IFERROR(__xludf.DUMMYFUNCTION("GOOGLETRANSLATE(C1028,""ar"",""en"")"),"FJ X 4 H6.")</f>
        <v>FJ X 4 H6.</v>
      </c>
      <c r="G1028" t="e">
        <f ca="1">VLOOKUP(F:F,matching_transelated_with_ref!A:C,2,0)</f>
        <v>#N/A</v>
      </c>
      <c r="H1028" t="e">
        <f>VLOOKUP(C:C,Sheet4!A:C,2,0)</f>
        <v>#N/A</v>
      </c>
    </row>
    <row r="1029" spans="1:8" ht="14.4">
      <c r="A1029" s="18" t="s">
        <v>111</v>
      </c>
      <c r="B1029" s="18" t="s">
        <v>114</v>
      </c>
      <c r="C1029" s="18" t="s">
        <v>115</v>
      </c>
      <c r="D1029" s="19" t="str">
        <f ca="1">IFERROR(__xludf.DUMMYFUNCTION("GOOGLETRANSLATE(A1029, ""ar"", ""en"")"),"Mitsubishi")</f>
        <v>Mitsubishi</v>
      </c>
      <c r="E1029" s="19" t="str">
        <f ca="1">IFERROR(__xludf.DUMMYFUNCTION("GOOGLETRANSLATE(B1029,""ar"",""en"")"),"a truck")</f>
        <v>a truck</v>
      </c>
      <c r="F1029" s="19" t="str">
        <f ca="1">IFERROR(__xludf.DUMMYFUNCTION("GOOGLETRANSLATE(C1029,""ar"",""en"")"),"Wozu FM 618 LH")</f>
        <v>Wozu FM 618 LH</v>
      </c>
      <c r="G1029" t="e">
        <f ca="1">VLOOKUP(F:F,matching_transelated_with_ref!A:C,2,0)</f>
        <v>#N/A</v>
      </c>
      <c r="H1029" t="e">
        <f>VLOOKUP(C:C,Sheet4!A:C,2,0)</f>
        <v>#N/A</v>
      </c>
    </row>
    <row r="1030" spans="1:8" ht="14.4">
      <c r="A1030" s="18" t="s">
        <v>111</v>
      </c>
      <c r="B1030" s="18" t="s">
        <v>111</v>
      </c>
      <c r="C1030" s="18" t="s">
        <v>758</v>
      </c>
      <c r="D1030" s="19" t="str">
        <f ca="1">IFERROR(__xludf.DUMMYFUNCTION("GOOGLETRANSLATE(A1030, ""ar"", ""en"")"),"Mitsubishi")</f>
        <v>Mitsubishi</v>
      </c>
      <c r="E1030" s="19" t="str">
        <f ca="1">IFERROR(__xludf.DUMMYFUNCTION("GOOGLETRANSLATE(B1030,""ar"",""en"")"),"Mitsubishi")</f>
        <v>Mitsubishi</v>
      </c>
      <c r="F1030" s="19" t="str">
        <f ca="1">IFERROR(__xludf.DUMMYFUNCTION("GOOGLETRANSLATE(C1030,""ar"",""en"")"),"Wozu FGX 4W")</f>
        <v>Wozu FGX 4W</v>
      </c>
      <c r="G1030" t="e">
        <f ca="1">VLOOKUP(F:F,matching_transelated_with_ref!A:C,2,0)</f>
        <v>#N/A</v>
      </c>
      <c r="H1030" t="str">
        <f>VLOOKUP(C:C,Sheet4!A:C,2,0)</f>
        <v>اف جي</v>
      </c>
    </row>
    <row r="1031" spans="1:8" ht="14.4">
      <c r="A1031" s="18" t="s">
        <v>111</v>
      </c>
      <c r="B1031" s="18" t="s">
        <v>117</v>
      </c>
      <c r="C1031" s="18" t="s">
        <v>1434</v>
      </c>
      <c r="D1031" s="19" t="str">
        <f ca="1">IFERROR(__xludf.DUMMYFUNCTION("GOOGLETRANSLATE(A1031, ""ar"", ""en"")"),"Mitsubishi")</f>
        <v>Mitsubishi</v>
      </c>
      <c r="E1031" s="19" t="str">
        <f ca="1">IFERROR(__xludf.DUMMYFUNCTION("GOOGLETRANSLATE(B1031,""ar"",""en"")"),"Win")</f>
        <v>Win</v>
      </c>
      <c r="F1031" s="19" t="str">
        <f ca="1">IFERROR(__xludf.DUMMYFUNCTION("GOOGLETRANSLATE(C1031,""ar"",""en"")"),"FK 61 FM 2 x 4")</f>
        <v>FK 61 FM 2 x 4</v>
      </c>
      <c r="G1031" t="e">
        <f ca="1">VLOOKUP(F:F,matching_transelated_with_ref!A:C,2,0)</f>
        <v>#N/A</v>
      </c>
      <c r="H1031" t="e">
        <f>VLOOKUP(C:C,Sheet4!A:C,2,0)</f>
        <v>#N/A</v>
      </c>
    </row>
    <row r="1032" spans="1:8" ht="14.4">
      <c r="A1032" s="18" t="s">
        <v>111</v>
      </c>
      <c r="B1032" s="18" t="s">
        <v>111</v>
      </c>
      <c r="C1032" s="18" t="s">
        <v>761</v>
      </c>
      <c r="D1032" s="19" t="str">
        <f ca="1">IFERROR(__xludf.DUMMYFUNCTION("GOOGLETRANSLATE(A1032, ""ar"", ""en"")"),"Mitsubishi")</f>
        <v>Mitsubishi</v>
      </c>
      <c r="E1032" s="19" t="str">
        <f ca="1">IFERROR(__xludf.DUMMYFUNCTION("GOOGLETRANSLATE(B1032,""ar"",""en"")"),"Mitsubishi")</f>
        <v>Mitsubishi</v>
      </c>
      <c r="F1032" s="19" t="str">
        <f ca="1">IFERROR(__xludf.DUMMYFUNCTION("GOOGLETRANSLATE(C1032,""ar"",""en"")"),"Montero Sport pushed usury")</f>
        <v>Montero Sport pushed usury</v>
      </c>
      <c r="G1032" t="e">
        <f ca="1">VLOOKUP(F:F,matching_transelated_with_ref!A:C,2,0)</f>
        <v>#N/A</v>
      </c>
      <c r="H1032" t="str">
        <f>VLOOKUP(C:C,Sheet4!A:C,2,0)</f>
        <v xml:space="preserve"> مونتيرو</v>
      </c>
    </row>
    <row r="1033" spans="1:8" ht="14.4">
      <c r="A1033" s="18" t="s">
        <v>111</v>
      </c>
      <c r="B1033" s="18" t="s">
        <v>117</v>
      </c>
      <c r="C1033" s="18" t="s">
        <v>991</v>
      </c>
      <c r="D1033" s="19" t="str">
        <f ca="1">IFERROR(__xludf.DUMMYFUNCTION("GOOGLETRANSLATE(A1033, ""ar"", ""en"")"),"Mitsubishi")</f>
        <v>Mitsubishi</v>
      </c>
      <c r="E1033" s="19" t="str">
        <f ca="1">IFERROR(__xludf.DUMMYFUNCTION("GOOGLETRANSLATE(B1033,""ar"",""en"")"),"Win")</f>
        <v>Win</v>
      </c>
      <c r="F1033" s="19" t="str">
        <f ca="1">IFERROR(__xludf.DUMMYFUNCTION("GOOGLETRANSLATE(C1033,""ar"",""en"")"),"FAVV 1 BK 3.9 LT")</f>
        <v>FAVV 1 BK 3.9 LT</v>
      </c>
      <c r="G1033" t="e">
        <f ca="1">VLOOKUP(F:F,matching_transelated_with_ref!A:C,2,0)</f>
        <v>#N/A</v>
      </c>
      <c r="H1033">
        <f>VLOOKUP(C:C,Sheet4!A:C,2,0)</f>
        <v>3</v>
      </c>
    </row>
    <row r="1034" spans="1:8" ht="14.4">
      <c r="A1034" s="18" t="s">
        <v>111</v>
      </c>
      <c r="B1034" s="18" t="s">
        <v>117</v>
      </c>
      <c r="C1034" s="18" t="s">
        <v>1429</v>
      </c>
      <c r="D1034" s="19" t="str">
        <f ca="1">IFERROR(__xludf.DUMMYFUNCTION("GOOGLETRANSLATE(A1034, ""ar"", ""en"")"),"Mitsubishi")</f>
        <v>Mitsubishi</v>
      </c>
      <c r="E1034" s="19" t="str">
        <f ca="1">IFERROR(__xludf.DUMMYFUNCTION("GOOGLETRANSLATE(B1034,""ar"",""en"")"),"Win")</f>
        <v>Win</v>
      </c>
      <c r="F1034" s="19" t="str">
        <f ca="1">IFERROR(__xludf.DUMMYFUNCTION("GOOGLETRANSLATE(C1034,""ar"",""en"")"),"FI PVI 1BK KK")</f>
        <v>FI PVI 1BK KK</v>
      </c>
      <c r="G1034" t="e">
        <f ca="1">VLOOKUP(F:F,matching_transelated_with_ref!A:C,2,0)</f>
        <v>#N/A</v>
      </c>
      <c r="H1034" t="e">
        <f>VLOOKUP(C:C,Sheet4!A:C,2,0)</f>
        <v>#N/A</v>
      </c>
    </row>
    <row r="1035" spans="1:8" ht="14.4">
      <c r="A1035" s="18" t="s">
        <v>111</v>
      </c>
      <c r="B1035" s="18" t="s">
        <v>111</v>
      </c>
      <c r="C1035" s="18" t="s">
        <v>757</v>
      </c>
      <c r="D1035" s="19" t="str">
        <f ca="1">IFERROR(__xludf.DUMMYFUNCTION("GOOGLETRANSLATE(A1035, ""ar"", ""en"")"),"Mitsubishi")</f>
        <v>Mitsubishi</v>
      </c>
      <c r="E1035" s="19" t="str">
        <f ca="1">IFERROR(__xludf.DUMMYFUNCTION("GOOGLETRANSLATE(B1035,""ar"",""en"")"),"Mitsubishi")</f>
        <v>Mitsubishi</v>
      </c>
      <c r="F1035" s="19" t="str">
        <f ca="1">IFERROR(__xludf.DUMMYFUNCTION("GOOGLETRANSLATE(C1035,""ar"",""en"")"),"Pajero 3.8 liters of four -wheel drive")</f>
        <v>Pajero 3.8 liters of four -wheel drive</v>
      </c>
      <c r="G1035" t="e">
        <f ca="1">VLOOKUP(F:F,matching_transelated_with_ref!A:C,2,0)</f>
        <v>#N/A</v>
      </c>
      <c r="H1035" t="str">
        <f>VLOOKUP(C:C,Sheet4!A:C,2,0)</f>
        <v>باجيرو</v>
      </c>
    </row>
    <row r="1036" spans="1:8" ht="14.4">
      <c r="A1036" s="18" t="s">
        <v>111</v>
      </c>
      <c r="B1036" s="18" t="s">
        <v>117</v>
      </c>
      <c r="C1036" s="18" t="s">
        <v>1428</v>
      </c>
      <c r="D1036" s="19" t="str">
        <f ca="1">IFERROR(__xludf.DUMMYFUNCTION("GOOGLETRANSLATE(A1036, ""ar"", ""en"")"),"Mitsubishi")</f>
        <v>Mitsubishi</v>
      </c>
      <c r="E1036" s="19" t="str">
        <f ca="1">IFERROR(__xludf.DUMMYFUNCTION("GOOGLETRANSLATE(B1036,""ar"",""en"")"),"Win")</f>
        <v>Win</v>
      </c>
      <c r="F1036" s="19" t="str">
        <f ca="1">IFERROR(__xludf.DUMMYFUNCTION("GOOGLETRANSLATE(C1036,""ar"",""en"")"),"FI PVI 1BK KK")</f>
        <v>FI PVI 1BK KK</v>
      </c>
      <c r="G1036" t="e">
        <f ca="1">VLOOKUP(F:F,matching_transelated_with_ref!A:C,2,0)</f>
        <v>#N/A</v>
      </c>
      <c r="H1036" t="e">
        <f>VLOOKUP(C:C,Sheet4!A:C,2,0)</f>
        <v>#N/A</v>
      </c>
    </row>
    <row r="1037" spans="1:8" ht="14.4">
      <c r="A1037" s="18" t="s">
        <v>111</v>
      </c>
      <c r="B1037" s="18" t="s">
        <v>117</v>
      </c>
      <c r="C1037" s="18" t="s">
        <v>1430</v>
      </c>
      <c r="D1037" s="19" t="str">
        <f ca="1">IFERROR(__xludf.DUMMYFUNCTION("GOOGLETRANSLATE(A1037, ""ar"", ""en"")"),"Mitsubishi")</f>
        <v>Mitsubishi</v>
      </c>
      <c r="E1037" s="19" t="str">
        <f ca="1">IFERROR(__xludf.DUMMYFUNCTION("GOOGLETRANSLATE(B1037,""ar"",""en"")"),"Win")</f>
        <v>Win</v>
      </c>
      <c r="F1037" s="19" t="str">
        <f ca="1">IFERROR(__xludf.DUMMYFUNCTION("GOOGLETRANSLATE(C1037,""ar"",""en"")"),"FAV 1B HH")</f>
        <v>FAV 1B HH</v>
      </c>
      <c r="G1037" t="e">
        <f ca="1">VLOOKUP(F:F,matching_transelated_with_ref!A:C,2,0)</f>
        <v>#N/A</v>
      </c>
      <c r="H1037" t="e">
        <f>VLOOKUP(C:C,Sheet4!A:C,2,0)</f>
        <v>#N/A</v>
      </c>
    </row>
    <row r="1038" spans="1:8" ht="14.4">
      <c r="A1038" s="18" t="s">
        <v>111</v>
      </c>
      <c r="B1038" s="18" t="s">
        <v>111</v>
      </c>
      <c r="C1038" s="18" t="s">
        <v>483</v>
      </c>
      <c r="D1038" s="19" t="str">
        <f ca="1">IFERROR(__xludf.DUMMYFUNCTION("GOOGLETRANSLATE(A1038, ""ar"", ""en"")"),"Mitsubishi")</f>
        <v>Mitsubishi</v>
      </c>
      <c r="E1038" s="19" t="str">
        <f ca="1">IFERROR(__xludf.DUMMYFUNCTION("GOOGLETRANSLATE(B1038,""ar"",""en"")"),"Mitsubishi")</f>
        <v>Mitsubishi</v>
      </c>
      <c r="F1038" s="19" t="str">
        <f ca="1">IFERROR(__xludf.DUMMYFUNCTION("GOOGLETRANSLATE(C1038,""ar"",""en"")"),"Montero Sport")</f>
        <v>Montero Sport</v>
      </c>
      <c r="G1038" t="e">
        <f ca="1">VLOOKUP(F:F,matching_transelated_with_ref!A:C,2,0)</f>
        <v>#N/A</v>
      </c>
      <c r="H1038" t="str">
        <f>VLOOKUP(C:C,Sheet4!A:C,2,0)</f>
        <v xml:space="preserve"> مونتيرو</v>
      </c>
    </row>
    <row r="1039" spans="1:8" ht="14.4">
      <c r="A1039" s="18" t="s">
        <v>111</v>
      </c>
      <c r="B1039" s="18" t="s">
        <v>114</v>
      </c>
      <c r="C1039" s="18" t="s">
        <v>116</v>
      </c>
      <c r="D1039" s="19" t="str">
        <f ca="1">IFERROR(__xludf.DUMMYFUNCTION("GOOGLETRANSLATE(A1039, ""ar"", ""en"")"),"Mitsubishi")</f>
        <v>Mitsubishi</v>
      </c>
      <c r="E1039" s="19" t="str">
        <f ca="1">IFERROR(__xludf.DUMMYFUNCTION("GOOGLETRANSLATE(B1039,""ar"",""en"")"),"a truck")</f>
        <v>a truck</v>
      </c>
      <c r="F1039" s="19" t="str">
        <f ca="1">IFERROR(__xludf.DUMMYFUNCTION("GOOGLETRANSLATE(C1039,""ar"",""en"")"),"Fawzu FM 658 or not")</f>
        <v>Fawzu FM 658 or not</v>
      </c>
      <c r="G1039" t="e">
        <f ca="1">VLOOKUP(F:F,matching_transelated_with_ref!A:C,2,0)</f>
        <v>#N/A</v>
      </c>
      <c r="H1039" t="e">
        <f>VLOOKUP(C:C,Sheet4!A:C,2,0)</f>
        <v>#N/A</v>
      </c>
    </row>
    <row r="1040" spans="1:8" ht="14.4">
      <c r="A1040" s="18" t="s">
        <v>111</v>
      </c>
      <c r="B1040" s="18" t="s">
        <v>111</v>
      </c>
      <c r="C1040" s="18" t="s">
        <v>756</v>
      </c>
      <c r="D1040" s="19" t="str">
        <f ca="1">IFERROR(__xludf.DUMMYFUNCTION("GOOGLETRANSLATE(A1040, ""ar"", ""en"")"),"Mitsubishi")</f>
        <v>Mitsubishi</v>
      </c>
      <c r="E1040" s="19" t="str">
        <f ca="1">IFERROR(__xludf.DUMMYFUNCTION("GOOGLETRANSLATE(B1040,""ar"",""en"")"),"Mitsubishi")</f>
        <v>Mitsubishi</v>
      </c>
      <c r="F1040" s="19" t="str">
        <f ca="1">IFERROR(__xludf.DUMMYFUNCTION("GOOGLETRANSLATE(C1040,""ar"",""en"")"),"Pajero 3.5 liters of four -wheel drive")</f>
        <v>Pajero 3.5 liters of four -wheel drive</v>
      </c>
      <c r="G1040" t="e">
        <f ca="1">VLOOKUP(F:F,matching_transelated_with_ref!A:C,2,0)</f>
        <v>#N/A</v>
      </c>
      <c r="H1040" t="str">
        <f>VLOOKUP(C:C,Sheet4!A:C,2,0)</f>
        <v>باجيرو</v>
      </c>
    </row>
    <row r="1041" spans="1:8" ht="14.4">
      <c r="A1041" s="18" t="s">
        <v>111</v>
      </c>
      <c r="B1041" s="18" t="s">
        <v>111</v>
      </c>
      <c r="C1041" s="18" t="s">
        <v>1452</v>
      </c>
      <c r="D1041" s="19" t="str">
        <f ca="1">IFERROR(__xludf.DUMMYFUNCTION("GOOGLETRANSLATE(A1041, ""ar"", ""en"")"),"Mitsubishi")</f>
        <v>Mitsubishi</v>
      </c>
      <c r="E1041" s="19" t="str">
        <f ca="1">IFERROR(__xludf.DUMMYFUNCTION("GOOGLETRANSLATE(B1041,""ar"",""en"")"),"Mitsubishi")</f>
        <v>Mitsubishi</v>
      </c>
      <c r="F1041" s="19" t="str">
        <f ca="1">IFERROR(__xludf.DUMMYFUNCTION("GOOGLETRANSLATE(C1041,""ar"",""en"")"),"Fawzu FACXA")</f>
        <v>Fawzu FACXA</v>
      </c>
      <c r="G1041" t="e">
        <f ca="1">VLOOKUP(F:F,matching_transelated_with_ref!A:C,2,0)</f>
        <v>#N/A</v>
      </c>
      <c r="H1041" t="e">
        <f>VLOOKUP(C:C,Sheet4!A:C,2,0)</f>
        <v>#N/A</v>
      </c>
    </row>
    <row r="1042" spans="1:8" ht="14.4">
      <c r="A1042" s="18" t="s">
        <v>111</v>
      </c>
      <c r="B1042" s="18" t="s">
        <v>112</v>
      </c>
      <c r="C1042" s="18" t="s">
        <v>477</v>
      </c>
      <c r="D1042" s="19" t="str">
        <f ca="1">IFERROR(__xludf.DUMMYFUNCTION("GOOGLETRANSLATE(A1042, ""ar"", ""en"")"),"Mitsubishi")</f>
        <v>Mitsubishi</v>
      </c>
      <c r="E1042" s="19" t="str">
        <f ca="1">IFERROR(__xludf.DUMMYFUNCTION("GOOGLETRANSLATE(B1042,""ar"",""en"")"),"Pajero")</f>
        <v>Pajero</v>
      </c>
      <c r="F1042" s="19" t="str">
        <f ca="1">IFERROR(__xludf.DUMMYFUNCTION("GOOGLETRANSLATE(C1042,""ar"",""en"")"),"GLS 4 x 4 3.5 liters")</f>
        <v>GLS 4 x 4 3.5 liters</v>
      </c>
      <c r="G1042" t="e">
        <f ca="1">VLOOKUP(F:F,matching_transelated_with_ref!A:C,2,0)</f>
        <v>#N/A</v>
      </c>
      <c r="H1042">
        <f>VLOOKUP(C:C,Sheet4!A:C,2,0)</f>
        <v>3</v>
      </c>
    </row>
    <row r="1043" spans="1:8" ht="14.4">
      <c r="A1043" s="18" t="s">
        <v>111</v>
      </c>
      <c r="B1043" s="18" t="s">
        <v>111</v>
      </c>
      <c r="C1043" s="18" t="s">
        <v>997</v>
      </c>
      <c r="D1043" s="19" t="str">
        <f ca="1">IFERROR(__xludf.DUMMYFUNCTION("GOOGLETRANSLATE(A1043, ""ar"", ""en"")"),"Mitsubishi")</f>
        <v>Mitsubishi</v>
      </c>
      <c r="E1043" s="19" t="str">
        <f ca="1">IFERROR(__xludf.DUMMYFUNCTION("GOOGLETRANSLATE(B1043,""ar"",""en"")"),"Mitsubishi")</f>
        <v>Mitsubishi</v>
      </c>
      <c r="F1043" s="19" t="str">
        <f ca="1">IFERROR(__xludf.DUMMYFUNCTION("GOOGLETRANSLATE(C1043,""ar"",""en"")"),"Cross Cross 1.5 liters pay a")</f>
        <v>Cross Cross 1.5 liters pay a</v>
      </c>
      <c r="G1043" t="e">
        <f ca="1">VLOOKUP(F:F,matching_transelated_with_ref!A:C,2,0)</f>
        <v>#N/A</v>
      </c>
      <c r="H1043" t="str">
        <f>VLOOKUP(C:C,Sheet4!A:C,2,0)</f>
        <v xml:space="preserve"> اكلبس كروس</v>
      </c>
    </row>
    <row r="1044" spans="1:8" ht="14.4">
      <c r="A1044" s="18" t="s">
        <v>111</v>
      </c>
      <c r="B1044" s="18" t="s">
        <v>112</v>
      </c>
      <c r="C1044" s="18" t="s">
        <v>113</v>
      </c>
      <c r="D1044" s="19" t="str">
        <f ca="1">IFERROR(__xludf.DUMMYFUNCTION("GOOGLETRANSLATE(A1044, ""ar"", ""en"")"),"Mitsubishi")</f>
        <v>Mitsubishi</v>
      </c>
      <c r="E1044" s="19" t="str">
        <f ca="1">IFERROR(__xludf.DUMMYFUNCTION("GOOGLETRANSLATE(B1044,""ar"",""en"")"),"Pajero")</f>
        <v>Pajero</v>
      </c>
      <c r="F1044" s="19" t="str">
        <f ca="1">IFERROR(__xludf.DUMMYFUNCTION("GOOGLETRANSLATE(C1044,""ar"",""en"")"),"GLS4*4")</f>
        <v>GLS4*4</v>
      </c>
      <c r="G1044" t="e">
        <f ca="1">VLOOKUP(F:F,matching_transelated_with_ref!A:C,2,0)</f>
        <v>#N/A</v>
      </c>
      <c r="H1044" t="e">
        <f>VLOOKUP(C:C,Sheet4!A:C,2,0)</f>
        <v>#N/A</v>
      </c>
    </row>
    <row r="1045" spans="1:8" ht="14.4">
      <c r="A1045" s="18" t="s">
        <v>111</v>
      </c>
      <c r="B1045" s="18" t="s">
        <v>111</v>
      </c>
      <c r="C1045" s="18" t="s">
        <v>1215</v>
      </c>
      <c r="D1045" s="19" t="str">
        <f ca="1">IFERROR(__xludf.DUMMYFUNCTION("GOOGLETRANSLATE(A1045, ""ar"", ""en"")"),"Mitsubishi")</f>
        <v>Mitsubishi</v>
      </c>
      <c r="E1045" s="19" t="str">
        <f ca="1">IFERROR(__xludf.DUMMYFUNCTION("GOOGLETRANSLATE(B1045,""ar"",""en"")"),"Mitsubishi")</f>
        <v>Mitsubishi</v>
      </c>
      <c r="F1045" s="19" t="str">
        <f ca="1">IFERROR(__xludf.DUMMYFUNCTION("GOOGLETRANSLATE(C1045,""ar"",""en"")"),"Fawzer Canter FE 84 c")</f>
        <v>Fawzer Canter FE 84 c</v>
      </c>
      <c r="G1045" t="e">
        <f ca="1">VLOOKUP(F:F,matching_transelated_with_ref!A:C,2,0)</f>
        <v>#N/A</v>
      </c>
      <c r="H1045" t="str">
        <f>VLOOKUP(C:C,Sheet4!A:C,2,0)</f>
        <v xml:space="preserve">كانتر </v>
      </c>
    </row>
    <row r="1046" spans="1:8" ht="14.4">
      <c r="A1046" s="18" t="s">
        <v>111</v>
      </c>
      <c r="B1046" s="18" t="s">
        <v>69</v>
      </c>
      <c r="C1046" s="18" t="s">
        <v>117</v>
      </c>
      <c r="D1046" s="19" t="str">
        <f ca="1">IFERROR(__xludf.DUMMYFUNCTION("GOOGLETRANSLATE(A1046, ""ar"", ""en"")"),"Mitsubishi")</f>
        <v>Mitsubishi</v>
      </c>
      <c r="E1046" s="19" t="str">
        <f ca="1">IFERROR(__xludf.DUMMYFUNCTION("GOOGLETRANSLATE(B1046,""ar"",""en"")"),"a truck")</f>
        <v>a truck</v>
      </c>
      <c r="F1046" s="19" t="str">
        <f ca="1">IFERROR(__xludf.DUMMYFUNCTION("GOOGLETRANSLATE(C1046,""ar"",""en"")"),"Win")</f>
        <v>Win</v>
      </c>
      <c r="G1046" t="e">
        <f ca="1">VLOOKUP(F:F,matching_transelated_with_ref!A:C,2,0)</f>
        <v>#N/A</v>
      </c>
      <c r="H1046" t="str">
        <f>VLOOKUP(C:C,Sheet4!A:C,2,0)</f>
        <v>باص - فوزو روزا</v>
      </c>
    </row>
    <row r="1047" spans="1:8" ht="14.4">
      <c r="A1047" s="18" t="s">
        <v>111</v>
      </c>
      <c r="B1047" s="18" t="s">
        <v>111</v>
      </c>
      <c r="C1047" s="18" t="s">
        <v>1213</v>
      </c>
      <c r="D1047" s="19" t="str">
        <f ca="1">IFERROR(__xludf.DUMMYFUNCTION("GOOGLETRANSLATE(A1047, ""ar"", ""en"")"),"Mitsubishi")</f>
        <v>Mitsubishi</v>
      </c>
      <c r="E1047" s="19" t="str">
        <f ca="1">IFERROR(__xludf.DUMMYFUNCTION("GOOGLETRANSLATE(B1047,""ar"",""en"")"),"Mitsubishi")</f>
        <v>Mitsubishi</v>
      </c>
      <c r="F1047" s="19" t="str">
        <f ca="1">IFERROR(__xludf.DUMMYFUNCTION("GOOGLETRANSLATE(C1047,""ar"",""en"")"),"Outlander four -wheel drive")</f>
        <v>Outlander four -wheel drive</v>
      </c>
      <c r="G1047" t="e">
        <f ca="1">VLOOKUP(F:F,matching_transelated_with_ref!A:C,2,0)</f>
        <v>#N/A</v>
      </c>
      <c r="H1047" t="str">
        <f>VLOOKUP(C:C,Sheet4!A:C,2,0)</f>
        <v>اوتلاندر</v>
      </c>
    </row>
    <row r="1048" spans="1:8" ht="14.4">
      <c r="A1048" s="18" t="s">
        <v>111</v>
      </c>
      <c r="B1048" s="18" t="s">
        <v>111</v>
      </c>
      <c r="C1048" s="18" t="s">
        <v>1218</v>
      </c>
      <c r="D1048" s="19" t="str">
        <f ca="1">IFERROR(__xludf.DUMMYFUNCTION("GOOGLETRANSLATE(A1048, ""ar"", ""en"")"),"Mitsubishi")</f>
        <v>Mitsubishi</v>
      </c>
      <c r="E1048" s="19" t="str">
        <f ca="1">IFERROR(__xludf.DUMMYFUNCTION("GOOGLETRANSLATE(B1048,""ar"",""en"")"),"Mitsubishi")</f>
        <v>Mitsubishi</v>
      </c>
      <c r="F1048" s="19" t="str">
        <f ca="1">IFERROR(__xludf.DUMMYFUNCTION("GOOGLETRANSLATE(C1048,""ar"",""en"")"),"Fawzu Canter FI 85 C G")</f>
        <v>Fawzu Canter FI 85 C G</v>
      </c>
      <c r="G1048" t="e">
        <f ca="1">VLOOKUP(F:F,matching_transelated_with_ref!A:C,2,0)</f>
        <v>#N/A</v>
      </c>
      <c r="H1048" t="e">
        <f>VLOOKUP(C:C,Sheet4!A:C,2,0)</f>
        <v>#N/A</v>
      </c>
    </row>
    <row r="1049" spans="1:8" ht="14.4">
      <c r="A1049" s="18" t="s">
        <v>111</v>
      </c>
      <c r="B1049" s="18" t="s">
        <v>117</v>
      </c>
      <c r="C1049" s="18" t="s">
        <v>118</v>
      </c>
      <c r="D1049" s="19" t="str">
        <f ca="1">IFERROR(__xludf.DUMMYFUNCTION("GOOGLETRANSLATE(A1049, ""ar"", ""en"")"),"Mitsubishi")</f>
        <v>Mitsubishi</v>
      </c>
      <c r="E1049" s="19" t="str">
        <f ca="1">IFERROR(__xludf.DUMMYFUNCTION("GOOGLETRANSLATE(B1049,""ar"",""en"")"),"Win")</f>
        <v>Win</v>
      </c>
      <c r="F1049" s="19" t="str">
        <f ca="1">IFERROR(__xludf.DUMMYFUNCTION("GOOGLETRANSLATE(C1049,""ar"",""en"")"),"Canter FI 84 CI")</f>
        <v>Canter FI 84 CI</v>
      </c>
      <c r="G1049" t="e">
        <f ca="1">VLOOKUP(F:F,matching_transelated_with_ref!A:C,2,0)</f>
        <v>#N/A</v>
      </c>
      <c r="H1049" t="str">
        <f>VLOOKUP(C:C,Sheet4!A:C,2,0)</f>
        <v xml:space="preserve">كانتر </v>
      </c>
    </row>
    <row r="1050" spans="1:8" ht="14.4">
      <c r="A1050" s="18" t="s">
        <v>111</v>
      </c>
      <c r="B1050" s="18" t="s">
        <v>111</v>
      </c>
      <c r="C1050" s="18" t="s">
        <v>1448</v>
      </c>
      <c r="D1050" s="19" t="str">
        <f ca="1">IFERROR(__xludf.DUMMYFUNCTION("GOOGLETRANSLATE(A1050, ""ar"", ""en"")"),"Mitsubishi")</f>
        <v>Mitsubishi</v>
      </c>
      <c r="E1050" s="19" t="str">
        <f ca="1">IFERROR(__xludf.DUMMYFUNCTION("GOOGLETRANSLATE(B1050,""ar"",""en"")"),"Mitsubishi")</f>
        <v>Mitsubishi</v>
      </c>
      <c r="F1050" s="19" t="str">
        <f ca="1">IFERROR(__xludf.DUMMYFUNCTION("GOOGLETRANSLATE(C1050,""ar"",""en"")"),"Outlander four -wheel drive 2.4 l")</f>
        <v>Outlander four -wheel drive 2.4 l</v>
      </c>
      <c r="G1050" t="e">
        <f ca="1">VLOOKUP(F:F,matching_transelated_with_ref!A:C,2,0)</f>
        <v>#N/A</v>
      </c>
      <c r="H1050" t="str">
        <f>VLOOKUP(C:C,Sheet4!A:C,2,0)</f>
        <v>اوتلاندر</v>
      </c>
    </row>
    <row r="1051" spans="1:8" ht="14.4">
      <c r="A1051" s="18" t="s">
        <v>111</v>
      </c>
      <c r="B1051" s="18" t="s">
        <v>117</v>
      </c>
      <c r="C1051" s="18" t="s">
        <v>1438</v>
      </c>
      <c r="D1051" s="19" t="str">
        <f ca="1">IFERROR(__xludf.DUMMYFUNCTION("GOOGLETRANSLATE(A1051, ""ar"", ""en"")"),"Mitsubishi")</f>
        <v>Mitsubishi</v>
      </c>
      <c r="E1051" s="19" t="str">
        <f ca="1">IFERROR(__xludf.DUMMYFUNCTION("GOOGLETRANSLATE(B1051,""ar"",""en"")"),"Win")</f>
        <v>Win</v>
      </c>
      <c r="F1051" s="19" t="str">
        <f ca="1">IFERROR(__xludf.DUMMYFUNCTION("GOOGLETRANSLATE(C1051,""ar"",""en"")"),"Canter FA9AG")</f>
        <v>Canter FA9AG</v>
      </c>
      <c r="G1051" t="e">
        <f ca="1">VLOOKUP(F:F,matching_transelated_with_ref!A:C,2,0)</f>
        <v>#N/A</v>
      </c>
      <c r="H1051" t="str">
        <f>VLOOKUP(C:C,Sheet4!A:C,2,0)</f>
        <v>اف جي</v>
      </c>
    </row>
    <row r="1052" spans="1:8" ht="14.4">
      <c r="A1052" s="18" t="s">
        <v>111</v>
      </c>
      <c r="B1052" s="18" t="s">
        <v>117</v>
      </c>
      <c r="C1052" s="18" t="s">
        <v>119</v>
      </c>
      <c r="D1052" s="19" t="str">
        <f ca="1">IFERROR(__xludf.DUMMYFUNCTION("GOOGLETRANSLATE(A1052, ""ar"", ""en"")"),"Mitsubishi")</f>
        <v>Mitsubishi</v>
      </c>
      <c r="E1052" s="19" t="str">
        <f ca="1">IFERROR(__xludf.DUMMYFUNCTION("GOOGLETRANSLATE(B1052,""ar"",""en"")"),"Win")</f>
        <v>Win</v>
      </c>
      <c r="F1052" s="19" t="str">
        <f ca="1">IFERROR(__xludf.DUMMYFUNCTION("GOOGLETRANSLATE(C1052,""ar"",""en"")"),"Canter FI 84 CG6L")</f>
        <v>Canter FI 84 CG6L</v>
      </c>
      <c r="G1052" t="e">
        <f ca="1">VLOOKUP(F:F,matching_transelated_with_ref!A:C,2,0)</f>
        <v>#N/A</v>
      </c>
      <c r="H1052" t="str">
        <f>VLOOKUP(C:C,Sheet4!A:C,2,0)</f>
        <v>اف جي</v>
      </c>
    </row>
    <row r="1053" spans="1:8" ht="14.4">
      <c r="A1053" s="18" t="s">
        <v>111</v>
      </c>
      <c r="B1053" s="18" t="s">
        <v>111</v>
      </c>
      <c r="C1053" s="18" t="s">
        <v>1002</v>
      </c>
      <c r="D1053" s="19" t="str">
        <f ca="1">IFERROR(__xludf.DUMMYFUNCTION("GOOGLETRANSLATE(A1053, ""ar"", ""en"")"),"Mitsubishi")</f>
        <v>Mitsubishi</v>
      </c>
      <c r="E1053" s="19" t="str">
        <f ca="1">IFERROR(__xludf.DUMMYFUNCTION("GOOGLETRANSLATE(B1053,""ar"",""en"")"),"Mitsubishi")</f>
        <v>Mitsubishi</v>
      </c>
      <c r="F1053" s="19" t="str">
        <f ca="1">IFERROR(__xludf.DUMMYFUNCTION("GOOGLETRANSLATE(C1053,""ar"",""en"")"),"Estate four -wheel drive")</f>
        <v>Estate four -wheel drive</v>
      </c>
      <c r="G1053" t="e">
        <f ca="1">VLOOKUP(F:F,matching_transelated_with_ref!A:C,2,0)</f>
        <v>#N/A</v>
      </c>
      <c r="H1053" t="str">
        <f>VLOOKUP(C:C,Sheet4!A:C,2,0)</f>
        <v>اوتلاندر</v>
      </c>
    </row>
    <row r="1054" spans="1:8" ht="14.4">
      <c r="A1054" s="18" t="s">
        <v>111</v>
      </c>
      <c r="B1054" s="18" t="s">
        <v>752</v>
      </c>
      <c r="C1054" s="18" t="s">
        <v>753</v>
      </c>
      <c r="D1054" s="19" t="str">
        <f ca="1">IFERROR(__xludf.DUMMYFUNCTION("GOOGLETRANSLATE(A1054, ""ar"", ""en"")"),"Mitsubishi")</f>
        <v>Mitsubishi</v>
      </c>
      <c r="E1054" s="19" t="str">
        <f ca="1">IFERROR(__xludf.DUMMYFUNCTION("GOOGLETRANSLATE(B1054,""ar"",""en"")"),"Canter")</f>
        <v>Canter</v>
      </c>
      <c r="F1054" s="19" t="str">
        <f ca="1">IFERROR(__xludf.DUMMYFUNCTION("GOOGLETRANSLATE(C1054,""ar"",""en"")"),"FA85 CG 4 x 2")</f>
        <v>FA85 CG 4 x 2</v>
      </c>
      <c r="G1054" t="e">
        <f ca="1">VLOOKUP(F:F,matching_transelated_with_ref!A:C,2,0)</f>
        <v>#N/A</v>
      </c>
      <c r="H1054" t="e">
        <f>VLOOKUP(C:C,Sheet4!A:C,2,0)</f>
        <v>#N/A</v>
      </c>
    </row>
    <row r="1055" spans="1:8" ht="14.4">
      <c r="A1055" s="18" t="s">
        <v>111</v>
      </c>
      <c r="B1055" s="18" t="s">
        <v>117</v>
      </c>
      <c r="C1055" s="18" t="s">
        <v>1435</v>
      </c>
      <c r="D1055" s="19" t="str">
        <f ca="1">IFERROR(__xludf.DUMMYFUNCTION("GOOGLETRANSLATE(A1055, ""ar"", ""en"")"),"Mitsubishi")</f>
        <v>Mitsubishi</v>
      </c>
      <c r="E1055" s="19" t="str">
        <f ca="1">IFERROR(__xludf.DUMMYFUNCTION("GOOGLETRANSLATE(B1055,""ar"",""en"")"),"Win")</f>
        <v>Win</v>
      </c>
      <c r="F1055" s="19" t="str">
        <f ca="1">IFERROR(__xludf.DUMMYFUNCTION("GOOGLETRANSLATE(C1055,""ar"",""en"")"),"Canter FI 84 CG 4 x 2")</f>
        <v>Canter FI 84 CG 4 x 2</v>
      </c>
      <c r="G1055" t="e">
        <f ca="1">VLOOKUP(F:F,matching_transelated_with_ref!A:C,2,0)</f>
        <v>#N/A</v>
      </c>
      <c r="H1055" t="str">
        <f>VLOOKUP(C:C,Sheet4!A:C,2,0)</f>
        <v>اف جي</v>
      </c>
    </row>
    <row r="1056" spans="1:8" ht="14.4">
      <c r="A1056" s="18" t="s">
        <v>111</v>
      </c>
      <c r="B1056" s="18" t="s">
        <v>117</v>
      </c>
      <c r="C1056" s="18" t="s">
        <v>994</v>
      </c>
      <c r="D1056" s="19" t="str">
        <f ca="1">IFERROR(__xludf.DUMMYFUNCTION("GOOGLETRANSLATE(A1056, ""ar"", ""en"")"),"Mitsubishi")</f>
        <v>Mitsubishi</v>
      </c>
      <c r="E1056" s="19" t="str">
        <f ca="1">IFERROR(__xludf.DUMMYFUNCTION("GOOGLETRANSLATE(B1056,""ar"",""en"")"),"Win")</f>
        <v>Win</v>
      </c>
      <c r="F1056" s="19" t="str">
        <f ca="1">IFERROR(__xludf.DUMMYFUNCTION("GOOGLETRANSLATE(C1056,""ar"",""en"")"),"Canter 4*2")</f>
        <v>Canter 4*2</v>
      </c>
      <c r="G1056" t="e">
        <f ca="1">VLOOKUP(F:F,matching_transelated_with_ref!A:C,2,0)</f>
        <v>#N/A</v>
      </c>
      <c r="H1056" t="str">
        <f>VLOOKUP(C:C,Sheet4!A:C,2,0)</f>
        <v xml:space="preserve">كانتر </v>
      </c>
    </row>
    <row r="1057" spans="1:8" ht="14.4">
      <c r="A1057" s="18" t="s">
        <v>111</v>
      </c>
      <c r="B1057" s="18" t="s">
        <v>117</v>
      </c>
      <c r="C1057" s="18" t="s">
        <v>1437</v>
      </c>
      <c r="D1057" s="19" t="str">
        <f ca="1">IFERROR(__xludf.DUMMYFUNCTION("GOOGLETRANSLATE(A1057, ""ar"", ""en"")"),"Mitsubishi")</f>
        <v>Mitsubishi</v>
      </c>
      <c r="E1057" s="19" t="str">
        <f ca="1">IFERROR(__xludf.DUMMYFUNCTION("GOOGLETRANSLATE(B1057,""ar"",""en"")"),"Win")</f>
        <v>Win</v>
      </c>
      <c r="F1057" s="19" t="str">
        <f ca="1">IFERROR(__xludf.DUMMYFUNCTION("GOOGLETRANSLATE(C1057,""ar"",""en"")"),"Canter FA7A C")</f>
        <v>Canter FA7A C</v>
      </c>
      <c r="G1057" t="e">
        <f ca="1">VLOOKUP(F:F,matching_transelated_with_ref!A:C,2,0)</f>
        <v>#N/A</v>
      </c>
      <c r="H1057" t="str">
        <f>VLOOKUP(C:C,Sheet4!A:C,2,0)</f>
        <v xml:space="preserve">كانتر </v>
      </c>
    </row>
    <row r="1058" spans="1:8" ht="14.4">
      <c r="A1058" s="18" t="s">
        <v>111</v>
      </c>
      <c r="B1058" s="18" t="s">
        <v>111</v>
      </c>
      <c r="C1058" s="18" t="s">
        <v>1447</v>
      </c>
      <c r="D1058" s="19" t="str">
        <f ca="1">IFERROR(__xludf.DUMMYFUNCTION("GOOGLETRANSLATE(A1058, ""ar"", ""en"")"),"Mitsubishi")</f>
        <v>Mitsubishi</v>
      </c>
      <c r="E1058" s="19" t="str">
        <f ca="1">IFERROR(__xludf.DUMMYFUNCTION("GOOGLETRANSLATE(B1058,""ar"",""en"")"),"Mitsubishi")</f>
        <v>Mitsubishi</v>
      </c>
      <c r="F1058" s="19" t="str">
        <f ca="1">IFERROR(__xludf.DUMMYFUNCTION("GOOGLETRANSLATE(C1058,""ar"",""en"")"),"The 200 four -wheel drive diesel 2.4")</f>
        <v>The 200 four -wheel drive diesel 2.4</v>
      </c>
      <c r="G1058" t="e">
        <f ca="1">VLOOKUP(F:F,matching_transelated_with_ref!A:C,2,0)</f>
        <v>#N/A</v>
      </c>
      <c r="H1058" t="e">
        <f>VLOOKUP(C:C,Sheet4!A:C,2,0)</f>
        <v>#N/A</v>
      </c>
    </row>
    <row r="1059" spans="1:8" ht="14.4">
      <c r="A1059" s="18" t="s">
        <v>111</v>
      </c>
      <c r="B1059" s="18" t="s">
        <v>111</v>
      </c>
      <c r="C1059" s="18" t="s">
        <v>1441</v>
      </c>
      <c r="D1059" s="19" t="str">
        <f ca="1">IFERROR(__xludf.DUMMYFUNCTION("GOOGLETRANSLATE(A1059, ""ar"", ""en"")"),"Mitsubishi")</f>
        <v>Mitsubishi</v>
      </c>
      <c r="E1059" s="19" t="str">
        <f ca="1">IFERROR(__xludf.DUMMYFUNCTION("GOOGLETRANSLATE(B1059,""ar"",""en"")"),"Mitsubishi")</f>
        <v>Mitsubishi</v>
      </c>
      <c r="F1059" s="19" t="str">
        <f ca="1">IFERROR(__xludf.DUMMYFUNCTION("GOOGLETRANSLATE(C1059,""ar"",""en"")"),"Croes Cross 1.5 liters")</f>
        <v>Croes Cross 1.5 liters</v>
      </c>
      <c r="G1059" t="e">
        <f ca="1">VLOOKUP(F:F,matching_transelated_with_ref!A:C,2,0)</f>
        <v>#N/A</v>
      </c>
      <c r="H1059" t="str">
        <f>VLOOKUP(C:C,Sheet4!A:C,2,0)</f>
        <v xml:space="preserve"> اكلبس كروس</v>
      </c>
    </row>
    <row r="1060" spans="1:8" ht="14.4">
      <c r="A1060" s="18" t="s">
        <v>111</v>
      </c>
      <c r="B1060" s="18" t="s">
        <v>111</v>
      </c>
      <c r="C1060" s="18" t="s">
        <v>1216</v>
      </c>
      <c r="D1060" s="19" t="str">
        <f ca="1">IFERROR(__xludf.DUMMYFUNCTION("GOOGLETRANSLATE(A1060, ""ar"", ""en"")"),"Mitsubishi")</f>
        <v>Mitsubishi</v>
      </c>
      <c r="E1060" s="19" t="str">
        <f ca="1">IFERROR(__xludf.DUMMYFUNCTION("GOOGLETRANSLATE(B1060,""ar"",""en"")"),"Mitsubishi")</f>
        <v>Mitsubishi</v>
      </c>
      <c r="F1060" s="19" t="str">
        <f ca="1">IFERROR(__xludf.DUMMYFUNCTION("GOOGLETRANSLATE(C1060,""ar"",""en"")"),"Fawzu Canter FE 84 c")</f>
        <v>Fawzu Canter FE 84 c</v>
      </c>
      <c r="G1060" t="e">
        <f ca="1">VLOOKUP(F:F,matching_transelated_with_ref!A:C,2,0)</f>
        <v>#N/A</v>
      </c>
      <c r="H1060" t="e">
        <f>VLOOKUP(C:C,Sheet4!A:C,2,0)</f>
        <v>#N/A</v>
      </c>
    </row>
    <row r="1061" spans="1:8" ht="14.4">
      <c r="A1061" s="18" t="s">
        <v>111</v>
      </c>
      <c r="B1061" s="18" t="s">
        <v>117</v>
      </c>
      <c r="C1061" s="18" t="s">
        <v>990</v>
      </c>
      <c r="D1061" s="19" t="str">
        <f ca="1">IFERROR(__xludf.DUMMYFUNCTION("GOOGLETRANSLATE(A1061, ""ar"", ""en"")"),"Mitsubishi")</f>
        <v>Mitsubishi</v>
      </c>
      <c r="E1061" s="19" t="str">
        <f ca="1">IFERROR(__xludf.DUMMYFUNCTION("GOOGLETRANSLATE(B1061,""ar"",""en"")"),"Win")</f>
        <v>Win</v>
      </c>
      <c r="F1061" s="19" t="str">
        <f ca="1">IFERROR(__xludf.DUMMYFUNCTION("GOOGLETRANSLATE(C1061,""ar"",""en"")"),"FI 84 CG")</f>
        <v>FI 84 CG</v>
      </c>
      <c r="G1061" t="e">
        <f ca="1">VLOOKUP(F:F,matching_transelated_with_ref!A:C,2,0)</f>
        <v>#N/A</v>
      </c>
      <c r="H1061" t="str">
        <f>VLOOKUP(C:C,Sheet4!A:C,2,0)</f>
        <v>اف جي</v>
      </c>
    </row>
    <row r="1062" spans="1:8" ht="14.4">
      <c r="A1062" s="18" t="s">
        <v>111</v>
      </c>
      <c r="B1062" s="18" t="s">
        <v>111</v>
      </c>
      <c r="C1062" s="18" t="s">
        <v>754</v>
      </c>
      <c r="D1062" s="19" t="str">
        <f ca="1">IFERROR(__xludf.DUMMYFUNCTION("GOOGLETRANSLATE(A1062, ""ar"", ""en"")"),"Mitsubishi")</f>
        <v>Mitsubishi</v>
      </c>
      <c r="E1062" s="19" t="str">
        <f ca="1">IFERROR(__xludf.DUMMYFUNCTION("GOOGLETRANSLATE(B1062,""ar"",""en"")"),"Mitsubishi")</f>
        <v>Mitsubishi</v>
      </c>
      <c r="F1062" s="19" t="str">
        <f ca="1">IFERROR(__xludf.DUMMYFUNCTION("GOOGLETRANSLATE(C1062,""ar"",""en"")"),"Outlander")</f>
        <v>Outlander</v>
      </c>
      <c r="G1062" t="e">
        <f ca="1">VLOOKUP(F:F,matching_transelated_with_ref!A:C,2,0)</f>
        <v>#N/A</v>
      </c>
      <c r="H1062" t="str">
        <f>VLOOKUP(C:C,Sheet4!A:C,2,0)</f>
        <v>اوتلاندر</v>
      </c>
    </row>
    <row r="1063" spans="1:8" ht="14.4">
      <c r="A1063" s="18" t="s">
        <v>111</v>
      </c>
      <c r="B1063" s="18" t="s">
        <v>117</v>
      </c>
      <c r="C1063" s="18" t="s">
        <v>1436</v>
      </c>
      <c r="D1063" s="19" t="str">
        <f ca="1">IFERROR(__xludf.DUMMYFUNCTION("GOOGLETRANSLATE(A1063, ""ar"", ""en"")"),"Mitsubishi")</f>
        <v>Mitsubishi</v>
      </c>
      <c r="E1063" s="19" t="str">
        <f ca="1">IFERROR(__xludf.DUMMYFUNCTION("GOOGLETRANSLATE(B1063,""ar"",""en"")"),"Win")</f>
        <v>Win</v>
      </c>
      <c r="F1063" s="19" t="str">
        <f ca="1">IFERROR(__xludf.DUMMYFUNCTION("GOOGLETRANSLATE(C1063,""ar"",""en"")"),"Canter FA7A")</f>
        <v>Canter FA7A</v>
      </c>
      <c r="G1063" t="e">
        <f ca="1">VLOOKUP(F:F,matching_transelated_with_ref!A:C,2,0)</f>
        <v>#N/A</v>
      </c>
      <c r="H1063" t="str">
        <f>VLOOKUP(C:C,Sheet4!A:C,2,0)</f>
        <v xml:space="preserve">كانتر </v>
      </c>
    </row>
    <row r="1064" spans="1:8" ht="14.4">
      <c r="A1064" s="18" t="s">
        <v>111</v>
      </c>
      <c r="B1064" s="18" t="s">
        <v>752</v>
      </c>
      <c r="C1064" s="18" t="s">
        <v>1203</v>
      </c>
      <c r="D1064" s="19" t="str">
        <f ca="1">IFERROR(__xludf.DUMMYFUNCTION("GOOGLETRANSLATE(A1064, ""ar"", ""en"")"),"Mitsubishi")</f>
        <v>Mitsubishi</v>
      </c>
      <c r="E1064" s="19" t="str">
        <f ca="1">IFERROR(__xludf.DUMMYFUNCTION("GOOGLETRANSLATE(B1064,""ar"",""en"")"),"Canter")</f>
        <v>Canter</v>
      </c>
      <c r="F1064" s="19" t="str">
        <f ca="1">IFERROR(__xludf.DUMMYFUNCTION("GOOGLETRANSLATE(C1064,""ar"",""en"")"),"FA84C 4 x 2")</f>
        <v>FA84C 4 x 2</v>
      </c>
      <c r="G1064" t="e">
        <f ca="1">VLOOKUP(F:F,matching_transelated_with_ref!A:C,2,0)</f>
        <v>#N/A</v>
      </c>
      <c r="H1064" t="e">
        <f>VLOOKUP(C:C,Sheet4!A:C,2,0)</f>
        <v>#N/A</v>
      </c>
    </row>
    <row r="1065" spans="1:8" ht="14.4">
      <c r="A1065" s="18" t="s">
        <v>111</v>
      </c>
      <c r="B1065" s="18" t="s">
        <v>111</v>
      </c>
      <c r="C1065" s="18" t="s">
        <v>760</v>
      </c>
      <c r="D1065" s="19" t="str">
        <f ca="1">IFERROR(__xludf.DUMMYFUNCTION("GOOGLETRANSLATE(A1065, ""ar"", ""en"")"),"Mitsubishi")</f>
        <v>Mitsubishi</v>
      </c>
      <c r="E1065" s="19" t="str">
        <f ca="1">IFERROR(__xludf.DUMMYFUNCTION("GOOGLETRANSLATE(B1065,""ar"",""en"")"),"Mitsubishi")</f>
        <v>Mitsubishi</v>
      </c>
      <c r="F1065" s="19" t="str">
        <f ca="1">IFERROR(__xludf.DUMMYFUNCTION("GOOGLETRANSLATE(C1065,""ar"",""en"")"),"Canter FI 84 CG")</f>
        <v>Canter FI 84 CG</v>
      </c>
      <c r="G1065" t="e">
        <f ca="1">VLOOKUP(F:F,matching_transelated_with_ref!A:C,2,0)</f>
        <v>#N/A</v>
      </c>
      <c r="H1065" t="str">
        <f>VLOOKUP(C:C,Sheet4!A:C,2,0)</f>
        <v>اف جي</v>
      </c>
    </row>
    <row r="1066" spans="1:8" ht="14.4">
      <c r="A1066" s="18" t="s">
        <v>111</v>
      </c>
      <c r="B1066" s="18" t="s">
        <v>111</v>
      </c>
      <c r="C1066" s="18" t="s">
        <v>996</v>
      </c>
      <c r="D1066" s="19" t="str">
        <f ca="1">IFERROR(__xludf.DUMMYFUNCTION("GOOGLETRANSLATE(A1066, ""ar"", ""en"")"),"Mitsubishi")</f>
        <v>Mitsubishi</v>
      </c>
      <c r="E1066" s="19" t="str">
        <f ca="1">IFERROR(__xludf.DUMMYFUNCTION("GOOGLETRANSLATE(B1066,""ar"",""en"")"),"Mitsubishi")</f>
        <v>Mitsubishi</v>
      </c>
      <c r="F1066" s="19" t="str">
        <f ca="1">IFERROR(__xludf.DUMMYFUNCTION("GOOGLETRANSLATE(C1066,""ar"",""en"")"),"Cross Cross 1.5 liters pay a")</f>
        <v>Cross Cross 1.5 liters pay a</v>
      </c>
      <c r="G1066" t="e">
        <f ca="1">VLOOKUP(F:F,matching_transelated_with_ref!A:C,2,0)</f>
        <v>#N/A</v>
      </c>
      <c r="H1066" t="str">
        <f>VLOOKUP(C:C,Sheet4!A:C,2,0)</f>
        <v xml:space="preserve"> اكلبس كروس</v>
      </c>
    </row>
    <row r="1067" spans="1:8" ht="14.4">
      <c r="A1067" s="18" t="s">
        <v>111</v>
      </c>
      <c r="B1067" s="18" t="s">
        <v>111</v>
      </c>
      <c r="C1067" s="18" t="s">
        <v>1207</v>
      </c>
      <c r="D1067" s="19" t="str">
        <f ca="1">IFERROR(__xludf.DUMMYFUNCTION("GOOGLETRANSLATE(A1067, ""ar"", ""en"")"),"Mitsubishi")</f>
        <v>Mitsubishi</v>
      </c>
      <c r="E1067" s="19" t="str">
        <f ca="1">IFERROR(__xludf.DUMMYFUNCTION("GOOGLETRANSLATE(B1067,""ar"",""en"")"),"Mitsubishi")</f>
        <v>Mitsubishi</v>
      </c>
      <c r="F1067" s="19" t="str">
        <f ca="1">IFERROR(__xludf.DUMMYFUNCTION("GOOGLETRANSLATE(C1067,""ar"",""en"")"),"Croes Cross 1.5 liters pay R.")</f>
        <v>Croes Cross 1.5 liters pay R.</v>
      </c>
      <c r="G1067" t="e">
        <f ca="1">VLOOKUP(F:F,matching_transelated_with_ref!A:C,2,0)</f>
        <v>#N/A</v>
      </c>
      <c r="H1067" t="str">
        <f>VLOOKUP(C:C,Sheet4!A:C,2,0)</f>
        <v xml:space="preserve"> اكلبس كروس</v>
      </c>
    </row>
    <row r="1068" spans="1:8" ht="14.4">
      <c r="A1068" s="18" t="s">
        <v>111</v>
      </c>
      <c r="B1068" s="18" t="s">
        <v>111</v>
      </c>
      <c r="C1068" s="18" t="s">
        <v>1206</v>
      </c>
      <c r="D1068" s="19" t="str">
        <f ca="1">IFERROR(__xludf.DUMMYFUNCTION("GOOGLETRANSLATE(A1068, ""ar"", ""en"")"),"Mitsubishi")</f>
        <v>Mitsubishi</v>
      </c>
      <c r="E1068" s="19" t="str">
        <f ca="1">IFERROR(__xludf.DUMMYFUNCTION("GOOGLETRANSLATE(B1068,""ar"",""en"")"),"Mitsubishi")</f>
        <v>Mitsubishi</v>
      </c>
      <c r="F1068" s="19" t="str">
        <f ca="1">IFERROR(__xludf.DUMMYFUNCTION("GOOGLETRANSLATE(C1068,""ar"",""en"")"),"Cross Cross 1.5 liters pay a")</f>
        <v>Cross Cross 1.5 liters pay a</v>
      </c>
      <c r="G1068" t="e">
        <f ca="1">VLOOKUP(F:F,matching_transelated_with_ref!A:C,2,0)</f>
        <v>#N/A</v>
      </c>
      <c r="H1068" t="str">
        <f>VLOOKUP(C:C,Sheet4!A:C,2,0)</f>
        <v xml:space="preserve"> اكلبس كروس</v>
      </c>
    </row>
    <row r="1069" spans="1:8" ht="14.4">
      <c r="A1069" s="18" t="s">
        <v>111</v>
      </c>
      <c r="B1069" s="18" t="s">
        <v>8</v>
      </c>
      <c r="C1069" s="18" t="s">
        <v>475</v>
      </c>
      <c r="D1069" s="19" t="str">
        <f ca="1">IFERROR(__xludf.DUMMYFUNCTION("GOOGLETRANSLATE(A1069, ""ar"", ""en"")"),"Mitsubishi")</f>
        <v>Mitsubishi</v>
      </c>
      <c r="E1069" s="19" t="str">
        <f ca="1">IFERROR(__xludf.DUMMYFUNCTION("GOOGLETRANSLATE(B1069,""ar"",""en"")"),"-")</f>
        <v>-</v>
      </c>
      <c r="F1069" s="19" t="str">
        <f ca="1">IFERROR(__xludf.DUMMYFUNCTION("GOOGLETRANSLATE(C1069,""ar"",""en"")"),"Outlander 4 x 4")</f>
        <v>Outlander 4 x 4</v>
      </c>
      <c r="G1069" t="e">
        <f ca="1">VLOOKUP(F:F,matching_transelated_with_ref!A:C,2,0)</f>
        <v>#N/A</v>
      </c>
      <c r="H1069" t="str">
        <f>VLOOKUP(C:C,Sheet4!A:C,2,0)</f>
        <v>اوتلاندر</v>
      </c>
    </row>
    <row r="1070" spans="1:8" ht="14.4">
      <c r="A1070" s="18" t="s">
        <v>111</v>
      </c>
      <c r="B1070" s="18" t="s">
        <v>111</v>
      </c>
      <c r="C1070" s="18" t="s">
        <v>478</v>
      </c>
      <c r="D1070" s="19" t="str">
        <f ca="1">IFERROR(__xludf.DUMMYFUNCTION("GOOGLETRANSLATE(A1070, ""ar"", ""en"")"),"Mitsubishi")</f>
        <v>Mitsubishi</v>
      </c>
      <c r="E1070" s="19" t="str">
        <f ca="1">IFERROR(__xludf.DUMMYFUNCTION("GOOGLETRANSLATE(B1070,""ar"",""en"")"),"Mitsubishi")</f>
        <v>Mitsubishi</v>
      </c>
      <c r="F1070" s="19" t="str">
        <f ca="1">IFERROR(__xludf.DUMMYFUNCTION("GOOGLETRANSLATE(C1070,""ar"",""en"")"),"Croes Cross 1.5 liters")</f>
        <v>Croes Cross 1.5 liters</v>
      </c>
      <c r="G1070" t="e">
        <f ca="1">VLOOKUP(F:F,matching_transelated_with_ref!A:C,2,0)</f>
        <v>#N/A</v>
      </c>
      <c r="H1070" t="str">
        <f>VLOOKUP(C:C,Sheet4!A:C,2,0)</f>
        <v xml:space="preserve"> اكلبس كروس</v>
      </c>
    </row>
    <row r="1071" spans="1:8" ht="14.4">
      <c r="A1071" s="18" t="s">
        <v>111</v>
      </c>
      <c r="B1071" s="18" t="s">
        <v>111</v>
      </c>
      <c r="C1071" s="18" t="s">
        <v>1217</v>
      </c>
      <c r="D1071" s="19" t="str">
        <f ca="1">IFERROR(__xludf.DUMMYFUNCTION("GOOGLETRANSLATE(A1071, ""ar"", ""en"")"),"Mitsubishi")</f>
        <v>Mitsubishi</v>
      </c>
      <c r="E1071" s="19" t="str">
        <f ca="1">IFERROR(__xludf.DUMMYFUNCTION("GOOGLETRANSLATE(B1071,""ar"",""en"")"),"Mitsubishi")</f>
        <v>Mitsubishi</v>
      </c>
      <c r="F1071" s="19" t="str">
        <f ca="1">IFERROR(__xludf.DUMMYFUNCTION("GOOGLETRANSLATE(C1071,""ar"",""en"")"),"Fawzu Canter FI 84 C C")</f>
        <v>Fawzu Canter FI 84 C C</v>
      </c>
      <c r="G1071" t="e">
        <f ca="1">VLOOKUP(F:F,matching_transelated_with_ref!A:C,2,0)</f>
        <v>#N/A</v>
      </c>
      <c r="H1071" t="e">
        <f>VLOOKUP(C:C,Sheet4!A:C,2,0)</f>
        <v>#N/A</v>
      </c>
    </row>
    <row r="1072" spans="1:8" ht="14.4">
      <c r="A1072" s="18" t="s">
        <v>111</v>
      </c>
      <c r="B1072" s="18" t="s">
        <v>117</v>
      </c>
      <c r="C1072" s="18" t="s">
        <v>993</v>
      </c>
      <c r="D1072" s="19" t="str">
        <f ca="1">IFERROR(__xludf.DUMMYFUNCTION("GOOGLETRANSLATE(A1072, ""ar"", ""en"")"),"Mitsubishi")</f>
        <v>Mitsubishi</v>
      </c>
      <c r="E1072" s="19" t="str">
        <f ca="1">IFERROR(__xludf.DUMMYFUNCTION("GOOGLETRANSLATE(B1072,""ar"",""en"")"),"Win")</f>
        <v>Win</v>
      </c>
      <c r="F1072" s="19" t="str">
        <f ca="1">IFERROR(__xludf.DUMMYFUNCTION("GOOGLETRANSLATE(C1072,""ar"",""en"")"),"BI 637 J.")</f>
        <v>BI 637 J.</v>
      </c>
      <c r="G1072" t="e">
        <f ca="1">VLOOKUP(F:F,matching_transelated_with_ref!A:C,2,0)</f>
        <v>#N/A</v>
      </c>
      <c r="H1072" t="e">
        <f>VLOOKUP(C:C,Sheet4!A:C,2,0)</f>
        <v>#N/A</v>
      </c>
    </row>
    <row r="1073" spans="1:8" ht="14.4">
      <c r="A1073" s="18" t="s">
        <v>111</v>
      </c>
      <c r="B1073" s="18" t="s">
        <v>117</v>
      </c>
      <c r="C1073" s="18" t="s">
        <v>995</v>
      </c>
      <c r="D1073" s="19" t="str">
        <f ca="1">IFERROR(__xludf.DUMMYFUNCTION("GOOGLETRANSLATE(A1073, ""ar"", ""en"")"),"Mitsubishi")</f>
        <v>Mitsubishi</v>
      </c>
      <c r="E1073" s="19" t="str">
        <f ca="1">IFERROR(__xludf.DUMMYFUNCTION("GOOGLETRANSLATE(B1073,""ar"",""en"")"),"Win")</f>
        <v>Win</v>
      </c>
      <c r="F1073" s="19" t="str">
        <f ca="1">IFERROR(__xludf.DUMMYFUNCTION("GOOGLETRANSLATE(C1073,""ar"",""en"")"),"Canter 4*2")</f>
        <v>Canter 4*2</v>
      </c>
      <c r="G1073" t="e">
        <f ca="1">VLOOKUP(F:F,matching_transelated_with_ref!A:C,2,0)</f>
        <v>#N/A</v>
      </c>
      <c r="H1073" t="str">
        <f>VLOOKUP(C:C,Sheet4!A:C,2,0)</f>
        <v xml:space="preserve">كانتر </v>
      </c>
    </row>
    <row r="1074" spans="1:8" ht="14.4">
      <c r="A1074" s="18" t="s">
        <v>111</v>
      </c>
      <c r="B1074" s="18" t="s">
        <v>111</v>
      </c>
      <c r="C1074" s="18" t="s">
        <v>1003</v>
      </c>
      <c r="D1074" s="19" t="str">
        <f ca="1">IFERROR(__xludf.DUMMYFUNCTION("GOOGLETRANSLATE(A1074, ""ar"", ""en"")"),"Mitsubishi")</f>
        <v>Mitsubishi</v>
      </c>
      <c r="E1074" s="19" t="str">
        <f ca="1">IFERROR(__xludf.DUMMYFUNCTION("GOOGLETRANSLATE(B1074,""ar"",""en"")"),"Mitsubishi")</f>
        <v>Mitsubishi</v>
      </c>
      <c r="F1074" s="19" t="str">
        <f ca="1">IFERROR(__xludf.DUMMYFUNCTION("GOOGLETRANSLATE(C1074,""ar"",""en"")"),"IXX four -wheel drive")</f>
        <v>IXX four -wheel drive</v>
      </c>
      <c r="G1074" t="e">
        <f ca="1">VLOOKUP(F:F,matching_transelated_with_ref!A:C,2,0)</f>
        <v>#N/A</v>
      </c>
      <c r="H1074" t="e">
        <f>VLOOKUP(C:C,Sheet4!A:C,2,0)</f>
        <v>#N/A</v>
      </c>
    </row>
    <row r="1075" spans="1:8" ht="14.4">
      <c r="A1075" s="18" t="s">
        <v>111</v>
      </c>
      <c r="B1075" s="18" t="s">
        <v>111</v>
      </c>
      <c r="C1075" s="18" t="s">
        <v>1450</v>
      </c>
      <c r="D1075" s="19" t="str">
        <f ca="1">IFERROR(__xludf.DUMMYFUNCTION("GOOGLETRANSLATE(A1075, ""ar"", ""en"")"),"Mitsubishi")</f>
        <v>Mitsubishi</v>
      </c>
      <c r="E1075" s="19" t="str">
        <f ca="1">IFERROR(__xludf.DUMMYFUNCTION("GOOGLETRANSLATE(B1075,""ar"",""en"")"),"Mitsubishi")</f>
        <v>Mitsubishi</v>
      </c>
      <c r="F1075" s="19" t="str">
        <f ca="1">IFERROR(__xludf.DUMMYFUNCTION("GOOGLETRANSLATE(C1075,""ar"",""en"")"),"AXX 2 liters pay usury")</f>
        <v>AXX 2 liters pay usury</v>
      </c>
      <c r="G1075" t="e">
        <f ca="1">VLOOKUP(F:F,matching_transelated_with_ref!A:C,2,0)</f>
        <v>#N/A</v>
      </c>
      <c r="H1075" t="e">
        <f>VLOOKUP(C:C,Sheet4!A:C,2,0)</f>
        <v>#N/A</v>
      </c>
    </row>
    <row r="1076" spans="1:8" ht="14.4">
      <c r="A1076" s="18" t="s">
        <v>111</v>
      </c>
      <c r="B1076" s="18" t="s">
        <v>117</v>
      </c>
      <c r="C1076" s="18" t="s">
        <v>989</v>
      </c>
      <c r="D1076" s="19" t="str">
        <f ca="1">IFERROR(__xludf.DUMMYFUNCTION("GOOGLETRANSLATE(A1076, ""ar"", ""en"")"),"Mitsubishi")</f>
        <v>Mitsubishi</v>
      </c>
      <c r="E1076" s="19" t="str">
        <f ca="1">IFERROR(__xludf.DUMMYFUNCTION("GOOGLETRANSLATE(B1076,""ar"",""en"")"),"Win")</f>
        <v>Win</v>
      </c>
      <c r="F1076" s="19" t="str">
        <f ca="1">IFERROR(__xludf.DUMMYFUNCTION("GOOGLETRANSLATE(C1076,""ar"",""en"")"),"FI 84 CI")</f>
        <v>FI 84 CI</v>
      </c>
      <c r="G1076" t="e">
        <f ca="1">VLOOKUP(F:F,matching_transelated_with_ref!A:C,2,0)</f>
        <v>#N/A</v>
      </c>
      <c r="H1076" t="e">
        <f>VLOOKUP(C:C,Sheet4!A:C,2,0)</f>
        <v>#N/A</v>
      </c>
    </row>
    <row r="1077" spans="1:8" ht="14.4">
      <c r="A1077" s="18" t="s">
        <v>111</v>
      </c>
      <c r="B1077" s="18" t="s">
        <v>111</v>
      </c>
      <c r="C1077" s="18" t="s">
        <v>1445</v>
      </c>
      <c r="D1077" s="19" t="str">
        <f ca="1">IFERROR(__xludf.DUMMYFUNCTION("GOOGLETRANSLATE(A1077, ""ar"", ""en"")"),"Mitsubishi")</f>
        <v>Mitsubishi</v>
      </c>
      <c r="E1077" s="19" t="str">
        <f ca="1">IFERROR(__xludf.DUMMYFUNCTION("GOOGLETRANSLATE(B1077,""ar"",""en"")"),"Mitsubishi")</f>
        <v>Mitsubishi</v>
      </c>
      <c r="F1077" s="19" t="str">
        <f ca="1">IFERROR(__xludf.DUMMYFUNCTION("GOOGLETRANSLATE(C1077,""ar"",""en"")"),"The 200 Betrand Busory 2.")</f>
        <v>The 200 Betrand Busory 2.</v>
      </c>
      <c r="G1077" t="e">
        <f ca="1">VLOOKUP(F:F,matching_transelated_with_ref!A:C,2,0)</f>
        <v>#N/A</v>
      </c>
      <c r="H1077">
        <f>VLOOKUP(C:C,Sheet4!A:C,2,0)</f>
        <v>2</v>
      </c>
    </row>
    <row r="1078" spans="1:8" ht="14.4">
      <c r="A1078" s="18" t="s">
        <v>111</v>
      </c>
      <c r="B1078" s="18" t="s">
        <v>111</v>
      </c>
      <c r="C1078" s="18" t="s">
        <v>1211</v>
      </c>
      <c r="D1078" s="19" t="str">
        <f ca="1">IFERROR(__xludf.DUMMYFUNCTION("GOOGLETRANSLATE(A1078, ""ar"", ""en"")"),"Mitsubishi")</f>
        <v>Mitsubishi</v>
      </c>
      <c r="E1078" s="19" t="str">
        <f ca="1">IFERROR(__xludf.DUMMYFUNCTION("GOOGLETRANSLATE(B1078,""ar"",""en"")"),"Mitsubishi")</f>
        <v>Mitsubishi</v>
      </c>
      <c r="F1078" s="19" t="str">
        <f ca="1">IFERROR(__xludf.DUMMYFUNCTION("GOOGLETRANSLATE(C1078,""ar"",""en"")"),"The 200 four -wheel drive diesel 2.4")</f>
        <v>The 200 four -wheel drive diesel 2.4</v>
      </c>
      <c r="G1078" t="e">
        <f ca="1">VLOOKUP(F:F,matching_transelated_with_ref!A:C,2,0)</f>
        <v>#N/A</v>
      </c>
      <c r="H1078" t="e">
        <f>VLOOKUP(C:C,Sheet4!A:C,2,0)</f>
        <v>#N/A</v>
      </c>
    </row>
    <row r="1079" spans="1:8" ht="14.4">
      <c r="A1079" s="18" t="s">
        <v>111</v>
      </c>
      <c r="B1079" s="18" t="s">
        <v>111</v>
      </c>
      <c r="C1079" s="18" t="s">
        <v>1000</v>
      </c>
      <c r="D1079" s="19" t="str">
        <f ca="1">IFERROR(__xludf.DUMMYFUNCTION("GOOGLETRANSLATE(A1079, ""ar"", ""en"")"),"Mitsubishi")</f>
        <v>Mitsubishi</v>
      </c>
      <c r="E1079" s="19" t="str">
        <f ca="1">IFERROR(__xludf.DUMMYFUNCTION("GOOGLETRANSLATE(B1079,""ar"",""en"")"),"Mitsubishi")</f>
        <v>Mitsubishi</v>
      </c>
      <c r="F1079" s="19" t="str">
        <f ca="1">IFERROR(__xludf.DUMMYFUNCTION("GOOGLETRANSLATE(C1079,""ar"",""en"")"),"The 200 diesel 2.4 liters")</f>
        <v>The 200 diesel 2.4 liters</v>
      </c>
      <c r="G1079" t="e">
        <f ca="1">VLOOKUP(F:F,matching_transelated_with_ref!A:C,2,0)</f>
        <v>#N/A</v>
      </c>
      <c r="H1079" t="e">
        <f>VLOOKUP(C:C,Sheet4!A:C,2,0)</f>
        <v>#N/A</v>
      </c>
    </row>
    <row r="1080" spans="1:8" ht="14.4">
      <c r="A1080" s="18" t="s">
        <v>111</v>
      </c>
      <c r="B1080" s="18" t="s">
        <v>111</v>
      </c>
      <c r="C1080" s="18" t="s">
        <v>999</v>
      </c>
      <c r="D1080" s="19" t="str">
        <f ca="1">IFERROR(__xludf.DUMMYFUNCTION("GOOGLETRANSLATE(A1080, ""ar"", ""en"")"),"Mitsubishi")</f>
        <v>Mitsubishi</v>
      </c>
      <c r="E1080" s="19" t="str">
        <f ca="1">IFERROR(__xludf.DUMMYFUNCTION("GOOGLETRANSLATE(B1080,""ar"",""en"")"),"Mitsubishi")</f>
        <v>Mitsubishi</v>
      </c>
      <c r="F1080" s="19" t="str">
        <f ca="1">IFERROR(__xludf.DUMMYFUNCTION("GOOGLETRANSLATE(C1080,""ar"",""en"")"),"The 200 2.4 -liter oil p.")</f>
        <v>The 200 2.4 -liter oil p.</v>
      </c>
      <c r="G1080" t="e">
        <f ca="1">VLOOKUP(F:F,matching_transelated_with_ref!A:C,2,0)</f>
        <v>#N/A</v>
      </c>
      <c r="H1080" t="e">
        <f>VLOOKUP(C:C,Sheet4!A:C,2,0)</f>
        <v>#N/A</v>
      </c>
    </row>
    <row r="1081" spans="1:8" ht="14.4">
      <c r="A1081" s="18" t="s">
        <v>111</v>
      </c>
      <c r="B1081" s="18" t="s">
        <v>111</v>
      </c>
      <c r="C1081" s="18" t="s">
        <v>1449</v>
      </c>
      <c r="D1081" s="19" t="str">
        <f ca="1">IFERROR(__xludf.DUMMYFUNCTION("GOOGLETRANSLATE(A1081, ""ar"", ""en"")"),"Mitsubishi")</f>
        <v>Mitsubishi</v>
      </c>
      <c r="E1081" s="19" t="str">
        <f ca="1">IFERROR(__xludf.DUMMYFUNCTION("GOOGLETRANSLATE(B1081,""ar"",""en"")"),"Mitsubishi")</f>
        <v>Mitsubishi</v>
      </c>
      <c r="F1081" s="19" t="str">
        <f ca="1">IFERROR(__xludf.DUMMYFUNCTION("GOOGLETRANSLATE(C1081,""ar"",""en"")"),"AXX 2 liter of payment mother")</f>
        <v>AXX 2 liter of payment mother</v>
      </c>
      <c r="G1081" t="e">
        <f ca="1">VLOOKUP(F:F,matching_transelated_with_ref!A:C,2,0)</f>
        <v>#N/A</v>
      </c>
      <c r="H1081">
        <f>VLOOKUP(C:C,Sheet4!A:C,2,0)</f>
        <v>2</v>
      </c>
    </row>
    <row r="1082" spans="1:8" ht="14.4">
      <c r="A1082" s="18" t="s">
        <v>111</v>
      </c>
      <c r="B1082" s="18" t="s">
        <v>111</v>
      </c>
      <c r="C1082" s="18" t="s">
        <v>482</v>
      </c>
      <c r="D1082" s="19" t="str">
        <f ca="1">IFERROR(__xludf.DUMMYFUNCTION("GOOGLETRANSLATE(A1082, ""ar"", ""en"")"),"Mitsubishi")</f>
        <v>Mitsubishi</v>
      </c>
      <c r="E1082" s="19" t="str">
        <f ca="1">IFERROR(__xludf.DUMMYFUNCTION("GOOGLETRANSLATE(B1082,""ar"",""en"")"),"Mitsubishi")</f>
        <v>Mitsubishi</v>
      </c>
      <c r="F1082" s="19" t="str">
        <f ca="1">IFERROR(__xludf.DUMMYFUNCTION("GOOGLETRANSLATE(C1082,""ar"",""en"")"),"The 200 CAB 2.4")</f>
        <v>The 200 CAB 2.4</v>
      </c>
      <c r="G1082" t="e">
        <f ca="1">VLOOKUP(F:F,matching_transelated_with_ref!A:C,2,0)</f>
        <v>#N/A</v>
      </c>
      <c r="H1082" t="e">
        <f>VLOOKUP(C:C,Sheet4!A:C,2,0)</f>
        <v>#N/A</v>
      </c>
    </row>
    <row r="1083" spans="1:8" ht="14.4">
      <c r="A1083" s="18" t="s">
        <v>111</v>
      </c>
      <c r="B1083" s="18" t="s">
        <v>111</v>
      </c>
      <c r="C1083" s="18" t="s">
        <v>1214</v>
      </c>
      <c r="D1083" s="19" t="str">
        <f ca="1">IFERROR(__xludf.DUMMYFUNCTION("GOOGLETRANSLATE(A1083, ""ar"", ""en"")"),"Mitsubishi")</f>
        <v>Mitsubishi</v>
      </c>
      <c r="E1083" s="19" t="str">
        <f ca="1">IFERROR(__xludf.DUMMYFUNCTION("GOOGLETRANSLATE(B1083,""ar"",""en"")"),"Mitsubishi")</f>
        <v>Mitsubishi</v>
      </c>
      <c r="F1083" s="19" t="str">
        <f ca="1">IFERROR(__xludf.DUMMYFUNCTION("GOOGLETRANSLATE(C1083,""ar"",""en"")"),"IXX in front of me")</f>
        <v>IXX in front of me</v>
      </c>
      <c r="G1083" t="e">
        <f ca="1">VLOOKUP(F:F,matching_transelated_with_ref!A:C,2,0)</f>
        <v>#N/A</v>
      </c>
      <c r="H1083" t="e">
        <f>VLOOKUP(C:C,Sheet4!A:C,2,0)</f>
        <v>#N/A</v>
      </c>
    </row>
    <row r="1084" spans="1:8" ht="14.4">
      <c r="A1084" s="18" t="s">
        <v>111</v>
      </c>
      <c r="B1084" s="18" t="s">
        <v>111</v>
      </c>
      <c r="C1084" s="18" t="s">
        <v>755</v>
      </c>
      <c r="D1084" s="19" t="str">
        <f ca="1">IFERROR(__xludf.DUMMYFUNCTION("GOOGLETRANSLATE(A1084, ""ar"", ""en"")"),"Mitsubishi")</f>
        <v>Mitsubishi</v>
      </c>
      <c r="E1084" s="19" t="str">
        <f ca="1">IFERROR(__xludf.DUMMYFUNCTION("GOOGLETRANSLATE(B1084,""ar"",""en"")"),"Mitsubishi")</f>
        <v>Mitsubishi</v>
      </c>
      <c r="F1084" s="19" t="str">
        <f ca="1">IFERROR(__xludf.DUMMYFUNCTION("GOOGLETRANSLATE(C1084,""ar"",""en"")"),"ISX")</f>
        <v>ISX</v>
      </c>
      <c r="G1084" t="e">
        <f ca="1">VLOOKUP(F:F,matching_transelated_with_ref!A:C,2,0)</f>
        <v>#N/A</v>
      </c>
      <c r="H1084" t="e">
        <f>VLOOKUP(C:C,Sheet4!A:C,2,0)</f>
        <v>#N/A</v>
      </c>
    </row>
    <row r="1085" spans="1:8" ht="14.4">
      <c r="A1085" s="18" t="s">
        <v>111</v>
      </c>
      <c r="B1085" s="18" t="s">
        <v>111</v>
      </c>
      <c r="C1085" s="18" t="s">
        <v>1446</v>
      </c>
      <c r="D1085" s="19" t="str">
        <f ca="1">IFERROR(__xludf.DUMMYFUNCTION("GOOGLETRANSLATE(A1085, ""ar"", ""en"")"),"Mitsubishi")</f>
        <v>Mitsubishi</v>
      </c>
      <c r="E1085" s="19" t="str">
        <f ca="1">IFERROR(__xludf.DUMMYFUNCTION("GOOGLETRANSLATE(B1085,""ar"",""en"")"),"Mitsubishi")</f>
        <v>Mitsubishi</v>
      </c>
      <c r="F1085" s="19" t="str">
        <f ca="1">IFERROR(__xludf.DUMMYFUNCTION("GOOGLETRANSLATE(C1085,""ar"",""en"")"),"The 200 2.5 rear diesel")</f>
        <v>The 200 2.5 rear diesel</v>
      </c>
      <c r="G1085" t="e">
        <f ca="1">VLOOKUP(F:F,matching_transelated_with_ref!A:C,2,0)</f>
        <v>#N/A</v>
      </c>
      <c r="H1085">
        <f>VLOOKUP(C:C,Sheet4!A:C,2,0)</f>
        <v>2</v>
      </c>
    </row>
    <row r="1086" spans="1:8" ht="14.4">
      <c r="A1086" s="18" t="s">
        <v>111</v>
      </c>
      <c r="B1086" s="18" t="s">
        <v>111</v>
      </c>
      <c r="C1086" s="18" t="s">
        <v>1209</v>
      </c>
      <c r="D1086" s="19" t="str">
        <f ca="1">IFERROR(__xludf.DUMMYFUNCTION("GOOGLETRANSLATE(A1086, ""ar"", ""en"")"),"Mitsubishi")</f>
        <v>Mitsubishi</v>
      </c>
      <c r="E1086" s="19" t="str">
        <f ca="1">IFERROR(__xludf.DUMMYFUNCTION("GOOGLETRANSLATE(B1086,""ar"",""en"")"),"Mitsubishi")</f>
        <v>Mitsubishi</v>
      </c>
      <c r="F1086" s="19" t="str">
        <f ca="1">IFERROR(__xludf.DUMMYFUNCTION("GOOGLETRANSLATE(C1086,""ar"",""en"")"),"The 200 Back Back Gasoline 2.4")</f>
        <v>The 200 Back Back Gasoline 2.4</v>
      </c>
      <c r="G1086" t="e">
        <f ca="1">VLOOKUP(F:F,matching_transelated_with_ref!A:C,2,0)</f>
        <v>#N/A</v>
      </c>
      <c r="H1086" t="e">
        <f>VLOOKUP(C:C,Sheet4!A:C,2,0)</f>
        <v>#N/A</v>
      </c>
    </row>
    <row r="1087" spans="1:8" ht="14.4">
      <c r="A1087" s="18" t="s">
        <v>111</v>
      </c>
      <c r="B1087" s="18" t="s">
        <v>111</v>
      </c>
      <c r="C1087" s="18" t="s">
        <v>1444</v>
      </c>
      <c r="D1087" s="19" t="str">
        <f ca="1">IFERROR(__xludf.DUMMYFUNCTION("GOOGLETRANSLATE(A1087, ""ar"", ""en"")"),"Mitsubishi")</f>
        <v>Mitsubishi</v>
      </c>
      <c r="E1087" s="19" t="str">
        <f ca="1">IFERROR(__xludf.DUMMYFUNCTION("GOOGLETRANSLATE(B1087,""ar"",""en"")"),"Mitsubishi")</f>
        <v>Mitsubishi</v>
      </c>
      <c r="F1087" s="19" t="str">
        <f ca="1">IFERROR(__xludf.DUMMYFUNCTION("GOOGLETRANSLATE(C1087,""ar"",""en"")"),"The 200 Back Home Payment 2.4")</f>
        <v>The 200 Back Home Payment 2.4</v>
      </c>
      <c r="G1087" t="e">
        <f ca="1">VLOOKUP(F:F,matching_transelated_with_ref!A:C,2,0)</f>
        <v>#N/A</v>
      </c>
      <c r="H1087" t="e">
        <f>VLOOKUP(C:C,Sheet4!A:C,2,0)</f>
        <v>#N/A</v>
      </c>
    </row>
    <row r="1088" spans="1:8" ht="14.4">
      <c r="A1088" s="18" t="s">
        <v>111</v>
      </c>
      <c r="B1088" s="18" t="s">
        <v>111</v>
      </c>
      <c r="C1088" s="18" t="s">
        <v>1210</v>
      </c>
      <c r="D1088" s="19" t="str">
        <f ca="1">IFERROR(__xludf.DUMMYFUNCTION("GOOGLETRANSLATE(A1088, ""ar"", ""en"")"),"Mitsubishi")</f>
        <v>Mitsubishi</v>
      </c>
      <c r="E1088" s="19" t="str">
        <f ca="1">IFERROR(__xludf.DUMMYFUNCTION("GOOGLETRANSLATE(B1088,""ar"",""en"")"),"Mitsubishi")</f>
        <v>Mitsubishi</v>
      </c>
      <c r="F1088" s="19" t="str">
        <f ca="1">IFERROR(__xludf.DUMMYFUNCTION("GOOGLETRANSLATE(C1088,""ar"",""en"")"),"The 200 2.5 diesel payment")</f>
        <v>The 200 2.5 diesel payment</v>
      </c>
      <c r="G1088" t="e">
        <f ca="1">VLOOKUP(F:F,matching_transelated_with_ref!A:C,2,0)</f>
        <v>#N/A</v>
      </c>
      <c r="H1088">
        <f>VLOOKUP(C:C,Sheet4!A:C,2,0)</f>
        <v>2</v>
      </c>
    </row>
    <row r="1089" spans="1:8" ht="14.4">
      <c r="A1089" s="18" t="s">
        <v>111</v>
      </c>
      <c r="B1089" s="18" t="s">
        <v>111</v>
      </c>
      <c r="C1089" s="18" t="s">
        <v>1001</v>
      </c>
      <c r="D1089" s="19" t="str">
        <f ca="1">IFERROR(__xludf.DUMMYFUNCTION("GOOGLETRANSLATE(A1089, ""ar"", ""en"")"),"Mitsubishi")</f>
        <v>Mitsubishi</v>
      </c>
      <c r="E1089" s="19" t="str">
        <f ca="1">IFERROR(__xludf.DUMMYFUNCTION("GOOGLETRANSLATE(B1089,""ar"",""en"")"),"Mitsubishi")</f>
        <v>Mitsubishi</v>
      </c>
      <c r="F1089" s="19" t="str">
        <f ca="1">IFERROR(__xludf.DUMMYFUNCTION("GOOGLETRANSLATE(C1089,""ar"",""en"")"),"The 200 diesel 2.5 liters pay vinegar")</f>
        <v>The 200 diesel 2.5 liters pay vinegar</v>
      </c>
      <c r="G1089" t="e">
        <f ca="1">VLOOKUP(F:F,matching_transelated_with_ref!A:C,2,0)</f>
        <v>#N/A</v>
      </c>
      <c r="H1089">
        <f>VLOOKUP(C:C,Sheet4!A:C,2,0)</f>
        <v>5</v>
      </c>
    </row>
    <row r="1090" spans="1:8" ht="14.4">
      <c r="A1090" s="18" t="s">
        <v>111</v>
      </c>
      <c r="B1090" s="18" t="s">
        <v>111</v>
      </c>
      <c r="C1090" s="18" t="s">
        <v>998</v>
      </c>
      <c r="D1090" s="19" t="str">
        <f ca="1">IFERROR(__xludf.DUMMYFUNCTION("GOOGLETRANSLATE(A1090, ""ar"", ""en"")"),"Mitsubishi")</f>
        <v>Mitsubishi</v>
      </c>
      <c r="E1090" s="19" t="str">
        <f ca="1">IFERROR(__xludf.DUMMYFUNCTION("GOOGLETRANSLATE(B1090,""ar"",""en"")"),"Mitsubishi")</f>
        <v>Mitsubishi</v>
      </c>
      <c r="F1090" s="19" t="str">
        <f ca="1">IFERROR(__xludf.DUMMYFUNCTION("GOOGLETRANSLATE(C1090,""ar"",""en"")"),"The 200 2.4 -liter oil")</f>
        <v>The 200 2.4 -liter oil</v>
      </c>
      <c r="G1090" t="e">
        <f ca="1">VLOOKUP(F:F,matching_transelated_with_ref!A:C,2,0)</f>
        <v>#N/A</v>
      </c>
      <c r="H1090">
        <f>VLOOKUP(C:C,Sheet4!A:C,2,0)</f>
        <v>2</v>
      </c>
    </row>
    <row r="1091" spans="1:8" ht="14.4">
      <c r="A1091" s="18" t="s">
        <v>111</v>
      </c>
      <c r="B1091" s="18" t="s">
        <v>111</v>
      </c>
      <c r="C1091" s="18" t="s">
        <v>479</v>
      </c>
      <c r="D1091" s="19" t="str">
        <f ca="1">IFERROR(__xludf.DUMMYFUNCTION("GOOGLETRANSLATE(A1091, ""ar"", ""en"")"),"Mitsubishi")</f>
        <v>Mitsubishi</v>
      </c>
      <c r="E1091" s="19" t="str">
        <f ca="1">IFERROR(__xludf.DUMMYFUNCTION("GOOGLETRANSLATE(B1091,""ar"",""en"")"),"Mitsubishi")</f>
        <v>Mitsubishi</v>
      </c>
      <c r="F1091" s="19" t="str">
        <f ca="1">IFERROR(__xludf.DUMMYFUNCTION("GOOGLETRANSLATE(C1091,""ar"",""en"")"),"The 200 cub")</f>
        <v>The 200 cub</v>
      </c>
      <c r="G1091" t="e">
        <f ca="1">VLOOKUP(F:F,matching_transelated_with_ref!A:C,2,0)</f>
        <v>#N/A</v>
      </c>
      <c r="H1091" t="e">
        <f>VLOOKUP(C:C,Sheet4!A:C,2,0)</f>
        <v>#N/A</v>
      </c>
    </row>
    <row r="1092" spans="1:8" ht="14.4">
      <c r="A1092" s="18" t="s">
        <v>111</v>
      </c>
      <c r="B1092" s="18" t="s">
        <v>111</v>
      </c>
      <c r="C1092" s="18" t="s">
        <v>1205</v>
      </c>
      <c r="D1092" s="19" t="str">
        <f ca="1">IFERROR(__xludf.DUMMYFUNCTION("GOOGLETRANSLATE(A1092, ""ar"", ""en"")"),"Mitsubishi")</f>
        <v>Mitsubishi</v>
      </c>
      <c r="E1092" s="19" t="str">
        <f ca="1">IFERROR(__xludf.DUMMYFUNCTION("GOOGLETRANSLATE(B1092,""ar"",""en"")"),"Mitsubishi")</f>
        <v>Mitsubishi</v>
      </c>
      <c r="F1092" s="19" t="str">
        <f ca="1">IFERROR(__xludf.DUMMYFUNCTION("GOOGLETRANSLATE(C1092,""ar"",""en"")"),"Expander")</f>
        <v>Expander</v>
      </c>
      <c r="G1092" t="e">
        <f ca="1">VLOOKUP(F:F,matching_transelated_with_ref!A:C,2,0)</f>
        <v>#N/A</v>
      </c>
      <c r="H1092" t="str">
        <f>VLOOKUP(C:C,Sheet4!A:C,2,0)</f>
        <v xml:space="preserve"> اكسباندر </v>
      </c>
    </row>
    <row r="1093" spans="1:8" ht="14.4">
      <c r="A1093" s="18" t="s">
        <v>111</v>
      </c>
      <c r="B1093" s="18" t="s">
        <v>111</v>
      </c>
      <c r="C1093" s="18" t="s">
        <v>1208</v>
      </c>
      <c r="D1093" s="19" t="str">
        <f ca="1">IFERROR(__xludf.DUMMYFUNCTION("GOOGLETRANSLATE(A1093, ""ar"", ""en"")"),"Mitsubishi")</f>
        <v>Mitsubishi</v>
      </c>
      <c r="E1093" s="19" t="str">
        <f ca="1">IFERROR(__xludf.DUMMYFUNCTION("GOOGLETRANSLATE(B1093,""ar"",""en"")"),"Mitsubishi")</f>
        <v>Mitsubishi</v>
      </c>
      <c r="F1093" s="19" t="str">
        <f ca="1">IFERROR(__xludf.DUMMYFUNCTION("GOOGLETRANSLATE(C1093,""ar"",""en"")"),"The 200 Back Back Gasoline 2.4")</f>
        <v>The 200 Back Back Gasoline 2.4</v>
      </c>
      <c r="G1093" t="e">
        <f ca="1">VLOOKUP(F:F,matching_transelated_with_ref!A:C,2,0)</f>
        <v>#N/A</v>
      </c>
      <c r="H1093" t="e">
        <f>VLOOKUP(C:C,Sheet4!A:C,2,0)</f>
        <v>#N/A</v>
      </c>
    </row>
    <row r="1094" spans="1:8" ht="14.4">
      <c r="A1094" s="18" t="s">
        <v>111</v>
      </c>
      <c r="B1094" s="18" t="s">
        <v>111</v>
      </c>
      <c r="C1094" s="18" t="s">
        <v>481</v>
      </c>
      <c r="D1094" s="19" t="str">
        <f ca="1">IFERROR(__xludf.DUMMYFUNCTION("GOOGLETRANSLATE(A1094, ""ar"", ""en"")"),"Mitsubishi")</f>
        <v>Mitsubishi</v>
      </c>
      <c r="E1094" s="19" t="str">
        <f ca="1">IFERROR(__xludf.DUMMYFUNCTION("GOOGLETRANSLATE(B1094,""ar"",""en"")"),"Mitsubishi")</f>
        <v>Mitsubishi</v>
      </c>
      <c r="F1094" s="19" t="str">
        <f ca="1">IFERROR(__xludf.DUMMYFUNCTION("GOOGLETRANSLATE(C1094,""ar"",""en"")"),"The 200 cub")</f>
        <v>The 200 cub</v>
      </c>
      <c r="G1094" t="e">
        <f ca="1">VLOOKUP(F:F,matching_transelated_with_ref!A:C,2,0)</f>
        <v>#N/A</v>
      </c>
      <c r="H1094" t="e">
        <f>VLOOKUP(C:C,Sheet4!A:C,2,0)</f>
        <v>#N/A</v>
      </c>
    </row>
    <row r="1095" spans="1:8" ht="14.4">
      <c r="A1095" s="18" t="s">
        <v>111</v>
      </c>
      <c r="B1095" s="18" t="s">
        <v>111</v>
      </c>
      <c r="C1095" s="18" t="s">
        <v>1443</v>
      </c>
      <c r="D1095" s="19" t="str">
        <f ca="1">IFERROR(__xludf.DUMMYFUNCTION("GOOGLETRANSLATE(A1095, ""ar"", ""en"")"),"Mitsubishi")</f>
        <v>Mitsubishi</v>
      </c>
      <c r="E1095" s="19" t="str">
        <f ca="1">IFERROR(__xludf.DUMMYFUNCTION("GOOGLETRANSLATE(B1095,""ar"",""en"")"),"Mitsubishi")</f>
        <v>Mitsubishi</v>
      </c>
      <c r="F1095" s="19" t="str">
        <f ca="1">IFERROR(__xludf.DUMMYFUNCTION("GOOGLETRANSLATE(C1095,""ar"",""en"")"),"The 200 Back Home Payment 2.4")</f>
        <v>The 200 Back Home Payment 2.4</v>
      </c>
      <c r="G1095" t="e">
        <f ca="1">VLOOKUP(F:F,matching_transelated_with_ref!A:C,2,0)</f>
        <v>#N/A</v>
      </c>
      <c r="H1095" t="e">
        <f>VLOOKUP(C:C,Sheet4!A:C,2,0)</f>
        <v>#N/A</v>
      </c>
    </row>
    <row r="1096" spans="1:8" ht="14.4">
      <c r="A1096" s="18" t="s">
        <v>111</v>
      </c>
      <c r="B1096" s="18" t="s">
        <v>111</v>
      </c>
      <c r="C1096" s="18" t="s">
        <v>1442</v>
      </c>
      <c r="D1096" s="19" t="str">
        <f ca="1">IFERROR(__xludf.DUMMYFUNCTION("GOOGLETRANSLATE(A1096, ""ar"", ""en"")"),"Mitsubishi")</f>
        <v>Mitsubishi</v>
      </c>
      <c r="E1096" s="19" t="str">
        <f ca="1">IFERROR(__xludf.DUMMYFUNCTION("GOOGLETRANSLATE(B1096,""ar"",""en"")"),"Mitsubishi")</f>
        <v>Mitsubishi</v>
      </c>
      <c r="F1096" s="19" t="str">
        <f ca="1">IFERROR(__xludf.DUMMYFUNCTION("GOOGLETRANSLATE(C1096,""ar"",""en"")"),"The 200 2.5 rear diesel")</f>
        <v>The 200 2.5 rear diesel</v>
      </c>
      <c r="G1096" t="e">
        <f ca="1">VLOOKUP(F:F,matching_transelated_with_ref!A:C,2,0)</f>
        <v>#N/A</v>
      </c>
      <c r="H1096">
        <f>VLOOKUP(C:C,Sheet4!A:C,2,0)</f>
        <v>2</v>
      </c>
    </row>
    <row r="1097" spans="1:8" ht="14.4">
      <c r="A1097" s="18" t="s">
        <v>111</v>
      </c>
      <c r="B1097" s="18" t="s">
        <v>111</v>
      </c>
      <c r="C1097" s="18" t="s">
        <v>1212</v>
      </c>
      <c r="D1097" s="19" t="str">
        <f ca="1">IFERROR(__xludf.DUMMYFUNCTION("GOOGLETRANSLATE(A1097, ""ar"", ""en"")"),"Mitsubishi")</f>
        <v>Mitsubishi</v>
      </c>
      <c r="E1097" s="19" t="str">
        <f ca="1">IFERROR(__xludf.DUMMYFUNCTION("GOOGLETRANSLATE(B1097,""ar"",""en"")"),"Mitsubishi")</f>
        <v>Mitsubishi</v>
      </c>
      <c r="F1097" s="19" t="str">
        <f ca="1">IFERROR(__xludf.DUMMYFUNCTION("GOOGLETRANSLATE(C1097,""ar"",""en"")"),"The 200 bush rear diesel 2.5 l")</f>
        <v>The 200 bush rear diesel 2.5 l</v>
      </c>
      <c r="G1097" t="e">
        <f ca="1">VLOOKUP(F:F,matching_transelated_with_ref!A:C,2,0)</f>
        <v>#N/A</v>
      </c>
      <c r="H1097">
        <f>VLOOKUP(C:C,Sheet4!A:C,2,0)</f>
        <v>2</v>
      </c>
    </row>
    <row r="1098" spans="1:8" ht="14.4">
      <c r="A1098" s="18" t="s">
        <v>111</v>
      </c>
      <c r="B1098" s="18" t="s">
        <v>111</v>
      </c>
      <c r="C1098" s="18" t="s">
        <v>480</v>
      </c>
      <c r="D1098" s="19" t="str">
        <f ca="1">IFERROR(__xludf.DUMMYFUNCTION("GOOGLETRANSLATE(A1098, ""ar"", ""en"")"),"Mitsubishi")</f>
        <v>Mitsubishi</v>
      </c>
      <c r="E1098" s="19" t="str">
        <f ca="1">IFERROR(__xludf.DUMMYFUNCTION("GOOGLETRANSLATE(B1098,""ar"",""en"")"),"Mitsubishi")</f>
        <v>Mitsubishi</v>
      </c>
      <c r="F1098" s="19" t="str">
        <f ca="1">IFERROR(__xludf.DUMMYFUNCTION("GOOGLETRANSLATE(C1098,""ar"",""en"")"),"The 200 CAB 2.5")</f>
        <v>The 200 CAB 2.5</v>
      </c>
      <c r="G1098" t="e">
        <f ca="1">VLOOKUP(F:F,matching_transelated_with_ref!A:C,2,0)</f>
        <v>#N/A</v>
      </c>
      <c r="H1098">
        <f>VLOOKUP(C:C,Sheet4!A:C,2,0)</f>
        <v>5</v>
      </c>
    </row>
    <row r="1099" spans="1:8" ht="14.4">
      <c r="A1099" s="18" t="s">
        <v>111</v>
      </c>
      <c r="B1099" s="18" t="s">
        <v>111</v>
      </c>
      <c r="C1099" s="18" t="s">
        <v>1439</v>
      </c>
      <c r="D1099" s="19" t="str">
        <f ca="1">IFERROR(__xludf.DUMMYFUNCTION("GOOGLETRANSLATE(A1099, ""ar"", ""en"")"),"Mitsubishi")</f>
        <v>Mitsubishi</v>
      </c>
      <c r="E1099" s="19" t="str">
        <f ca="1">IFERROR(__xludf.DUMMYFUNCTION("GOOGLETRANSLATE(B1099,""ar"",""en"")"),"Mitsubishi")</f>
        <v>Mitsubishi</v>
      </c>
      <c r="F1099" s="19" t="str">
        <f ca="1">IFERROR(__xludf.DUMMYFUNCTION("GOOGLETRANSLATE(C1099,""ar"",""en"")"),"1.2 liter in front of me")</f>
        <v>1.2 liter in front of me</v>
      </c>
      <c r="G1099" t="e">
        <f ca="1">VLOOKUP(F:F,matching_transelated_with_ref!A:C,2,0)</f>
        <v>#N/A</v>
      </c>
      <c r="H1099" t="str">
        <f>VLOOKUP(C:C,Sheet4!A:C,2,0)</f>
        <v>اتراج</v>
      </c>
    </row>
    <row r="1100" spans="1:8" ht="14.4">
      <c r="A1100" s="18" t="s">
        <v>111</v>
      </c>
      <c r="B1100" s="18" t="s">
        <v>111</v>
      </c>
      <c r="C1100" s="18" t="s">
        <v>1440</v>
      </c>
      <c r="D1100" s="19" t="str">
        <f ca="1">IFERROR(__xludf.DUMMYFUNCTION("GOOGLETRANSLATE(A1100, ""ar"", ""en"")"),"Mitsubishi")</f>
        <v>Mitsubishi</v>
      </c>
      <c r="E1100" s="19" t="str">
        <f ca="1">IFERROR(__xludf.DUMMYFUNCTION("GOOGLETRANSLATE(B1100,""ar"",""en"")"),"Mitsubishi")</f>
        <v>Mitsubishi</v>
      </c>
      <c r="F1100" s="19" t="str">
        <f ca="1">IFERROR(__xludf.DUMMYFUNCTION("GOOGLETRANSLATE(C1100,""ar"",""en"")"),"Spacestar 1.2 liters payment")</f>
        <v>Spacestar 1.2 liters payment</v>
      </c>
      <c r="G1100" t="e">
        <f ca="1">VLOOKUP(F:F,matching_transelated_with_ref!A:C,2,0)</f>
        <v>#N/A</v>
      </c>
      <c r="H1100" t="e">
        <f>VLOOKUP(C:C,Sheet4!A:C,2,0)</f>
        <v>#N/A</v>
      </c>
    </row>
    <row r="1101" spans="1:8" ht="14.4">
      <c r="A1101" s="18" t="s">
        <v>111</v>
      </c>
      <c r="B1101" s="18" t="s">
        <v>111</v>
      </c>
      <c r="C1101" s="18" t="s">
        <v>474</v>
      </c>
      <c r="D1101" s="19" t="str">
        <f ca="1">IFERROR(__xludf.DUMMYFUNCTION("GOOGLETRANSLATE(A1101, ""ar"", ""en"")"),"Mitsubishi")</f>
        <v>Mitsubishi</v>
      </c>
      <c r="E1101" s="19" t="str">
        <f ca="1">IFERROR(__xludf.DUMMYFUNCTION("GOOGLETRANSLATE(B1101,""ar"",""en"")"),"Mitsubishi")</f>
        <v>Mitsubishi</v>
      </c>
      <c r="F1101" s="19" t="str">
        <f ca="1">IFERROR(__xludf.DUMMYFUNCTION("GOOGLETRANSLATE(C1101,""ar"",""en"")"),"Horseback")</f>
        <v>Horseback</v>
      </c>
      <c r="G1101" t="e">
        <f ca="1">VLOOKUP(F:F,matching_transelated_with_ref!A:C,2,0)</f>
        <v>#N/A</v>
      </c>
      <c r="H1101" t="str">
        <f>VLOOKUP(C:C,Sheet4!A:C,2,0)</f>
        <v>اتراج</v>
      </c>
    </row>
    <row r="1102" spans="1:8" ht="14.4">
      <c r="A1102" s="18" t="s">
        <v>111</v>
      </c>
      <c r="B1102" s="18" t="s">
        <v>111</v>
      </c>
      <c r="C1102" s="18" t="s">
        <v>1204</v>
      </c>
      <c r="D1102" s="19" t="str">
        <f ca="1">IFERROR(__xludf.DUMMYFUNCTION("GOOGLETRANSLATE(A1102, ""ar"", ""en"")"),"Mitsubishi")</f>
        <v>Mitsubishi</v>
      </c>
      <c r="E1102" s="19" t="str">
        <f ca="1">IFERROR(__xludf.DUMMYFUNCTION("GOOGLETRANSLATE(B1102,""ar"",""en"")"),"Mitsubishi")</f>
        <v>Mitsubishi</v>
      </c>
      <c r="F1102" s="19" t="str">
        <f ca="1">IFERROR(__xludf.DUMMYFUNCTION("GOOGLETRANSLATE(C1102,""ar"",""en"")"),"Spacestar")</f>
        <v>Spacestar</v>
      </c>
      <c r="G1102" t="e">
        <f ca="1">VLOOKUP(F:F,matching_transelated_with_ref!A:C,2,0)</f>
        <v>#N/A</v>
      </c>
      <c r="H1102" t="e">
        <f>VLOOKUP(C:C,Sheet4!A:C,2,0)</f>
        <v>#N/A</v>
      </c>
    </row>
    <row r="1103" spans="1:8" ht="14.4">
      <c r="A1103" s="18" t="s">
        <v>111</v>
      </c>
      <c r="B1103" s="18" t="s">
        <v>8</v>
      </c>
      <c r="C1103" s="18" t="s">
        <v>474</v>
      </c>
      <c r="D1103" s="19" t="str">
        <f ca="1">IFERROR(__xludf.DUMMYFUNCTION("GOOGLETRANSLATE(A1103, ""ar"", ""en"")"),"Mitsubishi")</f>
        <v>Mitsubishi</v>
      </c>
      <c r="E1103" s="19" t="str">
        <f ca="1">IFERROR(__xludf.DUMMYFUNCTION("GOOGLETRANSLATE(B1103,""ar"",""en"")"),"-")</f>
        <v>-</v>
      </c>
      <c r="F1103" s="19" t="str">
        <f ca="1">IFERROR(__xludf.DUMMYFUNCTION("GOOGLETRANSLATE(C1103,""ar"",""en"")"),"Horseback")</f>
        <v>Horseback</v>
      </c>
      <c r="G1103" t="e">
        <f ca="1">VLOOKUP(F:F,matching_transelated_with_ref!A:C,2,0)</f>
        <v>#N/A</v>
      </c>
      <c r="H1103" t="str">
        <f>VLOOKUP(C:C,Sheet4!A:C,2,0)</f>
        <v>اتراج</v>
      </c>
    </row>
    <row r="1104" spans="1:8" ht="14.4">
      <c r="A1104" s="18" t="s">
        <v>111</v>
      </c>
      <c r="B1104" s="18" t="s">
        <v>111</v>
      </c>
      <c r="C1104" s="18" t="s">
        <v>476</v>
      </c>
      <c r="D1104" s="19" t="str">
        <f ca="1">IFERROR(__xludf.DUMMYFUNCTION("GOOGLETRANSLATE(A1104, ""ar"", ""en"")"),"Mitsubishi")</f>
        <v>Mitsubishi</v>
      </c>
      <c r="E1104" s="19" t="str">
        <f ca="1">IFERROR(__xludf.DUMMYFUNCTION("GOOGLETRANSLATE(B1104,""ar"",""en"")"),"Mitsubishi")</f>
        <v>Mitsubishi</v>
      </c>
      <c r="F1104" s="19" t="str">
        <f ca="1">IFERROR(__xludf.DUMMYFUNCTION("GOOGLETRANSLATE(C1104,""ar"",""en"")"),"Spacestar")</f>
        <v>Spacestar</v>
      </c>
      <c r="G1104" t="e">
        <f ca="1">VLOOKUP(F:F,matching_transelated_with_ref!A:C,2,0)</f>
        <v>#N/A</v>
      </c>
      <c r="H1104" t="str">
        <f>VLOOKUP(C:C,Sheet4!A:C,2,0)</f>
        <v>سبس ستار</v>
      </c>
    </row>
    <row r="1105" spans="1:8" ht="14.4">
      <c r="A1105" s="18" t="s">
        <v>111</v>
      </c>
      <c r="B1105" s="18" t="s">
        <v>8</v>
      </c>
      <c r="C1105" s="18" t="s">
        <v>476</v>
      </c>
      <c r="D1105" s="19" t="str">
        <f ca="1">IFERROR(__xludf.DUMMYFUNCTION("GOOGLETRANSLATE(A1105, ""ar"", ""en"")"),"Mitsubishi")</f>
        <v>Mitsubishi</v>
      </c>
      <c r="E1105" s="19" t="str">
        <f ca="1">IFERROR(__xludf.DUMMYFUNCTION("GOOGLETRANSLATE(B1105,""ar"",""en"")"),"-")</f>
        <v>-</v>
      </c>
      <c r="F1105" s="19" t="str">
        <f ca="1">IFERROR(__xludf.DUMMYFUNCTION("GOOGLETRANSLATE(C1105,""ar"",""en"")"),"Spacestar")</f>
        <v>Spacestar</v>
      </c>
      <c r="G1105" t="e">
        <f ca="1">VLOOKUP(F:F,matching_transelated_with_ref!A:C,2,0)</f>
        <v>#N/A</v>
      </c>
      <c r="H1105" t="str">
        <f>VLOOKUP(C:C,Sheet4!A:C,2,0)</f>
        <v>سبس ستار</v>
      </c>
    </row>
    <row r="1106" spans="1:8" ht="14.4">
      <c r="A1106" s="18" t="s">
        <v>120</v>
      </c>
      <c r="B1106" s="18" t="s">
        <v>120</v>
      </c>
      <c r="C1106" s="18" t="s">
        <v>1456</v>
      </c>
      <c r="D1106" s="19" t="str">
        <f ca="1">IFERROR(__xludf.DUMMYFUNCTION("GOOGLETRANSLATE(A1106, ""ar"", ""en"")"),"April")</f>
        <v>April</v>
      </c>
      <c r="E1106" s="19" t="str">
        <f ca="1">IFERROR(__xludf.DUMMYFUNCTION("GOOGLETRANSLATE(B1106,""ar"",""en"")"),"April")</f>
        <v>April</v>
      </c>
      <c r="F1106" s="19" t="str">
        <f ca="1">IFERROR(__xludf.DUMMYFUNCTION("GOOGLETRANSLATE(C1106,""ar"",""en"")"),"Patrol automatic pushing t")</f>
        <v>Patrol automatic pushing t</v>
      </c>
      <c r="G1106" t="e">
        <f ca="1">VLOOKUP(F:F,matching_transelated_with_ref!A:C,2,0)</f>
        <v>#N/A</v>
      </c>
      <c r="H1106" t="e">
        <f>VLOOKUP(C:C,Sheet4!A:C,2,0)</f>
        <v>#N/A</v>
      </c>
    </row>
    <row r="1107" spans="1:8" ht="14.4">
      <c r="A1107" s="18" t="s">
        <v>120</v>
      </c>
      <c r="B1107" s="18" t="s">
        <v>120</v>
      </c>
      <c r="C1107" s="18" t="s">
        <v>1234</v>
      </c>
      <c r="D1107" s="19" t="str">
        <f ca="1">IFERROR(__xludf.DUMMYFUNCTION("GOOGLETRANSLATE(A1107, ""ar"", ""en"")"),"April")</f>
        <v>April</v>
      </c>
      <c r="E1107" s="19" t="str">
        <f ca="1">IFERROR(__xludf.DUMMYFUNCTION("GOOGLETRANSLATE(B1107,""ar"",""en"")"),"April")</f>
        <v>April</v>
      </c>
      <c r="F1107" s="19" t="str">
        <f ca="1">IFERROR(__xludf.DUMMYFUNCTION("GOOGLETRANSLATE(C1107,""ar"",""en"")"),"Patrol automatic payment")</f>
        <v>Patrol automatic payment</v>
      </c>
      <c r="G1107" t="e">
        <f ca="1">VLOOKUP(F:F,matching_transelated_with_ref!A:C,2,0)</f>
        <v>#N/A</v>
      </c>
      <c r="H1107" t="e">
        <f>VLOOKUP(C:C,Sheet4!A:C,2,0)</f>
        <v>#N/A</v>
      </c>
    </row>
    <row r="1108" spans="1:8" ht="14.4">
      <c r="A1108" s="18" t="s">
        <v>120</v>
      </c>
      <c r="B1108" s="18" t="s">
        <v>121</v>
      </c>
      <c r="C1108" s="18" t="s">
        <v>763</v>
      </c>
      <c r="D1108" s="19" t="str">
        <f ca="1">IFERROR(__xludf.DUMMYFUNCTION("GOOGLETRANSLATE(A1108, ""ar"", ""en"")"),"April")</f>
        <v>April</v>
      </c>
      <c r="E1108" s="19" t="str">
        <f ca="1">IFERROR(__xludf.DUMMYFUNCTION("GOOGLETRANSLATE(B1108,""ar"",""en"")"),"Infiniti")</f>
        <v>Infiniti</v>
      </c>
      <c r="F1108" s="19" t="str">
        <f ca="1">IFERROR(__xludf.DUMMYFUNCTION("GOOGLETRANSLATE(C1108,""ar"",""en"")"),"QX 80")</f>
        <v>QX 80</v>
      </c>
      <c r="G1108" t="str">
        <f ca="1">VLOOKUP(F:F,matching_transelated_with_ref!A:C,2,0)</f>
        <v xml:space="preserve"> QX-80</v>
      </c>
      <c r="H1108" t="e">
        <f>VLOOKUP(C:C,Sheet4!A:C,2,0)</f>
        <v>#N/A</v>
      </c>
    </row>
    <row r="1109" spans="1:8" ht="14.4">
      <c r="A1109" s="18" t="s">
        <v>120</v>
      </c>
      <c r="B1109" s="18" t="s">
        <v>762</v>
      </c>
      <c r="C1109" s="18" t="s">
        <v>763</v>
      </c>
      <c r="D1109" s="19" t="str">
        <f ca="1">IFERROR(__xludf.DUMMYFUNCTION("GOOGLETRANSLATE(A1109, ""ar"", ""en"")"),"April")</f>
        <v>April</v>
      </c>
      <c r="E1109" s="19" t="str">
        <f ca="1">IFERROR(__xludf.DUMMYFUNCTION("GOOGLETRANSLATE(B1109,""ar"",""en"")"),"Infiniti")</f>
        <v>Infiniti</v>
      </c>
      <c r="F1109" s="19" t="str">
        <f ca="1">IFERROR(__xludf.DUMMYFUNCTION("GOOGLETRANSLATE(C1109,""ar"",""en"")"),"QX 80")</f>
        <v>QX 80</v>
      </c>
      <c r="G1109" t="str">
        <f ca="1">VLOOKUP(F:F,matching_transelated_with_ref!A:C,2,0)</f>
        <v xml:space="preserve"> QX-80</v>
      </c>
      <c r="H1109" t="e">
        <f>VLOOKUP(C:C,Sheet4!A:C,2,0)</f>
        <v>#N/A</v>
      </c>
    </row>
    <row r="1110" spans="1:8" ht="14.4">
      <c r="A1110" s="18" t="s">
        <v>120</v>
      </c>
      <c r="B1110" s="18" t="s">
        <v>121</v>
      </c>
      <c r="C1110" s="18" t="s">
        <v>122</v>
      </c>
      <c r="D1110" s="19" t="str">
        <f ca="1">IFERROR(__xludf.DUMMYFUNCTION("GOOGLETRANSLATE(A1110, ""ar"", ""en"")"),"April")</f>
        <v>April</v>
      </c>
      <c r="E1110" s="19" t="str">
        <f ca="1">IFERROR(__xludf.DUMMYFUNCTION("GOOGLETRANSLATE(B1110,""ar"",""en"")"),"Infiniti")</f>
        <v>Infiniti</v>
      </c>
      <c r="F1110" s="19" t="str">
        <f ca="1">IFERROR(__xludf.DUMMYFUNCTION("GOOGLETRANSLATE(C1110,""ar"",""en"")"),"Q 50")</f>
        <v>Q 50</v>
      </c>
      <c r="G1110" t="str">
        <f ca="1">VLOOKUP(F:F,matching_transelated_with_ref!A:C,2,0)</f>
        <v>Q-50</v>
      </c>
      <c r="H1110" t="e">
        <f>VLOOKUP(C:C,Sheet4!A:C,2,0)</f>
        <v>#N/A</v>
      </c>
    </row>
    <row r="1111" spans="1:8" ht="14.4">
      <c r="A1111" s="18" t="s">
        <v>120</v>
      </c>
      <c r="B1111" s="18" t="s">
        <v>120</v>
      </c>
      <c r="C1111" s="18" t="s">
        <v>1232</v>
      </c>
      <c r="D1111" s="19" t="str">
        <f ca="1">IFERROR(__xludf.DUMMYFUNCTION("GOOGLETRANSLATE(A1111, ""ar"", ""en"")"),"April")</f>
        <v>April</v>
      </c>
      <c r="E1111" s="19" t="str">
        <f ca="1">IFERROR(__xludf.DUMMYFUNCTION("GOOGLETRANSLATE(B1111,""ar"",""en"")"),"April")</f>
        <v>April</v>
      </c>
      <c r="F1111" s="19" t="str">
        <f ca="1">IFERROR(__xludf.DUMMYFUNCTION("GOOGLETRANSLATE(C1111,""ar"",""en"")"),"Patrol 5.6 liters four father")</f>
        <v>Patrol 5.6 liters four father</v>
      </c>
      <c r="G1111" t="e">
        <f ca="1">VLOOKUP(F:F,matching_transelated_with_ref!A:C,2,0)</f>
        <v>#N/A</v>
      </c>
      <c r="H1111" t="e">
        <f>VLOOKUP(C:C,Sheet4!A:C,2,0)</f>
        <v>#N/A</v>
      </c>
    </row>
    <row r="1112" spans="1:8" ht="14.4">
      <c r="A1112" s="18" t="s">
        <v>120</v>
      </c>
      <c r="B1112" s="18" t="s">
        <v>121</v>
      </c>
      <c r="C1112" s="18" t="s">
        <v>766</v>
      </c>
      <c r="D1112" s="19" t="str">
        <f ca="1">IFERROR(__xludf.DUMMYFUNCTION("GOOGLETRANSLATE(A1112, ""ar"", ""en"")"),"April")</f>
        <v>April</v>
      </c>
      <c r="E1112" s="19" t="str">
        <f ca="1">IFERROR(__xludf.DUMMYFUNCTION("GOOGLETRANSLATE(B1112,""ar"",""en"")"),"Infiniti")</f>
        <v>Infiniti</v>
      </c>
      <c r="F1112" s="19" t="str">
        <f ca="1">IFERROR(__xludf.DUMMYFUNCTION("GOOGLETRANSLATE(C1112,""ar"",""en"")"),"QX 60")</f>
        <v>QX 60</v>
      </c>
      <c r="G1112" t="str">
        <f ca="1">VLOOKUP(F:F,matching_transelated_with_ref!A:C,2,0)</f>
        <v>QX-60</v>
      </c>
      <c r="H1112" t="e">
        <f>VLOOKUP(C:C,Sheet4!A:C,2,0)</f>
        <v>#N/A</v>
      </c>
    </row>
    <row r="1113" spans="1:8" ht="14.4">
      <c r="A1113" s="18" t="s">
        <v>120</v>
      </c>
      <c r="B1113" s="18" t="s">
        <v>121</v>
      </c>
      <c r="C1113" s="18" t="s">
        <v>764</v>
      </c>
      <c r="D1113" s="19" t="str">
        <f ca="1">IFERROR(__xludf.DUMMYFUNCTION("GOOGLETRANSLATE(A1113, ""ar"", ""en"")"),"April")</f>
        <v>April</v>
      </c>
      <c r="E1113" s="19" t="str">
        <f ca="1">IFERROR(__xludf.DUMMYFUNCTION("GOOGLETRANSLATE(B1113,""ar"",""en"")"),"Infiniti")</f>
        <v>Infiniti</v>
      </c>
      <c r="F1113" s="19" t="str">
        <f ca="1">IFERROR(__xludf.DUMMYFUNCTION("GOOGLETRANSLATE(C1113,""ar"",""en"")"),"Q70")</f>
        <v>Q70</v>
      </c>
      <c r="G1113" t="str">
        <f ca="1">VLOOKUP(F:F,matching_transelated_with_ref!A:C,2,0)</f>
        <v xml:space="preserve"> Q-70</v>
      </c>
      <c r="H1113" t="e">
        <f>VLOOKUP(C:C,Sheet4!A:C,2,0)</f>
        <v>#N/A</v>
      </c>
    </row>
    <row r="1114" spans="1:8" ht="14.4">
      <c r="A1114" s="18" t="s">
        <v>120</v>
      </c>
      <c r="B1114" s="18" t="s">
        <v>762</v>
      </c>
      <c r="C1114" s="18" t="s">
        <v>1454</v>
      </c>
      <c r="D1114" s="19" t="str">
        <f ca="1">IFERROR(__xludf.DUMMYFUNCTION("GOOGLETRANSLATE(A1114, ""ar"", ""en"")"),"April")</f>
        <v>April</v>
      </c>
      <c r="E1114" s="19" t="str">
        <f ca="1">IFERROR(__xludf.DUMMYFUNCTION("GOOGLETRANSLATE(B1114,""ar"",""en"")"),"Infiniti")</f>
        <v>Infiniti</v>
      </c>
      <c r="F1114" s="19" t="str">
        <f ca="1">IFERROR(__xludf.DUMMYFUNCTION("GOOGLETRANSLATE(C1114,""ar"",""en"")"),"QX 55 four -wheel drive")</f>
        <v>QX 55 four -wheel drive</v>
      </c>
      <c r="G1114" t="e">
        <f ca="1">VLOOKUP(F:F,matching_transelated_with_ref!A:C,2,0)</f>
        <v>#N/A</v>
      </c>
      <c r="H1114" t="e">
        <f>VLOOKUP(C:C,Sheet4!A:C,2,0)</f>
        <v>#N/A</v>
      </c>
    </row>
    <row r="1115" spans="1:8" ht="14.4">
      <c r="A1115" s="18" t="s">
        <v>120</v>
      </c>
      <c r="B1115" s="18" t="s">
        <v>121</v>
      </c>
      <c r="C1115" s="18" t="s">
        <v>767</v>
      </c>
      <c r="D1115" s="19" t="str">
        <f ca="1">IFERROR(__xludf.DUMMYFUNCTION("GOOGLETRANSLATE(A1115, ""ar"", ""en"")"),"April")</f>
        <v>April</v>
      </c>
      <c r="E1115" s="19" t="str">
        <f ca="1">IFERROR(__xludf.DUMMYFUNCTION("GOOGLETRANSLATE(B1115,""ar"",""en"")"),"Infiniti")</f>
        <v>Infiniti</v>
      </c>
      <c r="F1115" s="19" t="str">
        <f ca="1">IFERROR(__xludf.DUMMYFUNCTION("GOOGLETRANSLATE(C1115,""ar"",""en"")"),"QX 70")</f>
        <v>QX 70</v>
      </c>
      <c r="G1115" t="str">
        <f ca="1">VLOOKUP(F:F,matching_transelated_with_ref!A:C,2,0)</f>
        <v>QX-70</v>
      </c>
      <c r="H1115" t="e">
        <f>VLOOKUP(C:C,Sheet4!A:C,2,0)</f>
        <v>#N/A</v>
      </c>
    </row>
    <row r="1116" spans="1:8" ht="14.4">
      <c r="A1116" s="18" t="s">
        <v>120</v>
      </c>
      <c r="B1116" s="18" t="s">
        <v>120</v>
      </c>
      <c r="C1116" s="18" t="s">
        <v>1014</v>
      </c>
      <c r="D1116" s="19" t="str">
        <f ca="1">IFERROR(__xludf.DUMMYFUNCTION("GOOGLETRANSLATE(A1116, ""ar"", ""en"")"),"April")</f>
        <v>April</v>
      </c>
      <c r="E1116" s="19" t="str">
        <f ca="1">IFERROR(__xludf.DUMMYFUNCTION("GOOGLETRANSLATE(B1116,""ar"",""en"")"),"April")</f>
        <v>April</v>
      </c>
      <c r="F1116" s="19" t="str">
        <f ca="1">IFERROR(__xludf.DUMMYFUNCTION("GOOGLETRANSLATE(C1116,""ar"",""en"")"),"Silvian diesel is normal")</f>
        <v>Silvian diesel is normal</v>
      </c>
      <c r="G1116" t="e">
        <f ca="1">VLOOKUP(F:F,matching_transelated_with_ref!A:C,2,0)</f>
        <v>#N/A</v>
      </c>
      <c r="H1116" t="e">
        <f>VLOOKUP(C:C,Sheet4!A:C,2,0)</f>
        <v>#N/A</v>
      </c>
    </row>
    <row r="1117" spans="1:8" ht="14.4">
      <c r="A1117" s="18" t="s">
        <v>120</v>
      </c>
      <c r="B1117" s="18" t="s">
        <v>121</v>
      </c>
      <c r="C1117" s="18" t="s">
        <v>765</v>
      </c>
      <c r="D1117" s="19" t="str">
        <f ca="1">IFERROR(__xludf.DUMMYFUNCTION("GOOGLETRANSLATE(A1117, ""ar"", ""en"")"),"April")</f>
        <v>April</v>
      </c>
      <c r="E1117" s="19" t="str">
        <f ca="1">IFERROR(__xludf.DUMMYFUNCTION("GOOGLETRANSLATE(B1117,""ar"",""en"")"),"Infiniti")</f>
        <v>Infiniti</v>
      </c>
      <c r="F1117" s="19" t="str">
        <f ca="1">IFERROR(__xludf.DUMMYFUNCTION("GOOGLETRANSLATE(C1117,""ar"",""en"")"),"QX 50")</f>
        <v>QX 50</v>
      </c>
      <c r="G1117" t="str">
        <f ca="1">VLOOKUP(F:F,matching_transelated_with_ref!A:C,2,0)</f>
        <v>QX-50</v>
      </c>
      <c r="H1117" t="e">
        <f>VLOOKUP(C:C,Sheet4!A:C,2,0)</f>
        <v>#N/A</v>
      </c>
    </row>
    <row r="1118" spans="1:8" ht="14.4">
      <c r="A1118" s="18" t="s">
        <v>120</v>
      </c>
      <c r="B1118" s="18" t="s">
        <v>120</v>
      </c>
      <c r="C1118" s="18" t="s">
        <v>774</v>
      </c>
      <c r="D1118" s="19" t="str">
        <f ca="1">IFERROR(__xludf.DUMMYFUNCTION("GOOGLETRANSLATE(A1118, ""ar"", ""en"")"),"April")</f>
        <v>April</v>
      </c>
      <c r="E1118" s="19" t="str">
        <f ca="1">IFERROR(__xludf.DUMMYFUNCTION("GOOGLETRANSLATE(B1118,""ar"",""en"")"),"April")</f>
        <v>April</v>
      </c>
      <c r="F1118" s="19" t="str">
        <f ca="1">IFERROR(__xludf.DUMMYFUNCTION("GOOGLETRANSLATE(C1118,""ar"",""en"")"),"Patrol automatic pushing t")</f>
        <v>Patrol automatic pushing t</v>
      </c>
      <c r="G1118" t="e">
        <f ca="1">VLOOKUP(F:F,matching_transelated_with_ref!A:C,2,0)</f>
        <v>#N/A</v>
      </c>
      <c r="H1118" t="e">
        <f>VLOOKUP(C:C,Sheet4!A:C,2,0)</f>
        <v>#N/A</v>
      </c>
    </row>
    <row r="1119" spans="1:8" ht="14.4">
      <c r="A1119" s="18" t="s">
        <v>120</v>
      </c>
      <c r="B1119" s="18" t="s">
        <v>120</v>
      </c>
      <c r="C1119" s="18" t="s">
        <v>1226</v>
      </c>
      <c r="D1119" s="19" t="str">
        <f ca="1">IFERROR(__xludf.DUMMYFUNCTION("GOOGLETRANSLATE(A1119, ""ar"", ""en"")"),"April")</f>
        <v>April</v>
      </c>
      <c r="E1119" s="19" t="str">
        <f ca="1">IFERROR(__xludf.DUMMYFUNCTION("GOOGLETRANSLATE(B1119,""ar"",""en"")"),"April")</f>
        <v>April</v>
      </c>
      <c r="F1119" s="19" t="str">
        <f ca="1">IFERROR(__xludf.DUMMYFUNCTION("GOOGLETRANSLATE(C1119,""ar"",""en"")"),"Patrol 4 liter four father")</f>
        <v>Patrol 4 liter four father</v>
      </c>
      <c r="G1119" t="e">
        <f ca="1">VLOOKUP(F:F,matching_transelated_with_ref!A:C,2,0)</f>
        <v>#N/A</v>
      </c>
      <c r="H1119" t="e">
        <f>VLOOKUP(C:C,Sheet4!A:C,2,0)</f>
        <v>#N/A</v>
      </c>
    </row>
    <row r="1120" spans="1:8" ht="14.4">
      <c r="A1120" s="18" t="s">
        <v>120</v>
      </c>
      <c r="B1120" s="18" t="s">
        <v>120</v>
      </c>
      <c r="C1120" s="18" t="s">
        <v>503</v>
      </c>
      <c r="D1120" s="19" t="str">
        <f ca="1">IFERROR(__xludf.DUMMYFUNCTION("GOOGLETRANSLATE(A1120, ""ar"", ""en"")"),"April")</f>
        <v>April</v>
      </c>
      <c r="E1120" s="19" t="str">
        <f ca="1">IFERROR(__xludf.DUMMYFUNCTION("GOOGLETRANSLATE(B1120,""ar"",""en"")"),"April")</f>
        <v>April</v>
      </c>
      <c r="F1120" s="19" t="str">
        <f ca="1">IFERROR(__xludf.DUMMYFUNCTION("GOOGLETRANSLATE(C1120,""ar"",""en"")"),"Patrol 4 liter automatic")</f>
        <v>Patrol 4 liter automatic</v>
      </c>
      <c r="G1120" t="e">
        <f ca="1">VLOOKUP(F:F,matching_transelated_with_ref!A:C,2,0)</f>
        <v>#N/A</v>
      </c>
      <c r="H1120" t="e">
        <f>VLOOKUP(C:C,Sheet4!A:C,2,0)</f>
        <v>#N/A</v>
      </c>
    </row>
    <row r="1121" spans="1:8" ht="14.4">
      <c r="A1121" s="18" t="s">
        <v>120</v>
      </c>
      <c r="B1121" s="18" t="s">
        <v>762</v>
      </c>
      <c r="C1121" s="18" t="s">
        <v>1453</v>
      </c>
      <c r="D1121" s="19" t="str">
        <f ca="1">IFERROR(__xludf.DUMMYFUNCTION("GOOGLETRANSLATE(A1121, ""ar"", ""en"")"),"April")</f>
        <v>April</v>
      </c>
      <c r="E1121" s="19" t="str">
        <f ca="1">IFERROR(__xludf.DUMMYFUNCTION("GOOGLETRANSLATE(B1121,""ar"",""en"")"),"Infiniti")</f>
        <v>Infiniti</v>
      </c>
      <c r="F1121" s="19" t="str">
        <f ca="1">IFERROR(__xludf.DUMMYFUNCTION("GOOGLETRANSLATE(C1121,""ar"",""en"")"),"Q50 rear bush 3 liters")</f>
        <v>Q50 rear bush 3 liters</v>
      </c>
      <c r="G1121" t="e">
        <f ca="1">VLOOKUP(F:F,matching_transelated_with_ref!A:C,2,0)</f>
        <v>#N/A</v>
      </c>
      <c r="H1121">
        <f>VLOOKUP(C:C,Sheet4!A:C,2,0)</f>
        <v>3</v>
      </c>
    </row>
    <row r="1122" spans="1:8" ht="14.4">
      <c r="A1122" s="18" t="s">
        <v>120</v>
      </c>
      <c r="B1122" s="18" t="s">
        <v>492</v>
      </c>
      <c r="C1122" s="18" t="s">
        <v>494</v>
      </c>
      <c r="D1122" s="19" t="str">
        <f ca="1">IFERROR(__xludf.DUMMYFUNCTION("GOOGLETRANSLATE(A1122, ""ar"", ""en"")"),"April")</f>
        <v>April</v>
      </c>
      <c r="E1122" s="19" t="str">
        <f ca="1">IFERROR(__xludf.DUMMYFUNCTION("GOOGLETRANSLATE(B1122,""ar"",""en"")"),"Pathfinder")</f>
        <v>Pathfinder</v>
      </c>
      <c r="F1122" s="19" t="str">
        <f ca="1">IFERROR(__xludf.DUMMYFUNCTION("GOOGLETRANSLATE(C1122,""ar"",""en"")"),"AR52-4*4")</f>
        <v>AR52-4*4</v>
      </c>
      <c r="G1122" t="e">
        <f ca="1">VLOOKUP(F:F,matching_transelated_with_ref!A:C,2,0)</f>
        <v>#N/A</v>
      </c>
      <c r="H1122" t="e">
        <f>VLOOKUP(C:C,Sheet4!A:C,2,0)</f>
        <v>#N/A</v>
      </c>
    </row>
    <row r="1123" spans="1:8" ht="14.4">
      <c r="A1123" s="18" t="s">
        <v>120</v>
      </c>
      <c r="B1123" s="18" t="s">
        <v>120</v>
      </c>
      <c r="C1123" s="18" t="s">
        <v>1460</v>
      </c>
      <c r="D1123" s="19" t="str">
        <f ca="1">IFERROR(__xludf.DUMMYFUNCTION("GOOGLETRANSLATE(A1123, ""ar"", ""en"")"),"April")</f>
        <v>April</v>
      </c>
      <c r="E1123" s="19" t="str">
        <f ca="1">IFERROR(__xludf.DUMMYFUNCTION("GOOGLETRANSLATE(B1123,""ar"",""en"")"),"April")</f>
        <v>April</v>
      </c>
      <c r="F1123" s="19" t="str">
        <f ca="1">IFERROR(__xludf.DUMMYFUNCTION("GOOGLETRANSLATE(C1123,""ar"",""en"")"),"Pathfinder 3.5 liters Rait R.")</f>
        <v>Pathfinder 3.5 liters Rait R.</v>
      </c>
      <c r="G1123" t="e">
        <f ca="1">VLOOKUP(F:F,matching_transelated_with_ref!A:C,2,0)</f>
        <v>#N/A</v>
      </c>
      <c r="H1123">
        <f>VLOOKUP(C:C,Sheet4!A:C,2,0)</f>
        <v>3</v>
      </c>
    </row>
    <row r="1124" spans="1:8" ht="14.4">
      <c r="A1124" s="18" t="s">
        <v>120</v>
      </c>
      <c r="B1124" s="18" t="s">
        <v>120</v>
      </c>
      <c r="C1124" s="18" t="s">
        <v>505</v>
      </c>
      <c r="D1124" s="19" t="str">
        <f ca="1">IFERROR(__xludf.DUMMYFUNCTION("GOOGLETRANSLATE(A1124, ""ar"", ""en"")"),"April")</f>
        <v>April</v>
      </c>
      <c r="E1124" s="19" t="str">
        <f ca="1">IFERROR(__xludf.DUMMYFUNCTION("GOOGLETRANSLATE(B1124,""ar"",""en"")"),"April")</f>
        <v>April</v>
      </c>
      <c r="F1124" s="19" t="str">
        <f ca="1">IFERROR(__xludf.DUMMYFUNCTION("GOOGLETRANSLATE(C1124,""ar"",""en"")"),"Patrol automatic")</f>
        <v>Patrol automatic</v>
      </c>
      <c r="G1124" t="e">
        <f ca="1">VLOOKUP(F:F,matching_transelated_with_ref!A:C,2,0)</f>
        <v>#N/A</v>
      </c>
      <c r="H1124" t="e">
        <f>VLOOKUP(C:C,Sheet4!A:C,2,0)</f>
        <v>#N/A</v>
      </c>
    </row>
    <row r="1125" spans="1:8" ht="14.4">
      <c r="A1125" s="18" t="s">
        <v>120</v>
      </c>
      <c r="B1125" s="18" t="s">
        <v>120</v>
      </c>
      <c r="C1125" s="18" t="s">
        <v>1457</v>
      </c>
      <c r="D1125" s="19" t="str">
        <f ca="1">IFERROR(__xludf.DUMMYFUNCTION("GOOGLETRANSLATE(A1125, ""ar"", ""en"")"),"April")</f>
        <v>April</v>
      </c>
      <c r="E1125" s="19" t="str">
        <f ca="1">IFERROR(__xludf.DUMMYFUNCTION("GOOGLETRANSLATE(B1125,""ar"",""en"")"),"April")</f>
        <v>April</v>
      </c>
      <c r="F1125" s="19" t="str">
        <f ca="1">IFERROR(__xludf.DUMMYFUNCTION("GOOGLETRANSLATE(C1125,""ar"",""en"")"),"Patrol is automatic gasoline")</f>
        <v>Patrol is automatic gasoline</v>
      </c>
      <c r="G1125" t="e">
        <f ca="1">VLOOKUP(F:F,matching_transelated_with_ref!A:C,2,0)</f>
        <v>#N/A</v>
      </c>
      <c r="H1125" t="e">
        <f>VLOOKUP(C:C,Sheet4!A:C,2,0)</f>
        <v>#N/A</v>
      </c>
    </row>
    <row r="1126" spans="1:8" ht="14.4">
      <c r="A1126" s="18" t="s">
        <v>120</v>
      </c>
      <c r="B1126" s="18" t="s">
        <v>120</v>
      </c>
      <c r="C1126" s="18" t="s">
        <v>1459</v>
      </c>
      <c r="D1126" s="19" t="str">
        <f ca="1">IFERROR(__xludf.DUMMYFUNCTION("GOOGLETRANSLATE(A1126, ""ar"", ""en"")"),"April")</f>
        <v>April</v>
      </c>
      <c r="E1126" s="19" t="str">
        <f ca="1">IFERROR(__xludf.DUMMYFUNCTION("GOOGLETRANSLATE(B1126,""ar"",""en"")"),"April")</f>
        <v>April</v>
      </c>
      <c r="F1126" s="19" t="str">
        <f ca="1">IFERROR(__xludf.DUMMYFUNCTION("GOOGLETRANSLATE(C1126,""ar"",""en"")"),"Pathfinder 3.5 liters pay a")</f>
        <v>Pathfinder 3.5 liters pay a</v>
      </c>
      <c r="G1126" t="e">
        <f ca="1">VLOOKUP(F:F,matching_transelated_with_ref!A:C,2,0)</f>
        <v>#N/A</v>
      </c>
      <c r="H1126">
        <f>VLOOKUP(C:C,Sheet4!A:C,2,0)</f>
        <v>3</v>
      </c>
    </row>
    <row r="1127" spans="1:8" ht="14.4">
      <c r="A1127" s="18" t="s">
        <v>120</v>
      </c>
      <c r="B1127" s="18" t="s">
        <v>492</v>
      </c>
      <c r="C1127" s="18" t="s">
        <v>493</v>
      </c>
      <c r="D1127" s="19" t="str">
        <f ca="1">IFERROR(__xludf.DUMMYFUNCTION("GOOGLETRANSLATE(A1127, ""ar"", ""en"")"),"April")</f>
        <v>April</v>
      </c>
      <c r="E1127" s="19" t="str">
        <f ca="1">IFERROR(__xludf.DUMMYFUNCTION("GOOGLETRANSLATE(B1127,""ar"",""en"")"),"Pathfinder")</f>
        <v>Pathfinder</v>
      </c>
      <c r="F1127" s="19" t="str">
        <f ca="1">IFERROR(__xludf.DUMMYFUNCTION("GOOGLETRANSLATE(C1127,""ar"",""en"")"),"AR52-4*2")</f>
        <v>AR52-4*2</v>
      </c>
      <c r="G1127" t="e">
        <f ca="1">VLOOKUP(F:F,matching_transelated_with_ref!A:C,2,0)</f>
        <v>#N/A</v>
      </c>
      <c r="H1127" t="e">
        <f>VLOOKUP(C:C,Sheet4!A:C,2,0)</f>
        <v>#N/A</v>
      </c>
    </row>
    <row r="1128" spans="1:8" ht="14.4">
      <c r="A1128" s="18" t="s">
        <v>120</v>
      </c>
      <c r="B1128" s="18" t="s">
        <v>120</v>
      </c>
      <c r="C1128" s="18" t="s">
        <v>1458</v>
      </c>
      <c r="D1128" s="19" t="str">
        <f ca="1">IFERROR(__xludf.DUMMYFUNCTION("GOOGLETRANSLATE(A1128, ""ar"", ""en"")"),"April")</f>
        <v>April</v>
      </c>
      <c r="E1128" s="19" t="str">
        <f ca="1">IFERROR(__xludf.DUMMYFUNCTION("GOOGLETRANSLATE(B1128,""ar"",""en"")"),"April")</f>
        <v>April</v>
      </c>
      <c r="F1128" s="19" t="str">
        <f ca="1">IFERROR(__xludf.DUMMYFUNCTION("GOOGLETRANSLATE(C1128,""ar"",""en"")"),"Patrol Patrol is normal payment")</f>
        <v>Patrol Patrol is normal payment</v>
      </c>
      <c r="G1128" t="e">
        <f ca="1">VLOOKUP(F:F,matching_transelated_with_ref!A:C,2,0)</f>
        <v>#N/A</v>
      </c>
      <c r="H1128" t="e">
        <f>VLOOKUP(C:C,Sheet4!A:C,2,0)</f>
        <v>#N/A</v>
      </c>
    </row>
    <row r="1129" spans="1:8" ht="14.4">
      <c r="A1129" s="18" t="s">
        <v>120</v>
      </c>
      <c r="B1129" s="18" t="s">
        <v>120</v>
      </c>
      <c r="C1129" s="18" t="s">
        <v>1227</v>
      </c>
      <c r="D1129" s="19" t="str">
        <f ca="1">IFERROR(__xludf.DUMMYFUNCTION("GOOGLETRANSLATE(A1129, ""ar"", ""en"")"),"April")</f>
        <v>April</v>
      </c>
      <c r="E1129" s="19" t="str">
        <f ca="1">IFERROR(__xludf.DUMMYFUNCTION("GOOGLETRANSLATE(B1129,""ar"",""en"")"),"April")</f>
        <v>April</v>
      </c>
      <c r="F1129" s="19" t="str">
        <f ca="1">IFERROR(__xludf.DUMMYFUNCTION("GOOGLETRANSLATE(C1129,""ar"",""en"")"),"Patrol 4.8 liters two doors")</f>
        <v>Patrol 4.8 liters two doors</v>
      </c>
      <c r="G1129" t="e">
        <f ca="1">VLOOKUP(F:F,matching_transelated_with_ref!A:C,2,0)</f>
        <v>#N/A</v>
      </c>
      <c r="H1129" t="e">
        <f>VLOOKUP(C:C,Sheet4!A:C,2,0)</f>
        <v>#N/A</v>
      </c>
    </row>
    <row r="1130" spans="1:8" ht="14.4">
      <c r="A1130" s="18" t="s">
        <v>120</v>
      </c>
      <c r="B1130" s="18" t="s">
        <v>120</v>
      </c>
      <c r="C1130" s="18" t="s">
        <v>1223</v>
      </c>
      <c r="D1130" s="19" t="str">
        <f ca="1">IFERROR(__xludf.DUMMYFUNCTION("GOOGLETRANSLATE(A1130, ""ar"", ""en"")"),"April")</f>
        <v>April</v>
      </c>
      <c r="E1130" s="19" t="str">
        <f ca="1">IFERROR(__xludf.DUMMYFUNCTION("GOOGLETRANSLATE(B1130,""ar"",""en"")"),"April")</f>
        <v>April</v>
      </c>
      <c r="F1130" s="19" t="str">
        <f ca="1">IFERROR(__xludf.DUMMYFUNCTION("GOOGLETRANSLATE(C1130,""ar"",""en"")"),"ACISTIRA ATOME Payment")</f>
        <v>ACISTIRA ATOME Payment</v>
      </c>
      <c r="G1130" t="e">
        <f ca="1">VLOOKUP(F:F,matching_transelated_with_ref!A:C,2,0)</f>
        <v>#N/A</v>
      </c>
      <c r="H1130" t="str">
        <f>VLOOKUP(C:C,Sheet4!A:C,2,0)</f>
        <v xml:space="preserve"> اكستيرا</v>
      </c>
    </row>
    <row r="1131" spans="1:8" ht="14.4">
      <c r="A1131" s="18" t="s">
        <v>120</v>
      </c>
      <c r="B1131" s="18" t="s">
        <v>120</v>
      </c>
      <c r="C1131" s="18" t="s">
        <v>1235</v>
      </c>
      <c r="D1131" s="19" t="str">
        <f ca="1">IFERROR(__xludf.DUMMYFUNCTION("GOOGLETRANSLATE(A1131, ""ar"", ""en"")"),"April")</f>
        <v>April</v>
      </c>
      <c r="E1131" s="19" t="str">
        <f ca="1">IFERROR(__xludf.DUMMYFUNCTION("GOOGLETRANSLATE(B1131,""ar"",""en"")"),"April")</f>
        <v>April</v>
      </c>
      <c r="F1131" s="19" t="str">
        <f ca="1">IFERROR(__xludf.DUMMYFUNCTION("GOOGLETRANSLATE(C1131,""ar"",""en"")"),"Patrol normal four -wheel drive")</f>
        <v>Patrol normal four -wheel drive</v>
      </c>
      <c r="G1131" t="e">
        <f ca="1">VLOOKUP(F:F,matching_transelated_with_ref!A:C,2,0)</f>
        <v>#N/A</v>
      </c>
      <c r="H1131" t="e">
        <f>VLOOKUP(C:C,Sheet4!A:C,2,0)</f>
        <v>#N/A</v>
      </c>
    </row>
    <row r="1132" spans="1:8" ht="14.4">
      <c r="A1132" s="18" t="s">
        <v>120</v>
      </c>
      <c r="B1132" s="18" t="s">
        <v>120</v>
      </c>
      <c r="C1132" s="18" t="s">
        <v>1012</v>
      </c>
      <c r="D1132" s="19" t="str">
        <f ca="1">IFERROR(__xludf.DUMMYFUNCTION("GOOGLETRANSLATE(A1132, ""ar"", ""en"")"),"April")</f>
        <v>April</v>
      </c>
      <c r="E1132" s="19" t="str">
        <f ca="1">IFERROR(__xludf.DUMMYFUNCTION("GOOGLETRANSLATE(B1132,""ar"",""en"")"),"April")</f>
        <v>April</v>
      </c>
      <c r="F1132" s="19" t="str">
        <f ca="1">IFERROR(__xludf.DUMMYFUNCTION("GOOGLETRANSLATE(C1132,""ar"",""en"")"),"Z 370 automatic")</f>
        <v>Z 370 automatic</v>
      </c>
      <c r="G1132" t="str">
        <f ca="1">VLOOKUP(F:F,matching_transelated_with_ref!A:C,2,0)</f>
        <v>Z</v>
      </c>
      <c r="H1132" t="e">
        <f>VLOOKUP(C:C,Sheet4!A:C,2,0)</f>
        <v>#N/A</v>
      </c>
    </row>
    <row r="1133" spans="1:8" ht="14.4">
      <c r="A1133" s="18" t="s">
        <v>120</v>
      </c>
      <c r="B1133" s="18" t="s">
        <v>120</v>
      </c>
      <c r="C1133" s="18" t="s">
        <v>504</v>
      </c>
      <c r="D1133" s="19" t="str">
        <f ca="1">IFERROR(__xludf.DUMMYFUNCTION("GOOGLETRANSLATE(A1133, ""ar"", ""en"")"),"April")</f>
        <v>April</v>
      </c>
      <c r="E1133" s="19" t="str">
        <f ca="1">IFERROR(__xludf.DUMMYFUNCTION("GOOGLETRANSLATE(B1133,""ar"",""en"")"),"April")</f>
        <v>April</v>
      </c>
      <c r="F1133" s="19" t="str">
        <f ca="1">IFERROR(__xludf.DUMMYFUNCTION("GOOGLETRANSLATE(C1133,""ar"",""en"")"),"Patrol 4.8 liter normal")</f>
        <v>Patrol 4.8 liter normal</v>
      </c>
      <c r="G1133" t="e">
        <f ca="1">VLOOKUP(F:F,matching_transelated_with_ref!A:C,2,0)</f>
        <v>#N/A</v>
      </c>
      <c r="H1133" t="e">
        <f>VLOOKUP(C:C,Sheet4!A:C,2,0)</f>
        <v>#N/A</v>
      </c>
    </row>
    <row r="1134" spans="1:8" ht="14.4">
      <c r="A1134" s="18" t="s">
        <v>120</v>
      </c>
      <c r="B1134" s="18" t="s">
        <v>120</v>
      </c>
      <c r="C1134" s="18" t="s">
        <v>1231</v>
      </c>
      <c r="D1134" s="19" t="str">
        <f ca="1">IFERROR(__xludf.DUMMYFUNCTION("GOOGLETRANSLATE(A1134, ""ar"", ""en"")"),"April")</f>
        <v>April</v>
      </c>
      <c r="E1134" s="19" t="str">
        <f ca="1">IFERROR(__xludf.DUMMYFUNCTION("GOOGLETRANSLATE(B1134,""ar"",""en"")"),"April")</f>
        <v>April</v>
      </c>
      <c r="F1134" s="19" t="str">
        <f ca="1">IFERROR(__xludf.DUMMYFUNCTION("GOOGLETRANSLATE(C1134,""ar"",""en"")"),"Patrol 4.8 liter normal 4*4")</f>
        <v>Patrol 4.8 liter normal 4*4</v>
      </c>
      <c r="G1134" t="e">
        <f ca="1">VLOOKUP(F:F,matching_transelated_with_ref!A:C,2,0)</f>
        <v>#N/A</v>
      </c>
      <c r="H1134" t="e">
        <f>VLOOKUP(C:C,Sheet4!A:C,2,0)</f>
        <v>#N/A</v>
      </c>
    </row>
    <row r="1135" spans="1:8" ht="14.4">
      <c r="A1135" s="18" t="s">
        <v>120</v>
      </c>
      <c r="B1135" s="18" t="s">
        <v>120</v>
      </c>
      <c r="C1135" s="18" t="s">
        <v>779</v>
      </c>
      <c r="D1135" s="19" t="str">
        <f ca="1">IFERROR(__xludf.DUMMYFUNCTION("GOOGLETRANSLATE(A1135, ""ar"", ""en"")"),"April")</f>
        <v>April</v>
      </c>
      <c r="E1135" s="19" t="str">
        <f ca="1">IFERROR(__xludf.DUMMYFUNCTION("GOOGLETRANSLATE(B1135,""ar"",""en"")"),"April")</f>
        <v>April</v>
      </c>
      <c r="F1135" s="19" t="str">
        <f ca="1">IFERROR(__xludf.DUMMYFUNCTION("GOOGLETRANSLATE(C1135,""ar"",""en"")"),"Pathfinder 3.5 liters of Atoma")</f>
        <v>Pathfinder 3.5 liters of Atoma</v>
      </c>
      <c r="G1135" t="e">
        <f ca="1">VLOOKUP(F:F,matching_transelated_with_ref!A:C,2,0)</f>
        <v>#N/A</v>
      </c>
      <c r="H1135">
        <f>VLOOKUP(C:C,Sheet4!A:C,2,0)</f>
        <v>3</v>
      </c>
    </row>
    <row r="1136" spans="1:8" ht="14.4">
      <c r="A1136" s="18" t="s">
        <v>120</v>
      </c>
      <c r="B1136" s="18" t="s">
        <v>120</v>
      </c>
      <c r="C1136" s="18" t="s">
        <v>1233</v>
      </c>
      <c r="D1136" s="19" t="str">
        <f ca="1">IFERROR(__xludf.DUMMYFUNCTION("GOOGLETRANSLATE(A1136, ""ar"", ""en"")"),"April")</f>
        <v>April</v>
      </c>
      <c r="E1136" s="19" t="str">
        <f ca="1">IFERROR(__xludf.DUMMYFUNCTION("GOOGLETRANSLATE(B1136,""ar"",""en"")"),"April")</f>
        <v>April</v>
      </c>
      <c r="F1136" s="19" t="str">
        <f ca="1">IFERROR(__xludf.DUMMYFUNCTION("GOOGLETRANSLATE(C1136,""ar"",""en"")"),"Patrol Automatic 4.8 liters")</f>
        <v>Patrol Automatic 4.8 liters</v>
      </c>
      <c r="G1136" t="e">
        <f ca="1">VLOOKUP(F:F,matching_transelated_with_ref!A:C,2,0)</f>
        <v>#N/A</v>
      </c>
      <c r="H1136" t="e">
        <f>VLOOKUP(C:C,Sheet4!A:C,2,0)</f>
        <v>#N/A</v>
      </c>
    </row>
    <row r="1137" spans="1:8" ht="14.4">
      <c r="A1137" s="18" t="s">
        <v>120</v>
      </c>
      <c r="B1137" s="18" t="s">
        <v>120</v>
      </c>
      <c r="C1137" s="18" t="s">
        <v>1230</v>
      </c>
      <c r="D1137" s="19" t="str">
        <f ca="1">IFERROR(__xludf.DUMMYFUNCTION("GOOGLETRANSLATE(A1137, ""ar"", ""en"")"),"April")</f>
        <v>April</v>
      </c>
      <c r="E1137" s="19" t="str">
        <f ca="1">IFERROR(__xludf.DUMMYFUNCTION("GOOGLETRANSLATE(B1137,""ar"",""en"")"),"April")</f>
        <v>April</v>
      </c>
      <c r="F1137" s="19" t="str">
        <f ca="1">IFERROR(__xludf.DUMMYFUNCTION("GOOGLETRANSLATE(C1137,""ar"",""en"")"),"Patrol 4.8 liters two doors")</f>
        <v>Patrol 4.8 liters two doors</v>
      </c>
      <c r="G1137" t="e">
        <f ca="1">VLOOKUP(F:F,matching_transelated_with_ref!A:C,2,0)</f>
        <v>#N/A</v>
      </c>
      <c r="H1137" t="e">
        <f>VLOOKUP(C:C,Sheet4!A:C,2,0)</f>
        <v>#N/A</v>
      </c>
    </row>
    <row r="1138" spans="1:8" ht="14.4">
      <c r="A1138" s="18" t="s">
        <v>120</v>
      </c>
      <c r="B1138" s="18" t="s">
        <v>120</v>
      </c>
      <c r="C1138" s="18" t="s">
        <v>1228</v>
      </c>
      <c r="D1138" s="19" t="str">
        <f ca="1">IFERROR(__xludf.DUMMYFUNCTION("GOOGLETRANSLATE(A1138, ""ar"", ""en"")"),"April")</f>
        <v>April</v>
      </c>
      <c r="E1138" s="19" t="str">
        <f ca="1">IFERROR(__xludf.DUMMYFUNCTION("GOOGLETRANSLATE(B1138,""ar"",""en"")"),"April")</f>
        <v>April</v>
      </c>
      <c r="F1138" s="19" t="str">
        <f ca="1">IFERROR(__xludf.DUMMYFUNCTION("GOOGLETRANSLATE(C1138,""ar"",""en"")"),"Patrol 4.8 liters four Abu")</f>
        <v>Patrol 4.8 liters four Abu</v>
      </c>
      <c r="G1138" t="e">
        <f ca="1">VLOOKUP(F:F,matching_transelated_with_ref!A:C,2,0)</f>
        <v>#N/A</v>
      </c>
      <c r="H1138" t="e">
        <f>VLOOKUP(C:C,Sheet4!A:C,2,0)</f>
        <v>#N/A</v>
      </c>
    </row>
    <row r="1139" spans="1:8" ht="14.4">
      <c r="A1139" s="18" t="s">
        <v>120</v>
      </c>
      <c r="B1139" s="18" t="s">
        <v>120</v>
      </c>
      <c r="C1139" s="18" t="s">
        <v>777</v>
      </c>
      <c r="D1139" s="19" t="str">
        <f ca="1">IFERROR(__xludf.DUMMYFUNCTION("GOOGLETRANSLATE(A1139, ""ar"", ""en"")"),"April")</f>
        <v>April</v>
      </c>
      <c r="E1139" s="19" t="str">
        <f ca="1">IFERROR(__xludf.DUMMYFUNCTION("GOOGLETRANSLATE(B1139,""ar"",""en"")"),"April")</f>
        <v>April</v>
      </c>
      <c r="F1139" s="19" t="str">
        <f ca="1">IFERROR(__xludf.DUMMYFUNCTION("GOOGLETRANSLATE(C1139,""ar"",""en"")"),"Pathfinder 3.5 liters 4*4")</f>
        <v>Pathfinder 3.5 liters 4*4</v>
      </c>
      <c r="G1139" t="e">
        <f ca="1">VLOOKUP(F:F,matching_transelated_with_ref!A:C,2,0)</f>
        <v>#N/A</v>
      </c>
      <c r="H1139" t="str">
        <f>VLOOKUP(C:C,Sheet4!A:C,2,0)</f>
        <v xml:space="preserve"> باثفاندر</v>
      </c>
    </row>
    <row r="1140" spans="1:8" ht="14.4">
      <c r="A1140" s="18" t="s">
        <v>120</v>
      </c>
      <c r="B1140" s="18" t="s">
        <v>120</v>
      </c>
      <c r="C1140" s="18" t="s">
        <v>778</v>
      </c>
      <c r="D1140" s="19" t="str">
        <f ca="1">IFERROR(__xludf.DUMMYFUNCTION("GOOGLETRANSLATE(A1140, ""ar"", ""en"")"),"April")</f>
        <v>April</v>
      </c>
      <c r="E1140" s="19" t="str">
        <f ca="1">IFERROR(__xludf.DUMMYFUNCTION("GOOGLETRANSLATE(B1140,""ar"",""en"")"),"April")</f>
        <v>April</v>
      </c>
      <c r="F1140" s="19" t="str">
        <f ca="1">IFERROR(__xludf.DUMMYFUNCTION("GOOGLETRANSLATE(C1140,""ar"",""en"")"),"Pathfinder 3.5 liters of Atoma")</f>
        <v>Pathfinder 3.5 liters of Atoma</v>
      </c>
      <c r="G1140" t="e">
        <f ca="1">VLOOKUP(F:F,matching_transelated_with_ref!A:C,2,0)</f>
        <v>#N/A</v>
      </c>
      <c r="H1140">
        <f>VLOOKUP(C:C,Sheet4!A:C,2,0)</f>
        <v>3</v>
      </c>
    </row>
    <row r="1141" spans="1:8" ht="14.4">
      <c r="A1141" s="18" t="s">
        <v>120</v>
      </c>
      <c r="B1141" s="18" t="s">
        <v>120</v>
      </c>
      <c r="C1141" s="18" t="s">
        <v>1011</v>
      </c>
      <c r="D1141" s="19" t="str">
        <f ca="1">IFERROR(__xludf.DUMMYFUNCTION("GOOGLETRANSLATE(A1141, ""ar"", ""en"")"),"April")</f>
        <v>April</v>
      </c>
      <c r="E1141" s="19" t="str">
        <f ca="1">IFERROR(__xludf.DUMMYFUNCTION("GOOGLETRANSLATE(B1141,""ar"",""en"")"),"April")</f>
        <v>April</v>
      </c>
      <c r="F1141" s="19" t="str">
        <f ca="1">IFERROR(__xludf.DUMMYFUNCTION("GOOGLETRANSLATE(C1141,""ar"",""en"")"),"Patrol Papin automatic")</f>
        <v>Patrol Papin automatic</v>
      </c>
      <c r="G1141" t="e">
        <f ca="1">VLOOKUP(F:F,matching_transelated_with_ref!A:C,2,0)</f>
        <v>#N/A</v>
      </c>
      <c r="H1141" t="e">
        <f>VLOOKUP(C:C,Sheet4!A:C,2,0)</f>
        <v>#N/A</v>
      </c>
    </row>
    <row r="1142" spans="1:8" ht="14.4">
      <c r="A1142" s="18" t="s">
        <v>120</v>
      </c>
      <c r="B1142" s="18" t="s">
        <v>120</v>
      </c>
      <c r="C1142" s="18" t="s">
        <v>1455</v>
      </c>
      <c r="D1142" s="19" t="str">
        <f ca="1">IFERROR(__xludf.DUMMYFUNCTION("GOOGLETRANSLATE(A1142, ""ar"", ""en"")"),"April")</f>
        <v>April</v>
      </c>
      <c r="E1142" s="19" t="str">
        <f ca="1">IFERROR(__xludf.DUMMYFUNCTION("GOOGLETRANSLATE(B1142,""ar"",""en"")"),"April")</f>
        <v>April</v>
      </c>
      <c r="F1142" s="19" t="str">
        <f ca="1">IFERROR(__xludf.DUMMYFUNCTION("GOOGLETRANSLATE(C1142,""ar"",""en"")"),"Orfan Diesel Diesel 2.5 LT")</f>
        <v>Orfan Diesel Diesel 2.5 LT</v>
      </c>
      <c r="G1142" t="e">
        <f ca="1">VLOOKUP(F:F,matching_transelated_with_ref!A:C,2,0)</f>
        <v>#N/A</v>
      </c>
      <c r="H1142" t="str">
        <f>VLOOKUP(C:C,Sheet4!A:C,2,0)</f>
        <v>اورفان</v>
      </c>
    </row>
    <row r="1143" spans="1:8" ht="14.4">
      <c r="A1143" s="18" t="s">
        <v>120</v>
      </c>
      <c r="B1143" s="18" t="s">
        <v>120</v>
      </c>
      <c r="C1143" s="18" t="s">
        <v>1229</v>
      </c>
      <c r="D1143" s="19" t="str">
        <f ca="1">IFERROR(__xludf.DUMMYFUNCTION("GOOGLETRANSLATE(A1143, ""ar"", ""en"")"),"April")</f>
        <v>April</v>
      </c>
      <c r="E1143" s="19" t="str">
        <f ca="1">IFERROR(__xludf.DUMMYFUNCTION("GOOGLETRANSLATE(B1143,""ar"",""en"")"),"April")</f>
        <v>April</v>
      </c>
      <c r="F1143" s="19" t="str">
        <f ca="1">IFERROR(__xludf.DUMMYFUNCTION("GOOGLETRANSLATE(C1143,""ar"",""en"")"),"Patrol 4.8 liters automatic")</f>
        <v>Patrol 4.8 liters automatic</v>
      </c>
      <c r="G1143" t="e">
        <f ca="1">VLOOKUP(F:F,matching_transelated_with_ref!A:C,2,0)</f>
        <v>#N/A</v>
      </c>
      <c r="H1143" t="e">
        <f>VLOOKUP(C:C,Sheet4!A:C,2,0)</f>
        <v>#N/A</v>
      </c>
    </row>
    <row r="1144" spans="1:8" ht="14.4">
      <c r="A1144" s="18" t="s">
        <v>120</v>
      </c>
      <c r="B1144" s="18" t="s">
        <v>120</v>
      </c>
      <c r="C1144" s="18" t="s">
        <v>776</v>
      </c>
      <c r="D1144" s="19" t="str">
        <f ca="1">IFERROR(__xludf.DUMMYFUNCTION("GOOGLETRANSLATE(A1144, ""ar"", ""en"")"),"April")</f>
        <v>April</v>
      </c>
      <c r="E1144" s="19" t="str">
        <f ca="1">IFERROR(__xludf.DUMMYFUNCTION("GOOGLETRANSLATE(B1144,""ar"",""en"")"),"April")</f>
        <v>April</v>
      </c>
      <c r="F1144" s="19" t="str">
        <f ca="1">IFERROR(__xludf.DUMMYFUNCTION("GOOGLETRANSLATE(C1144,""ar"",""en"")"),"Patrol is normal two doors")</f>
        <v>Patrol is normal two doors</v>
      </c>
      <c r="G1144" t="e">
        <f ca="1">VLOOKUP(F:F,matching_transelated_with_ref!A:C,2,0)</f>
        <v>#N/A</v>
      </c>
      <c r="H1144" t="e">
        <f>VLOOKUP(C:C,Sheet4!A:C,2,0)</f>
        <v>#N/A</v>
      </c>
    </row>
    <row r="1145" spans="1:8" ht="14.4">
      <c r="A1145" s="18" t="s">
        <v>120</v>
      </c>
      <c r="B1145" s="18" t="s">
        <v>1005</v>
      </c>
      <c r="C1145" s="18" t="s">
        <v>1006</v>
      </c>
      <c r="D1145" s="19" t="str">
        <f ca="1">IFERROR(__xludf.DUMMYFUNCTION("GOOGLETRANSLATE(A1145, ""ar"", ""en"")"),"April")</f>
        <v>April</v>
      </c>
      <c r="E1145" s="19" t="str">
        <f ca="1">IFERROR(__xludf.DUMMYFUNCTION("GOOGLETRANSLATE(B1145,""ar"",""en"")"),"Navara")</f>
        <v>Navara</v>
      </c>
      <c r="F1145" s="19" t="str">
        <f ca="1">IFERROR(__xludf.DUMMYFUNCTION("GOOGLETRANSLATE(C1145,""ar"",""en"")"),"Outmatic gasoline")</f>
        <v>Outmatic gasoline</v>
      </c>
      <c r="G1145" t="e">
        <f ca="1">VLOOKUP(F:F,matching_transelated_with_ref!A:C,2,0)</f>
        <v>#N/A</v>
      </c>
      <c r="H1145" t="e">
        <f>VLOOKUP(C:C,Sheet4!A:C,2,0)</f>
        <v>#N/A</v>
      </c>
    </row>
    <row r="1146" spans="1:8" ht="14.4">
      <c r="A1146" s="18" t="s">
        <v>120</v>
      </c>
      <c r="B1146" s="18" t="s">
        <v>120</v>
      </c>
      <c r="C1146" s="18" t="s">
        <v>770</v>
      </c>
      <c r="D1146" s="19" t="str">
        <f ca="1">IFERROR(__xludf.DUMMYFUNCTION("GOOGLETRANSLATE(A1146, ""ar"", ""en"")"),"April")</f>
        <v>April</v>
      </c>
      <c r="E1146" s="19" t="str">
        <f ca="1">IFERROR(__xludf.DUMMYFUNCTION("GOOGLETRANSLATE(B1146,""ar"",""en"")"),"April")</f>
        <v>April</v>
      </c>
      <c r="F1146" s="19" t="str">
        <f ca="1">IFERROR(__xludf.DUMMYFUNCTION("GOOGLETRANSLATE(C1146,""ar"",""en"")"),"The 34 SR")</f>
        <v>The 34 SR</v>
      </c>
      <c r="G1146" t="e">
        <f ca="1">VLOOKUP(F:F,matching_transelated_with_ref!A:C,2,0)</f>
        <v>#N/A</v>
      </c>
      <c r="H1146" t="str">
        <f>VLOOKUP(C:C,Sheet4!A:C,2,0)</f>
        <v xml:space="preserve"> التيما</v>
      </c>
    </row>
    <row r="1147" spans="1:8" ht="14.4">
      <c r="A1147" s="18" t="s">
        <v>120</v>
      </c>
      <c r="B1147" s="18" t="s">
        <v>120</v>
      </c>
      <c r="C1147" s="18" t="s">
        <v>501</v>
      </c>
      <c r="D1147" s="19" t="str">
        <f ca="1">IFERROR(__xludf.DUMMYFUNCTION("GOOGLETRANSLATE(A1147, ""ar"", ""en"")"),"April")</f>
        <v>April</v>
      </c>
      <c r="E1147" s="19" t="str">
        <f ca="1">IFERROR(__xludf.DUMMYFUNCTION("GOOGLETRANSLATE(B1147,""ar"",""en"")"),"April")</f>
        <v>April</v>
      </c>
      <c r="F1147" s="19" t="str">
        <f ca="1">IFERROR(__xludf.DUMMYFUNCTION("GOOGLETRANSLATE(C1147,""ar"",""en"")"),"Extrile 4 x 4 petrol is Outo")</f>
        <v>Extrile 4 x 4 petrol is Outo</v>
      </c>
      <c r="G1147" t="e">
        <f ca="1">VLOOKUP(F:F,matching_transelated_with_ref!A:C,2,0)</f>
        <v>#N/A</v>
      </c>
      <c r="H1147" t="str">
        <f>VLOOKUP(C:C,Sheet4!A:C,2,0)</f>
        <v>اكس تريل</v>
      </c>
    </row>
    <row r="1148" spans="1:8" ht="14.4">
      <c r="A1148" s="18" t="s">
        <v>120</v>
      </c>
      <c r="B1148" s="18" t="s">
        <v>120</v>
      </c>
      <c r="C1148" s="18" t="s">
        <v>1238</v>
      </c>
      <c r="D1148" s="19" t="str">
        <f ca="1">IFERROR(__xludf.DUMMYFUNCTION("GOOGLETRANSLATE(A1148, ""ar"", ""en"")"),"April")</f>
        <v>April</v>
      </c>
      <c r="E1148" s="19" t="str">
        <f ca="1">IFERROR(__xludf.DUMMYFUNCTION("GOOGLETRANSLATE(B1148,""ar"",""en"")"),"April")</f>
        <v>April</v>
      </c>
      <c r="F1148" s="19" t="str">
        <f ca="1">IFERROR(__xludf.DUMMYFUNCTION("GOOGLETRANSLATE(C1148,""ar"",""en"")"),"Maxima automatic")</f>
        <v>Maxima automatic</v>
      </c>
      <c r="G1148" t="e">
        <f ca="1">VLOOKUP(F:F,matching_transelated_with_ref!A:C,2,0)</f>
        <v>#N/A</v>
      </c>
      <c r="H1148" t="str">
        <f>VLOOKUP(C:C,Sheet4!A:C,2,0)</f>
        <v>ماكسيما</v>
      </c>
    </row>
    <row r="1149" spans="1:8" ht="14.4">
      <c r="A1149" s="18" t="s">
        <v>120</v>
      </c>
      <c r="B1149" s="18" t="s">
        <v>120</v>
      </c>
      <c r="C1149" s="18" t="s">
        <v>1461</v>
      </c>
      <c r="D1149" s="19" t="str">
        <f ca="1">IFERROR(__xludf.DUMMYFUNCTION("GOOGLETRANSLATE(A1149, ""ar"", ""en"")"),"April")</f>
        <v>April</v>
      </c>
      <c r="E1149" s="19" t="str">
        <f ca="1">IFERROR(__xludf.DUMMYFUNCTION("GOOGLETRANSLATE(B1149,""ar"",""en"")"),"April")</f>
        <v>April</v>
      </c>
      <c r="F1149" s="19" t="str">
        <f ca="1">IFERROR(__xludf.DUMMYFUNCTION("GOOGLETRANSLATE(C1149,""ar"",""en"")"),"Navara diesel is normal")</f>
        <v>Navara diesel is normal</v>
      </c>
      <c r="G1149" t="e">
        <f ca="1">VLOOKUP(F:F,matching_transelated_with_ref!A:C,2,0)</f>
        <v>#N/A</v>
      </c>
      <c r="H1149" t="e">
        <f>VLOOKUP(C:C,Sheet4!A:C,2,0)</f>
        <v>#N/A</v>
      </c>
    </row>
    <row r="1150" spans="1:8" ht="14.4">
      <c r="A1150" s="18" t="s">
        <v>120</v>
      </c>
      <c r="B1150" s="18" t="s">
        <v>487</v>
      </c>
      <c r="C1150" s="18" t="s">
        <v>488</v>
      </c>
      <c r="D1150" s="19" t="str">
        <f ca="1">IFERROR(__xludf.DUMMYFUNCTION("GOOGLETRANSLATE(A1150, ""ar"", ""en"")"),"April")</f>
        <v>April</v>
      </c>
      <c r="E1150" s="19" t="str">
        <f ca="1">IFERROR(__xludf.DUMMYFUNCTION("GOOGLETRANSLATE(B1150,""ar"",""en"")"),"Tattoo")</f>
        <v>Tattoo</v>
      </c>
      <c r="F1150" s="19" t="str">
        <f ca="1">IFERROR(__xludf.DUMMYFUNCTION("GOOGLETRANSLATE(C1150,""ar"",""en"")"),"33 3.5 liters")</f>
        <v>33 3.5 liters</v>
      </c>
      <c r="G1150" t="e">
        <f ca="1">VLOOKUP(F:F,matching_transelated_with_ref!A:C,2,0)</f>
        <v>#N/A</v>
      </c>
      <c r="H1150">
        <f>VLOOKUP(C:C,Sheet4!A:C,2,0)</f>
        <v>3</v>
      </c>
    </row>
    <row r="1151" spans="1:8" ht="14.4">
      <c r="A1151" s="18" t="s">
        <v>120</v>
      </c>
      <c r="B1151" s="18" t="s">
        <v>120</v>
      </c>
      <c r="C1151" s="18" t="s">
        <v>1013</v>
      </c>
      <c r="D1151" s="19" t="str">
        <f ca="1">IFERROR(__xludf.DUMMYFUNCTION("GOOGLETRANSLATE(A1151, ""ar"", ""en"")"),"April")</f>
        <v>April</v>
      </c>
      <c r="E1151" s="19" t="str">
        <f ca="1">IFERROR(__xludf.DUMMYFUNCTION("GOOGLETRANSLATE(B1151,""ar"",""en"")"),"April")</f>
        <v>April</v>
      </c>
      <c r="F1151" s="19" t="str">
        <f ca="1">IFERROR(__xludf.DUMMYFUNCTION("GOOGLETRANSLATE(C1151,""ar"",""en"")"),"Silvian is a regular gasoline")</f>
        <v>Silvian is a regular gasoline</v>
      </c>
      <c r="G1151" t="e">
        <f ca="1">VLOOKUP(F:F,matching_transelated_with_ref!A:C,2,0)</f>
        <v>#N/A</v>
      </c>
      <c r="H1151" t="e">
        <f>VLOOKUP(C:C,Sheet4!A:C,2,0)</f>
        <v>#N/A</v>
      </c>
    </row>
    <row r="1152" spans="1:8" ht="14.4">
      <c r="A1152" s="18" t="s">
        <v>120</v>
      </c>
      <c r="B1152" s="18" t="s">
        <v>120</v>
      </c>
      <c r="C1152" s="18" t="s">
        <v>775</v>
      </c>
      <c r="D1152" s="19" t="str">
        <f ca="1">IFERROR(__xludf.DUMMYFUNCTION("GOOGLETRANSLATE(A1152, ""ar"", ""en"")"),"April")</f>
        <v>April</v>
      </c>
      <c r="E1152" s="19" t="str">
        <f ca="1">IFERROR(__xludf.DUMMYFUNCTION("GOOGLETRANSLATE(B1152,""ar"",""en"")"),"April")</f>
        <v>April</v>
      </c>
      <c r="F1152" s="19" t="str">
        <f ca="1">IFERROR(__xludf.DUMMYFUNCTION("GOOGLETRANSLATE(C1152,""ar"",""en"")"),"Patrol automatic")</f>
        <v>Patrol automatic</v>
      </c>
      <c r="G1152" t="e">
        <f ca="1">VLOOKUP(F:F,matching_transelated_with_ref!A:C,2,0)</f>
        <v>#N/A</v>
      </c>
      <c r="H1152" t="e">
        <f>VLOOKUP(C:C,Sheet4!A:C,2,0)</f>
        <v>#N/A</v>
      </c>
    </row>
    <row r="1153" spans="1:8" ht="14.4">
      <c r="A1153" s="18" t="s">
        <v>120</v>
      </c>
      <c r="B1153" s="18" t="s">
        <v>120</v>
      </c>
      <c r="C1153" s="18" t="s">
        <v>785</v>
      </c>
      <c r="D1153" s="19" t="str">
        <f ca="1">IFERROR(__xludf.DUMMYFUNCTION("GOOGLETRANSLATE(A1153, ""ar"", ""en"")"),"April")</f>
        <v>April</v>
      </c>
      <c r="E1153" s="19" t="str">
        <f ca="1">IFERROR(__xludf.DUMMYFUNCTION("GOOGLETRANSLATE(B1153,""ar"",""en"")"),"April")</f>
        <v>April</v>
      </c>
      <c r="F1153" s="19" t="str">
        <f ca="1">IFERROR(__xludf.DUMMYFUNCTION("GOOGLETRANSLATE(C1153,""ar"",""en"")"),"Navara Diesel Pay a Ray")</f>
        <v>Navara Diesel Pay a Ray</v>
      </c>
      <c r="G1153" t="e">
        <f ca="1">VLOOKUP(F:F,matching_transelated_with_ref!A:C,2,0)</f>
        <v>#N/A</v>
      </c>
      <c r="H1153" t="e">
        <f>VLOOKUP(C:C,Sheet4!A:C,2,0)</f>
        <v>#N/A</v>
      </c>
    </row>
    <row r="1154" spans="1:8" ht="14.4">
      <c r="A1154" s="18" t="s">
        <v>120</v>
      </c>
      <c r="B1154" s="18" t="s">
        <v>120</v>
      </c>
      <c r="C1154" s="18" t="s">
        <v>783</v>
      </c>
      <c r="D1154" s="19" t="str">
        <f ca="1">IFERROR(__xludf.DUMMYFUNCTION("GOOGLETRANSLATE(A1154, ""ar"", ""en"")"),"April")</f>
        <v>April</v>
      </c>
      <c r="E1154" s="19" t="str">
        <f ca="1">IFERROR(__xludf.DUMMYFUNCTION("GOOGLETRANSLATE(B1154,""ar"",""en"")"),"April")</f>
        <v>April</v>
      </c>
      <c r="F1154" s="19" t="str">
        <f ca="1">IFERROR(__xludf.DUMMYFUNCTION("GOOGLETRANSLATE(C1154,""ar"",""en"")"),"Navar")</f>
        <v>Navar</v>
      </c>
      <c r="G1154" t="e">
        <f ca="1">VLOOKUP(F:F,matching_transelated_with_ref!A:C,2,0)</f>
        <v>#N/A</v>
      </c>
      <c r="H1154" t="str">
        <f>VLOOKUP(C:C,Sheet4!A:C,2,0)</f>
        <v xml:space="preserve"> نافارا بيكب</v>
      </c>
    </row>
    <row r="1155" spans="1:8" ht="14.4">
      <c r="A1155" s="18" t="s">
        <v>120</v>
      </c>
      <c r="B1155" s="18" t="s">
        <v>120</v>
      </c>
      <c r="C1155" s="18" t="s">
        <v>771</v>
      </c>
      <c r="D1155" s="19" t="str">
        <f ca="1">IFERROR(__xludf.DUMMYFUNCTION("GOOGLETRANSLATE(A1155, ""ar"", ""en"")"),"April")</f>
        <v>April</v>
      </c>
      <c r="E1155" s="19" t="str">
        <f ca="1">IFERROR(__xludf.DUMMYFUNCTION("GOOGLETRANSLATE(B1155,""ar"",""en"")"),"April")</f>
        <v>April</v>
      </c>
      <c r="F1155" s="19" t="str">
        <f ca="1">IFERROR(__xludf.DUMMYFUNCTION("GOOGLETRANSLATE(C1155,""ar"",""en"")"),"The 34 S -TV")</f>
        <v>The 34 S -TV</v>
      </c>
      <c r="G1155" t="e">
        <f ca="1">VLOOKUP(F:F,matching_transelated_with_ref!A:C,2,0)</f>
        <v>#N/A</v>
      </c>
      <c r="H1155" t="str">
        <f>VLOOKUP(C:C,Sheet4!A:C,2,0)</f>
        <v xml:space="preserve"> التيما</v>
      </c>
    </row>
    <row r="1156" spans="1:8" ht="14.4">
      <c r="A1156" s="18" t="s">
        <v>120</v>
      </c>
      <c r="B1156" s="18" t="s">
        <v>490</v>
      </c>
      <c r="C1156" s="18" t="s">
        <v>491</v>
      </c>
      <c r="D1156" s="19" t="str">
        <f ca="1">IFERROR(__xludf.DUMMYFUNCTION("GOOGLETRANSLATE(A1156, ""ar"", ""en"")"),"April")</f>
        <v>April</v>
      </c>
      <c r="E1156" s="19" t="str">
        <f ca="1">IFERROR(__xludf.DUMMYFUNCTION("GOOGLETRANSLATE(B1156,""ar"",""en"")"),"Urvan")</f>
        <v>Urvan</v>
      </c>
      <c r="F1156" s="19" t="str">
        <f ca="1">IFERROR(__xludf.DUMMYFUNCTION("GOOGLETRANSLATE(C1156,""ar"",""en"")"),"I 26")</f>
        <v>I 26</v>
      </c>
      <c r="G1156" t="e">
        <f ca="1">VLOOKUP(F:F,matching_transelated_with_ref!A:C,2,0)</f>
        <v>#N/A</v>
      </c>
      <c r="H1156" t="e">
        <f>VLOOKUP(C:C,Sheet4!A:C,2,0)</f>
        <v>#N/A</v>
      </c>
    </row>
    <row r="1157" spans="1:8" ht="14.4">
      <c r="A1157" s="18" t="s">
        <v>120</v>
      </c>
      <c r="B1157" s="18" t="s">
        <v>484</v>
      </c>
      <c r="C1157" s="18" t="s">
        <v>486</v>
      </c>
      <c r="D1157" s="19" t="str">
        <f ca="1">IFERROR(__xludf.DUMMYFUNCTION("GOOGLETRANSLATE(A1157, ""ar"", ""en"")"),"April")</f>
        <v>April</v>
      </c>
      <c r="E1157" s="19" t="str">
        <f ca="1">IFERROR(__xludf.DUMMYFUNCTION("GOOGLETRANSLATE(B1157,""ar"",""en"")"),"Extrel")</f>
        <v>Extrel</v>
      </c>
      <c r="F1157" s="19" t="str">
        <f ca="1">IFERROR(__xludf.DUMMYFUNCTION("GOOGLETRANSLATE(C1157,""ar"",""en"")"),"Wajn T 32 Automatic 4*4")</f>
        <v>Wajn T 32 Automatic 4*4</v>
      </c>
      <c r="G1157" t="e">
        <f ca="1">VLOOKUP(F:F,matching_transelated_with_ref!A:C,2,0)</f>
        <v>#N/A</v>
      </c>
      <c r="H1157" t="e">
        <f>VLOOKUP(C:C,Sheet4!A:C,2,0)</f>
        <v>#N/A</v>
      </c>
    </row>
    <row r="1158" spans="1:8" ht="14.4">
      <c r="A1158" s="18" t="s">
        <v>120</v>
      </c>
      <c r="B1158" s="18" t="s">
        <v>120</v>
      </c>
      <c r="C1158" s="18" t="s">
        <v>507</v>
      </c>
      <c r="D1158" s="19" t="str">
        <f ca="1">IFERROR(__xludf.DUMMYFUNCTION("GOOGLETRANSLATE(A1158, ""ar"", ""en"")"),"April")</f>
        <v>April</v>
      </c>
      <c r="E1158" s="19" t="str">
        <f ca="1">IFERROR(__xludf.DUMMYFUNCTION("GOOGLETRANSLATE(B1158,""ar"",""en"")"),"April")</f>
        <v>April</v>
      </c>
      <c r="F1158" s="19" t="str">
        <f ca="1">IFERROR(__xludf.DUMMYFUNCTION("GOOGLETRANSLATE(C1158,""ar"",""en"")"),"Maxima")</f>
        <v>Maxima</v>
      </c>
      <c r="G1158" t="e">
        <f ca="1">VLOOKUP(F:F,matching_transelated_with_ref!A:C,2,0)</f>
        <v>#N/A</v>
      </c>
      <c r="H1158" t="str">
        <f>VLOOKUP(C:C,Sheet4!A:C,2,0)</f>
        <v>ماكسيما</v>
      </c>
    </row>
    <row r="1159" spans="1:8" ht="14.4">
      <c r="A1159" s="18" t="s">
        <v>120</v>
      </c>
      <c r="B1159" s="18" t="s">
        <v>484</v>
      </c>
      <c r="C1159" s="18" t="s">
        <v>485</v>
      </c>
      <c r="D1159" s="19" t="str">
        <f ca="1">IFERROR(__xludf.DUMMYFUNCTION("GOOGLETRANSLATE(A1159, ""ar"", ""en"")"),"April")</f>
        <v>April</v>
      </c>
      <c r="E1159" s="19" t="str">
        <f ca="1">IFERROR(__xludf.DUMMYFUNCTION("GOOGLETRANSLATE(B1159,""ar"",""en"")"),"Extrel")</f>
        <v>Extrel</v>
      </c>
      <c r="F1159" s="19" t="str">
        <f ca="1">IFERROR(__xludf.DUMMYFUNCTION("GOOGLETRANSLATE(C1159,""ar"",""en"")"),"Wajn T 32")</f>
        <v>Wajn T 32</v>
      </c>
      <c r="G1159" t="e">
        <f ca="1">VLOOKUP(F:F,matching_transelated_with_ref!A:C,2,0)</f>
        <v>#N/A</v>
      </c>
      <c r="H1159" t="e">
        <f>VLOOKUP(C:C,Sheet4!A:C,2,0)</f>
        <v>#N/A</v>
      </c>
    </row>
    <row r="1160" spans="1:8" ht="14.4">
      <c r="A1160" s="18" t="s">
        <v>120</v>
      </c>
      <c r="B1160" s="18" t="s">
        <v>120</v>
      </c>
      <c r="C1160" s="18" t="s">
        <v>1221</v>
      </c>
      <c r="D1160" s="19" t="str">
        <f ca="1">IFERROR(__xludf.DUMMYFUNCTION("GOOGLETRANSLATE(A1160, ""ar"", ""en"")"),"April")</f>
        <v>April</v>
      </c>
      <c r="E1160" s="19" t="str">
        <f ca="1">IFERROR(__xludf.DUMMYFUNCTION("GOOGLETRANSLATE(B1160,""ar"",""en"")"),"April")</f>
        <v>April</v>
      </c>
      <c r="F1160" s="19" t="str">
        <f ca="1">IFERROR(__xludf.DUMMYFUNCTION("GOOGLETRANSLATE(C1160,""ar"",""en"")"),"Extrile four -wheel drive Out")</f>
        <v>Extrile four -wheel drive Out</v>
      </c>
      <c r="G1160" t="e">
        <f ca="1">VLOOKUP(F:F,matching_transelated_with_ref!A:C,2,0)</f>
        <v>#N/A</v>
      </c>
      <c r="H1160" t="str">
        <f>VLOOKUP(C:C,Sheet4!A:C,2,0)</f>
        <v>اكس تريل</v>
      </c>
    </row>
    <row r="1161" spans="1:8" ht="14.4">
      <c r="A1161" s="18" t="s">
        <v>120</v>
      </c>
      <c r="B1161" s="18" t="s">
        <v>120</v>
      </c>
      <c r="C1161" s="18" t="s">
        <v>1225</v>
      </c>
      <c r="D1161" s="19" t="str">
        <f ca="1">IFERROR(__xludf.DUMMYFUNCTION("GOOGLETRANSLATE(A1161, ""ar"", ""en"")"),"April")</f>
        <v>April</v>
      </c>
      <c r="E1161" s="19" t="str">
        <f ca="1">IFERROR(__xludf.DUMMYFUNCTION("GOOGLETRANSLATE(B1161,""ar"",""en"")"),"April")</f>
        <v>April</v>
      </c>
      <c r="F1161" s="19" t="str">
        <f ca="1">IFERROR(__xludf.DUMMYFUNCTION("GOOGLETRANSLATE(C1161,""ar"",""en"")"),"Tema Automatics")</f>
        <v>Tema Automatics</v>
      </c>
      <c r="G1161" t="e">
        <f ca="1">VLOOKUP(F:F,matching_transelated_with_ref!A:C,2,0)</f>
        <v>#N/A</v>
      </c>
      <c r="H1161" t="str">
        <f>VLOOKUP(C:C,Sheet4!A:C,2,0)</f>
        <v xml:space="preserve"> التيما</v>
      </c>
    </row>
    <row r="1162" spans="1:8" ht="14.4">
      <c r="A1162" s="18" t="s">
        <v>120</v>
      </c>
      <c r="B1162" s="18" t="s">
        <v>120</v>
      </c>
      <c r="C1162" s="18" t="s">
        <v>1224</v>
      </c>
      <c r="D1162" s="19" t="str">
        <f ca="1">IFERROR(__xludf.DUMMYFUNCTION("GOOGLETRANSLATE(A1162, ""ar"", ""en"")"),"April")</f>
        <v>April</v>
      </c>
      <c r="E1162" s="19" t="str">
        <f ca="1">IFERROR(__xludf.DUMMYFUNCTION("GOOGLETRANSLATE(B1162,""ar"",""en"")"),"April")</f>
        <v>April</v>
      </c>
      <c r="F1162" s="19" t="str">
        <f ca="1">IFERROR(__xludf.DUMMYFUNCTION("GOOGLETRANSLATE(C1162,""ar"",""en"")"),"Etma automatic")</f>
        <v>Etma automatic</v>
      </c>
      <c r="G1162" t="e">
        <f ca="1">VLOOKUP(F:F,matching_transelated_with_ref!A:C,2,0)</f>
        <v>#N/A</v>
      </c>
      <c r="H1162" t="str">
        <f>VLOOKUP(C:C,Sheet4!A:C,2,0)</f>
        <v xml:space="preserve"> التيما</v>
      </c>
    </row>
    <row r="1163" spans="1:8" ht="14.4">
      <c r="A1163" s="18" t="s">
        <v>120</v>
      </c>
      <c r="B1163" s="18" t="s">
        <v>120</v>
      </c>
      <c r="C1163" s="18" t="s">
        <v>1010</v>
      </c>
      <c r="D1163" s="19" t="str">
        <f ca="1">IFERROR(__xludf.DUMMYFUNCTION("GOOGLETRANSLATE(A1163, ""ar"", ""en"")"),"April")</f>
        <v>April</v>
      </c>
      <c r="E1163" s="19" t="str">
        <f ca="1">IFERROR(__xludf.DUMMYFUNCTION("GOOGLETRANSLATE(B1163,""ar"",""en"")"),"April")</f>
        <v>April</v>
      </c>
      <c r="F1163" s="19" t="str">
        <f ca="1">IFERROR(__xludf.DUMMYFUNCTION("GOOGLETRANSLATE(C1163,""ar"",""en"")"),"Etma automatic")</f>
        <v>Etma automatic</v>
      </c>
      <c r="G1163" t="e">
        <f ca="1">VLOOKUP(F:F,matching_transelated_with_ref!A:C,2,0)</f>
        <v>#N/A</v>
      </c>
      <c r="H1163" t="str">
        <f>VLOOKUP(C:C,Sheet4!A:C,2,0)</f>
        <v xml:space="preserve"> التيما</v>
      </c>
    </row>
    <row r="1164" spans="1:8" ht="14.4">
      <c r="A1164" s="18" t="s">
        <v>120</v>
      </c>
      <c r="B1164" s="18" t="s">
        <v>120</v>
      </c>
      <c r="C1164" s="18" t="s">
        <v>1222</v>
      </c>
      <c r="D1164" s="19" t="str">
        <f ca="1">IFERROR(__xludf.DUMMYFUNCTION("GOOGLETRANSLATE(A1164, ""ar"", ""en"")"),"April")</f>
        <v>April</v>
      </c>
      <c r="E1164" s="19" t="str">
        <f ca="1">IFERROR(__xludf.DUMMYFUNCTION("GOOGLETRANSLATE(B1164,""ar"",""en"")"),"April")</f>
        <v>April</v>
      </c>
      <c r="F1164" s="19" t="str">
        <f ca="1">IFERROR(__xludf.DUMMYFUNCTION("GOOGLETRANSLATE(C1164,""ar"",""en"")"),"Extrile four -wheel drive Out")</f>
        <v>Extrile four -wheel drive Out</v>
      </c>
      <c r="G1164" t="e">
        <f ca="1">VLOOKUP(F:F,matching_transelated_with_ref!A:C,2,0)</f>
        <v>#N/A</v>
      </c>
      <c r="H1164" t="str">
        <f>VLOOKUP(C:C,Sheet4!A:C,2,0)</f>
        <v>اكس تريل</v>
      </c>
    </row>
    <row r="1165" spans="1:8" ht="14.4">
      <c r="A1165" s="18" t="s">
        <v>120</v>
      </c>
      <c r="B1165" s="18" t="s">
        <v>487</v>
      </c>
      <c r="C1165" s="18" t="s">
        <v>489</v>
      </c>
      <c r="D1165" s="19" t="str">
        <f ca="1">IFERROR(__xludf.DUMMYFUNCTION("GOOGLETRANSLATE(A1165, ""ar"", ""en"")"),"April")</f>
        <v>April</v>
      </c>
      <c r="E1165" s="19" t="str">
        <f ca="1">IFERROR(__xludf.DUMMYFUNCTION("GOOGLETRANSLATE(B1165,""ar"",""en"")"),"Tattoo")</f>
        <v>Tattoo</v>
      </c>
      <c r="F1165" s="19" t="str">
        <f ca="1">IFERROR(__xludf.DUMMYFUNCTION("GOOGLETRANSLATE(C1165,""ar"",""en"")"),"33 2.5 liters")</f>
        <v>33 2.5 liters</v>
      </c>
      <c r="G1165" t="e">
        <f ca="1">VLOOKUP(F:F,matching_transelated_with_ref!A:C,2,0)</f>
        <v>#N/A</v>
      </c>
      <c r="H1165">
        <f>VLOOKUP(C:C,Sheet4!A:C,2,0)</f>
        <v>5</v>
      </c>
    </row>
    <row r="1166" spans="1:8" ht="14.4">
      <c r="A1166" s="18" t="s">
        <v>120</v>
      </c>
      <c r="B1166" s="18" t="s">
        <v>120</v>
      </c>
      <c r="C1166" s="18" t="s">
        <v>499</v>
      </c>
      <c r="D1166" s="19" t="str">
        <f ca="1">IFERROR(__xludf.DUMMYFUNCTION("GOOGLETRANSLATE(A1166, ""ar"", ""en"")"),"April")</f>
        <v>April</v>
      </c>
      <c r="E1166" s="19" t="str">
        <f ca="1">IFERROR(__xludf.DUMMYFUNCTION("GOOGLETRANSLATE(B1166,""ar"",""en"")"),"April")</f>
        <v>April</v>
      </c>
      <c r="F1166" s="19" t="str">
        <f ca="1">IFERROR(__xludf.DUMMYFUNCTION("GOOGLETRANSLATE(C1166,""ar"",""en"")"),"Extrile Outoma gasoline")</f>
        <v>Extrile Outoma gasoline</v>
      </c>
      <c r="G1166" t="e">
        <f ca="1">VLOOKUP(F:F,matching_transelated_with_ref!A:C,2,0)</f>
        <v>#N/A</v>
      </c>
      <c r="H1166" t="str">
        <f>VLOOKUP(C:C,Sheet4!A:C,2,0)</f>
        <v>اكس تريل</v>
      </c>
    </row>
    <row r="1167" spans="1:8" ht="14.4">
      <c r="A1167" s="18" t="s">
        <v>120</v>
      </c>
      <c r="B1167" s="18" t="s">
        <v>120</v>
      </c>
      <c r="C1167" s="18" t="s">
        <v>1220</v>
      </c>
      <c r="D1167" s="19" t="str">
        <f ca="1">IFERROR(__xludf.DUMMYFUNCTION("GOOGLETRANSLATE(A1167, ""ar"", ""en"")"),"April")</f>
        <v>April</v>
      </c>
      <c r="E1167" s="19" t="str">
        <f ca="1">IFERROR(__xludf.DUMMYFUNCTION("GOOGLETRANSLATE(B1167,""ar"",""en"")"),"April")</f>
        <v>April</v>
      </c>
      <c r="F1167" s="19" t="str">
        <f ca="1">IFERROR(__xludf.DUMMYFUNCTION("GOOGLETRANSLATE(C1167,""ar"",""en"")"),"Extril I pay a front")</f>
        <v>Extril I pay a front</v>
      </c>
      <c r="G1167" t="e">
        <f ca="1">VLOOKUP(F:F,matching_transelated_with_ref!A:C,2,0)</f>
        <v>#N/A</v>
      </c>
      <c r="H1167" t="str">
        <f>VLOOKUP(C:C,Sheet4!A:C,2,0)</f>
        <v>اكس تريل</v>
      </c>
    </row>
    <row r="1168" spans="1:8" ht="14.4">
      <c r="A1168" s="18" t="s">
        <v>120</v>
      </c>
      <c r="B1168" s="18" t="s">
        <v>120</v>
      </c>
      <c r="C1168" s="18" t="s">
        <v>1219</v>
      </c>
      <c r="D1168" s="19" t="str">
        <f ca="1">IFERROR(__xludf.DUMMYFUNCTION("GOOGLETRANSLATE(A1168, ""ar"", ""en"")"),"April")</f>
        <v>April</v>
      </c>
      <c r="E1168" s="19" t="str">
        <f ca="1">IFERROR(__xludf.DUMMYFUNCTION("GOOGLETRANSLATE(B1168,""ar"",""en"")"),"April")</f>
        <v>April</v>
      </c>
      <c r="F1168" s="19" t="str">
        <f ca="1">IFERROR(__xludf.DUMMYFUNCTION("GOOGLETRANSLATE(C1168,""ar"",""en"")"),"Extrile I pay a front")</f>
        <v>Extrile I pay a front</v>
      </c>
      <c r="G1168" t="e">
        <f ca="1">VLOOKUP(F:F,matching_transelated_with_ref!A:C,2,0)</f>
        <v>#N/A</v>
      </c>
      <c r="H1168" t="str">
        <f>VLOOKUP(C:C,Sheet4!A:C,2,0)</f>
        <v>اكس تريل</v>
      </c>
    </row>
    <row r="1169" spans="1:8" ht="14.4">
      <c r="A1169" s="18" t="s">
        <v>120</v>
      </c>
      <c r="B1169" s="18" t="s">
        <v>1005</v>
      </c>
      <c r="C1169" s="18" t="s">
        <v>1007</v>
      </c>
      <c r="D1169" s="19" t="str">
        <f ca="1">IFERROR(__xludf.DUMMYFUNCTION("GOOGLETRANSLATE(A1169, ""ar"", ""en"")"),"April")</f>
        <v>April</v>
      </c>
      <c r="E1169" s="19" t="str">
        <f ca="1">IFERROR(__xludf.DUMMYFUNCTION("GOOGLETRANSLATE(B1169,""ar"",""en"")"),"Navara")</f>
        <v>Navara</v>
      </c>
      <c r="F1169" s="19" t="str">
        <f ca="1">IFERROR(__xludf.DUMMYFUNCTION("GOOGLETRANSLATE(C1169,""ar"",""en"")"),"Normal diesel")</f>
        <v>Normal diesel</v>
      </c>
      <c r="G1169" t="e">
        <f ca="1">VLOOKUP(F:F,matching_transelated_with_ref!A:C,2,0)</f>
        <v>#N/A</v>
      </c>
      <c r="H1169" t="e">
        <f>VLOOKUP(C:C,Sheet4!A:C,2,0)</f>
        <v>#N/A</v>
      </c>
    </row>
    <row r="1170" spans="1:8" ht="14.4">
      <c r="A1170" s="18" t="s">
        <v>120</v>
      </c>
      <c r="B1170" s="18" t="s">
        <v>120</v>
      </c>
      <c r="C1170" s="18" t="s">
        <v>769</v>
      </c>
      <c r="D1170" s="19" t="str">
        <f ca="1">IFERROR(__xludf.DUMMYFUNCTION("GOOGLETRANSLATE(A1170, ""ar"", ""en"")"),"April")</f>
        <v>April</v>
      </c>
      <c r="E1170" s="19" t="str">
        <f ca="1">IFERROR(__xludf.DUMMYFUNCTION("GOOGLETRANSLATE(B1170,""ar"",""en"")"),"April")</f>
        <v>April</v>
      </c>
      <c r="F1170" s="19" t="str">
        <f ca="1">IFERROR(__xludf.DUMMYFUNCTION("GOOGLETRANSLATE(C1170,""ar"",""en"")"),"Extril is automatic gasoline")</f>
        <v>Extril is automatic gasoline</v>
      </c>
      <c r="G1170" t="e">
        <f ca="1">VLOOKUP(F:F,matching_transelated_with_ref!A:C,2,0)</f>
        <v>#N/A</v>
      </c>
      <c r="H1170" t="str">
        <f>VLOOKUP(C:C,Sheet4!A:C,2,0)</f>
        <v>اكس تريل</v>
      </c>
    </row>
    <row r="1171" spans="1:8" ht="14.4">
      <c r="A1171" s="18" t="s">
        <v>120</v>
      </c>
      <c r="B1171" s="18" t="s">
        <v>1005</v>
      </c>
      <c r="C1171" s="18" t="s">
        <v>1008</v>
      </c>
      <c r="D1171" s="19" t="str">
        <f ca="1">IFERROR(__xludf.DUMMYFUNCTION("GOOGLETRANSLATE(A1171, ""ar"", ""en"")"),"April")</f>
        <v>April</v>
      </c>
      <c r="E1171" s="19" t="str">
        <f ca="1">IFERROR(__xludf.DUMMYFUNCTION("GOOGLETRANSLATE(B1171,""ar"",""en"")"),"Navara")</f>
        <v>Navara</v>
      </c>
      <c r="F1171" s="19" t="str">
        <f ca="1">IFERROR(__xludf.DUMMYFUNCTION("GOOGLETRANSLATE(C1171,""ar"",""en"")"),"Normal gasoline")</f>
        <v>Normal gasoline</v>
      </c>
      <c r="G1171" t="e">
        <f ca="1">VLOOKUP(F:F,matching_transelated_with_ref!A:C,2,0)</f>
        <v>#N/A</v>
      </c>
      <c r="H1171" t="e">
        <f>VLOOKUP(C:C,Sheet4!A:C,2,0)</f>
        <v>#N/A</v>
      </c>
    </row>
    <row r="1172" spans="1:8" ht="14.4">
      <c r="A1172" s="18" t="s">
        <v>120</v>
      </c>
      <c r="B1172" s="18" t="s">
        <v>120</v>
      </c>
      <c r="C1172" s="18" t="s">
        <v>772</v>
      </c>
      <c r="D1172" s="19" t="str">
        <f ca="1">IFERROR(__xludf.DUMMYFUNCTION("GOOGLETRANSLATE(A1172, ""ar"", ""en"")"),"April")</f>
        <v>April</v>
      </c>
      <c r="E1172" s="19" t="str">
        <f ca="1">IFERROR(__xludf.DUMMYFUNCTION("GOOGLETRANSLATE(B1172,""ar"",""en"")"),"April")</f>
        <v>April</v>
      </c>
      <c r="F1172" s="19" t="str">
        <f ca="1">IFERROR(__xludf.DUMMYFUNCTION("GOOGLETRANSLATE(C1172,""ar"",""en"")"),"Orfan is a regular gasoline")</f>
        <v>Orfan is a regular gasoline</v>
      </c>
      <c r="G1172" t="e">
        <f ca="1">VLOOKUP(F:F,matching_transelated_with_ref!A:C,2,0)</f>
        <v>#N/A</v>
      </c>
      <c r="H1172" t="str">
        <f>VLOOKUP(C:C,Sheet4!A:C,2,0)</f>
        <v>اورفان</v>
      </c>
    </row>
    <row r="1173" spans="1:8" ht="14.4">
      <c r="A1173" s="18" t="s">
        <v>120</v>
      </c>
      <c r="B1173" s="18" t="s">
        <v>120</v>
      </c>
      <c r="C1173" s="18" t="s">
        <v>773</v>
      </c>
      <c r="D1173" s="19" t="str">
        <f ca="1">IFERROR(__xludf.DUMMYFUNCTION("GOOGLETRANSLATE(A1173, ""ar"", ""en"")"),"April")</f>
        <v>April</v>
      </c>
      <c r="E1173" s="19" t="str">
        <f ca="1">IFERROR(__xludf.DUMMYFUNCTION("GOOGLETRANSLATE(B1173,""ar"",""en"")"),"April")</f>
        <v>April</v>
      </c>
      <c r="F1173" s="19" t="str">
        <f ca="1">IFERROR(__xludf.DUMMYFUNCTION("GOOGLETRANSLATE(C1173,""ar"",""en"")"),"Orfan is normal diesel")</f>
        <v>Orfan is normal diesel</v>
      </c>
      <c r="G1173" t="e">
        <f ca="1">VLOOKUP(F:F,matching_transelated_with_ref!A:C,2,0)</f>
        <v>#N/A</v>
      </c>
      <c r="H1173" t="str">
        <f>VLOOKUP(C:C,Sheet4!A:C,2,0)</f>
        <v>اورفان</v>
      </c>
    </row>
    <row r="1174" spans="1:8" ht="14.4">
      <c r="A1174" s="18" t="s">
        <v>120</v>
      </c>
      <c r="B1174" s="18" t="s">
        <v>120</v>
      </c>
      <c r="C1174" s="18" t="s">
        <v>1009</v>
      </c>
      <c r="D1174" s="19" t="str">
        <f ca="1">IFERROR(__xludf.DUMMYFUNCTION("GOOGLETRANSLATE(A1174, ""ar"", ""en"")"),"April")</f>
        <v>April</v>
      </c>
      <c r="E1174" s="19" t="str">
        <f ca="1">IFERROR(__xludf.DUMMYFUNCTION("GOOGLETRANSLATE(B1174,""ar"",""en"")"),"April")</f>
        <v>April</v>
      </c>
      <c r="F1174" s="19" t="str">
        <f ca="1">IFERROR(__xludf.DUMMYFUNCTION("GOOGLETRANSLATE(C1174,""ar"",""en"")"),"Automatic Automatic Payment")</f>
        <v>Automatic Automatic Payment</v>
      </c>
      <c r="G1174" t="e">
        <f ca="1">VLOOKUP(F:F,matching_transelated_with_ref!A:C,2,0)</f>
        <v>#N/A</v>
      </c>
      <c r="H1174" t="str">
        <f>VLOOKUP(C:C,Sheet4!A:C,2,0)</f>
        <v>اكس تريل</v>
      </c>
    </row>
    <row r="1175" spans="1:8" ht="14.4">
      <c r="A1175" s="18" t="s">
        <v>120</v>
      </c>
      <c r="B1175" s="18" t="s">
        <v>120</v>
      </c>
      <c r="C1175" s="18" t="s">
        <v>768</v>
      </c>
      <c r="D1175" s="19" t="str">
        <f ca="1">IFERROR(__xludf.DUMMYFUNCTION("GOOGLETRANSLATE(A1175, ""ar"", ""en"")"),"April")</f>
        <v>April</v>
      </c>
      <c r="E1175" s="19" t="str">
        <f ca="1">IFERROR(__xludf.DUMMYFUNCTION("GOOGLETRANSLATE(B1175,""ar"",""en"")"),"April")</f>
        <v>April</v>
      </c>
      <c r="F1175" s="19" t="str">
        <f ca="1">IFERROR(__xludf.DUMMYFUNCTION("GOOGLETRANSLATE(C1175,""ar"",""en"")"),"Extrile automatic payment")</f>
        <v>Extrile automatic payment</v>
      </c>
      <c r="G1175" t="e">
        <f ca="1">VLOOKUP(F:F,matching_transelated_with_ref!A:C,2,0)</f>
        <v>#N/A</v>
      </c>
      <c r="H1175" t="str">
        <f>VLOOKUP(C:C,Sheet4!A:C,2,0)</f>
        <v>اكس تريل</v>
      </c>
    </row>
    <row r="1176" spans="1:8" ht="14.4">
      <c r="A1176" s="18" t="s">
        <v>120</v>
      </c>
      <c r="B1176" s="18" t="s">
        <v>120</v>
      </c>
      <c r="C1176" s="18" t="s">
        <v>500</v>
      </c>
      <c r="D1176" s="19" t="str">
        <f ca="1">IFERROR(__xludf.DUMMYFUNCTION("GOOGLETRANSLATE(A1176, ""ar"", ""en"")"),"April")</f>
        <v>April</v>
      </c>
      <c r="E1176" s="19" t="str">
        <f ca="1">IFERROR(__xludf.DUMMYFUNCTION("GOOGLETRANSLATE(B1176,""ar"",""en"")"),"April")</f>
        <v>April</v>
      </c>
      <c r="F1176" s="19" t="str">
        <f ca="1">IFERROR(__xludf.DUMMYFUNCTION("GOOGLETRANSLATE(C1176,""ar"",""en"")"),"Extrile 4 x 4")</f>
        <v>Extrile 4 x 4</v>
      </c>
      <c r="G1176" t="e">
        <f ca="1">VLOOKUP(F:F,matching_transelated_with_ref!A:C,2,0)</f>
        <v>#N/A</v>
      </c>
      <c r="H1176" t="str">
        <f>VLOOKUP(C:C,Sheet4!A:C,2,0)</f>
        <v>اكس تريل</v>
      </c>
    </row>
    <row r="1177" spans="1:8" ht="14.4">
      <c r="A1177" s="18" t="s">
        <v>120</v>
      </c>
      <c r="B1177" s="18" t="s">
        <v>120</v>
      </c>
      <c r="C1177" s="18" t="s">
        <v>784</v>
      </c>
      <c r="D1177" s="19" t="str">
        <f ca="1">IFERROR(__xludf.DUMMYFUNCTION("GOOGLETRANSLATE(A1177, ""ar"", ""en"")"),"April")</f>
        <v>April</v>
      </c>
      <c r="E1177" s="19" t="str">
        <f ca="1">IFERROR(__xludf.DUMMYFUNCTION("GOOGLETRANSLATE(B1177,""ar"",""en"")"),"April")</f>
        <v>April</v>
      </c>
      <c r="F1177" s="19" t="str">
        <f ca="1">IFERROR(__xludf.DUMMYFUNCTION("GOOGLETRANSLATE(C1177,""ar"",""en"")"),"Navarra Normal petrol payment")</f>
        <v>Navarra Normal petrol payment</v>
      </c>
      <c r="G1177" t="e">
        <f ca="1">VLOOKUP(F:F,matching_transelated_with_ref!A:C,2,0)</f>
        <v>#N/A</v>
      </c>
      <c r="H1177" t="e">
        <f>VLOOKUP(C:C,Sheet4!A:C,2,0)</f>
        <v>#N/A</v>
      </c>
    </row>
    <row r="1178" spans="1:8" ht="14.4">
      <c r="A1178" s="18" t="s">
        <v>120</v>
      </c>
      <c r="B1178" s="18" t="s">
        <v>120</v>
      </c>
      <c r="C1178" s="18" t="s">
        <v>502</v>
      </c>
      <c r="D1178" s="19" t="str">
        <f ca="1">IFERROR(__xludf.DUMMYFUNCTION("GOOGLETRANSLATE(A1178, ""ar"", ""en"")"),"April")</f>
        <v>April</v>
      </c>
      <c r="E1178" s="19" t="str">
        <f ca="1">IFERROR(__xludf.DUMMYFUNCTION("GOOGLETRANSLATE(B1178,""ar"",""en"")"),"April")</f>
        <v>April</v>
      </c>
      <c r="F1178" s="19" t="str">
        <f ca="1">IFERROR(__xludf.DUMMYFUNCTION("GOOGLETRANSLATE(C1178,""ar"",""en"")"),"Automatic Extrile")</f>
        <v>Automatic Extrile</v>
      </c>
      <c r="G1178" t="e">
        <f ca="1">VLOOKUP(F:F,matching_transelated_with_ref!A:C,2,0)</f>
        <v>#N/A</v>
      </c>
      <c r="H1178" t="str">
        <f>VLOOKUP(C:C,Sheet4!A:C,2,0)</f>
        <v>اكس تريل</v>
      </c>
    </row>
    <row r="1179" spans="1:8" ht="14.4">
      <c r="A1179" s="18" t="s">
        <v>120</v>
      </c>
      <c r="B1179" s="18" t="s">
        <v>120</v>
      </c>
      <c r="C1179" s="18" t="s">
        <v>506</v>
      </c>
      <c r="D1179" s="19" t="str">
        <f ca="1">IFERROR(__xludf.DUMMYFUNCTION("GOOGLETRANSLATE(A1179, ""ar"", ""en"")"),"April")</f>
        <v>April</v>
      </c>
      <c r="E1179" s="19" t="str">
        <f ca="1">IFERROR(__xludf.DUMMYFUNCTION("GOOGLETRANSLATE(B1179,""ar"",""en"")"),"April")</f>
        <v>April</v>
      </c>
      <c r="F1179" s="19" t="str">
        <f ca="1">IFERROR(__xludf.DUMMYFUNCTION("GOOGLETRANSLATE(C1179,""ar"",""en"")"),"Kix")</f>
        <v>Kix</v>
      </c>
      <c r="G1179" t="e">
        <f ca="1">VLOOKUP(F:F,matching_transelated_with_ref!A:C,2,0)</f>
        <v>#N/A</v>
      </c>
      <c r="H1179" t="str">
        <f>VLOOKUP(C:C,Sheet4!A:C,2,0)</f>
        <v xml:space="preserve"> كيكس</v>
      </c>
    </row>
    <row r="1180" spans="1:8" ht="14.4">
      <c r="A1180" s="18" t="s">
        <v>120</v>
      </c>
      <c r="B1180" s="18" t="s">
        <v>495</v>
      </c>
      <c r="C1180" s="18" t="s">
        <v>496</v>
      </c>
      <c r="D1180" s="19" t="str">
        <f ca="1">IFERROR(__xludf.DUMMYFUNCTION("GOOGLETRANSLATE(A1180, ""ar"", ""en"")"),"April")</f>
        <v>April</v>
      </c>
      <c r="E1180" s="19" t="str">
        <f ca="1">IFERROR(__xludf.DUMMYFUNCTION("GOOGLETRANSLATE(B1180,""ar"",""en"")"),"Sentra")</f>
        <v>Sentra</v>
      </c>
      <c r="F1180" s="19" t="str">
        <f ca="1">IFERROR(__xludf.DUMMYFUNCTION("GOOGLETRANSLATE(C1180,""ar"",""en"")"),"GXI")</f>
        <v>GXI</v>
      </c>
      <c r="G1180" t="e">
        <f ca="1">VLOOKUP(F:F,matching_transelated_with_ref!A:C,2,0)</f>
        <v>#N/A</v>
      </c>
      <c r="H1180" t="e">
        <f>VLOOKUP(C:C,Sheet4!A:C,2,0)</f>
        <v>#N/A</v>
      </c>
    </row>
    <row r="1181" spans="1:8" ht="14.4">
      <c r="A1181" s="18" t="s">
        <v>120</v>
      </c>
      <c r="B1181" s="18" t="s">
        <v>120</v>
      </c>
      <c r="C1181" s="18" t="s">
        <v>1237</v>
      </c>
      <c r="D1181" s="19" t="str">
        <f ca="1">IFERROR(__xludf.DUMMYFUNCTION("GOOGLETRANSLATE(A1181, ""ar"", ""en"")"),"April")</f>
        <v>April</v>
      </c>
      <c r="E1181" s="19" t="str">
        <f ca="1">IFERROR(__xludf.DUMMYFUNCTION("GOOGLETRANSLATE(B1181,""ar"",""en"")"),"April")</f>
        <v>April</v>
      </c>
      <c r="F1181" s="19" t="str">
        <f ca="1">IFERROR(__xludf.DUMMYFUNCTION("GOOGLETRANSLATE(C1181,""ar"",""en"")"),"Kix gasoline otamic")</f>
        <v>Kix gasoline otamic</v>
      </c>
      <c r="G1181" t="e">
        <f ca="1">VLOOKUP(F:F,matching_transelated_with_ref!A:C,2,0)</f>
        <v>#N/A</v>
      </c>
      <c r="H1181" t="str">
        <f>VLOOKUP(C:C,Sheet4!A:C,2,0)</f>
        <v xml:space="preserve"> كيكس</v>
      </c>
    </row>
    <row r="1182" spans="1:8" ht="14.4">
      <c r="A1182" s="18" t="s">
        <v>120</v>
      </c>
      <c r="B1182" s="18" t="s">
        <v>120</v>
      </c>
      <c r="C1182" s="18" t="s">
        <v>780</v>
      </c>
      <c r="D1182" s="19" t="str">
        <f ca="1">IFERROR(__xludf.DUMMYFUNCTION("GOOGLETRANSLATE(A1182, ""ar"", ""en"")"),"April")</f>
        <v>April</v>
      </c>
      <c r="E1182" s="19" t="str">
        <f ca="1">IFERROR(__xludf.DUMMYFUNCTION("GOOGLETRANSLATE(B1182,""ar"",""en"")"),"April")</f>
        <v>April</v>
      </c>
      <c r="F1182" s="19" t="str">
        <f ca="1">IFERROR(__xludf.DUMMYFUNCTION("GOOGLETRANSLATE(C1182,""ar"",""en"")"),"Sentra automatic")</f>
        <v>Sentra automatic</v>
      </c>
      <c r="G1182" t="e">
        <f ca="1">VLOOKUP(F:F,matching_transelated_with_ref!A:C,2,0)</f>
        <v>#N/A</v>
      </c>
      <c r="H1182" t="str">
        <f>VLOOKUP(C:C,Sheet4!A:C,2,0)</f>
        <v xml:space="preserve"> سنترا</v>
      </c>
    </row>
    <row r="1183" spans="1:8" ht="14.4">
      <c r="A1183" s="18" t="s">
        <v>120</v>
      </c>
      <c r="B1183" s="18" t="s">
        <v>120</v>
      </c>
      <c r="C1183" s="18" t="s">
        <v>1015</v>
      </c>
      <c r="D1183" s="19" t="str">
        <f ca="1">IFERROR(__xludf.DUMMYFUNCTION("GOOGLETRANSLATE(A1183, ""ar"", ""en"")"),"April")</f>
        <v>April</v>
      </c>
      <c r="E1183" s="19" t="str">
        <f ca="1">IFERROR(__xludf.DUMMYFUNCTION("GOOGLETRANSLATE(B1183,""ar"",""en"")"),"April")</f>
        <v>April</v>
      </c>
      <c r="F1183" s="19" t="str">
        <f ca="1">IFERROR(__xludf.DUMMYFUNCTION("GOOGLETRANSLATE(C1183,""ar"",""en"")"),"Kix automatic gasoline")</f>
        <v>Kix automatic gasoline</v>
      </c>
      <c r="G1183" t="e">
        <f ca="1">VLOOKUP(F:F,matching_transelated_with_ref!A:C,2,0)</f>
        <v>#N/A</v>
      </c>
      <c r="H1183" t="str">
        <f>VLOOKUP(C:C,Sheet4!A:C,2,0)</f>
        <v xml:space="preserve"> كيكس</v>
      </c>
    </row>
    <row r="1184" spans="1:8" ht="14.4">
      <c r="A1184" s="18" t="s">
        <v>120</v>
      </c>
      <c r="B1184" s="18" t="s">
        <v>120</v>
      </c>
      <c r="C1184" s="18" t="s">
        <v>1236</v>
      </c>
      <c r="D1184" s="19" t="str">
        <f ca="1">IFERROR(__xludf.DUMMYFUNCTION("GOOGLETRANSLATE(A1184, ""ar"", ""en"")"),"April")</f>
        <v>April</v>
      </c>
      <c r="E1184" s="19" t="str">
        <f ca="1">IFERROR(__xludf.DUMMYFUNCTION("GOOGLETRANSLATE(B1184,""ar"",""en"")"),"April")</f>
        <v>April</v>
      </c>
      <c r="F1184" s="19" t="str">
        <f ca="1">IFERROR(__xludf.DUMMYFUNCTION("GOOGLETRANSLATE(C1184,""ar"",""en"")"),"Automatic Sunni")</f>
        <v>Automatic Sunni</v>
      </c>
      <c r="G1184" t="e">
        <f ca="1">VLOOKUP(F:F,matching_transelated_with_ref!A:C,2,0)</f>
        <v>#N/A</v>
      </c>
      <c r="H1184" t="str">
        <f>VLOOKUP(C:C,Sheet4!A:C,2,0)</f>
        <v xml:space="preserve"> صني</v>
      </c>
    </row>
    <row r="1185" spans="1:8" ht="14.4">
      <c r="A1185" s="18" t="s">
        <v>120</v>
      </c>
      <c r="B1185" s="18" t="s">
        <v>120</v>
      </c>
      <c r="C1185" s="18" t="s">
        <v>782</v>
      </c>
      <c r="D1185" s="19" t="str">
        <f ca="1">IFERROR(__xludf.DUMMYFUNCTION("GOOGLETRANSLATE(A1185, ""ar"", ""en"")"),"April")</f>
        <v>April</v>
      </c>
      <c r="E1185" s="19" t="str">
        <f ca="1">IFERROR(__xludf.DUMMYFUNCTION("GOOGLETRANSLATE(B1185,""ar"",""en"")"),"April")</f>
        <v>April</v>
      </c>
      <c r="F1185" s="19" t="str">
        <f ca="1">IFERROR(__xludf.DUMMYFUNCTION("GOOGLETRANSLATE(C1185,""ar"",""en"")"),"Kix automatic gasoline")</f>
        <v>Kix automatic gasoline</v>
      </c>
      <c r="G1185" t="e">
        <f ca="1">VLOOKUP(F:F,matching_transelated_with_ref!A:C,2,0)</f>
        <v>#N/A</v>
      </c>
      <c r="H1185" t="str">
        <f>VLOOKUP(C:C,Sheet4!A:C,2,0)</f>
        <v xml:space="preserve"> كيكس</v>
      </c>
    </row>
    <row r="1186" spans="1:8" ht="14.4">
      <c r="A1186" s="18" t="s">
        <v>120</v>
      </c>
      <c r="B1186" s="18" t="s">
        <v>120</v>
      </c>
      <c r="C1186" s="18" t="s">
        <v>497</v>
      </c>
      <c r="D1186" s="19" t="str">
        <f ca="1">IFERROR(__xludf.DUMMYFUNCTION("GOOGLETRANSLATE(A1186, ""ar"", ""en"")"),"April")</f>
        <v>April</v>
      </c>
      <c r="E1186" s="19" t="str">
        <f ca="1">IFERROR(__xludf.DUMMYFUNCTION("GOOGLETRANSLATE(B1186,""ar"",""en"")"),"April")</f>
        <v>April</v>
      </c>
      <c r="F1186" s="19" t="str">
        <f ca="1">IFERROR(__xludf.DUMMYFUNCTION("GOOGLETRANSLATE(C1186,""ar"",""en"")"),"Sunni")</f>
        <v>Sunni</v>
      </c>
      <c r="G1186" t="e">
        <f ca="1">VLOOKUP(F:F,matching_transelated_with_ref!A:C,2,0)</f>
        <v>#N/A</v>
      </c>
      <c r="H1186" t="str">
        <f>VLOOKUP(C:C,Sheet4!A:C,2,0)</f>
        <v xml:space="preserve"> صني</v>
      </c>
    </row>
    <row r="1187" spans="1:8" ht="14.4">
      <c r="A1187" s="18" t="s">
        <v>120</v>
      </c>
      <c r="B1187" s="18" t="s">
        <v>497</v>
      </c>
      <c r="C1187" s="18" t="s">
        <v>498</v>
      </c>
      <c r="D1187" s="19" t="str">
        <f ca="1">IFERROR(__xludf.DUMMYFUNCTION("GOOGLETRANSLATE(A1187, ""ar"", ""en"")"),"April")</f>
        <v>April</v>
      </c>
      <c r="E1187" s="19" t="str">
        <f ca="1">IFERROR(__xludf.DUMMYFUNCTION("GOOGLETRANSLATE(B1187,""ar"",""en"")"),"Sunni")</f>
        <v>Sunni</v>
      </c>
      <c r="F1187" s="19" t="str">
        <f ca="1">IFERROR(__xludf.DUMMYFUNCTION("GOOGLETRANSLATE(C1187,""ar"",""en"")"),"That 17")</f>
        <v>That 17</v>
      </c>
      <c r="G1187" t="e">
        <f ca="1">VLOOKUP(F:F,matching_transelated_with_ref!A:C,2,0)</f>
        <v>#N/A</v>
      </c>
      <c r="H1187" t="e">
        <f>VLOOKUP(C:C,Sheet4!A:C,2,0)</f>
        <v>#N/A</v>
      </c>
    </row>
    <row r="1188" spans="1:8" ht="14.4">
      <c r="A1188" s="18" t="s">
        <v>120</v>
      </c>
      <c r="B1188" s="18" t="s">
        <v>120</v>
      </c>
      <c r="C1188" s="18" t="s">
        <v>781</v>
      </c>
      <c r="D1188" s="19" t="str">
        <f ca="1">IFERROR(__xludf.DUMMYFUNCTION("GOOGLETRANSLATE(A1188, ""ar"", ""en"")"),"April")</f>
        <v>April</v>
      </c>
      <c r="E1188" s="19" t="str">
        <f ca="1">IFERROR(__xludf.DUMMYFUNCTION("GOOGLETRANSLATE(B1188,""ar"",""en"")"),"April")</f>
        <v>April</v>
      </c>
      <c r="F1188" s="19" t="str">
        <f ca="1">IFERROR(__xludf.DUMMYFUNCTION("GOOGLETRANSLATE(C1188,""ar"",""en"")"),"Sunny automatic")</f>
        <v>Sunny automatic</v>
      </c>
      <c r="G1188" t="e">
        <f ca="1">VLOOKUP(F:F,matching_transelated_with_ref!A:C,2,0)</f>
        <v>#N/A</v>
      </c>
      <c r="H1188" t="str">
        <f>VLOOKUP(C:C,Sheet4!A:C,2,0)</f>
        <v xml:space="preserve"> صني</v>
      </c>
    </row>
    <row r="1189" spans="1:8" ht="14.4">
      <c r="A1189" s="18" t="s">
        <v>508</v>
      </c>
      <c r="B1189" s="18" t="s">
        <v>509</v>
      </c>
      <c r="C1189" s="18" t="s">
        <v>510</v>
      </c>
      <c r="D1189" s="19" t="str">
        <f ca="1">IFERROR(__xludf.DUMMYFUNCTION("GOOGLETRANSLATE(A1189, ""ar"", ""en"")"),"Honda")</f>
        <v>Honda</v>
      </c>
      <c r="E1189" s="19" t="str">
        <f ca="1">IFERROR(__xludf.DUMMYFUNCTION("GOOGLETRANSLATE(B1189,""ar"",""en"")"),"Odissi")</f>
        <v>Odissi</v>
      </c>
      <c r="F1189" s="19" t="str">
        <f ca="1">IFERROR(__xludf.DUMMYFUNCTION("GOOGLETRANSLATE(C1189,""ar"",""en"")"),"3.5 Torring")</f>
        <v>3.5 Torring</v>
      </c>
      <c r="G1189" t="e">
        <f ca="1">VLOOKUP(F:F,matching_transelated_with_ref!A:C,2,0)</f>
        <v>#N/A</v>
      </c>
      <c r="H1189">
        <f>VLOOKUP(C:C,Sheet4!A:C,2,0)</f>
        <v>3</v>
      </c>
    </row>
    <row r="1190" spans="1:8" ht="14.4">
      <c r="A1190" s="18" t="s">
        <v>508</v>
      </c>
      <c r="B1190" s="18" t="s">
        <v>508</v>
      </c>
      <c r="C1190" s="18" t="s">
        <v>794</v>
      </c>
      <c r="D1190" s="19" t="str">
        <f ca="1">IFERROR(__xludf.DUMMYFUNCTION("GOOGLETRANSLATE(A1190, ""ar"", ""en"")"),"Honda")</f>
        <v>Honda</v>
      </c>
      <c r="E1190" s="19" t="str">
        <f ca="1">IFERROR(__xludf.DUMMYFUNCTION("GOOGLETRANSLATE(B1190,""ar"",""en"")"),"Honda")</f>
        <v>Honda</v>
      </c>
      <c r="F1190" s="19" t="str">
        <f ca="1">IFERROR(__xludf.DUMMYFUNCTION("GOOGLETRANSLATE(C1190,""ar"",""en"")"),"Pilot - Toring")</f>
        <v>Pilot - Toring</v>
      </c>
      <c r="G1190" t="e">
        <f ca="1">VLOOKUP(F:F,matching_transelated_with_ref!A:C,2,0)</f>
        <v>#N/A</v>
      </c>
      <c r="H1190" t="str">
        <f>VLOOKUP(C:C,Sheet4!A:C,2,0)</f>
        <v xml:space="preserve"> بايلوت</v>
      </c>
    </row>
    <row r="1191" spans="1:8" ht="14.4">
      <c r="A1191" s="18" t="s">
        <v>508</v>
      </c>
      <c r="B1191" s="18" t="s">
        <v>508</v>
      </c>
      <c r="C1191" s="18" t="s">
        <v>1244</v>
      </c>
      <c r="D1191" s="19" t="str">
        <f ca="1">IFERROR(__xludf.DUMMYFUNCTION("GOOGLETRANSLATE(A1191, ""ar"", ""en"")"),"Honda")</f>
        <v>Honda</v>
      </c>
      <c r="E1191" s="19" t="str">
        <f ca="1">IFERROR(__xludf.DUMMYFUNCTION("GOOGLETRANSLATE(B1191,""ar"",""en"")"),"Honda")</f>
        <v>Honda</v>
      </c>
      <c r="F1191" s="19" t="str">
        <f ca="1">IFERROR(__xludf.DUMMYFUNCTION("GOOGLETRANSLATE(C1191,""ar"",""en"")"),"Pilot SE 3.5 liters")</f>
        <v>Pilot SE 3.5 liters</v>
      </c>
      <c r="G1191" t="e">
        <f ca="1">VLOOKUP(F:F,matching_transelated_with_ref!A:C,2,0)</f>
        <v>#N/A</v>
      </c>
      <c r="H1191" t="str">
        <f>VLOOKUP(C:C,Sheet4!A:C,2,0)</f>
        <v xml:space="preserve"> بايلوت</v>
      </c>
    </row>
    <row r="1192" spans="1:8" ht="14.4">
      <c r="A1192" s="18" t="s">
        <v>508</v>
      </c>
      <c r="B1192" s="18" t="s">
        <v>509</v>
      </c>
      <c r="C1192" s="18" t="s">
        <v>511</v>
      </c>
      <c r="D1192" s="19" t="str">
        <f ca="1">IFERROR(__xludf.DUMMYFUNCTION("GOOGLETRANSLATE(A1192, ""ar"", ""en"")"),"Honda")</f>
        <v>Honda</v>
      </c>
      <c r="E1192" s="19" t="str">
        <f ca="1">IFERROR(__xludf.DUMMYFUNCTION("GOOGLETRANSLATE(B1192,""ar"",""en"")"),"Odissi")</f>
        <v>Odissi</v>
      </c>
      <c r="F1192" s="19" t="str">
        <f ca="1">IFERROR(__xludf.DUMMYFUNCTION("GOOGLETRANSLATE(C1192,""ar"",""en"")"),"AXL 3.5")</f>
        <v>AXL 3.5</v>
      </c>
      <c r="G1192" t="e">
        <f ca="1">VLOOKUP(F:F,matching_transelated_with_ref!A:C,2,0)</f>
        <v>#N/A</v>
      </c>
      <c r="H1192" t="e">
        <f>VLOOKUP(C:C,Sheet4!A:C,2,0)</f>
        <v>#N/A</v>
      </c>
    </row>
    <row r="1193" spans="1:8" ht="14.4">
      <c r="A1193" s="18" t="s">
        <v>508</v>
      </c>
      <c r="B1193" s="18" t="s">
        <v>508</v>
      </c>
      <c r="C1193" s="18" t="s">
        <v>793</v>
      </c>
      <c r="D1193" s="19" t="str">
        <f ca="1">IFERROR(__xludf.DUMMYFUNCTION("GOOGLETRANSLATE(A1193, ""ar"", ""en"")"),"Honda")</f>
        <v>Honda</v>
      </c>
      <c r="E1193" s="19" t="str">
        <f ca="1">IFERROR(__xludf.DUMMYFUNCTION("GOOGLETRANSLATE(B1193,""ar"",""en"")"),"Honda")</f>
        <v>Honda</v>
      </c>
      <c r="F1193" s="19" t="str">
        <f ca="1">IFERROR(__xludf.DUMMYFUNCTION("GOOGLETRANSLATE(C1193,""ar"",""en"")"),"Pilot - iXL")</f>
        <v>Pilot - iXL</v>
      </c>
      <c r="G1193" t="e">
        <f ca="1">VLOOKUP(F:F,matching_transelated_with_ref!A:C,2,0)</f>
        <v>#N/A</v>
      </c>
      <c r="H1193" t="str">
        <f>VLOOKUP(C:C,Sheet4!A:C,2,0)</f>
        <v xml:space="preserve"> بايلوت</v>
      </c>
    </row>
    <row r="1194" spans="1:8" ht="14.4">
      <c r="A1194" s="18" t="s">
        <v>508</v>
      </c>
      <c r="B1194" s="18" t="s">
        <v>509</v>
      </c>
      <c r="C1194" s="18" t="s">
        <v>787</v>
      </c>
      <c r="D1194" s="19" t="str">
        <f ca="1">IFERROR(__xludf.DUMMYFUNCTION("GOOGLETRANSLATE(A1194, ""ar"", ""en"")"),"Honda")</f>
        <v>Honda</v>
      </c>
      <c r="E1194" s="19" t="str">
        <f ca="1">IFERROR(__xludf.DUMMYFUNCTION("GOOGLETRANSLATE(B1194,""ar"",""en"")"),"Odissi")</f>
        <v>Odissi</v>
      </c>
      <c r="F1194" s="19" t="str">
        <f ca="1">IFERROR(__xludf.DUMMYFUNCTION("GOOGLETRANSLATE(C1194,""ar"",""en"")"),"3.5 IXL")</f>
        <v>3.5 IXL</v>
      </c>
      <c r="G1194" t="e">
        <f ca="1">VLOOKUP(F:F,matching_transelated_with_ref!A:C,2,0)</f>
        <v>#N/A</v>
      </c>
      <c r="H1194">
        <f>VLOOKUP(C:C,Sheet4!A:C,2,0)</f>
        <v>3</v>
      </c>
    </row>
    <row r="1195" spans="1:8" ht="14.4">
      <c r="A1195" s="18" t="s">
        <v>508</v>
      </c>
      <c r="B1195" s="18" t="s">
        <v>508</v>
      </c>
      <c r="C1195" s="18" t="s">
        <v>792</v>
      </c>
      <c r="D1195" s="19" t="str">
        <f ca="1">IFERROR(__xludf.DUMMYFUNCTION("GOOGLETRANSLATE(A1195, ""ar"", ""en"")"),"Honda")</f>
        <v>Honda</v>
      </c>
      <c r="E1195" s="19" t="str">
        <f ca="1">IFERROR(__xludf.DUMMYFUNCTION("GOOGLETRANSLATE(B1195,""ar"",""en"")"),"Honda")</f>
        <v>Honda</v>
      </c>
      <c r="F1195" s="19" t="str">
        <f ca="1">IFERROR(__xludf.DUMMYFUNCTION("GOOGLETRANSLATE(C1195,""ar"",""en"")"),"Pilot - iX")</f>
        <v>Pilot - iX</v>
      </c>
      <c r="G1195" t="e">
        <f ca="1">VLOOKUP(F:F,matching_transelated_with_ref!A:C,2,0)</f>
        <v>#N/A</v>
      </c>
      <c r="H1195" t="str">
        <f>VLOOKUP(C:C,Sheet4!A:C,2,0)</f>
        <v xml:space="preserve"> بايلوت</v>
      </c>
    </row>
    <row r="1196" spans="1:8" ht="14.4">
      <c r="A1196" s="18" t="s">
        <v>508</v>
      </c>
      <c r="B1196" s="18" t="s">
        <v>509</v>
      </c>
      <c r="C1196" s="18" t="s">
        <v>786</v>
      </c>
      <c r="D1196" s="19" t="str">
        <f ca="1">IFERROR(__xludf.DUMMYFUNCTION("GOOGLETRANSLATE(A1196, ""ar"", ""en"")"),"Honda")</f>
        <v>Honda</v>
      </c>
      <c r="E1196" s="19" t="str">
        <f ca="1">IFERROR(__xludf.DUMMYFUNCTION("GOOGLETRANSLATE(B1196,""ar"",""en"")"),"Odissi")</f>
        <v>Odissi</v>
      </c>
      <c r="F1196" s="19" t="str">
        <f ca="1">IFERROR(__xludf.DUMMYFUNCTION("GOOGLETRANSLATE(C1196,""ar"",""en"")"),"3.5 LX")</f>
        <v>3.5 LX</v>
      </c>
      <c r="G1196" t="e">
        <f ca="1">VLOOKUP(F:F,matching_transelated_with_ref!A:C,2,0)</f>
        <v>#N/A</v>
      </c>
      <c r="H1196" t="e">
        <f>VLOOKUP(C:C,Sheet4!A:C,2,0)</f>
        <v>#N/A</v>
      </c>
    </row>
    <row r="1197" spans="1:8" ht="14.4">
      <c r="A1197" s="18" t="s">
        <v>508</v>
      </c>
      <c r="B1197" s="18" t="s">
        <v>509</v>
      </c>
      <c r="C1197" s="18" t="s">
        <v>512</v>
      </c>
      <c r="D1197" s="19" t="str">
        <f ca="1">IFERROR(__xludf.DUMMYFUNCTION("GOOGLETRANSLATE(A1197, ""ar"", ""en"")"),"Honda")</f>
        <v>Honda</v>
      </c>
      <c r="E1197" s="19" t="str">
        <f ca="1">IFERROR(__xludf.DUMMYFUNCTION("GOOGLETRANSLATE(B1197,""ar"",""en"")"),"Odissi")</f>
        <v>Odissi</v>
      </c>
      <c r="F1197" s="19" t="str">
        <f ca="1">IFERROR(__xludf.DUMMYFUNCTION("GOOGLETRANSLATE(C1197,""ar"",""en"")"),"JEX in 2.4 L.")</f>
        <v>JEX in 2.4 L.</v>
      </c>
      <c r="G1197" t="e">
        <f ca="1">VLOOKUP(F:F,matching_transelated_with_ref!A:C,2,0)</f>
        <v>#N/A</v>
      </c>
      <c r="H1197">
        <f>VLOOKUP(C:C,Sheet4!A:C,2,0)</f>
        <v>2</v>
      </c>
    </row>
    <row r="1198" spans="1:8" ht="14.4">
      <c r="A1198" s="18" t="s">
        <v>508</v>
      </c>
      <c r="B1198" s="18" t="s">
        <v>508</v>
      </c>
      <c r="C1198" s="18" t="s">
        <v>521</v>
      </c>
      <c r="D1198" s="19" t="str">
        <f ca="1">IFERROR(__xludf.DUMMYFUNCTION("GOOGLETRANSLATE(A1198, ""ar"", ""en"")"),"Honda")</f>
        <v>Honda</v>
      </c>
      <c r="E1198" s="19" t="str">
        <f ca="1">IFERROR(__xludf.DUMMYFUNCTION("GOOGLETRANSLATE(B1198,""ar"",""en"")"),"Honda")</f>
        <v>Honda</v>
      </c>
      <c r="F1198" s="19" t="str">
        <f ca="1">IFERROR(__xludf.DUMMYFUNCTION("GOOGLETRANSLATE(C1198,""ar"",""en"")"),"Accord 20 Sport")</f>
        <v>Accord 20 Sport</v>
      </c>
      <c r="G1198" t="e">
        <f ca="1">VLOOKUP(F:F,matching_transelated_with_ref!A:C,2,0)</f>
        <v>#N/A</v>
      </c>
      <c r="H1198" t="str">
        <f>VLOOKUP(C:C,Sheet4!A:C,2,0)</f>
        <v>اكورد</v>
      </c>
    </row>
    <row r="1199" spans="1:8" ht="14.4">
      <c r="A1199" s="18" t="s">
        <v>508</v>
      </c>
      <c r="B1199" s="18" t="s">
        <v>516</v>
      </c>
      <c r="C1199" s="18" t="s">
        <v>517</v>
      </c>
      <c r="D1199" s="19" t="str">
        <f ca="1">IFERROR(__xludf.DUMMYFUNCTION("GOOGLETRANSLATE(A1199, ""ar"", ""en"")"),"Honda")</f>
        <v>Honda</v>
      </c>
      <c r="E1199" s="19" t="str">
        <f ca="1">IFERROR(__xludf.DUMMYFUNCTION("GOOGLETRANSLATE(B1199,""ar"",""en"")"),"CRV")</f>
        <v>CRV</v>
      </c>
      <c r="F1199" s="19" t="str">
        <f ca="1">IFERROR(__xludf.DUMMYFUNCTION("GOOGLETRANSLATE(C1199,""ar"",""en"")"),"Torring")</f>
        <v>Torring</v>
      </c>
      <c r="G1199" t="e">
        <f ca="1">VLOOKUP(F:F,matching_transelated_with_ref!A:C,2,0)</f>
        <v>#N/A</v>
      </c>
      <c r="H1199" t="str">
        <f>VLOOKUP(C:C,Sheet4!A:C,2,0)</f>
        <v>تيرين</v>
      </c>
    </row>
    <row r="1200" spans="1:8" ht="14.4">
      <c r="A1200" s="18" t="s">
        <v>508</v>
      </c>
      <c r="B1200" s="18" t="s">
        <v>508</v>
      </c>
      <c r="C1200" s="18" t="s">
        <v>1242</v>
      </c>
      <c r="D1200" s="19" t="str">
        <f ca="1">IFERROR(__xludf.DUMMYFUNCTION("GOOGLETRANSLATE(A1200, ""ar"", ""en"")"),"Honda")</f>
        <v>Honda</v>
      </c>
      <c r="E1200" s="19" t="str">
        <f ca="1">IFERROR(__xludf.DUMMYFUNCTION("GOOGLETRANSLATE(B1200,""ar"",""en"")"),"Honda")</f>
        <v>Honda</v>
      </c>
      <c r="F1200" s="19" t="str">
        <f ca="1">IFERROR(__xludf.DUMMYFUNCTION("GOOGLETRANSLATE(C1200,""ar"",""en"")"),"Accord iXL 1.5")</f>
        <v>Accord iXL 1.5</v>
      </c>
      <c r="G1200" t="e">
        <f ca="1">VLOOKUP(F:F,matching_transelated_with_ref!A:C,2,0)</f>
        <v>#N/A</v>
      </c>
      <c r="H1200" t="str">
        <f>VLOOKUP(C:C,Sheet4!A:C,2,0)</f>
        <v>اكورد</v>
      </c>
    </row>
    <row r="1201" spans="1:8" ht="14.4">
      <c r="A1201" s="18" t="s">
        <v>508</v>
      </c>
      <c r="B1201" s="18" t="s">
        <v>508</v>
      </c>
      <c r="C1201" s="18" t="s">
        <v>796</v>
      </c>
      <c r="D1201" s="19" t="str">
        <f ca="1">IFERROR(__xludf.DUMMYFUNCTION("GOOGLETRANSLATE(A1201, ""ar"", ""en"")"),"Honda")</f>
        <v>Honda</v>
      </c>
      <c r="E1201" s="19" t="str">
        <f ca="1">IFERROR(__xludf.DUMMYFUNCTION("GOOGLETRANSLATE(B1201,""ar"",""en"")"),"Honda")</f>
        <v>Honda</v>
      </c>
      <c r="F1201" s="19" t="str">
        <f ca="1">IFERROR(__xludf.DUMMYFUNCTION("GOOGLETRANSLATE(C1201,""ar"",""en"")"),"CRV - iX")</f>
        <v>CRV - iX</v>
      </c>
      <c r="G1201" t="str">
        <f ca="1">VLOOKUP(F:F,matching_transelated_with_ref!A:C,2,0)</f>
        <v xml:space="preserve"> CRV</v>
      </c>
      <c r="H1201" t="e">
        <f>VLOOKUP(C:C,Sheet4!A:C,2,0)</f>
        <v>#N/A</v>
      </c>
    </row>
    <row r="1202" spans="1:8" ht="14.4">
      <c r="A1202" s="18" t="s">
        <v>508</v>
      </c>
      <c r="B1202" s="18" t="s">
        <v>516</v>
      </c>
      <c r="C1202" s="18" t="s">
        <v>518</v>
      </c>
      <c r="D1202" s="19" t="str">
        <f ca="1">IFERROR(__xludf.DUMMYFUNCTION("GOOGLETRANSLATE(A1202, ""ar"", ""en"")"),"Honda")</f>
        <v>Honda</v>
      </c>
      <c r="E1202" s="19" t="str">
        <f ca="1">IFERROR(__xludf.DUMMYFUNCTION("GOOGLETRANSLATE(B1202,""ar"",""en"")"),"CRV")</f>
        <v>CRV</v>
      </c>
      <c r="F1202" s="19" t="str">
        <f ca="1">IFERROR(__xludf.DUMMYFUNCTION("GOOGLETRANSLATE(C1202,""ar"",""en"")"),"CRVAX")</f>
        <v>CRVAX</v>
      </c>
      <c r="G1202" t="e">
        <f ca="1">VLOOKUP(F:F,matching_transelated_with_ref!A:C,2,0)</f>
        <v>#N/A</v>
      </c>
      <c r="H1202" t="e">
        <f>VLOOKUP(C:C,Sheet4!A:C,2,0)</f>
        <v>#N/A</v>
      </c>
    </row>
    <row r="1203" spans="1:8" ht="14.4">
      <c r="A1203" s="18" t="s">
        <v>508</v>
      </c>
      <c r="B1203" s="18" t="s">
        <v>508</v>
      </c>
      <c r="C1203" s="18" t="s">
        <v>523</v>
      </c>
      <c r="D1203" s="19" t="str">
        <f ca="1">IFERROR(__xludf.DUMMYFUNCTION("GOOGLETRANSLATE(A1203, ""ar"", ""en"")"),"Honda")</f>
        <v>Honda</v>
      </c>
      <c r="E1203" s="19" t="str">
        <f ca="1">IFERROR(__xludf.DUMMYFUNCTION("GOOGLETRANSLATE(B1203,""ar"",""en"")"),"Honda")</f>
        <v>Honda</v>
      </c>
      <c r="F1203" s="19" t="str">
        <f ca="1">IFERROR(__xludf.DUMMYFUNCTION("GOOGLETRANSLATE(C1203,""ar"",""en"")"),"Accord iXLA")</f>
        <v>Accord iXLA</v>
      </c>
      <c r="G1203" t="e">
        <f ca="1">VLOOKUP(F:F,matching_transelated_with_ref!A:C,2,0)</f>
        <v>#N/A</v>
      </c>
      <c r="H1203" t="str">
        <f>VLOOKUP(C:C,Sheet4!A:C,2,0)</f>
        <v>اكورد</v>
      </c>
    </row>
    <row r="1204" spans="1:8" ht="14.4">
      <c r="A1204" s="18" t="s">
        <v>508</v>
      </c>
      <c r="B1204" s="18" t="s">
        <v>508</v>
      </c>
      <c r="C1204" s="18" t="s">
        <v>791</v>
      </c>
      <c r="D1204" s="19" t="str">
        <f ca="1">IFERROR(__xludf.DUMMYFUNCTION("GOOGLETRANSLATE(A1204, ""ar"", ""en"")"),"Honda")</f>
        <v>Honda</v>
      </c>
      <c r="E1204" s="19" t="str">
        <f ca="1">IFERROR(__xludf.DUMMYFUNCTION("GOOGLETRANSLATE(B1204,""ar"",""en"")"),"Honda")</f>
        <v>Honda</v>
      </c>
      <c r="F1204" s="19" t="str">
        <f ca="1">IFERROR(__xludf.DUMMYFUNCTION("GOOGLETRANSLATE(C1204,""ar"",""en"")"),"Accord iX 1.5 liters")</f>
        <v>Accord iX 1.5 liters</v>
      </c>
      <c r="G1204" t="e">
        <f ca="1">VLOOKUP(F:F,matching_transelated_with_ref!A:C,2,0)</f>
        <v>#N/A</v>
      </c>
      <c r="H1204" t="str">
        <f>VLOOKUP(C:C,Sheet4!A:C,2,0)</f>
        <v>اكورد</v>
      </c>
    </row>
    <row r="1205" spans="1:8" ht="14.4">
      <c r="A1205" s="18" t="s">
        <v>508</v>
      </c>
      <c r="B1205" s="18" t="s">
        <v>509</v>
      </c>
      <c r="C1205" s="18" t="s">
        <v>513</v>
      </c>
      <c r="D1205" s="19" t="str">
        <f ca="1">IFERROR(__xludf.DUMMYFUNCTION("GOOGLETRANSLATE(A1205, ""ar"", ""en"")"),"Honda")</f>
        <v>Honda</v>
      </c>
      <c r="E1205" s="19" t="str">
        <f ca="1">IFERROR(__xludf.DUMMYFUNCTION("GOOGLETRANSLATE(B1205,""ar"",""en"")"),"Odissi")</f>
        <v>Odissi</v>
      </c>
      <c r="F1205" s="19" t="str">
        <f ca="1">IFERROR(__xludf.DUMMYFUNCTION("GOOGLETRANSLATE(C1205,""ar"",""en"")"),"JIX 2.4 th")</f>
        <v>JIX 2.4 th</v>
      </c>
      <c r="G1205" t="e">
        <f ca="1">VLOOKUP(F:F,matching_transelated_with_ref!A:C,2,0)</f>
        <v>#N/A</v>
      </c>
      <c r="H1205" t="e">
        <f>VLOOKUP(C:C,Sheet4!A:C,2,0)</f>
        <v>#N/A</v>
      </c>
    </row>
    <row r="1206" spans="1:8" ht="14.4">
      <c r="A1206" s="18" t="s">
        <v>508</v>
      </c>
      <c r="B1206" s="18" t="s">
        <v>509</v>
      </c>
      <c r="C1206" s="18" t="s">
        <v>788</v>
      </c>
      <c r="D1206" s="19" t="str">
        <f ca="1">IFERROR(__xludf.DUMMYFUNCTION("GOOGLETRANSLATE(A1206, ""ar"", ""en"")"),"Honda")</f>
        <v>Honda</v>
      </c>
      <c r="E1206" s="19" t="str">
        <f ca="1">IFERROR(__xludf.DUMMYFUNCTION("GOOGLETRANSLATE(B1206,""ar"",""en"")"),"Odissi")</f>
        <v>Odissi</v>
      </c>
      <c r="F1206" s="19" t="str">
        <f ca="1">IFERROR(__xludf.DUMMYFUNCTION("GOOGLETRANSLATE(C1206,""ar"",""en"")"),"EX 2.4 L.")</f>
        <v>EX 2.4 L.</v>
      </c>
      <c r="G1206" t="e">
        <f ca="1">VLOOKUP(F:F,matching_transelated_with_ref!A:C,2,0)</f>
        <v>#N/A</v>
      </c>
      <c r="H1206" t="e">
        <f>VLOOKUP(C:C,Sheet4!A:C,2,0)</f>
        <v>#N/A</v>
      </c>
    </row>
    <row r="1207" spans="1:8" ht="14.4">
      <c r="A1207" s="18" t="s">
        <v>508</v>
      </c>
      <c r="B1207" s="18" t="s">
        <v>789</v>
      </c>
      <c r="C1207" s="18" t="s">
        <v>790</v>
      </c>
      <c r="D1207" s="19" t="str">
        <f ca="1">IFERROR(__xludf.DUMMYFUNCTION("GOOGLETRANSLATE(A1207, ""ar"", ""en"")"),"Honda")</f>
        <v>Honda</v>
      </c>
      <c r="E1207" s="19" t="str">
        <f ca="1">IFERROR(__xludf.DUMMYFUNCTION("GOOGLETRANSLATE(B1207,""ar"",""en"")"),"Motorcycle")</f>
        <v>Motorcycle</v>
      </c>
      <c r="F1207" s="19" t="str">
        <f ca="1">IFERROR(__xludf.DUMMYFUNCTION("GOOGLETRANSLATE(C1207,""ar"",""en"")"),"GL 1800H")</f>
        <v>GL 1800H</v>
      </c>
      <c r="G1207" t="e">
        <f ca="1">VLOOKUP(F:F,matching_transelated_with_ref!A:C,2,0)</f>
        <v>#N/A</v>
      </c>
      <c r="H1207" t="e">
        <f>VLOOKUP(C:C,Sheet4!A:C,2,0)</f>
        <v>#N/A</v>
      </c>
    </row>
    <row r="1208" spans="1:8" ht="14.4">
      <c r="A1208" s="18" t="s">
        <v>508</v>
      </c>
      <c r="B1208" s="18" t="s">
        <v>508</v>
      </c>
      <c r="C1208" s="18" t="s">
        <v>1243</v>
      </c>
      <c r="D1208" s="19" t="str">
        <f ca="1">IFERROR(__xludf.DUMMYFUNCTION("GOOGLETRANSLATE(A1208, ""ar"", ""en"")"),"Honda")</f>
        <v>Honda</v>
      </c>
      <c r="E1208" s="19" t="str">
        <f ca="1">IFERROR(__xludf.DUMMYFUNCTION("GOOGLETRANSLATE(B1208,""ar"",""en"")"),"Honda")</f>
        <v>Honda</v>
      </c>
      <c r="F1208" s="19" t="str">
        <f ca="1">IFERROR(__xludf.DUMMYFUNCTION("GOOGLETRANSLATE(C1208,""ar"",""en"")"),"Accord LX Sport")</f>
        <v>Accord LX Sport</v>
      </c>
      <c r="G1208" t="e">
        <f ca="1">VLOOKUP(F:F,matching_transelated_with_ref!A:C,2,0)</f>
        <v>#N/A</v>
      </c>
      <c r="H1208" t="str">
        <f>VLOOKUP(C:C,Sheet4!A:C,2,0)</f>
        <v>اكورد</v>
      </c>
    </row>
    <row r="1209" spans="1:8" ht="14.4">
      <c r="A1209" s="18" t="s">
        <v>508</v>
      </c>
      <c r="B1209" s="18" t="s">
        <v>508</v>
      </c>
      <c r="C1209" s="18" t="s">
        <v>524</v>
      </c>
      <c r="D1209" s="19" t="str">
        <f ca="1">IFERROR(__xludf.DUMMYFUNCTION("GOOGLETRANSLATE(A1209, ""ar"", ""en"")"),"Honda")</f>
        <v>Honda</v>
      </c>
      <c r="E1209" s="19" t="str">
        <f ca="1">IFERROR(__xludf.DUMMYFUNCTION("GOOGLETRANSLATE(B1209,""ar"",""en"")"),"Honda")</f>
        <v>Honda</v>
      </c>
      <c r="F1209" s="19" t="str">
        <f ca="1">IFERROR(__xludf.DUMMYFUNCTION("GOOGLETRANSLATE(C1209,""ar"",""en"")"),"Accord Sport 1.5 th")</f>
        <v>Accord Sport 1.5 th</v>
      </c>
      <c r="G1209" t="e">
        <f ca="1">VLOOKUP(F:F,matching_transelated_with_ref!A:C,2,0)</f>
        <v>#N/A</v>
      </c>
      <c r="H1209" t="str">
        <f>VLOOKUP(C:C,Sheet4!A:C,2,0)</f>
        <v>اكورد</v>
      </c>
    </row>
    <row r="1210" spans="1:8" ht="14.4">
      <c r="A1210" s="18" t="s">
        <v>508</v>
      </c>
      <c r="B1210" s="18" t="s">
        <v>514</v>
      </c>
      <c r="C1210" s="18" t="s">
        <v>515</v>
      </c>
      <c r="D1210" s="19" t="str">
        <f ca="1">IFERROR(__xludf.DUMMYFUNCTION("GOOGLETRANSLATE(A1210, ""ar"", ""en"")"),"Honda")</f>
        <v>Honda</v>
      </c>
      <c r="E1210" s="19" t="str">
        <f ca="1">IFERROR(__xludf.DUMMYFUNCTION("GOOGLETRANSLATE(B1210,""ar"",""en"")"),"Shed")</f>
        <v>Shed</v>
      </c>
      <c r="F1210" s="19" t="str">
        <f ca="1">IFERROR(__xludf.DUMMYFUNCTION("GOOGLETRANSLATE(C1210,""ar"",""en"")"),"RS")</f>
        <v>RS</v>
      </c>
      <c r="G1210" t="e">
        <f ca="1">VLOOKUP(F:F,matching_transelated_with_ref!A:C,2,0)</f>
        <v>#N/A</v>
      </c>
      <c r="H1210" t="e">
        <f>VLOOKUP(C:C,Sheet4!A:C,2,0)</f>
        <v>#N/A</v>
      </c>
    </row>
    <row r="1211" spans="1:8" ht="14.4">
      <c r="A1211" s="18" t="s">
        <v>508</v>
      </c>
      <c r="B1211" s="18" t="s">
        <v>508</v>
      </c>
      <c r="C1211" s="18" t="s">
        <v>522</v>
      </c>
      <c r="D1211" s="19" t="str">
        <f ca="1">IFERROR(__xludf.DUMMYFUNCTION("GOOGLETRANSLATE(A1211, ""ar"", ""en"")"),"Honda")</f>
        <v>Honda</v>
      </c>
      <c r="E1211" s="19" t="str">
        <f ca="1">IFERROR(__xludf.DUMMYFUNCTION("GOOGLETRANSLATE(B1211,""ar"",""en"")"),"Honda")</f>
        <v>Honda</v>
      </c>
      <c r="F1211" s="19" t="str">
        <f ca="1">IFERROR(__xludf.DUMMYFUNCTION("GOOGLETRANSLATE(C1211,""ar"",""en"")"),"Accord LX")</f>
        <v>Accord LX</v>
      </c>
      <c r="G1211" t="e">
        <f ca="1">VLOOKUP(F:F,matching_transelated_with_ref!A:C,2,0)</f>
        <v>#N/A</v>
      </c>
      <c r="H1211" t="str">
        <f>VLOOKUP(C:C,Sheet4!A:C,2,0)</f>
        <v>اكورد</v>
      </c>
    </row>
    <row r="1212" spans="1:8" ht="14.4">
      <c r="A1212" s="18" t="s">
        <v>508</v>
      </c>
      <c r="B1212" s="18" t="s">
        <v>508</v>
      </c>
      <c r="C1212" s="18" t="s">
        <v>1017</v>
      </c>
      <c r="D1212" s="19" t="str">
        <f ca="1">IFERROR(__xludf.DUMMYFUNCTION("GOOGLETRANSLATE(A1212, ""ar"", ""en"")"),"Honda")</f>
        <v>Honda</v>
      </c>
      <c r="E1212" s="19" t="str">
        <f ca="1">IFERROR(__xludf.DUMMYFUNCTION("GOOGLETRANSLATE(B1212,""ar"",""en"")"),"Honda")</f>
        <v>Honda</v>
      </c>
      <c r="F1212" s="19" t="str">
        <f ca="1">IFERROR(__xludf.DUMMYFUNCTION("GOOGLETRANSLATE(C1212,""ar"",""en"")"),"CR -D X")</f>
        <v>CR -D X</v>
      </c>
      <c r="G1212" t="str">
        <f ca="1">VLOOKUP(F:F,matching_transelated_with_ref!A:C,2,0)</f>
        <v>X</v>
      </c>
      <c r="H1212" t="e">
        <f>VLOOKUP(C:C,Sheet4!A:C,2,0)</f>
        <v>#N/A</v>
      </c>
    </row>
    <row r="1213" spans="1:8" ht="14.4">
      <c r="A1213" s="18" t="s">
        <v>508</v>
      </c>
      <c r="B1213" s="18" t="s">
        <v>508</v>
      </c>
      <c r="C1213" s="18" t="s">
        <v>1239</v>
      </c>
      <c r="D1213" s="19" t="str">
        <f ca="1">IFERROR(__xludf.DUMMYFUNCTION("GOOGLETRANSLATE(A1213, ""ar"", ""en"")"),"Honda")</f>
        <v>Honda</v>
      </c>
      <c r="E1213" s="19" t="str">
        <f ca="1">IFERROR(__xludf.DUMMYFUNCTION("GOOGLETRANSLATE(B1213,""ar"",""en"")"),"Honda")</f>
        <v>Honda</v>
      </c>
      <c r="F1213" s="19" t="str">
        <f ca="1">IFERROR(__xludf.DUMMYFUNCTION("GOOGLETRANSLATE(C1213,""ar"",""en"")"),"HRVIX")</f>
        <v>HRVIX</v>
      </c>
      <c r="G1213" t="e">
        <f ca="1">VLOOKUP(F:F,matching_transelated_with_ref!A:C,2,0)</f>
        <v>#N/A</v>
      </c>
      <c r="H1213" t="e">
        <f>VLOOKUP(C:C,Sheet4!A:C,2,0)</f>
        <v>#N/A</v>
      </c>
    </row>
    <row r="1214" spans="1:8" ht="14.4">
      <c r="A1214" s="18" t="s">
        <v>508</v>
      </c>
      <c r="B1214" s="18" t="s">
        <v>508</v>
      </c>
      <c r="C1214" s="18" t="s">
        <v>525</v>
      </c>
      <c r="D1214" s="19" t="str">
        <f ca="1">IFERROR(__xludf.DUMMYFUNCTION("GOOGLETRANSLATE(A1214, ""ar"", ""en"")"),"Honda")</f>
        <v>Honda</v>
      </c>
      <c r="E1214" s="19" t="str">
        <f ca="1">IFERROR(__xludf.DUMMYFUNCTION("GOOGLETRANSLATE(B1214,""ar"",""en"")"),"Honda")</f>
        <v>Honda</v>
      </c>
      <c r="F1214" s="19" t="str">
        <f ca="1">IFERROR(__xludf.DUMMYFUNCTION("GOOGLETRANSLATE(C1214,""ar"",""en"")"),"Cevak LX AISB")</f>
        <v>Cevak LX AISB</v>
      </c>
      <c r="G1214" t="e">
        <f ca="1">VLOOKUP(F:F,matching_transelated_with_ref!A:C,2,0)</f>
        <v>#N/A</v>
      </c>
      <c r="H1214" t="str">
        <f>VLOOKUP(C:C,Sheet4!A:C,2,0)</f>
        <v xml:space="preserve"> سيفيك</v>
      </c>
    </row>
    <row r="1215" spans="1:8" ht="14.4">
      <c r="A1215" s="18" t="s">
        <v>508</v>
      </c>
      <c r="B1215" s="18" t="s">
        <v>508</v>
      </c>
      <c r="C1215" s="18" t="s">
        <v>1241</v>
      </c>
      <c r="D1215" s="19" t="str">
        <f ca="1">IFERROR(__xludf.DUMMYFUNCTION("GOOGLETRANSLATE(A1215, ""ar"", ""en"")"),"Honda")</f>
        <v>Honda</v>
      </c>
      <c r="E1215" s="19" t="str">
        <f ca="1">IFERROR(__xludf.DUMMYFUNCTION("GOOGLETRANSLATE(B1215,""ar"",""en"")"),"Honda")</f>
        <v>Honda</v>
      </c>
      <c r="F1215" s="19" t="str">
        <f ca="1">IFERROR(__xludf.DUMMYFUNCTION("GOOGLETRANSLATE(C1215,""ar"",""en"")"),"HR-in LX")</f>
        <v>HR-in LX</v>
      </c>
      <c r="G1215" t="e">
        <f ca="1">VLOOKUP(F:F,matching_transelated_with_ref!A:C,2,0)</f>
        <v>#N/A</v>
      </c>
      <c r="H1215" t="e">
        <f>VLOOKUP(C:C,Sheet4!A:C,2,0)</f>
        <v>#N/A</v>
      </c>
    </row>
    <row r="1216" spans="1:8" ht="14.4">
      <c r="A1216" s="18" t="s">
        <v>508</v>
      </c>
      <c r="B1216" s="18" t="s">
        <v>508</v>
      </c>
      <c r="C1216" s="18" t="s">
        <v>1019</v>
      </c>
      <c r="D1216" s="19" t="str">
        <f ca="1">IFERROR(__xludf.DUMMYFUNCTION("GOOGLETRANSLATE(A1216, ""ar"", ""en"")"),"Honda")</f>
        <v>Honda</v>
      </c>
      <c r="E1216" s="19" t="str">
        <f ca="1">IFERROR(__xludf.DUMMYFUNCTION("GOOGLETRANSLATE(B1216,""ar"",""en"")"),"Honda")</f>
        <v>Honda</v>
      </c>
      <c r="F1216" s="19" t="str">
        <f ca="1">IFERROR(__xludf.DUMMYFUNCTION("GOOGLETRANSLATE(C1216,""ar"",""en"")"),"Your Cevak LXI")</f>
        <v>Your Cevak LXI</v>
      </c>
      <c r="G1216" t="e">
        <f ca="1">VLOOKUP(F:F,matching_transelated_with_ref!A:C,2,0)</f>
        <v>#N/A</v>
      </c>
      <c r="H1216" t="str">
        <f>VLOOKUP(C:C,Sheet4!A:C,2,0)</f>
        <v xml:space="preserve"> سيفيك</v>
      </c>
    </row>
    <row r="1217" spans="1:8" ht="14.4">
      <c r="A1217" s="18" t="s">
        <v>508</v>
      </c>
      <c r="B1217" s="18" t="s">
        <v>508</v>
      </c>
      <c r="C1217" s="18" t="s">
        <v>1240</v>
      </c>
      <c r="D1217" s="19" t="str">
        <f ca="1">IFERROR(__xludf.DUMMYFUNCTION("GOOGLETRANSLATE(A1217, ""ar"", ""en"")"),"Honda")</f>
        <v>Honda</v>
      </c>
      <c r="E1217" s="19" t="str">
        <f ca="1">IFERROR(__xludf.DUMMYFUNCTION("GOOGLETRANSLATE(B1217,""ar"",""en"")"),"Honda")</f>
        <v>Honda</v>
      </c>
      <c r="F1217" s="19" t="str">
        <f ca="1">IFERROR(__xludf.DUMMYFUNCTION("GOOGLETRANSLATE(C1217,""ar"",""en"")"),"HRVX")</f>
        <v>HRVX</v>
      </c>
      <c r="G1217" t="e">
        <f ca="1">VLOOKUP(F:F,matching_transelated_with_ref!A:C,2,0)</f>
        <v>#N/A</v>
      </c>
      <c r="H1217" t="e">
        <f>VLOOKUP(C:C,Sheet4!A:C,2,0)</f>
        <v>#N/A</v>
      </c>
    </row>
    <row r="1218" spans="1:8" ht="14.4">
      <c r="A1218" s="18" t="s">
        <v>508</v>
      </c>
      <c r="B1218" s="18" t="s">
        <v>508</v>
      </c>
      <c r="C1218" s="18" t="s">
        <v>526</v>
      </c>
      <c r="D1218" s="19" t="str">
        <f ca="1">IFERROR(__xludf.DUMMYFUNCTION("GOOGLETRANSLATE(A1218, ""ar"", ""en"")"),"Honda")</f>
        <v>Honda</v>
      </c>
      <c r="E1218" s="19" t="str">
        <f ca="1">IFERROR(__xludf.DUMMYFUNCTION("GOOGLETRANSLATE(B1218,""ar"",""en"")"),"Honda")</f>
        <v>Honda</v>
      </c>
      <c r="F1218" s="19" t="str">
        <f ca="1">IFERROR(__xludf.DUMMYFUNCTION("GOOGLETRANSLATE(C1218,""ar"",""en"")"),"Civic DX")</f>
        <v>Civic DX</v>
      </c>
      <c r="G1218" t="e">
        <f ca="1">VLOOKUP(F:F,matching_transelated_with_ref!A:C,2,0)</f>
        <v>#N/A</v>
      </c>
      <c r="H1218" t="str">
        <f>VLOOKUP(C:C,Sheet4!A:C,2,0)</f>
        <v xml:space="preserve"> سيفيك</v>
      </c>
    </row>
    <row r="1219" spans="1:8" ht="14.4">
      <c r="A1219" s="18" t="s">
        <v>508</v>
      </c>
      <c r="B1219" s="18" t="s">
        <v>508</v>
      </c>
      <c r="C1219" s="18" t="s">
        <v>1245</v>
      </c>
      <c r="D1219" s="19" t="str">
        <f ca="1">IFERROR(__xludf.DUMMYFUNCTION("GOOGLETRANSLATE(A1219, ""ar"", ""en"")"),"Honda")</f>
        <v>Honda</v>
      </c>
      <c r="E1219" s="19" t="str">
        <f ca="1">IFERROR(__xludf.DUMMYFUNCTION("GOOGLETRANSLATE(B1219,""ar"",""en"")"),"Honda")</f>
        <v>Honda</v>
      </c>
      <c r="F1219" s="19" t="str">
        <f ca="1">IFERROR(__xludf.DUMMYFUNCTION("GOOGLETRANSLATE(C1219,""ar"",""en"")"),"City Lux Sport")</f>
        <v>City Lux Sport</v>
      </c>
      <c r="G1219" t="e">
        <f ca="1">VLOOKUP(F:F,matching_transelated_with_ref!A:C,2,0)</f>
        <v>#N/A</v>
      </c>
      <c r="H1219" t="str">
        <f>VLOOKUP(C:C,Sheet4!A:C,2,0)</f>
        <v xml:space="preserve"> سيتي </v>
      </c>
    </row>
    <row r="1220" spans="1:8" ht="14.4">
      <c r="A1220" s="18" t="s">
        <v>508</v>
      </c>
      <c r="B1220" s="18" t="s">
        <v>508</v>
      </c>
      <c r="C1220" s="18" t="s">
        <v>1018</v>
      </c>
      <c r="D1220" s="19" t="str">
        <f ca="1">IFERROR(__xludf.DUMMYFUNCTION("GOOGLETRANSLATE(A1220, ""ar"", ""en"")"),"Honda")</f>
        <v>Honda</v>
      </c>
      <c r="E1220" s="19" t="str">
        <f ca="1">IFERROR(__xludf.DUMMYFUNCTION("GOOGLETRANSLATE(B1220,""ar"",""en"")"),"Honda")</f>
        <v>Honda</v>
      </c>
      <c r="F1220" s="19" t="str">
        <f ca="1">IFERROR(__xludf.DUMMYFUNCTION("GOOGLETRANSLATE(C1220,""ar"",""en"")"),"City de X 1.5 liters")</f>
        <v>City de X 1.5 liters</v>
      </c>
      <c r="G1220" t="e">
        <f ca="1">VLOOKUP(F:F,matching_transelated_with_ref!A:C,2,0)</f>
        <v>#N/A</v>
      </c>
      <c r="H1220" t="str">
        <f>VLOOKUP(C:C,Sheet4!A:C,2,0)</f>
        <v xml:space="preserve"> سيتي </v>
      </c>
    </row>
    <row r="1221" spans="1:8" ht="14.4">
      <c r="A1221" s="18" t="s">
        <v>508</v>
      </c>
      <c r="B1221" s="18" t="s">
        <v>789</v>
      </c>
      <c r="C1221" s="18" t="s">
        <v>1016</v>
      </c>
      <c r="D1221" s="19" t="str">
        <f ca="1">IFERROR(__xludf.DUMMYFUNCTION("GOOGLETRANSLATE(A1221, ""ar"", ""en"")"),"Honda")</f>
        <v>Honda</v>
      </c>
      <c r="E1221" s="19" t="str">
        <f ca="1">IFERROR(__xludf.DUMMYFUNCTION("GOOGLETRANSLATE(B1221,""ar"",""en"")"),"Motorcycle")</f>
        <v>Motorcycle</v>
      </c>
      <c r="F1221" s="19" t="str">
        <f ca="1">IFERROR(__xludf.DUMMYFUNCTION("GOOGLETRANSLATE(C1221,""ar"",""en"")"),"N750 SAG")</f>
        <v>N750 SAG</v>
      </c>
      <c r="G1221" t="e">
        <f ca="1">VLOOKUP(F:F,matching_transelated_with_ref!A:C,2,0)</f>
        <v>#N/A</v>
      </c>
      <c r="H1221" t="e">
        <f>VLOOKUP(C:C,Sheet4!A:C,2,0)</f>
        <v>#N/A</v>
      </c>
    </row>
    <row r="1222" spans="1:8" ht="14.4">
      <c r="A1222" s="18" t="s">
        <v>508</v>
      </c>
      <c r="B1222" s="18" t="s">
        <v>508</v>
      </c>
      <c r="C1222" s="18" t="s">
        <v>795</v>
      </c>
      <c r="D1222" s="19" t="str">
        <f ca="1">IFERROR(__xludf.DUMMYFUNCTION("GOOGLETRANSLATE(A1222, ""ar"", ""en"")"),"Honda")</f>
        <v>Honda</v>
      </c>
      <c r="E1222" s="19" t="str">
        <f ca="1">IFERROR(__xludf.DUMMYFUNCTION("GOOGLETRANSLATE(B1222,""ar"",""en"")"),"Honda")</f>
        <v>Honda</v>
      </c>
      <c r="F1222" s="19" t="str">
        <f ca="1">IFERROR(__xludf.DUMMYFUNCTION("GOOGLETRANSLATE(C1222,""ar"",""en"")"),"CRF1000D")</f>
        <v>CRF1000D</v>
      </c>
      <c r="G1222" t="e">
        <f ca="1">VLOOKUP(F:F,matching_transelated_with_ref!A:C,2,0)</f>
        <v>#N/A</v>
      </c>
      <c r="H1222" t="e">
        <f>VLOOKUP(C:C,Sheet4!A:C,2,0)</f>
        <v>#N/A</v>
      </c>
    </row>
    <row r="1223" spans="1:8" ht="14.4">
      <c r="A1223" s="18" t="s">
        <v>508</v>
      </c>
      <c r="B1223" s="18" t="s">
        <v>519</v>
      </c>
      <c r="C1223" s="18" t="s">
        <v>520</v>
      </c>
      <c r="D1223" s="19" t="str">
        <f ca="1">IFERROR(__xludf.DUMMYFUNCTION("GOOGLETRANSLATE(A1223, ""ar"", ""en"")"),"Honda")</f>
        <v>Honda</v>
      </c>
      <c r="E1223" s="19" t="str">
        <f ca="1">IFERROR(__xludf.DUMMYFUNCTION("GOOGLETRANSLATE(B1223,""ar"",""en"")"),"CBF")</f>
        <v>CBF</v>
      </c>
      <c r="F1223" s="19" t="str">
        <f ca="1">IFERROR(__xludf.DUMMYFUNCTION("GOOGLETRANSLATE(C1223,""ar"",""en"")"),"160 GS")</f>
        <v>160 GS</v>
      </c>
      <c r="G1223" t="e">
        <f ca="1">VLOOKUP(F:F,matching_transelated_with_ref!A:C,2,0)</f>
        <v>#N/A</v>
      </c>
      <c r="H1223" t="e">
        <f>VLOOKUP(C:C,Sheet4!A:C,2,0)</f>
        <v>#N/A</v>
      </c>
    </row>
    <row r="1224" spans="1:8" ht="14.4">
      <c r="A1224" s="18" t="s">
        <v>123</v>
      </c>
      <c r="B1224" s="18" t="s">
        <v>8</v>
      </c>
      <c r="C1224" s="18" t="s">
        <v>124</v>
      </c>
      <c r="D1224" s="19" t="str">
        <f ca="1">IFERROR(__xludf.DUMMYFUNCTION("GOOGLETRANSLATE(A1224, ""ar"", ""en"")"),"Hyundai")</f>
        <v>Hyundai</v>
      </c>
      <c r="E1224" s="19" t="str">
        <f ca="1">IFERROR(__xludf.DUMMYFUNCTION("GOOGLETRANSLATE(B1224,""ar"",""en"")"),"-")</f>
        <v>-</v>
      </c>
      <c r="F1224" s="19" t="str">
        <f ca="1">IFERROR(__xludf.DUMMYFUNCTION("GOOGLETRANSLATE(C1224,""ar"",""en"")"),"Univers")</f>
        <v>Univers</v>
      </c>
      <c r="G1224" t="e">
        <f ca="1">VLOOKUP(F:F,matching_transelated_with_ref!A:C,2,0)</f>
        <v>#N/A</v>
      </c>
      <c r="H1224" t="e">
        <f>VLOOKUP(C:C,Sheet4!A:C,2,0)</f>
        <v>#N/A</v>
      </c>
    </row>
    <row r="1225" spans="1:8" ht="14.4">
      <c r="A1225" s="18" t="s">
        <v>123</v>
      </c>
      <c r="B1225" s="18" t="s">
        <v>123</v>
      </c>
      <c r="C1225" s="18" t="s">
        <v>1253</v>
      </c>
      <c r="D1225" s="19" t="str">
        <f ca="1">IFERROR(__xludf.DUMMYFUNCTION("GOOGLETRANSLATE(A1225, ""ar"", ""en"")"),"Hyundai")</f>
        <v>Hyundai</v>
      </c>
      <c r="E1225" s="19" t="str">
        <f ca="1">IFERROR(__xludf.DUMMYFUNCTION("GOOGLETRANSLATE(B1225,""ar"",""en"")"),"Hyundai")</f>
        <v>Hyundai</v>
      </c>
      <c r="F1225" s="19" t="str">
        <f ca="1">IFERROR(__xludf.DUMMYFUNCTION("GOOGLETRANSLATE(C1225,""ar"",""en"")"),"Gesais G in 80")</f>
        <v>Gesais G in 80</v>
      </c>
      <c r="G1225" t="e">
        <f ca="1">VLOOKUP(F:F,matching_transelated_with_ref!A:C,2,0)</f>
        <v>#N/A</v>
      </c>
      <c r="H1225" t="e">
        <f>VLOOKUP(C:C,Sheet4!A:C,2,0)</f>
        <v>#N/A</v>
      </c>
    </row>
    <row r="1226" spans="1:8" ht="14.4">
      <c r="A1226" s="18" t="s">
        <v>123</v>
      </c>
      <c r="B1226" s="18" t="s">
        <v>547</v>
      </c>
      <c r="C1226" s="18" t="s">
        <v>1022</v>
      </c>
      <c r="D1226" s="19" t="str">
        <f ca="1">IFERROR(__xludf.DUMMYFUNCTION("GOOGLETRANSLATE(A1226, ""ar"", ""en"")"),"Hyundai")</f>
        <v>Hyundai</v>
      </c>
      <c r="E1226" s="19" t="str">
        <f ca="1">IFERROR(__xludf.DUMMYFUNCTION("GOOGLETRANSLATE(B1226,""ar"",""en"")"),"Genper")</f>
        <v>Genper</v>
      </c>
      <c r="F1226" s="19" t="str">
        <f ca="1">IFERROR(__xludf.DUMMYFUNCTION("GOOGLETRANSLATE(C1226,""ar"",""en"")"),"G90")</f>
        <v>G90</v>
      </c>
      <c r="G1226" t="str">
        <f ca="1">VLOOKUP(F:F,matching_transelated_with_ref!A:C,2,0)</f>
        <v xml:space="preserve"> G90</v>
      </c>
      <c r="H1226" t="e">
        <f>VLOOKUP(C:C,Sheet4!A:C,2,0)</f>
        <v>#N/A</v>
      </c>
    </row>
    <row r="1227" spans="1:8" ht="14.4">
      <c r="A1227" s="18" t="s">
        <v>123</v>
      </c>
      <c r="B1227" s="18" t="s">
        <v>547</v>
      </c>
      <c r="C1227" s="18" t="s">
        <v>1249</v>
      </c>
      <c r="D1227" s="19" t="str">
        <f ca="1">IFERROR(__xludf.DUMMYFUNCTION("GOOGLETRANSLATE(A1227, ""ar"", ""en"")"),"Hyundai")</f>
        <v>Hyundai</v>
      </c>
      <c r="E1227" s="19" t="str">
        <f ca="1">IFERROR(__xludf.DUMMYFUNCTION("GOOGLETRANSLATE(B1227,""ar"",""en"")"),"Genper")</f>
        <v>Genper</v>
      </c>
      <c r="F1227" s="19" t="str">
        <f ca="1">IFERROR(__xludf.DUMMYFUNCTION("GOOGLETRANSLATE(C1227,""ar"",""en"")"),"GV 80")</f>
        <v>GV 80</v>
      </c>
      <c r="G1227" t="str">
        <f ca="1">VLOOKUP(F:F,matching_transelated_with_ref!A:C,2,0)</f>
        <v xml:space="preserve"> GV80</v>
      </c>
      <c r="H1227" t="e">
        <f>VLOOKUP(C:C,Sheet4!A:C,2,0)</f>
        <v>#N/A</v>
      </c>
    </row>
    <row r="1228" spans="1:8" ht="14.4">
      <c r="A1228" s="18" t="s">
        <v>123</v>
      </c>
      <c r="B1228" s="18" t="s">
        <v>547</v>
      </c>
      <c r="C1228" s="18" t="s">
        <v>1248</v>
      </c>
      <c r="D1228" s="19" t="str">
        <f ca="1">IFERROR(__xludf.DUMMYFUNCTION("GOOGLETRANSLATE(A1228, ""ar"", ""en"")"),"Hyundai")</f>
        <v>Hyundai</v>
      </c>
      <c r="E1228" s="19" t="str">
        <f ca="1">IFERROR(__xludf.DUMMYFUNCTION("GOOGLETRANSLATE(B1228,""ar"",""en"")"),"Genper")</f>
        <v>Genper</v>
      </c>
      <c r="F1228" s="19" t="str">
        <f ca="1">IFERROR(__xludf.DUMMYFUNCTION("GOOGLETRANSLATE(C1228,""ar"",""en"")"),"G in 70 2.5 liters")</f>
        <v>G in 70 2.5 liters</v>
      </c>
      <c r="G1228" t="e">
        <f ca="1">VLOOKUP(F:F,matching_transelated_with_ref!A:C,2,0)</f>
        <v>#N/A</v>
      </c>
      <c r="H1228" t="e">
        <f>VLOOKUP(C:C,Sheet4!A:C,2,0)</f>
        <v>#N/A</v>
      </c>
    </row>
    <row r="1229" spans="1:8" ht="14.4">
      <c r="A1229" s="18" t="s">
        <v>123</v>
      </c>
      <c r="B1229" s="18" t="s">
        <v>547</v>
      </c>
      <c r="C1229" s="18" t="s">
        <v>1247</v>
      </c>
      <c r="D1229" s="19" t="str">
        <f ca="1">IFERROR(__xludf.DUMMYFUNCTION("GOOGLETRANSLATE(A1229, ""ar"", ""en"")"),"Hyundai")</f>
        <v>Hyundai</v>
      </c>
      <c r="E1229" s="19" t="str">
        <f ca="1">IFERROR(__xludf.DUMMYFUNCTION("GOOGLETRANSLATE(B1229,""ar"",""en"")"),"Genper")</f>
        <v>Genper</v>
      </c>
      <c r="F1229" s="19" t="str">
        <f ca="1">IFERROR(__xludf.DUMMYFUNCTION("GOOGLETRANSLATE(C1229,""ar"",""en"")"),"GV 70")</f>
        <v>GV 70</v>
      </c>
      <c r="G1229" t="str">
        <f ca="1">VLOOKUP(F:F,matching_transelated_with_ref!A:C,2,0)</f>
        <v>GV70</v>
      </c>
      <c r="H1229" t="e">
        <f>VLOOKUP(C:C,Sheet4!A:C,2,0)</f>
        <v>#N/A</v>
      </c>
    </row>
    <row r="1230" spans="1:8" ht="14.4">
      <c r="A1230" s="18" t="s">
        <v>123</v>
      </c>
      <c r="B1230" s="18" t="s">
        <v>8</v>
      </c>
      <c r="C1230" s="18" t="s">
        <v>542</v>
      </c>
      <c r="D1230" s="19" t="str">
        <f ca="1">IFERROR(__xludf.DUMMYFUNCTION("GOOGLETRANSLATE(A1230, ""ar"", ""en"")"),"Hyundai")</f>
        <v>Hyundai</v>
      </c>
      <c r="E1230" s="19" t="str">
        <f ca="1">IFERROR(__xludf.DUMMYFUNCTION("GOOGLETRANSLATE(B1230,""ar"",""en"")"),"-")</f>
        <v>-</v>
      </c>
      <c r="F1230" s="19" t="str">
        <f ca="1">IFERROR(__xludf.DUMMYFUNCTION("GOOGLETRANSLATE(C1230,""ar"",""en"")"),"County busy")</f>
        <v>County busy</v>
      </c>
      <c r="G1230" t="e">
        <f ca="1">VLOOKUP(F:F,matching_transelated_with_ref!A:C,2,0)</f>
        <v>#N/A</v>
      </c>
      <c r="H1230" t="e">
        <f>VLOOKUP(C:C,Sheet4!A:C,2,0)</f>
        <v>#N/A</v>
      </c>
    </row>
    <row r="1231" spans="1:8" ht="14.4">
      <c r="A1231" s="18" t="s">
        <v>123</v>
      </c>
      <c r="B1231" s="18" t="s">
        <v>547</v>
      </c>
      <c r="C1231" s="18" t="s">
        <v>549</v>
      </c>
      <c r="D1231" s="19" t="str">
        <f ca="1">IFERROR(__xludf.DUMMYFUNCTION("GOOGLETRANSLATE(A1231, ""ar"", ""en"")"),"Hyundai")</f>
        <v>Hyundai</v>
      </c>
      <c r="E1231" s="19" t="str">
        <f ca="1">IFERROR(__xludf.DUMMYFUNCTION("GOOGLETRANSLATE(B1231,""ar"",""en"")"),"Genper")</f>
        <v>Genper</v>
      </c>
      <c r="F1231" s="19" t="str">
        <f ca="1">IFERROR(__xludf.DUMMYFUNCTION("GOOGLETRANSLATE(C1231,""ar"",""en"")"),"G80")</f>
        <v>G80</v>
      </c>
      <c r="G1231" t="str">
        <f ca="1">VLOOKUP(F:F,matching_transelated_with_ref!A:C,2,0)</f>
        <v xml:space="preserve"> G80</v>
      </c>
      <c r="H1231" t="e">
        <f>VLOOKUP(C:C,Sheet4!A:C,2,0)</f>
        <v>#N/A</v>
      </c>
    </row>
    <row r="1232" spans="1:8" ht="14.4">
      <c r="A1232" s="18" t="s">
        <v>123</v>
      </c>
      <c r="B1232" s="18" t="s">
        <v>8</v>
      </c>
      <c r="C1232" s="18" t="s">
        <v>1021</v>
      </c>
      <c r="D1232" s="19" t="str">
        <f ca="1">IFERROR(__xludf.DUMMYFUNCTION("GOOGLETRANSLATE(A1232, ""ar"", ""en"")"),"Hyundai")</f>
        <v>Hyundai</v>
      </c>
      <c r="E1232" s="19" t="str">
        <f ca="1">IFERROR(__xludf.DUMMYFUNCTION("GOOGLETRANSLATE(B1232,""ar"",""en"")"),"-")</f>
        <v>-</v>
      </c>
      <c r="F1232" s="19" t="str">
        <f ca="1">IFERROR(__xludf.DUMMYFUNCTION("GOOGLETRANSLATE(C1232,""ar"",""en"")"),"County")</f>
        <v>County</v>
      </c>
      <c r="G1232" t="e">
        <f ca="1">VLOOKUP(F:F,matching_transelated_with_ref!A:C,2,0)</f>
        <v>#N/A</v>
      </c>
      <c r="H1232" t="str">
        <f>VLOOKUP(C:C,Sheet4!A:C,2,0)</f>
        <v xml:space="preserve">باص - كاونتي </v>
      </c>
    </row>
    <row r="1233" spans="1:8" ht="14.4">
      <c r="A1233" s="18" t="s">
        <v>123</v>
      </c>
      <c r="B1233" s="18" t="s">
        <v>547</v>
      </c>
      <c r="C1233" s="18" t="s">
        <v>548</v>
      </c>
      <c r="D1233" s="19" t="str">
        <f ca="1">IFERROR(__xludf.DUMMYFUNCTION("GOOGLETRANSLATE(A1233, ""ar"", ""en"")"),"Hyundai")</f>
        <v>Hyundai</v>
      </c>
      <c r="E1233" s="19" t="str">
        <f ca="1">IFERROR(__xludf.DUMMYFUNCTION("GOOGLETRANSLATE(B1233,""ar"",""en"")"),"Genper")</f>
        <v>Genper</v>
      </c>
      <c r="F1233" s="19" t="str">
        <f ca="1">IFERROR(__xludf.DUMMYFUNCTION("GOOGLETRANSLATE(C1233,""ar"",""en"")"),"G70")</f>
        <v>G70</v>
      </c>
      <c r="G1233" t="str">
        <f ca="1">VLOOKUP(F:F,matching_transelated_with_ref!A:C,2,0)</f>
        <v xml:space="preserve"> G70</v>
      </c>
      <c r="H1233" t="e">
        <f>VLOOKUP(C:C,Sheet4!A:C,2,0)</f>
        <v>#N/A</v>
      </c>
    </row>
    <row r="1234" spans="1:8" ht="14.4">
      <c r="A1234" s="18" t="s">
        <v>123</v>
      </c>
      <c r="B1234" s="18" t="s">
        <v>123</v>
      </c>
      <c r="C1234" s="18" t="s">
        <v>550</v>
      </c>
      <c r="D1234" s="19" t="str">
        <f ca="1">IFERROR(__xludf.DUMMYFUNCTION("GOOGLETRANSLATE(A1234, ""ar"", ""en"")"),"Hyundai")</f>
        <v>Hyundai</v>
      </c>
      <c r="E1234" s="19" t="str">
        <f ca="1">IFERROR(__xludf.DUMMYFUNCTION("GOOGLETRANSLATE(B1234,""ar"",""en"")"),"Hyundai")</f>
        <v>Hyundai</v>
      </c>
      <c r="F1234" s="19" t="str">
        <f ca="1">IFERROR(__xludf.DUMMYFUNCTION("GOOGLETRANSLATE(C1234,""ar"",""en"")"),"Gensis G70")</f>
        <v>Gensis G70</v>
      </c>
      <c r="G1234" t="str">
        <f ca="1">VLOOKUP(F:F,matching_transelated_with_ref!A:C,2,0)</f>
        <v xml:space="preserve"> G70</v>
      </c>
      <c r="H1234" t="e">
        <f>VLOOKUP(C:C,Sheet4!A:C,2,0)</f>
        <v>#N/A</v>
      </c>
    </row>
    <row r="1235" spans="1:8" ht="14.4">
      <c r="A1235" s="18" t="s">
        <v>123</v>
      </c>
      <c r="B1235" s="18" t="s">
        <v>8</v>
      </c>
      <c r="C1235" s="18" t="s">
        <v>1020</v>
      </c>
      <c r="D1235" s="19" t="str">
        <f ca="1">IFERROR(__xludf.DUMMYFUNCTION("GOOGLETRANSLATE(A1235, ""ar"", ""en"")"),"Hyundai")</f>
        <v>Hyundai</v>
      </c>
      <c r="E1235" s="19" t="str">
        <f ca="1">IFERROR(__xludf.DUMMYFUNCTION("GOOGLETRANSLATE(B1235,""ar"",""en"")"),"-")</f>
        <v>-</v>
      </c>
      <c r="F1235" s="19" t="str">
        <f ca="1">IFERROR(__xludf.DUMMYFUNCTION("GOOGLETRANSLATE(C1235,""ar"",""en"")"),"With")</f>
        <v>With</v>
      </c>
      <c r="G1235" t="e">
        <f ca="1">VLOOKUP(F:F,matching_transelated_with_ref!A:C,2,0)</f>
        <v>#N/A</v>
      </c>
      <c r="H1235" t="str">
        <f>VLOOKUP(C:C,Sheet4!A:C,2,0)</f>
        <v xml:space="preserve"> باليسيد</v>
      </c>
    </row>
    <row r="1236" spans="1:8" ht="14.4">
      <c r="A1236" s="18" t="s">
        <v>123</v>
      </c>
      <c r="B1236" s="18" t="s">
        <v>123</v>
      </c>
      <c r="C1236" s="18" t="s">
        <v>1020</v>
      </c>
      <c r="D1236" s="19" t="str">
        <f ca="1">IFERROR(__xludf.DUMMYFUNCTION("GOOGLETRANSLATE(A1236, ""ar"", ""en"")"),"Hyundai")</f>
        <v>Hyundai</v>
      </c>
      <c r="E1236" s="19" t="str">
        <f ca="1">IFERROR(__xludf.DUMMYFUNCTION("GOOGLETRANSLATE(B1236,""ar"",""en"")"),"Hyundai")</f>
        <v>Hyundai</v>
      </c>
      <c r="F1236" s="19" t="str">
        <f ca="1">IFERROR(__xludf.DUMMYFUNCTION("GOOGLETRANSLATE(C1236,""ar"",""en"")"),"With")</f>
        <v>With</v>
      </c>
      <c r="G1236" t="e">
        <f ca="1">VLOOKUP(F:F,matching_transelated_with_ref!A:C,2,0)</f>
        <v>#N/A</v>
      </c>
      <c r="H1236" t="str">
        <f>VLOOKUP(C:C,Sheet4!A:C,2,0)</f>
        <v xml:space="preserve"> باليسيد</v>
      </c>
    </row>
    <row r="1237" spans="1:8" ht="14.4">
      <c r="A1237" s="18" t="s">
        <v>123</v>
      </c>
      <c r="B1237" s="18" t="s">
        <v>123</v>
      </c>
      <c r="C1237" s="18" t="s">
        <v>1470</v>
      </c>
      <c r="D1237" s="19" t="str">
        <f ca="1">IFERROR(__xludf.DUMMYFUNCTION("GOOGLETRANSLATE(A1237, ""ar"", ""en"")"),"Hyundai")</f>
        <v>Hyundai</v>
      </c>
      <c r="E1237" s="19" t="str">
        <f ca="1">IFERROR(__xludf.DUMMYFUNCTION("GOOGLETRANSLATE(B1237,""ar"",""en"")"),"Hyundai")</f>
        <v>Hyundai</v>
      </c>
      <c r="F1237" s="19" t="str">
        <f ca="1">IFERROR(__xludf.DUMMYFUNCTION("GOOGLETRANSLATE(C1237,""ar"",""en"")"),"Voltser")</f>
        <v>Voltser</v>
      </c>
      <c r="G1237" t="e">
        <f ca="1">VLOOKUP(F:F,matching_transelated_with_ref!A:C,2,0)</f>
        <v>#N/A</v>
      </c>
      <c r="H1237" t="e">
        <f>VLOOKUP(C:C,Sheet4!A:C,2,0)</f>
        <v>#N/A</v>
      </c>
    </row>
    <row r="1238" spans="1:8" ht="14.4">
      <c r="A1238" s="18" t="s">
        <v>123</v>
      </c>
      <c r="B1238" s="18" t="s">
        <v>8</v>
      </c>
      <c r="C1238" s="18" t="s">
        <v>537</v>
      </c>
      <c r="D1238" s="19" t="str">
        <f ca="1">IFERROR(__xludf.DUMMYFUNCTION("GOOGLETRANSLATE(A1238, ""ar"", ""en"")"),"Hyundai")</f>
        <v>Hyundai</v>
      </c>
      <c r="E1238" s="19" t="str">
        <f ca="1">IFERROR(__xludf.DUMMYFUNCTION("GOOGLETRANSLATE(B1238,""ar"",""en"")"),"-")</f>
        <v>-</v>
      </c>
      <c r="F1238" s="19" t="str">
        <f ca="1">IFERROR(__xludf.DUMMYFUNCTION("GOOGLETRANSLATE(C1238,""ar"",""en"")"),"Santavi")</f>
        <v>Santavi</v>
      </c>
      <c r="G1238" t="e">
        <f ca="1">VLOOKUP(F:F,matching_transelated_with_ref!A:C,2,0)</f>
        <v>#N/A</v>
      </c>
      <c r="H1238" t="str">
        <f>VLOOKUP(C:C,Sheet4!A:C,2,0)</f>
        <v>سنتافي - ماكس كروز 2.5</v>
      </c>
    </row>
    <row r="1239" spans="1:8" ht="14.4">
      <c r="A1239" s="18" t="s">
        <v>123</v>
      </c>
      <c r="B1239" s="18" t="s">
        <v>123</v>
      </c>
      <c r="C1239" s="18" t="s">
        <v>1462</v>
      </c>
      <c r="D1239" s="19" t="str">
        <f ca="1">IFERROR(__xludf.DUMMYFUNCTION("GOOGLETRANSLATE(A1239, ""ar"", ""en"")"),"Hyundai")</f>
        <v>Hyundai</v>
      </c>
      <c r="E1239" s="19" t="str">
        <f ca="1">IFERROR(__xludf.DUMMYFUNCTION("GOOGLETRANSLATE(B1239,""ar"",""en"")"),"Hyundai")</f>
        <v>Hyundai</v>
      </c>
      <c r="F1239" s="19" t="str">
        <f ca="1">IFERROR(__xludf.DUMMYFUNCTION("GOOGLETRANSLATE(C1239,""ar"",""en"")"),"Tucsan 2.5 liters")</f>
        <v>Tucsan 2.5 liters</v>
      </c>
      <c r="G1239" t="e">
        <f ca="1">VLOOKUP(F:F,matching_transelated_with_ref!A:C,2,0)</f>
        <v>#N/A</v>
      </c>
      <c r="H1239" t="e">
        <f>VLOOKUP(C:C,Sheet4!A:C,2,0)</f>
        <v>#N/A</v>
      </c>
    </row>
    <row r="1240" spans="1:8" ht="14.4">
      <c r="A1240" s="18" t="s">
        <v>123</v>
      </c>
      <c r="B1240" s="18" t="s">
        <v>123</v>
      </c>
      <c r="C1240" s="18" t="s">
        <v>1465</v>
      </c>
      <c r="D1240" s="19" t="str">
        <f ca="1">IFERROR(__xludf.DUMMYFUNCTION("GOOGLETRANSLATE(A1240, ""ar"", ""en"")"),"Hyundai")</f>
        <v>Hyundai</v>
      </c>
      <c r="E1240" s="19" t="str">
        <f ca="1">IFERROR(__xludf.DUMMYFUNCTION("GOOGLETRANSLATE(B1240,""ar"",""en"")"),"Hyundai")</f>
        <v>Hyundai</v>
      </c>
      <c r="F1240" s="19" t="str">
        <f ca="1">IFERROR(__xludf.DUMMYFUNCTION("GOOGLETRANSLATE(C1240,""ar"",""en"")"),"Tucsan 2.5 liters")</f>
        <v>Tucsan 2.5 liters</v>
      </c>
      <c r="G1240" t="e">
        <f ca="1">VLOOKUP(F:F,matching_transelated_with_ref!A:C,2,0)</f>
        <v>#N/A</v>
      </c>
      <c r="H1240" t="e">
        <f>VLOOKUP(C:C,Sheet4!A:C,2,0)</f>
        <v>#N/A</v>
      </c>
    </row>
    <row r="1241" spans="1:8" ht="14.4">
      <c r="A1241" s="18" t="s">
        <v>123</v>
      </c>
      <c r="B1241" s="18" t="s">
        <v>532</v>
      </c>
      <c r="C1241" s="18" t="s">
        <v>543</v>
      </c>
      <c r="D1241" s="19" t="str">
        <f ca="1">IFERROR(__xludf.DUMMYFUNCTION("GOOGLETRANSLATE(A1241, ""ar"", ""en"")"),"Hyundai")</f>
        <v>Hyundai</v>
      </c>
      <c r="E1241" s="19" t="str">
        <f ca="1">IFERROR(__xludf.DUMMYFUNCTION("GOOGLETRANSLATE(B1241,""ar"",""en"")"),"Uniform")</f>
        <v>Uniform</v>
      </c>
      <c r="F1241" s="19" t="str">
        <f ca="1">IFERROR(__xludf.DUMMYFUNCTION("GOOGLETRANSLATE(C1241,""ar"",""en"")"),"3.5 automatic sedan")</f>
        <v>3.5 automatic sedan</v>
      </c>
      <c r="G1241" t="e">
        <f ca="1">VLOOKUP(F:F,matching_transelated_with_ref!A:C,2,0)</f>
        <v>#N/A</v>
      </c>
      <c r="H1241" t="str">
        <f>VLOOKUP(C:C,Sheet4!A:C,2,0)</f>
        <v xml:space="preserve">3 سيدان </v>
      </c>
    </row>
    <row r="1242" spans="1:8" ht="14.4">
      <c r="A1242" s="18" t="s">
        <v>123</v>
      </c>
      <c r="B1242" s="18" t="s">
        <v>123</v>
      </c>
      <c r="C1242" s="18" t="s">
        <v>532</v>
      </c>
      <c r="D1242" s="19" t="str">
        <f ca="1">IFERROR(__xludf.DUMMYFUNCTION("GOOGLETRANSLATE(A1242, ""ar"", ""en"")"),"Hyundai")</f>
        <v>Hyundai</v>
      </c>
      <c r="E1242" s="19" t="str">
        <f ca="1">IFERROR(__xludf.DUMMYFUNCTION("GOOGLETRANSLATE(B1242,""ar"",""en"")"),"Hyundai")</f>
        <v>Hyundai</v>
      </c>
      <c r="F1242" s="19" t="str">
        <f ca="1">IFERROR(__xludf.DUMMYFUNCTION("GOOGLETRANSLATE(C1242,""ar"",""en"")"),"Uniform")</f>
        <v>Uniform</v>
      </c>
      <c r="G1242" t="e">
        <f ca="1">VLOOKUP(F:F,matching_transelated_with_ref!A:C,2,0)</f>
        <v>#N/A</v>
      </c>
      <c r="H1242" t="str">
        <f>VLOOKUP(C:C,Sheet4!A:C,2,0)</f>
        <v xml:space="preserve">ازيرا - جراند يور </v>
      </c>
    </row>
    <row r="1243" spans="1:8" ht="14.4">
      <c r="A1243" s="18" t="s">
        <v>123</v>
      </c>
      <c r="B1243" s="18" t="s">
        <v>123</v>
      </c>
      <c r="C1243" s="18" t="s">
        <v>1468</v>
      </c>
      <c r="D1243" s="19" t="str">
        <f ca="1">IFERROR(__xludf.DUMMYFUNCTION("GOOGLETRANSLATE(A1243, ""ar"", ""en"")"),"Hyundai")</f>
        <v>Hyundai</v>
      </c>
      <c r="E1243" s="19" t="str">
        <f ca="1">IFERROR(__xludf.DUMMYFUNCTION("GOOGLETRANSLATE(B1243,""ar"",""en"")"),"Hyundai")</f>
        <v>Hyundai</v>
      </c>
      <c r="F1243" s="19" t="str">
        <f ca="1">IFERROR(__xludf.DUMMYFUNCTION("GOOGLETRANSLATE(C1243,""ar"",""en"")"),"Staria 2.2 liters")</f>
        <v>Staria 2.2 liters</v>
      </c>
      <c r="G1243" t="e">
        <f ca="1">VLOOKUP(F:F,matching_transelated_with_ref!A:C,2,0)</f>
        <v>#N/A</v>
      </c>
      <c r="H1243" t="str">
        <f>VLOOKUP(C:C,Sheet4!A:C,2,0)</f>
        <v>ستاريا</v>
      </c>
    </row>
    <row r="1244" spans="1:8" ht="14.4">
      <c r="A1244" s="18" t="s">
        <v>123</v>
      </c>
      <c r="B1244" s="18" t="s">
        <v>123</v>
      </c>
      <c r="C1244" s="18" t="s">
        <v>1469</v>
      </c>
      <c r="D1244" s="19" t="str">
        <f ca="1">IFERROR(__xludf.DUMMYFUNCTION("GOOGLETRANSLATE(A1244, ""ar"", ""en"")"),"Hyundai")</f>
        <v>Hyundai</v>
      </c>
      <c r="E1244" s="19" t="str">
        <f ca="1">IFERROR(__xludf.DUMMYFUNCTION("GOOGLETRANSLATE(B1244,""ar"",""en"")"),"Hyundai")</f>
        <v>Hyundai</v>
      </c>
      <c r="F1244" s="19" t="str">
        <f ca="1">IFERROR(__xludf.DUMMYFUNCTION("GOOGLETRANSLATE(C1244,""ar"",""en"")"),"Staria 3.5 liters")</f>
        <v>Staria 3.5 liters</v>
      </c>
      <c r="G1244" t="e">
        <f ca="1">VLOOKUP(F:F,matching_transelated_with_ref!A:C,2,0)</f>
        <v>#N/A</v>
      </c>
      <c r="H1244" t="str">
        <f>VLOOKUP(C:C,Sheet4!A:C,2,0)</f>
        <v>ستاريا</v>
      </c>
    </row>
    <row r="1245" spans="1:8" ht="14.4">
      <c r="A1245" s="18" t="s">
        <v>123</v>
      </c>
      <c r="B1245" s="18" t="s">
        <v>123</v>
      </c>
      <c r="C1245" s="18" t="s">
        <v>1024</v>
      </c>
      <c r="D1245" s="19" t="str">
        <f ca="1">IFERROR(__xludf.DUMMYFUNCTION("GOOGLETRANSLATE(A1245, ""ar"", ""en"")"),"Hyundai")</f>
        <v>Hyundai</v>
      </c>
      <c r="E1245" s="19" t="str">
        <f ca="1">IFERROR(__xludf.DUMMYFUNCTION("GOOGLETRANSLATE(B1245,""ar"",""en"")"),"Hyundai")</f>
        <v>Hyundai</v>
      </c>
      <c r="F1245" s="19" t="str">
        <f ca="1">IFERROR(__xludf.DUMMYFUNCTION("GOOGLETRANSLATE(C1245,""ar"",""en"")"),"Santafi")</f>
        <v>Santafi</v>
      </c>
      <c r="G1245" t="e">
        <f ca="1">VLOOKUP(F:F,matching_transelated_with_ref!A:C,2,0)</f>
        <v>#N/A</v>
      </c>
      <c r="H1245" t="str">
        <f>VLOOKUP(C:C,Sheet4!A:C,2,0)</f>
        <v>سنتافي - ماكس كروز 2.5</v>
      </c>
    </row>
    <row r="1246" spans="1:8" ht="14.4">
      <c r="A1246" s="18" t="s">
        <v>123</v>
      </c>
      <c r="B1246" s="18" t="s">
        <v>123</v>
      </c>
      <c r="C1246" s="18" t="s">
        <v>538</v>
      </c>
      <c r="D1246" s="19" t="str">
        <f ca="1">IFERROR(__xludf.DUMMYFUNCTION("GOOGLETRANSLATE(A1246, ""ar"", ""en"")"),"Hyundai")</f>
        <v>Hyundai</v>
      </c>
      <c r="E1246" s="19" t="str">
        <f ca="1">IFERROR(__xludf.DUMMYFUNCTION("GOOGLETRANSLATE(B1246,""ar"",""en"")"),"Hyundai")</f>
        <v>Hyundai</v>
      </c>
      <c r="F1246" s="19" t="str">
        <f ca="1">IFERROR(__xludf.DUMMYFUNCTION("GOOGLETRANSLATE(C1246,""ar"",""en"")"),"Santalic")</f>
        <v>Santalic</v>
      </c>
      <c r="G1246" t="e">
        <f ca="1">VLOOKUP(F:F,matching_transelated_with_ref!A:C,2,0)</f>
        <v>#N/A</v>
      </c>
      <c r="H1246" t="str">
        <f>VLOOKUP(C:C,Sheet4!A:C,2,0)</f>
        <v>سنتافي - ماكس كروز 2.5</v>
      </c>
    </row>
    <row r="1247" spans="1:8" ht="14.4">
      <c r="A1247" s="18" t="s">
        <v>123</v>
      </c>
      <c r="B1247" s="18" t="s">
        <v>8</v>
      </c>
      <c r="C1247" s="18" t="s">
        <v>532</v>
      </c>
      <c r="D1247" s="19" t="str">
        <f ca="1">IFERROR(__xludf.DUMMYFUNCTION("GOOGLETRANSLATE(A1247, ""ar"", ""en"")"),"Hyundai")</f>
        <v>Hyundai</v>
      </c>
      <c r="E1247" s="19" t="str">
        <f ca="1">IFERROR(__xludf.DUMMYFUNCTION("GOOGLETRANSLATE(B1247,""ar"",""en"")"),"-")</f>
        <v>-</v>
      </c>
      <c r="F1247" s="19" t="str">
        <f ca="1">IFERROR(__xludf.DUMMYFUNCTION("GOOGLETRANSLATE(C1247,""ar"",""en"")"),"Uniform")</f>
        <v>Uniform</v>
      </c>
      <c r="G1247" t="e">
        <f ca="1">VLOOKUP(F:F,matching_transelated_with_ref!A:C,2,0)</f>
        <v>#N/A</v>
      </c>
      <c r="H1247" t="str">
        <f>VLOOKUP(C:C,Sheet4!A:C,2,0)</f>
        <v xml:space="preserve">ازيرا - جراند يور </v>
      </c>
    </row>
    <row r="1248" spans="1:8" ht="14.4">
      <c r="A1248" s="18" t="s">
        <v>123</v>
      </c>
      <c r="B1248" s="18" t="s">
        <v>8</v>
      </c>
      <c r="C1248" s="18" t="s">
        <v>539</v>
      </c>
      <c r="D1248" s="19" t="str">
        <f ca="1">IFERROR(__xludf.DUMMYFUNCTION("GOOGLETRANSLATE(A1248, ""ar"", ""en"")"),"Hyundai")</f>
        <v>Hyundai</v>
      </c>
      <c r="E1248" s="19" t="str">
        <f ca="1">IFERROR(__xludf.DUMMYFUNCTION("GOOGLETRANSLATE(B1248,""ar"",""en"")"),"-")</f>
        <v>-</v>
      </c>
      <c r="F1248" s="19" t="str">
        <f ca="1">IFERROR(__xludf.DUMMYFUNCTION("GOOGLETRANSLATE(C1248,""ar"",""en"")"),"Centagomizer GL automatic")</f>
        <v>Centagomizer GL automatic</v>
      </c>
      <c r="G1248" t="e">
        <f ca="1">VLOOKUP(F:F,matching_transelated_with_ref!A:C,2,0)</f>
        <v>#N/A</v>
      </c>
      <c r="H1248" t="e">
        <f>VLOOKUP(C:C,Sheet4!A:C,2,0)</f>
        <v>#N/A</v>
      </c>
    </row>
    <row r="1249" spans="1:8" ht="14.4">
      <c r="A1249" s="18" t="s">
        <v>123</v>
      </c>
      <c r="B1249" s="18" t="s">
        <v>8</v>
      </c>
      <c r="C1249" s="18" t="s">
        <v>538</v>
      </c>
      <c r="D1249" s="19" t="str">
        <f ca="1">IFERROR(__xludf.DUMMYFUNCTION("GOOGLETRANSLATE(A1249, ""ar"", ""en"")"),"Hyundai")</f>
        <v>Hyundai</v>
      </c>
      <c r="E1249" s="19" t="str">
        <f ca="1">IFERROR(__xludf.DUMMYFUNCTION("GOOGLETRANSLATE(B1249,""ar"",""en"")"),"-")</f>
        <v>-</v>
      </c>
      <c r="F1249" s="19" t="str">
        <f ca="1">IFERROR(__xludf.DUMMYFUNCTION("GOOGLETRANSLATE(C1249,""ar"",""en"")"),"Santalic")</f>
        <v>Santalic</v>
      </c>
      <c r="G1249" t="e">
        <f ca="1">VLOOKUP(F:F,matching_transelated_with_ref!A:C,2,0)</f>
        <v>#N/A</v>
      </c>
      <c r="H1249" t="str">
        <f>VLOOKUP(C:C,Sheet4!A:C,2,0)</f>
        <v>سنتافي - ماكس كروز 2.5</v>
      </c>
    </row>
    <row r="1250" spans="1:8" ht="14.4">
      <c r="A1250" s="18" t="s">
        <v>123</v>
      </c>
      <c r="B1250" s="18" t="s">
        <v>123</v>
      </c>
      <c r="C1250" s="18" t="s">
        <v>800</v>
      </c>
      <c r="D1250" s="19" t="str">
        <f ca="1">IFERROR(__xludf.DUMMYFUNCTION("GOOGLETRANSLATE(A1250, ""ar"", ""en"")"),"Hyundai")</f>
        <v>Hyundai</v>
      </c>
      <c r="E1250" s="19" t="str">
        <f ca="1">IFERROR(__xludf.DUMMYFUNCTION("GOOGLETRANSLATE(B1250,""ar"",""en"")"),"Hyundai")</f>
        <v>Hyundai</v>
      </c>
      <c r="F1250" s="19" t="str">
        <f ca="1">IFERROR(__xludf.DUMMYFUNCTION("GOOGLETRANSLATE(C1250,""ar"",""en"")"),"Sonata Hybrid")</f>
        <v>Sonata Hybrid</v>
      </c>
      <c r="G1250" t="e">
        <f ca="1">VLOOKUP(F:F,matching_transelated_with_ref!A:C,2,0)</f>
        <v>#N/A</v>
      </c>
      <c r="H1250" t="e">
        <f>VLOOKUP(C:C,Sheet4!A:C,2,0)</f>
        <v>#N/A</v>
      </c>
    </row>
    <row r="1251" spans="1:8" ht="14.4">
      <c r="A1251" s="18" t="s">
        <v>123</v>
      </c>
      <c r="B1251" s="18" t="s">
        <v>544</v>
      </c>
      <c r="C1251" s="18" t="s">
        <v>545</v>
      </c>
      <c r="D1251" s="19" t="str">
        <f ca="1">IFERROR(__xludf.DUMMYFUNCTION("GOOGLETRANSLATE(A1251, ""ar"", ""en"")"),"Hyundai")</f>
        <v>Hyundai</v>
      </c>
      <c r="E1251" s="19" t="str">
        <f ca="1">IFERROR(__xludf.DUMMYFUNCTION("GOOGLETRANSLATE(B1251,""ar"",""en"")"),"Tucson")</f>
        <v>Tucson</v>
      </c>
      <c r="F1251" s="19" t="str">
        <f ca="1">IFERROR(__xludf.DUMMYFUNCTION("GOOGLETRANSLATE(C1251,""ar"",""en"")"),"GL 4 x 4")</f>
        <v>GL 4 x 4</v>
      </c>
      <c r="G1251" t="e">
        <f ca="1">VLOOKUP(F:F,matching_transelated_with_ref!A:C,2,0)</f>
        <v>#N/A</v>
      </c>
      <c r="H1251" t="e">
        <f>VLOOKUP(C:C,Sheet4!A:C,2,0)</f>
        <v>#N/A</v>
      </c>
    </row>
    <row r="1252" spans="1:8" ht="14.4">
      <c r="A1252" s="18" t="s">
        <v>123</v>
      </c>
      <c r="B1252" s="18" t="s">
        <v>123</v>
      </c>
      <c r="C1252" s="18" t="s">
        <v>1023</v>
      </c>
      <c r="D1252" s="19" t="str">
        <f ca="1">IFERROR(__xludf.DUMMYFUNCTION("GOOGLETRANSLATE(A1252, ""ar"", ""en"")"),"Hyundai")</f>
        <v>Hyundai</v>
      </c>
      <c r="E1252" s="19" t="str">
        <f ca="1">IFERROR(__xludf.DUMMYFUNCTION("GOOGLETRANSLATE(B1252,""ar"",""en"")"),"Hyundai")</f>
        <v>Hyundai</v>
      </c>
      <c r="F1252" s="19" t="str">
        <f ca="1">IFERROR(__xludf.DUMMYFUNCTION("GOOGLETRANSLATE(C1252,""ar"",""en"")"),"H1 TQ")</f>
        <v>H1 TQ</v>
      </c>
      <c r="G1252" t="e">
        <f ca="1">VLOOKUP(F:F,matching_transelated_with_ref!A:C,2,0)</f>
        <v>#N/A</v>
      </c>
      <c r="H1252" t="e">
        <f>VLOOKUP(C:C,Sheet4!A:C,2,0)</f>
        <v>#N/A</v>
      </c>
    </row>
    <row r="1253" spans="1:8" ht="14.4">
      <c r="A1253" s="18" t="s">
        <v>123</v>
      </c>
      <c r="B1253" s="18" t="s">
        <v>8</v>
      </c>
      <c r="C1253" s="18" t="s">
        <v>536</v>
      </c>
      <c r="D1253" s="19" t="str">
        <f ca="1">IFERROR(__xludf.DUMMYFUNCTION("GOOGLETRANSLATE(A1253, ""ar"", ""en"")"),"Hyundai")</f>
        <v>Hyundai</v>
      </c>
      <c r="E1253" s="19" t="str">
        <f ca="1">IFERROR(__xludf.DUMMYFUNCTION("GOOGLETRANSLATE(B1253,""ar"",""en"")"),"-")</f>
        <v>-</v>
      </c>
      <c r="F1253" s="19" t="str">
        <f ca="1">IFERROR(__xludf.DUMMYFUNCTION("GOOGLETRANSLATE(C1253,""ar"",""en"")"),"Santa VGLS 3.3")</f>
        <v>Santa VGLS 3.3</v>
      </c>
      <c r="G1253" t="e">
        <f ca="1">VLOOKUP(F:F,matching_transelated_with_ref!A:C,2,0)</f>
        <v>#N/A</v>
      </c>
      <c r="H1253">
        <f>VLOOKUP(C:C,Sheet4!A:C,2,0)</f>
        <v>3</v>
      </c>
    </row>
    <row r="1254" spans="1:8" ht="14.4">
      <c r="A1254" s="18" t="s">
        <v>123</v>
      </c>
      <c r="B1254" s="18" t="s">
        <v>123</v>
      </c>
      <c r="C1254" s="18" t="s">
        <v>1467</v>
      </c>
      <c r="D1254" s="19" t="str">
        <f ca="1">IFERROR(__xludf.DUMMYFUNCTION("GOOGLETRANSLATE(A1254, ""ar"", ""en"")"),"Hyundai")</f>
        <v>Hyundai</v>
      </c>
      <c r="E1254" s="19" t="str">
        <f ca="1">IFERROR(__xludf.DUMMYFUNCTION("GOOGLETRANSLATE(B1254,""ar"",""en"")"),"Hyundai")</f>
        <v>Hyundai</v>
      </c>
      <c r="F1254" s="19" t="str">
        <f ca="1">IFERROR(__xludf.DUMMYFUNCTION("GOOGLETRANSLATE(C1254,""ar"",""en"")"),"Staria")</f>
        <v>Staria</v>
      </c>
      <c r="G1254" t="e">
        <f ca="1">VLOOKUP(F:F,matching_transelated_with_ref!A:C,2,0)</f>
        <v>#N/A</v>
      </c>
      <c r="H1254" t="str">
        <f>VLOOKUP(C:C,Sheet4!A:C,2,0)</f>
        <v>ستاريا</v>
      </c>
    </row>
    <row r="1255" spans="1:8" ht="14.4">
      <c r="A1255" s="18" t="s">
        <v>123</v>
      </c>
      <c r="B1255" s="18" t="s">
        <v>123</v>
      </c>
      <c r="C1255" s="18" t="s">
        <v>1463</v>
      </c>
      <c r="D1255" s="19" t="str">
        <f ca="1">IFERROR(__xludf.DUMMYFUNCTION("GOOGLETRANSLATE(A1255, ""ar"", ""en"")"),"Hyundai")</f>
        <v>Hyundai</v>
      </c>
      <c r="E1255" s="19" t="str">
        <f ca="1">IFERROR(__xludf.DUMMYFUNCTION("GOOGLETRANSLATE(B1255,""ar"",""en"")"),"Hyundai")</f>
        <v>Hyundai</v>
      </c>
      <c r="F1255" s="19" t="str">
        <f ca="1">IFERROR(__xludf.DUMMYFUNCTION("GOOGLETRANSLATE(C1255,""ar"",""en"")"),"Tucson 1.6 liters")</f>
        <v>Tucson 1.6 liters</v>
      </c>
      <c r="G1255" t="e">
        <f ca="1">VLOOKUP(F:F,matching_transelated_with_ref!A:C,2,0)</f>
        <v>#N/A</v>
      </c>
      <c r="H1255" t="str">
        <f>VLOOKUP(C:C,Sheet4!A:C,2,0)</f>
        <v xml:space="preserve">  توسان- توكسون 1.6 </v>
      </c>
    </row>
    <row r="1256" spans="1:8" ht="14.4">
      <c r="A1256" s="18" t="s">
        <v>123</v>
      </c>
      <c r="B1256" s="18" t="s">
        <v>8</v>
      </c>
      <c r="C1256" s="18" t="s">
        <v>1246</v>
      </c>
      <c r="D1256" s="19" t="str">
        <f ca="1">IFERROR(__xludf.DUMMYFUNCTION("GOOGLETRANSLATE(A1256, ""ar"", ""en"")"),"Hyundai")</f>
        <v>Hyundai</v>
      </c>
      <c r="E1256" s="19" t="str">
        <f ca="1">IFERROR(__xludf.DUMMYFUNCTION("GOOGLETRANSLATE(B1256,""ar"",""en"")"),"-")</f>
        <v>-</v>
      </c>
      <c r="F1256" s="19" t="str">
        <f ca="1">IFERROR(__xludf.DUMMYFUNCTION("GOOGLETRANSLATE(C1256,""ar"",""en"")"),"H1")</f>
        <v>H1</v>
      </c>
      <c r="G1256" t="str">
        <f ca="1">VLOOKUP(F:F,matching_transelated_with_ref!A:C,2,0)</f>
        <v xml:space="preserve"> ستاركس- H1</v>
      </c>
      <c r="H1256" t="e">
        <f>VLOOKUP(C:C,Sheet4!A:C,2,0)</f>
        <v>#N/A</v>
      </c>
    </row>
    <row r="1257" spans="1:8" ht="14.4">
      <c r="A1257" s="18" t="s">
        <v>123</v>
      </c>
      <c r="B1257" s="18" t="s">
        <v>544</v>
      </c>
      <c r="C1257" s="18" t="s">
        <v>546</v>
      </c>
      <c r="D1257" s="19" t="str">
        <f ca="1">IFERROR(__xludf.DUMMYFUNCTION("GOOGLETRANSLATE(A1257, ""ar"", ""en"")"),"Hyundai")</f>
        <v>Hyundai</v>
      </c>
      <c r="E1257" s="19" t="str">
        <f ca="1">IFERROR(__xludf.DUMMYFUNCTION("GOOGLETRANSLATE(B1257,""ar"",""en"")"),"Tucson")</f>
        <v>Tucson</v>
      </c>
      <c r="F1257" s="19" t="str">
        <f ca="1">IFERROR(__xludf.DUMMYFUNCTION("GOOGLETRANSLATE(C1257,""ar"",""en"")"),"GL 4 x 2")</f>
        <v>GL 4 x 2</v>
      </c>
      <c r="G1257" t="e">
        <f ca="1">VLOOKUP(F:F,matching_transelated_with_ref!A:C,2,0)</f>
        <v>#N/A</v>
      </c>
      <c r="H1257" t="e">
        <f>VLOOKUP(C:C,Sheet4!A:C,2,0)</f>
        <v>#N/A</v>
      </c>
    </row>
    <row r="1258" spans="1:8" ht="14.4">
      <c r="A1258" s="18" t="s">
        <v>123</v>
      </c>
      <c r="B1258" s="18" t="s">
        <v>8</v>
      </c>
      <c r="C1258" s="18" t="s">
        <v>527</v>
      </c>
      <c r="D1258" s="19" t="str">
        <f ca="1">IFERROR(__xludf.DUMMYFUNCTION("GOOGLETRANSLATE(A1258, ""ar"", ""en"")"),"Hyundai")</f>
        <v>Hyundai</v>
      </c>
      <c r="E1258" s="19" t="str">
        <f ca="1">IFERROR(__xludf.DUMMYFUNCTION("GOOGLETRANSLATE(B1258,""ar"",""en"")"),"-")</f>
        <v>-</v>
      </c>
      <c r="F1258" s="19" t="str">
        <f ca="1">IFERROR(__xludf.DUMMYFUNCTION("GOOGLETRANSLATE(C1258,""ar"",""en"")"),"Azira GLS")</f>
        <v>Azira GLS</v>
      </c>
      <c r="G1258" t="e">
        <f ca="1">VLOOKUP(F:F,matching_transelated_with_ref!A:C,2,0)</f>
        <v>#N/A</v>
      </c>
      <c r="H1258" t="e">
        <f>VLOOKUP(C:C,Sheet4!A:C,2,0)</f>
        <v>#N/A</v>
      </c>
    </row>
    <row r="1259" spans="1:8" ht="14.4">
      <c r="A1259" s="18" t="s">
        <v>123</v>
      </c>
      <c r="B1259" s="18" t="s">
        <v>123</v>
      </c>
      <c r="C1259" s="18" t="s">
        <v>1464</v>
      </c>
      <c r="D1259" s="19" t="str">
        <f ca="1">IFERROR(__xludf.DUMMYFUNCTION("GOOGLETRANSLATE(A1259, ""ar"", ""en"")"),"Hyundai")</f>
        <v>Hyundai</v>
      </c>
      <c r="E1259" s="19" t="str">
        <f ca="1">IFERROR(__xludf.DUMMYFUNCTION("GOOGLETRANSLATE(B1259,""ar"",""en"")"),"Hyundai")</f>
        <v>Hyundai</v>
      </c>
      <c r="F1259" s="19" t="str">
        <f ca="1">IFERROR(__xludf.DUMMYFUNCTION("GOOGLETRANSLATE(C1259,""ar"",""en"")"),"Tucson 2 liters")</f>
        <v>Tucson 2 liters</v>
      </c>
      <c r="G1259">
        <f ca="1">VLOOKUP(F:F,matching_transelated_with_ref!A:C,2,0)</f>
        <v>2</v>
      </c>
      <c r="H1259" t="e">
        <f>VLOOKUP(C:C,Sheet4!A:C,2,0)</f>
        <v>#N/A</v>
      </c>
    </row>
    <row r="1260" spans="1:8" ht="14.4">
      <c r="A1260" s="18" t="s">
        <v>123</v>
      </c>
      <c r="B1260" s="18" t="s">
        <v>114</v>
      </c>
      <c r="C1260" s="18" t="s">
        <v>531</v>
      </c>
      <c r="D1260" s="19" t="str">
        <f ca="1">IFERROR(__xludf.DUMMYFUNCTION("GOOGLETRANSLATE(A1260, ""ar"", ""en"")"),"Hyundai")</f>
        <v>Hyundai</v>
      </c>
      <c r="E1260" s="19" t="str">
        <f ca="1">IFERROR(__xludf.DUMMYFUNCTION("GOOGLETRANSLATE(B1260,""ar"",""en"")"),"a truck")</f>
        <v>a truck</v>
      </c>
      <c r="F1260" s="19" t="str">
        <f ca="1">IFERROR(__xludf.DUMMYFUNCTION("GOOGLETRANSLATE(C1260,""ar"",""en"")"),"HD 65")</f>
        <v>HD 65</v>
      </c>
      <c r="G1260" t="e">
        <f ca="1">VLOOKUP(F:F,matching_transelated_with_ref!A:C,2,0)</f>
        <v>#N/A</v>
      </c>
      <c r="H1260" t="e">
        <f>VLOOKUP(C:C,Sheet4!A:C,2,0)</f>
        <v>#N/A</v>
      </c>
    </row>
    <row r="1261" spans="1:8" ht="14.4">
      <c r="A1261" s="18" t="s">
        <v>123</v>
      </c>
      <c r="B1261" s="18" t="s">
        <v>8</v>
      </c>
      <c r="C1261" s="18" t="s">
        <v>531</v>
      </c>
      <c r="D1261" s="19" t="str">
        <f ca="1">IFERROR(__xludf.DUMMYFUNCTION("GOOGLETRANSLATE(A1261, ""ar"", ""en"")"),"Hyundai")</f>
        <v>Hyundai</v>
      </c>
      <c r="E1261" s="19" t="str">
        <f ca="1">IFERROR(__xludf.DUMMYFUNCTION("GOOGLETRANSLATE(B1261,""ar"",""en"")"),"-")</f>
        <v>-</v>
      </c>
      <c r="F1261" s="19" t="str">
        <f ca="1">IFERROR(__xludf.DUMMYFUNCTION("GOOGLETRANSLATE(C1261,""ar"",""en"")"),"HD 65")</f>
        <v>HD 65</v>
      </c>
      <c r="G1261" t="e">
        <f ca="1">VLOOKUP(F:F,matching_transelated_with_ref!A:C,2,0)</f>
        <v>#N/A</v>
      </c>
      <c r="H1261" t="e">
        <f>VLOOKUP(C:C,Sheet4!A:C,2,0)</f>
        <v>#N/A</v>
      </c>
    </row>
    <row r="1262" spans="1:8" ht="14.4">
      <c r="A1262" s="18" t="s">
        <v>123</v>
      </c>
      <c r="B1262" s="18" t="s">
        <v>544</v>
      </c>
      <c r="C1262" s="18" t="s">
        <v>8</v>
      </c>
      <c r="D1262" s="19" t="str">
        <f ca="1">IFERROR(__xludf.DUMMYFUNCTION("GOOGLETRANSLATE(A1262, ""ar"", ""en"")"),"Hyundai")</f>
        <v>Hyundai</v>
      </c>
      <c r="E1262" s="19" t="str">
        <f ca="1">IFERROR(__xludf.DUMMYFUNCTION("GOOGLETRANSLATE(B1262,""ar"",""en"")"),"Tucson")</f>
        <v>Tucson</v>
      </c>
      <c r="F1262" s="19" t="str">
        <f ca="1">IFERROR(__xludf.DUMMYFUNCTION("GOOGLETRANSLATE(C1262,""ar"",""en"")"),"-")</f>
        <v>-</v>
      </c>
      <c r="G1262" t="e">
        <f ca="1">VLOOKUP(F:F,matching_transelated_with_ref!A:C,2,0)</f>
        <v>#N/A</v>
      </c>
      <c r="H1262" t="e">
        <f>VLOOKUP(C:C,Sheet4!A:C,2,0)</f>
        <v>#N/A</v>
      </c>
    </row>
    <row r="1263" spans="1:8" ht="14.4">
      <c r="A1263" s="18" t="s">
        <v>123</v>
      </c>
      <c r="B1263" s="18" t="s">
        <v>123</v>
      </c>
      <c r="C1263" s="18" t="s">
        <v>540</v>
      </c>
      <c r="D1263" s="19" t="str">
        <f ca="1">IFERROR(__xludf.DUMMYFUNCTION("GOOGLETRANSLATE(A1263, ""ar"", ""en"")"),"Hyundai")</f>
        <v>Hyundai</v>
      </c>
      <c r="E1263" s="19" t="str">
        <f ca="1">IFERROR(__xludf.DUMMYFUNCTION("GOOGLETRANSLATE(B1263,""ar"",""en"")"),"Hyundai")</f>
        <v>Hyundai</v>
      </c>
      <c r="F1263" s="19" t="str">
        <f ca="1">IFERROR(__xludf.DUMMYFUNCTION("GOOGLETRANSLATE(C1263,""ar"",""en"")"),"Sonata")</f>
        <v>Sonata</v>
      </c>
      <c r="G1263" t="e">
        <f ca="1">VLOOKUP(F:F,matching_transelated_with_ref!A:C,2,0)</f>
        <v>#N/A</v>
      </c>
      <c r="H1263" t="str">
        <f>VLOOKUP(C:C,Sheet4!A:C,2,0)</f>
        <v xml:space="preserve">سوناتا - سمارت 2.5  </v>
      </c>
    </row>
    <row r="1264" spans="1:8" ht="14.4">
      <c r="A1264" s="18" t="s">
        <v>123</v>
      </c>
      <c r="B1264" s="18" t="s">
        <v>123</v>
      </c>
      <c r="C1264" s="18" t="s">
        <v>801</v>
      </c>
      <c r="D1264" s="19" t="str">
        <f ca="1">IFERROR(__xludf.DUMMYFUNCTION("GOOGLETRANSLATE(A1264, ""ar"", ""en"")"),"Hyundai")</f>
        <v>Hyundai</v>
      </c>
      <c r="E1264" s="19" t="str">
        <f ca="1">IFERROR(__xludf.DUMMYFUNCTION("GOOGLETRANSLATE(B1264,""ar"",""en"")"),"Hyundai")</f>
        <v>Hyundai</v>
      </c>
      <c r="F1264" s="19" t="str">
        <f ca="1">IFERROR(__xludf.DUMMYFUNCTION("GOOGLETRANSLATE(C1264,""ar"",""en"")"),"Veloster")</f>
        <v>Veloster</v>
      </c>
      <c r="G1264" t="e">
        <f ca="1">VLOOKUP(F:F,matching_transelated_with_ref!A:C,2,0)</f>
        <v>#N/A</v>
      </c>
      <c r="H1264" t="str">
        <f>VLOOKUP(C:C,Sheet4!A:C,2,0)</f>
        <v xml:space="preserve"> فيلوستر </v>
      </c>
    </row>
    <row r="1265" spans="1:8" ht="14.4">
      <c r="A1265" s="18" t="s">
        <v>123</v>
      </c>
      <c r="B1265" s="18" t="s">
        <v>8</v>
      </c>
      <c r="C1265" s="18" t="s">
        <v>797</v>
      </c>
      <c r="D1265" s="19" t="str">
        <f ca="1">IFERROR(__xludf.DUMMYFUNCTION("GOOGLETRANSLATE(A1265, ""ar"", ""en"")"),"Hyundai")</f>
        <v>Hyundai</v>
      </c>
      <c r="E1265" s="19" t="str">
        <f ca="1">IFERROR(__xludf.DUMMYFUNCTION("GOOGLETRANSLATE(B1265,""ar"",""en"")"),"-")</f>
        <v>-</v>
      </c>
      <c r="F1265" s="19" t="str">
        <f ca="1">IFERROR(__xludf.DUMMYFUNCTION("GOOGLETRANSLATE(C1265,""ar"",""en"")"),"Volster 1600 cc")</f>
        <v>Volster 1600 cc</v>
      </c>
      <c r="G1265" t="e">
        <f ca="1">VLOOKUP(F:F,matching_transelated_with_ref!A:C,2,0)</f>
        <v>#N/A</v>
      </c>
      <c r="H1265" t="str">
        <f>VLOOKUP(C:C,Sheet4!A:C,2,0)</f>
        <v xml:space="preserve"> فيلوستر </v>
      </c>
    </row>
    <row r="1266" spans="1:8" ht="14.4">
      <c r="A1266" s="18" t="s">
        <v>123</v>
      </c>
      <c r="B1266" s="18" t="s">
        <v>8</v>
      </c>
      <c r="C1266" s="18" t="s">
        <v>540</v>
      </c>
      <c r="D1266" s="19" t="str">
        <f ca="1">IFERROR(__xludf.DUMMYFUNCTION("GOOGLETRANSLATE(A1266, ""ar"", ""en"")"),"Hyundai")</f>
        <v>Hyundai</v>
      </c>
      <c r="E1266" s="19" t="str">
        <f ca="1">IFERROR(__xludf.DUMMYFUNCTION("GOOGLETRANSLATE(B1266,""ar"",""en"")"),"-")</f>
        <v>-</v>
      </c>
      <c r="F1266" s="19" t="str">
        <f ca="1">IFERROR(__xludf.DUMMYFUNCTION("GOOGLETRANSLATE(C1266,""ar"",""en"")"),"Sonata")</f>
        <v>Sonata</v>
      </c>
      <c r="G1266" t="e">
        <f ca="1">VLOOKUP(F:F,matching_transelated_with_ref!A:C,2,0)</f>
        <v>#N/A</v>
      </c>
      <c r="H1266" t="str">
        <f>VLOOKUP(C:C,Sheet4!A:C,2,0)</f>
        <v xml:space="preserve">سوناتا - سمارت 2.5  </v>
      </c>
    </row>
    <row r="1267" spans="1:8" ht="14.4">
      <c r="A1267" s="18" t="s">
        <v>123</v>
      </c>
      <c r="B1267" s="18" t="s">
        <v>8</v>
      </c>
      <c r="C1267" s="18" t="s">
        <v>530</v>
      </c>
      <c r="D1267" s="19" t="str">
        <f ca="1">IFERROR(__xludf.DUMMYFUNCTION("GOOGLETRANSLATE(A1267, ""ar"", ""en"")"),"Hyundai")</f>
        <v>Hyundai</v>
      </c>
      <c r="E1267" s="19" t="str">
        <f ca="1">IFERROR(__xludf.DUMMYFUNCTION("GOOGLETRANSLATE(B1267,""ar"",""en"")"),"-")</f>
        <v>-</v>
      </c>
      <c r="F1267" s="19" t="str">
        <f ca="1">IFERROR(__xludf.DUMMYFUNCTION("GOOGLETRANSLATE(C1267,""ar"",""en"")"),"H -1")</f>
        <v>H -1</v>
      </c>
      <c r="G1267" t="e">
        <f ca="1">VLOOKUP(F:F,matching_transelated_with_ref!A:C,2,0)</f>
        <v>#N/A</v>
      </c>
      <c r="H1267" t="e">
        <f>VLOOKUP(C:C,Sheet4!A:C,2,0)</f>
        <v>#N/A</v>
      </c>
    </row>
    <row r="1268" spans="1:8" ht="14.4">
      <c r="A1268" s="18" t="s">
        <v>123</v>
      </c>
      <c r="B1268" s="18" t="s">
        <v>123</v>
      </c>
      <c r="C1268" s="18" t="s">
        <v>1250</v>
      </c>
      <c r="D1268" s="19" t="str">
        <f ca="1">IFERROR(__xludf.DUMMYFUNCTION("GOOGLETRANSLATE(A1268, ""ar"", ""en"")"),"Hyundai")</f>
        <v>Hyundai</v>
      </c>
      <c r="E1268" s="19" t="str">
        <f ca="1">IFERROR(__xludf.DUMMYFUNCTION("GOOGLETRANSLATE(B1268,""ar"",""en"")"),"Hyundai")</f>
        <v>Hyundai</v>
      </c>
      <c r="F1268" s="19" t="str">
        <f ca="1">IFERROR(__xludf.DUMMYFUNCTION("GOOGLETRANSLATE(C1268,""ar"",""en"")"),"H1 normal")</f>
        <v>H1 normal</v>
      </c>
      <c r="G1268" t="e">
        <f ca="1">VLOOKUP(F:F,matching_transelated_with_ref!A:C,2,0)</f>
        <v>#N/A</v>
      </c>
      <c r="H1268" t="e">
        <f>VLOOKUP(C:C,Sheet4!A:C,2,0)</f>
        <v>#N/A</v>
      </c>
    </row>
    <row r="1269" spans="1:8" ht="14.4">
      <c r="A1269" s="18" t="s">
        <v>123</v>
      </c>
      <c r="B1269" s="18" t="s">
        <v>123</v>
      </c>
      <c r="C1269" s="18" t="s">
        <v>803</v>
      </c>
      <c r="D1269" s="19" t="str">
        <f ca="1">IFERROR(__xludf.DUMMYFUNCTION("GOOGLETRANSLATE(A1269, ""ar"", ""en"")"),"Hyundai")</f>
        <v>Hyundai</v>
      </c>
      <c r="E1269" s="19" t="str">
        <f ca="1">IFERROR(__xludf.DUMMYFUNCTION("GOOGLETRANSLATE(B1269,""ar"",""en"")"),"Hyundai")</f>
        <v>Hyundai</v>
      </c>
      <c r="F1269" s="19" t="str">
        <f ca="1">IFERROR(__xludf.DUMMYFUNCTION("GOOGLETRANSLATE(C1269,""ar"",""en"")"),"Konna 2 liters")</f>
        <v>Konna 2 liters</v>
      </c>
      <c r="G1269">
        <f ca="1">VLOOKUP(F:F,matching_transelated_with_ref!A:C,2,0)</f>
        <v>2</v>
      </c>
      <c r="H1269" t="str">
        <f>VLOOKUP(C:C,Sheet4!A:C,2,0)</f>
        <v>كونا</v>
      </c>
    </row>
    <row r="1270" spans="1:8" ht="14.4">
      <c r="A1270" s="18" t="s">
        <v>123</v>
      </c>
      <c r="B1270" s="18" t="s">
        <v>123</v>
      </c>
      <c r="C1270" s="18" t="s">
        <v>1251</v>
      </c>
      <c r="D1270" s="19" t="str">
        <f ca="1">IFERROR(__xludf.DUMMYFUNCTION("GOOGLETRANSLATE(A1270, ""ar"", ""en"")"),"Hyundai")</f>
        <v>Hyundai</v>
      </c>
      <c r="E1270" s="19" t="str">
        <f ca="1">IFERROR(__xludf.DUMMYFUNCTION("GOOGLETRANSLATE(B1270,""ar"",""en"")"),"Hyundai")</f>
        <v>Hyundai</v>
      </c>
      <c r="F1270" s="19" t="str">
        <f ca="1">IFERROR(__xludf.DUMMYFUNCTION("GOOGLETRANSLATE(C1270,""ar"",""en"")"),"Elantra 2 liters")</f>
        <v>Elantra 2 liters</v>
      </c>
      <c r="G1270">
        <f ca="1">VLOOKUP(F:F,matching_transelated_with_ref!A:C,2,0)</f>
        <v>2</v>
      </c>
      <c r="H1270" t="e">
        <f>VLOOKUP(C:C,Sheet4!A:C,2,0)</f>
        <v>#N/A</v>
      </c>
    </row>
    <row r="1271" spans="1:8" ht="14.4">
      <c r="A1271" s="18" t="s">
        <v>123</v>
      </c>
      <c r="B1271" s="18" t="s">
        <v>8</v>
      </c>
      <c r="C1271" s="18" t="s">
        <v>541</v>
      </c>
      <c r="D1271" s="19" t="str">
        <f ca="1">IFERROR(__xludf.DUMMYFUNCTION("GOOGLETRANSLATE(A1271, ""ar"", ""en"")"),"Hyundai")</f>
        <v>Hyundai</v>
      </c>
      <c r="E1271" s="19" t="str">
        <f ca="1">IFERROR(__xludf.DUMMYFUNCTION("GOOGLETRANSLATE(B1271,""ar"",""en"")"),"-")</f>
        <v>-</v>
      </c>
      <c r="F1271" s="19" t="str">
        <f ca="1">IFERROR(__xludf.DUMMYFUNCTION("GOOGLETRANSLATE(C1271,""ar"",""en"")"),"Sonata GLS 2.4")</f>
        <v>Sonata GLS 2.4</v>
      </c>
      <c r="G1271" t="e">
        <f ca="1">VLOOKUP(F:F,matching_transelated_with_ref!A:C,2,0)</f>
        <v>#N/A</v>
      </c>
      <c r="H1271" t="e">
        <f>VLOOKUP(C:C,Sheet4!A:C,2,0)</f>
        <v>#N/A</v>
      </c>
    </row>
    <row r="1272" spans="1:8" ht="14.4">
      <c r="A1272" s="18" t="s">
        <v>123</v>
      </c>
      <c r="B1272" s="18" t="s">
        <v>123</v>
      </c>
      <c r="C1272" s="18" t="s">
        <v>1254</v>
      </c>
      <c r="D1272" s="19" t="str">
        <f ca="1">IFERROR(__xludf.DUMMYFUNCTION("GOOGLETRANSLATE(A1272, ""ar"", ""en"")"),"Hyundai")</f>
        <v>Hyundai</v>
      </c>
      <c r="E1272" s="19" t="str">
        <f ca="1">IFERROR(__xludf.DUMMYFUNCTION("GOOGLETRANSLATE(B1272,""ar"",""en"")"),"Hyundai")</f>
        <v>Hyundai</v>
      </c>
      <c r="F1272" s="19" t="str">
        <f ca="1">IFERROR(__xludf.DUMMYFUNCTION("GOOGLETRANSLATE(C1272,""ar"",""en"")"),"Creta 1.5 liters")</f>
        <v>Creta 1.5 liters</v>
      </c>
      <c r="G1272" t="e">
        <f ca="1">VLOOKUP(F:F,matching_transelated_with_ref!A:C,2,0)</f>
        <v>#N/A</v>
      </c>
      <c r="H1272" t="str">
        <f>VLOOKUP(C:C,Sheet4!A:C,2,0)</f>
        <v>كريتا</v>
      </c>
    </row>
    <row r="1273" spans="1:8" ht="14.4">
      <c r="A1273" s="18" t="s">
        <v>123</v>
      </c>
      <c r="B1273" s="18" t="s">
        <v>123</v>
      </c>
      <c r="C1273" s="18" t="s">
        <v>802</v>
      </c>
      <c r="D1273" s="19" t="str">
        <f ca="1">IFERROR(__xludf.DUMMYFUNCTION("GOOGLETRANSLATE(A1273, ""ar"", ""en"")"),"Hyundai")</f>
        <v>Hyundai</v>
      </c>
      <c r="E1273" s="19" t="str">
        <f ca="1">IFERROR(__xludf.DUMMYFUNCTION("GOOGLETRANSLATE(B1273,""ar"",""en"")"),"Hyundai")</f>
        <v>Hyundai</v>
      </c>
      <c r="F1273" s="19" t="str">
        <f ca="1">IFERROR(__xludf.DUMMYFUNCTION("GOOGLETRANSLATE(C1273,""ar"",""en"")"),"Universe")</f>
        <v>Universe</v>
      </c>
      <c r="G1273" t="e">
        <f ca="1">VLOOKUP(F:F,matching_transelated_with_ref!A:C,2,0)</f>
        <v>#N/A</v>
      </c>
      <c r="H1273" t="str">
        <f>VLOOKUP(C:C,Sheet4!A:C,2,0)</f>
        <v>كونا</v>
      </c>
    </row>
    <row r="1274" spans="1:8" ht="14.4">
      <c r="A1274" s="18" t="s">
        <v>123</v>
      </c>
      <c r="B1274" s="18" t="s">
        <v>123</v>
      </c>
      <c r="C1274" s="18" t="s">
        <v>1471</v>
      </c>
      <c r="D1274" s="19" t="str">
        <f ca="1">IFERROR(__xludf.DUMMYFUNCTION("GOOGLETRANSLATE(A1274, ""ar"", ""en"")"),"Hyundai")</f>
        <v>Hyundai</v>
      </c>
      <c r="E1274" s="19" t="str">
        <f ca="1">IFERROR(__xludf.DUMMYFUNCTION("GOOGLETRANSLATE(B1274,""ar"",""en"")"),"Hyundai")</f>
        <v>Hyundai</v>
      </c>
      <c r="F1274" s="19" t="str">
        <f ca="1">IFERROR(__xludf.DUMMYFUNCTION("GOOGLETRANSLATE(C1274,""ar"",""en"")"),"Konna 2 liters")</f>
        <v>Konna 2 liters</v>
      </c>
      <c r="G1274">
        <f ca="1">VLOOKUP(F:F,matching_transelated_with_ref!A:C,2,0)</f>
        <v>2</v>
      </c>
      <c r="H1274" t="str">
        <f>VLOOKUP(C:C,Sheet4!A:C,2,0)</f>
        <v>كونا</v>
      </c>
    </row>
    <row r="1275" spans="1:8" ht="14.4">
      <c r="A1275" s="18" t="s">
        <v>123</v>
      </c>
      <c r="B1275" s="18" t="s">
        <v>123</v>
      </c>
      <c r="C1275" s="18" t="s">
        <v>1472</v>
      </c>
      <c r="D1275" s="19" t="str">
        <f ca="1">IFERROR(__xludf.DUMMYFUNCTION("GOOGLETRANSLATE(A1275, ""ar"", ""en"")"),"Hyundai")</f>
        <v>Hyundai</v>
      </c>
      <c r="E1275" s="19" t="str">
        <f ca="1">IFERROR(__xludf.DUMMYFUNCTION("GOOGLETRANSLATE(B1275,""ar"",""en"")"),"Hyundai")</f>
        <v>Hyundai</v>
      </c>
      <c r="F1275" s="19" t="str">
        <f ca="1">IFERROR(__xludf.DUMMYFUNCTION("GOOGLETRANSLATE(C1275,""ar"",""en"")"),"Konna Hybrid")</f>
        <v>Konna Hybrid</v>
      </c>
      <c r="G1275" t="e">
        <f ca="1">VLOOKUP(F:F,matching_transelated_with_ref!A:C,2,0)</f>
        <v>#N/A</v>
      </c>
      <c r="H1275" t="str">
        <f>VLOOKUP(C:C,Sheet4!A:C,2,0)</f>
        <v>كونا</v>
      </c>
    </row>
    <row r="1276" spans="1:8" ht="14.4">
      <c r="A1276" s="18" t="s">
        <v>123</v>
      </c>
      <c r="B1276" s="18" t="s">
        <v>8</v>
      </c>
      <c r="C1276" s="18" t="s">
        <v>535</v>
      </c>
      <c r="D1276" s="19" t="str">
        <f ca="1">IFERROR(__xludf.DUMMYFUNCTION("GOOGLETRANSLATE(A1276, ""ar"", ""en"")"),"Hyundai")</f>
        <v>Hyundai</v>
      </c>
      <c r="E1276" s="19" t="str">
        <f ca="1">IFERROR(__xludf.DUMMYFUNCTION("GOOGLETRANSLATE(B1276,""ar"",""en"")"),"-")</f>
        <v>-</v>
      </c>
      <c r="F1276" s="19" t="str">
        <f ca="1">IFERROR(__xludf.DUMMYFUNCTION("GOOGLETRANSLATE(C1276,""ar"",""en"")"),"Elantra 2000 force")</f>
        <v>Elantra 2000 force</v>
      </c>
      <c r="G1276" t="e">
        <f ca="1">VLOOKUP(F:F,matching_transelated_with_ref!A:C,2,0)</f>
        <v>#N/A</v>
      </c>
      <c r="H1276" t="e">
        <f>VLOOKUP(C:C,Sheet4!A:C,2,0)</f>
        <v>#N/A</v>
      </c>
    </row>
    <row r="1277" spans="1:8" ht="14.4">
      <c r="A1277" s="18" t="s">
        <v>123</v>
      </c>
      <c r="B1277" s="18" t="s">
        <v>123</v>
      </c>
      <c r="C1277" s="18" t="s">
        <v>1252</v>
      </c>
      <c r="D1277" s="19" t="str">
        <f ca="1">IFERROR(__xludf.DUMMYFUNCTION("GOOGLETRANSLATE(A1277, ""ar"", ""en"")"),"Hyundai")</f>
        <v>Hyundai</v>
      </c>
      <c r="E1277" s="19" t="str">
        <f ca="1">IFERROR(__xludf.DUMMYFUNCTION("GOOGLETRANSLATE(B1277,""ar"",""en"")"),"Hyundai")</f>
        <v>Hyundai</v>
      </c>
      <c r="F1277" s="19" t="str">
        <f ca="1">IFERROR(__xludf.DUMMYFUNCTION("GOOGLETRANSLATE(C1277,""ar"",""en"")"),"Elantra 1.6 liters")</f>
        <v>Elantra 1.6 liters</v>
      </c>
      <c r="G1277" t="e">
        <f ca="1">VLOOKUP(F:F,matching_transelated_with_ref!A:C,2,0)</f>
        <v>#N/A</v>
      </c>
      <c r="H1277" t="str">
        <f>VLOOKUP(C:C,Sheet4!A:C,2,0)</f>
        <v>النترا - افانتي 1.6</v>
      </c>
    </row>
    <row r="1278" spans="1:8" ht="14.4">
      <c r="A1278" s="18" t="s">
        <v>123</v>
      </c>
      <c r="B1278" s="18" t="s">
        <v>8</v>
      </c>
      <c r="C1278" s="18" t="s">
        <v>528</v>
      </c>
      <c r="D1278" s="19" t="str">
        <f ca="1">IFERROR(__xludf.DUMMYFUNCTION("GOOGLETRANSLATE(A1278, ""ar"", ""en"")"),"Hyundai")</f>
        <v>Hyundai</v>
      </c>
      <c r="E1278" s="19" t="str">
        <f ca="1">IFERROR(__xludf.DUMMYFUNCTION("GOOGLETRANSLATE(B1278,""ar"",""en"")"),"-")</f>
        <v>-</v>
      </c>
      <c r="F1278" s="19" t="str">
        <f ca="1">IFERROR(__xludf.DUMMYFUNCTION("GOOGLETRANSLATE(C1278,""ar"",""en"")"),"Elantra 1600 force")</f>
        <v>Elantra 1600 force</v>
      </c>
      <c r="G1278" t="e">
        <f ca="1">VLOOKUP(F:F,matching_transelated_with_ref!A:C,2,0)</f>
        <v>#N/A</v>
      </c>
      <c r="H1278" t="e">
        <f>VLOOKUP(C:C,Sheet4!A:C,2,0)</f>
        <v>#N/A</v>
      </c>
    </row>
    <row r="1279" spans="1:8" ht="14.4">
      <c r="A1279" s="18" t="s">
        <v>123</v>
      </c>
      <c r="B1279" s="18" t="s">
        <v>8</v>
      </c>
      <c r="C1279" s="18" t="s">
        <v>798</v>
      </c>
      <c r="D1279" s="19" t="str">
        <f ca="1">IFERROR(__xludf.DUMMYFUNCTION("GOOGLETRANSLATE(A1279, ""ar"", ""en"")"),"Hyundai")</f>
        <v>Hyundai</v>
      </c>
      <c r="E1279" s="19" t="str">
        <f ca="1">IFERROR(__xludf.DUMMYFUNCTION("GOOGLETRANSLATE(B1279,""ar"",""en"")"),"-")</f>
        <v>-</v>
      </c>
      <c r="F1279" s="19" t="str">
        <f ca="1">IFERROR(__xludf.DUMMYFUNCTION("GOOGLETRANSLATE(C1279,""ar"",""en"")"),"Creta")</f>
        <v>Creta</v>
      </c>
      <c r="G1279" t="e">
        <f ca="1">VLOOKUP(F:F,matching_transelated_with_ref!A:C,2,0)</f>
        <v>#N/A</v>
      </c>
      <c r="H1279" t="str">
        <f>VLOOKUP(C:C,Sheet4!A:C,2,0)</f>
        <v>كريتا</v>
      </c>
    </row>
    <row r="1280" spans="1:8" ht="14.4">
      <c r="A1280" s="18" t="s">
        <v>123</v>
      </c>
      <c r="B1280" s="18" t="s">
        <v>123</v>
      </c>
      <c r="C1280" s="18" t="s">
        <v>799</v>
      </c>
      <c r="D1280" s="19" t="str">
        <f ca="1">IFERROR(__xludf.DUMMYFUNCTION("GOOGLETRANSLATE(A1280, ""ar"", ""en"")"),"Hyundai")</f>
        <v>Hyundai</v>
      </c>
      <c r="E1280" s="19" t="str">
        <f ca="1">IFERROR(__xludf.DUMMYFUNCTION("GOOGLETRANSLATE(B1280,""ar"",""en"")"),"Hyundai")</f>
        <v>Hyundai</v>
      </c>
      <c r="F1280" s="19" t="str">
        <f ca="1">IFERROR(__xludf.DUMMYFUNCTION("GOOGLETRANSLATE(C1280,""ar"",""en"")"),"Accent 1.6 liters Utuatic")</f>
        <v>Accent 1.6 liters Utuatic</v>
      </c>
      <c r="G1280" t="e">
        <f ca="1">VLOOKUP(F:F,matching_transelated_with_ref!A:C,2,0)</f>
        <v>#N/A</v>
      </c>
      <c r="H1280" t="e">
        <f>VLOOKUP(C:C,Sheet4!A:C,2,0)</f>
        <v>#N/A</v>
      </c>
    </row>
    <row r="1281" spans="1:8" ht="14.4">
      <c r="A1281" s="18" t="s">
        <v>123</v>
      </c>
      <c r="B1281" s="18" t="s">
        <v>8</v>
      </c>
      <c r="C1281" s="18" t="s">
        <v>529</v>
      </c>
      <c r="D1281" s="19" t="str">
        <f ca="1">IFERROR(__xludf.DUMMYFUNCTION("GOOGLETRANSLATE(A1281, ""ar"", ""en"")"),"Hyundai")</f>
        <v>Hyundai</v>
      </c>
      <c r="E1281" s="19" t="str">
        <f ca="1">IFERROR(__xludf.DUMMYFUNCTION("GOOGLETRANSLATE(B1281,""ar"",""en"")"),"-")</f>
        <v>-</v>
      </c>
      <c r="F1281" s="19" t="str">
        <f ca="1">IFERROR(__xludf.DUMMYFUNCTION("GOOGLETRANSLATE(C1281,""ar"",""en"")"),"Elantra GL 2.0 Automat")</f>
        <v>Elantra GL 2.0 Automat</v>
      </c>
      <c r="G1281" t="e">
        <f ca="1">VLOOKUP(F:F,matching_transelated_with_ref!A:C,2,0)</f>
        <v>#N/A</v>
      </c>
      <c r="H1281" t="e">
        <f>VLOOKUP(C:C,Sheet4!A:C,2,0)</f>
        <v>#N/A</v>
      </c>
    </row>
    <row r="1282" spans="1:8" ht="14.4">
      <c r="A1282" s="18" t="s">
        <v>123</v>
      </c>
      <c r="B1282" s="18" t="s">
        <v>8</v>
      </c>
      <c r="C1282" s="18" t="s">
        <v>533</v>
      </c>
      <c r="D1282" s="19" t="str">
        <f ca="1">IFERROR(__xludf.DUMMYFUNCTION("GOOGLETRANSLATE(A1282, ""ar"", ""en"")"),"Hyundai")</f>
        <v>Hyundai</v>
      </c>
      <c r="E1282" s="19" t="str">
        <f ca="1">IFERROR(__xludf.DUMMYFUNCTION("GOOGLETRANSLATE(B1282,""ar"",""en"")"),"-")</f>
        <v>-</v>
      </c>
      <c r="F1282" s="19" t="str">
        <f ca="1">IFERROR(__xludf.DUMMYFUNCTION("GOOGLETRANSLATE(C1282,""ar"",""en"")"),"Accent")</f>
        <v>Accent</v>
      </c>
      <c r="G1282" t="e">
        <f ca="1">VLOOKUP(F:F,matching_transelated_with_ref!A:C,2,0)</f>
        <v>#N/A</v>
      </c>
      <c r="H1282" t="str">
        <f>VLOOKUP(C:C,Sheet4!A:C,2,0)</f>
        <v>اكسنت - فيرنا - أكسيل 1.4</v>
      </c>
    </row>
    <row r="1283" spans="1:8" ht="14.4">
      <c r="A1283" s="18" t="s">
        <v>123</v>
      </c>
      <c r="B1283" s="18" t="s">
        <v>123</v>
      </c>
      <c r="C1283" s="18" t="s">
        <v>533</v>
      </c>
      <c r="D1283" s="19" t="str">
        <f ca="1">IFERROR(__xludf.DUMMYFUNCTION("GOOGLETRANSLATE(A1283, ""ar"", ""en"")"),"Hyundai")</f>
        <v>Hyundai</v>
      </c>
      <c r="E1283" s="19" t="str">
        <f ca="1">IFERROR(__xludf.DUMMYFUNCTION("GOOGLETRANSLATE(B1283,""ar"",""en"")"),"Hyundai")</f>
        <v>Hyundai</v>
      </c>
      <c r="F1283" s="19" t="str">
        <f ca="1">IFERROR(__xludf.DUMMYFUNCTION("GOOGLETRANSLATE(C1283,""ar"",""en"")"),"Accent")</f>
        <v>Accent</v>
      </c>
      <c r="G1283" t="e">
        <f ca="1">VLOOKUP(F:F,matching_transelated_with_ref!A:C,2,0)</f>
        <v>#N/A</v>
      </c>
      <c r="H1283" t="str">
        <f>VLOOKUP(C:C,Sheet4!A:C,2,0)</f>
        <v>اكسنت - فيرنا - أكسيل 1.4</v>
      </c>
    </row>
    <row r="1284" spans="1:8" ht="14.4">
      <c r="A1284" s="18" t="s">
        <v>123</v>
      </c>
      <c r="B1284" s="18" t="s">
        <v>123</v>
      </c>
      <c r="C1284" s="18" t="s">
        <v>1466</v>
      </c>
      <c r="D1284" s="19" t="str">
        <f ca="1">IFERROR(__xludf.DUMMYFUNCTION("GOOGLETRANSLATE(A1284, ""ar"", ""en"")"),"Hyundai")</f>
        <v>Hyundai</v>
      </c>
      <c r="E1284" s="19" t="str">
        <f ca="1">IFERROR(__xludf.DUMMYFUNCTION("GOOGLETRANSLATE(B1284,""ar"",""en"")"),"Hyundai")</f>
        <v>Hyundai</v>
      </c>
      <c r="F1284" s="19" t="str">
        <f ca="1">IFERROR(__xludf.DUMMYFUNCTION("GOOGLETRANSLATE(C1284,""ar"",""en"")"),"Grand A 10")</f>
        <v>Grand A 10</v>
      </c>
      <c r="G1284" t="e">
        <f ca="1">VLOOKUP(F:F,matching_transelated_with_ref!A:C,2,0)</f>
        <v>#N/A</v>
      </c>
      <c r="H1284" t="e">
        <f>VLOOKUP(C:C,Sheet4!A:C,2,0)</f>
        <v>#N/A</v>
      </c>
    </row>
    <row r="1285" spans="1:8" ht="14.4">
      <c r="A1285" s="18" t="s">
        <v>123</v>
      </c>
      <c r="B1285" s="18" t="s">
        <v>8</v>
      </c>
      <c r="C1285" s="18" t="s">
        <v>534</v>
      </c>
      <c r="D1285" s="19" t="str">
        <f ca="1">IFERROR(__xludf.DUMMYFUNCTION("GOOGLETRANSLATE(A1285, ""ar"", ""en"")"),"Hyundai")</f>
        <v>Hyundai</v>
      </c>
      <c r="E1285" s="19" t="str">
        <f ca="1">IFERROR(__xludf.DUMMYFUNCTION("GOOGLETRANSLATE(B1285,""ar"",""en"")"),"-")</f>
        <v>-</v>
      </c>
      <c r="F1285" s="19" t="str">
        <f ca="1">IFERROR(__xludf.DUMMYFUNCTION("GOOGLETRANSLATE(C1285,""ar"",""en"")"),"Accent 1400 cc")</f>
        <v>Accent 1400 cc</v>
      </c>
      <c r="G1285" t="e">
        <f ca="1">VLOOKUP(F:F,matching_transelated_with_ref!A:C,2,0)</f>
        <v>#N/A</v>
      </c>
      <c r="H1285" t="e">
        <f>VLOOKUP(C:C,Sheet4!A:C,2,0)</f>
        <v>#N/A</v>
      </c>
    </row>
    <row r="1286" spans="1:8" ht="14.4">
      <c r="A1286" s="18" t="s">
        <v>1255</v>
      </c>
      <c r="B1286" s="18" t="s">
        <v>1256</v>
      </c>
      <c r="C1286" s="18" t="s">
        <v>1257</v>
      </c>
      <c r="D1286" s="19" t="str">
        <f ca="1">IFERROR(__xludf.DUMMYFUNCTION("GOOGLETRANSLATE(A1286, ""ar"", ""en"")"),"Hebei Shangan Outomobel")</f>
        <v>Hebei Shangan Outomobel</v>
      </c>
      <c r="E1286" s="19" t="str">
        <f ca="1">IFERROR(__xludf.DUMMYFUNCTION("GOOGLETRANSLATE(B1286,""ar"",""en"")"),"Hebei Shankan")</f>
        <v>Hebei Shankan</v>
      </c>
      <c r="F1286" s="19" t="str">
        <f ca="1">IFERROR(__xludf.DUMMYFUNCTION("GOOGLETRANSLATE(C1286,""ar"",""en"")"),"Hunter F70")</f>
        <v>Hunter F70</v>
      </c>
      <c r="G1286" t="e">
        <f ca="1">VLOOKUP(F:F,matching_transelated_with_ref!A:C,2,0)</f>
        <v>#N/A</v>
      </c>
      <c r="H1286" t="e">
        <f>VLOOKUP(C:C,Sheet4!A:C,2,0)</f>
        <v>#N/A</v>
      </c>
    </row>
    <row r="1287" spans="1:8" ht="14.4">
      <c r="A1287" s="18" t="s">
        <v>551</v>
      </c>
      <c r="B1287" s="18" t="s">
        <v>66</v>
      </c>
      <c r="C1287" s="18" t="s">
        <v>552</v>
      </c>
      <c r="D1287" s="19" t="str">
        <f ca="1">IFERROR(__xludf.DUMMYFUNCTION("GOOGLETRANSLATE(A1287, ""ar"", ""en"")"),"Haley")</f>
        <v>Haley</v>
      </c>
      <c r="E1287" s="19" t="str">
        <f ca="1">IFERROR(__xludf.DUMMYFUNCTION("GOOGLETRANSLATE(B1287,""ar"",""en"")"),"stomach")</f>
        <v>stomach</v>
      </c>
      <c r="F1287" s="19" t="str">
        <f ca="1">IFERROR(__xludf.DUMMYFUNCTION("GOOGLETRANSLATE(C1287,""ar"",""en"")"),"CBCD 100 -W 5")</f>
        <v>CBCD 100 -W 5</v>
      </c>
      <c r="G1287" t="e">
        <f ca="1">VLOOKUP(F:F,matching_transelated_with_ref!A:C,2,0)</f>
        <v>#N/A</v>
      </c>
      <c r="H1287">
        <f>VLOOKUP(C:C,Sheet4!A:C,2,0)</f>
        <v>5</v>
      </c>
    </row>
    <row r="1288" spans="1:8" ht="14.4">
      <c r="A1288" s="18" t="s">
        <v>553</v>
      </c>
      <c r="B1288" s="18" t="s">
        <v>114</v>
      </c>
      <c r="C1288" s="18" t="s">
        <v>554</v>
      </c>
      <c r="D1288" s="19" t="str">
        <f ca="1">IFERROR(__xludf.DUMMYFUNCTION("GOOGLETRANSLATE(A1288, ""ar"", ""en"")"),"Hino")</f>
        <v>Hino</v>
      </c>
      <c r="E1288" s="19" t="str">
        <f ca="1">IFERROR(__xludf.DUMMYFUNCTION("GOOGLETRANSLATE(B1288,""ar"",""en"")"),"a truck")</f>
        <v>a truck</v>
      </c>
      <c r="F1288" s="19" t="str">
        <f ca="1">IFERROR(__xludf.DUMMYFUNCTION("GOOGLETRANSLATE(C1288,""ar"",""en"")"),"500 Ceres GT 1G HA")</f>
        <v>500 Ceres GT 1G HA</v>
      </c>
      <c r="G1288" t="e">
        <f ca="1">VLOOKUP(F:F,matching_transelated_with_ref!A:C,2,0)</f>
        <v>#N/A</v>
      </c>
      <c r="H1288" t="e">
        <f>VLOOKUP(C:C,Sheet4!A:C,2,0)</f>
        <v>#N/A</v>
      </c>
    </row>
    <row r="1289" spans="1:8" ht="14.4">
      <c r="A1289" s="18" t="s">
        <v>553</v>
      </c>
      <c r="B1289" s="18" t="s">
        <v>553</v>
      </c>
      <c r="C1289" s="18" t="s">
        <v>555</v>
      </c>
      <c r="D1289" s="19" t="str">
        <f ca="1">IFERROR(__xludf.DUMMYFUNCTION("GOOGLETRANSLATE(A1289, ""ar"", ""en"")"),"Hino")</f>
        <v>Hino</v>
      </c>
      <c r="E1289" s="19" t="str">
        <f ca="1">IFERROR(__xludf.DUMMYFUNCTION("GOOGLETRANSLATE(B1289,""ar"",""en"")"),"Hino")</f>
        <v>Hino</v>
      </c>
      <c r="F1289" s="19" t="str">
        <f ca="1">IFERROR(__xludf.DUMMYFUNCTION("GOOGLETRANSLATE(C1289,""ar"",""en"")"),"500 Siris GH8 JG J.")</f>
        <v>500 Siris GH8 JG J.</v>
      </c>
      <c r="G1289" t="e">
        <f ca="1">VLOOKUP(F:F,matching_transelated_with_ref!A:C,2,0)</f>
        <v>#N/A</v>
      </c>
      <c r="H1289" t="e">
        <f>VLOOKUP(C:C,Sheet4!A:C,2,0)</f>
        <v>#N/A</v>
      </c>
    </row>
    <row r="1290" spans="1:8" ht="14.4">
      <c r="A1290" s="18" t="s">
        <v>553</v>
      </c>
      <c r="B1290" s="18" t="s">
        <v>553</v>
      </c>
      <c r="C1290" s="18" t="s">
        <v>805</v>
      </c>
      <c r="D1290" s="19" t="str">
        <f ca="1">IFERROR(__xludf.DUMMYFUNCTION("GOOGLETRANSLATE(A1290, ""ar"", ""en"")"),"Hino")</f>
        <v>Hino</v>
      </c>
      <c r="E1290" s="19" t="str">
        <f ca="1">IFERROR(__xludf.DUMMYFUNCTION("GOOGLETRANSLATE(B1290,""ar"",""en"")"),"Hino")</f>
        <v>Hino</v>
      </c>
      <c r="F1290" s="19" t="str">
        <f ca="1">IFERROR(__xludf.DUMMYFUNCTION("GOOGLETRANSLATE(C1290,""ar"",""en"")"),"500 Ceres FG 8GB")</f>
        <v>500 Ceres FG 8GB</v>
      </c>
      <c r="G1290" t="e">
        <f ca="1">VLOOKUP(F:F,matching_transelated_with_ref!A:C,2,0)</f>
        <v>#N/A</v>
      </c>
      <c r="H1290" t="str">
        <f>VLOOKUP(C:C,Sheet4!A:C,2,0)</f>
        <v>اف جي</v>
      </c>
    </row>
    <row r="1291" spans="1:8" ht="14.4">
      <c r="A1291" s="18" t="s">
        <v>553</v>
      </c>
      <c r="B1291" s="18" t="s">
        <v>553</v>
      </c>
      <c r="C1291" s="18" t="s">
        <v>1027</v>
      </c>
      <c r="D1291" s="19" t="str">
        <f ca="1">IFERROR(__xludf.DUMMYFUNCTION("GOOGLETRANSLATE(A1291, ""ar"", ""en"")"),"Hino")</f>
        <v>Hino</v>
      </c>
      <c r="E1291" s="19" t="str">
        <f ca="1">IFERROR(__xludf.DUMMYFUNCTION("GOOGLETRANSLATE(B1291,""ar"",""en"")"),"Hino")</f>
        <v>Hino</v>
      </c>
      <c r="F1291" s="19" t="str">
        <f ca="1">IFERROR(__xludf.DUMMYFUNCTION("GOOGLETRANSLATE(C1291,""ar"",""en"")"),"500 GD 8 JLSA")</f>
        <v>500 GD 8 JLSA</v>
      </c>
      <c r="G1291" t="e">
        <f ca="1">VLOOKUP(F:F,matching_transelated_with_ref!A:C,2,0)</f>
        <v>#N/A</v>
      </c>
      <c r="H1291">
        <f>VLOOKUP(C:C,Sheet4!A:C,2,0)</f>
        <v>500</v>
      </c>
    </row>
    <row r="1292" spans="1:8" ht="14.4">
      <c r="A1292" s="18" t="s">
        <v>553</v>
      </c>
      <c r="B1292" s="18" t="s">
        <v>114</v>
      </c>
      <c r="C1292" s="18" t="s">
        <v>1261</v>
      </c>
      <c r="D1292" s="19" t="str">
        <f ca="1">IFERROR(__xludf.DUMMYFUNCTION("GOOGLETRANSLATE(A1292, ""ar"", ""en"")"),"Hino")</f>
        <v>Hino</v>
      </c>
      <c r="E1292" s="19" t="str">
        <f ca="1">IFERROR(__xludf.DUMMYFUNCTION("GOOGLETRANSLATE(B1292,""ar"",""en"")"),"a truck")</f>
        <v>a truck</v>
      </c>
      <c r="F1292" s="19" t="str">
        <f ca="1">IFERROR(__xludf.DUMMYFUNCTION("GOOGLETRANSLATE(C1292,""ar"",""en"")"),"Hino 300-730 Dipllo KFT")</f>
        <v>Hino 300-730 Dipllo KFT</v>
      </c>
      <c r="G1292" t="e">
        <f ca="1">VLOOKUP(F:F,matching_transelated_with_ref!A:C,2,0)</f>
        <v>#N/A</v>
      </c>
      <c r="H1292" t="e">
        <f>VLOOKUP(C:C,Sheet4!A:C,2,0)</f>
        <v>#N/A</v>
      </c>
    </row>
    <row r="1293" spans="1:8" ht="14.4">
      <c r="A1293" s="18" t="s">
        <v>553</v>
      </c>
      <c r="B1293" s="18" t="s">
        <v>114</v>
      </c>
      <c r="C1293" s="18" t="s">
        <v>1027</v>
      </c>
      <c r="D1293" s="19" t="str">
        <f ca="1">IFERROR(__xludf.DUMMYFUNCTION("GOOGLETRANSLATE(A1293, ""ar"", ""en"")"),"Hino")</f>
        <v>Hino</v>
      </c>
      <c r="E1293" s="19" t="str">
        <f ca="1">IFERROR(__xludf.DUMMYFUNCTION("GOOGLETRANSLATE(B1293,""ar"",""en"")"),"a truck")</f>
        <v>a truck</v>
      </c>
      <c r="F1293" s="19" t="str">
        <f ca="1">IFERROR(__xludf.DUMMYFUNCTION("GOOGLETRANSLATE(C1293,""ar"",""en"")"),"500 GD 8 JLSA")</f>
        <v>500 GD 8 JLSA</v>
      </c>
      <c r="G1293" t="e">
        <f ca="1">VLOOKUP(F:F,matching_transelated_with_ref!A:C,2,0)</f>
        <v>#N/A</v>
      </c>
      <c r="H1293">
        <f>VLOOKUP(C:C,Sheet4!A:C,2,0)</f>
        <v>500</v>
      </c>
    </row>
    <row r="1294" spans="1:8" ht="14.4">
      <c r="A1294" s="18" t="s">
        <v>553</v>
      </c>
      <c r="B1294" s="18" t="s">
        <v>114</v>
      </c>
      <c r="C1294" s="18" t="s">
        <v>1258</v>
      </c>
      <c r="D1294" s="19" t="str">
        <f ca="1">IFERROR(__xludf.DUMMYFUNCTION("GOOGLETRANSLATE(A1294, ""ar"", ""en"")"),"Hino")</f>
        <v>Hino</v>
      </c>
      <c r="E1294" s="19" t="str">
        <f ca="1">IFERROR(__xludf.DUMMYFUNCTION("GOOGLETRANSLATE(B1294,""ar"",""en"")"),"a truck")</f>
        <v>a truck</v>
      </c>
      <c r="F1294" s="19" t="str">
        <f ca="1">IFERROR(__xludf.DUMMYFUNCTION("GOOGLETRANSLATE(C1294,""ar"",""en"")"),"300-720 Dipllo KM QK")</f>
        <v>300-720 Dipllo KM QK</v>
      </c>
      <c r="G1294" t="e">
        <f ca="1">VLOOKUP(F:F,matching_transelated_with_ref!A:C,2,0)</f>
        <v>#N/A</v>
      </c>
      <c r="H1294" t="e">
        <f>VLOOKUP(C:C,Sheet4!A:C,2,0)</f>
        <v>#N/A</v>
      </c>
    </row>
    <row r="1295" spans="1:8" ht="14.4">
      <c r="A1295" s="18" t="s">
        <v>553</v>
      </c>
      <c r="B1295" s="18" t="s">
        <v>114</v>
      </c>
      <c r="C1295" s="18" t="s">
        <v>1025</v>
      </c>
      <c r="D1295" s="19" t="str">
        <f ca="1">IFERROR(__xludf.DUMMYFUNCTION("GOOGLETRANSLATE(A1295, ""ar"", ""en"")"),"Hino")</f>
        <v>Hino</v>
      </c>
      <c r="E1295" s="19" t="str">
        <f ca="1">IFERROR(__xludf.DUMMYFUNCTION("GOOGLETRANSLATE(B1295,""ar"",""en"")"),"a truck")</f>
        <v>a truck</v>
      </c>
      <c r="F1295" s="19" t="str">
        <f ca="1">IFERROR(__xludf.DUMMYFUNCTION("GOOGLETRANSLATE(C1295,""ar"",""en"")"),"300 XZU 710 LHK")</f>
        <v>300 XZU 710 LHK</v>
      </c>
      <c r="G1295" t="e">
        <f ca="1">VLOOKUP(F:F,matching_transelated_with_ref!A:C,2,0)</f>
        <v>#N/A</v>
      </c>
      <c r="H1295" t="e">
        <f>VLOOKUP(C:C,Sheet4!A:C,2,0)</f>
        <v>#N/A</v>
      </c>
    </row>
    <row r="1296" spans="1:8" ht="14.4">
      <c r="A1296" s="18" t="s">
        <v>553</v>
      </c>
      <c r="B1296" s="18" t="s">
        <v>114</v>
      </c>
      <c r="C1296" s="18" t="s">
        <v>1473</v>
      </c>
      <c r="D1296" s="19" t="str">
        <f ca="1">IFERROR(__xludf.DUMMYFUNCTION("GOOGLETRANSLATE(A1296, ""ar"", ""en"")"),"Hino")</f>
        <v>Hino</v>
      </c>
      <c r="E1296" s="19" t="str">
        <f ca="1">IFERROR(__xludf.DUMMYFUNCTION("GOOGLETRANSLATE(B1296,""ar"",""en"")"),"a truck")</f>
        <v>a truck</v>
      </c>
      <c r="F1296" s="19" t="str">
        <f ca="1">IFERROR(__xludf.DUMMYFUNCTION("GOOGLETRANSLATE(C1296,""ar"",""en"")"),"Heno 300 730W KMK")</f>
        <v>Heno 300 730W KMK</v>
      </c>
      <c r="G1296" t="e">
        <f ca="1">VLOOKUP(F:F,matching_transelated_with_ref!A:C,2,0)</f>
        <v>#N/A</v>
      </c>
      <c r="H1296" t="e">
        <f>VLOOKUP(C:C,Sheet4!A:C,2,0)</f>
        <v>#N/A</v>
      </c>
    </row>
    <row r="1297" spans="1:8" ht="14.4">
      <c r="A1297" s="18" t="s">
        <v>553</v>
      </c>
      <c r="B1297" s="18" t="s">
        <v>553</v>
      </c>
      <c r="C1297" s="18" t="s">
        <v>1262</v>
      </c>
      <c r="D1297" s="19" t="str">
        <f ca="1">IFERROR(__xludf.DUMMYFUNCTION("GOOGLETRANSLATE(A1297, ""ar"", ""en"")"),"Hino")</f>
        <v>Hino</v>
      </c>
      <c r="E1297" s="19" t="str">
        <f ca="1">IFERROR(__xludf.DUMMYFUNCTION("GOOGLETRANSLATE(B1297,""ar"",""en"")"),"Hino")</f>
        <v>Hino</v>
      </c>
      <c r="F1297" s="19" t="str">
        <f ca="1">IFERROR(__xludf.DUMMYFUNCTION("GOOGLETRANSLATE(C1297,""ar"",""en"")"),"300-720 -WRL")</f>
        <v>300-720 -WRL</v>
      </c>
      <c r="G1297" t="e">
        <f ca="1">VLOOKUP(F:F,matching_transelated_with_ref!A:C,2,0)</f>
        <v>#N/A</v>
      </c>
      <c r="H1297" t="e">
        <f>VLOOKUP(C:C,Sheet4!A:C,2,0)</f>
        <v>#N/A</v>
      </c>
    </row>
    <row r="1298" spans="1:8" ht="14.4">
      <c r="A1298" s="18" t="s">
        <v>553</v>
      </c>
      <c r="B1298" s="18" t="s">
        <v>114</v>
      </c>
      <c r="C1298" s="18" t="s">
        <v>1260</v>
      </c>
      <c r="D1298" s="19" t="str">
        <f ca="1">IFERROR(__xludf.DUMMYFUNCTION("GOOGLETRANSLATE(A1298, ""ar"", ""en"")"),"Hino")</f>
        <v>Hino</v>
      </c>
      <c r="E1298" s="19" t="str">
        <f ca="1">IFERROR(__xludf.DUMMYFUNCTION("GOOGLETRANSLATE(B1298,""ar"",""en"")"),"a truck")</f>
        <v>a truck</v>
      </c>
      <c r="F1298" s="19" t="str">
        <f ca="1">IFERROR(__xludf.DUMMYFUNCTION("GOOGLETRANSLATE(C1298,""ar"",""en"")"),"710-300 Dipllo Ki Kio")</f>
        <v>710-300 Dipllo Ki Kio</v>
      </c>
      <c r="G1298" t="e">
        <f ca="1">VLOOKUP(F:F,matching_transelated_with_ref!A:C,2,0)</f>
        <v>#N/A</v>
      </c>
      <c r="H1298" t="e">
        <f>VLOOKUP(C:C,Sheet4!A:C,2,0)</f>
        <v>#N/A</v>
      </c>
    </row>
    <row r="1299" spans="1:8" ht="14.4">
      <c r="A1299" s="18" t="s">
        <v>553</v>
      </c>
      <c r="B1299" s="18" t="s">
        <v>553</v>
      </c>
      <c r="C1299" s="18" t="s">
        <v>806</v>
      </c>
      <c r="D1299" s="19" t="str">
        <f ca="1">IFERROR(__xludf.DUMMYFUNCTION("GOOGLETRANSLATE(A1299, ""ar"", ""en"")"),"Hino")</f>
        <v>Hino</v>
      </c>
      <c r="E1299" s="19" t="str">
        <f ca="1">IFERROR(__xludf.DUMMYFUNCTION("GOOGLETRANSLATE(B1299,""ar"",""en"")"),"Hino")</f>
        <v>Hino</v>
      </c>
      <c r="F1299" s="19" t="str">
        <f ca="1">IFERROR(__xludf.DUMMYFUNCTION("GOOGLETRANSLATE(C1299,""ar"",""en"")"),"XSU 720 HKA")</f>
        <v>XSU 720 HKA</v>
      </c>
      <c r="G1299" t="e">
        <f ca="1">VLOOKUP(F:F,matching_transelated_with_ref!A:C,2,0)</f>
        <v>#N/A</v>
      </c>
      <c r="H1299" t="e">
        <f>VLOOKUP(C:C,Sheet4!A:C,2,0)</f>
        <v>#N/A</v>
      </c>
    </row>
    <row r="1300" spans="1:8" ht="14.4">
      <c r="A1300" s="18" t="s">
        <v>553</v>
      </c>
      <c r="B1300" s="18" t="s">
        <v>553</v>
      </c>
      <c r="C1300" s="18" t="s">
        <v>1029</v>
      </c>
      <c r="D1300" s="19" t="str">
        <f ca="1">IFERROR(__xludf.DUMMYFUNCTION("GOOGLETRANSLATE(A1300, ""ar"", ""en"")"),"Hino")</f>
        <v>Hino</v>
      </c>
      <c r="E1300" s="19" t="str">
        <f ca="1">IFERROR(__xludf.DUMMYFUNCTION("GOOGLETRANSLATE(B1300,""ar"",""en"")"),"Hino")</f>
        <v>Hino</v>
      </c>
      <c r="F1300" s="19" t="str">
        <f ca="1">IFERROR(__xludf.DUMMYFUNCTION("GOOGLETRANSLATE(C1300,""ar"",""en"")"),"XSU 710 LHMM")</f>
        <v>XSU 710 LHMM</v>
      </c>
      <c r="G1300" t="e">
        <f ca="1">VLOOKUP(F:F,matching_transelated_with_ref!A:C,2,0)</f>
        <v>#N/A</v>
      </c>
      <c r="H1300" t="e">
        <f>VLOOKUP(C:C,Sheet4!A:C,2,0)</f>
        <v>#N/A</v>
      </c>
    </row>
    <row r="1301" spans="1:8" ht="14.4">
      <c r="A1301" s="18" t="s">
        <v>553</v>
      </c>
      <c r="B1301" s="18" t="s">
        <v>114</v>
      </c>
      <c r="C1301" s="18" t="s">
        <v>1026</v>
      </c>
      <c r="D1301" s="19" t="str">
        <f ca="1">IFERROR(__xludf.DUMMYFUNCTION("GOOGLETRANSLATE(A1301, ""ar"", ""en"")"),"Hino")</f>
        <v>Hino</v>
      </c>
      <c r="E1301" s="19" t="str">
        <f ca="1">IFERROR(__xludf.DUMMYFUNCTION("GOOGLETRANSLATE(B1301,""ar"",""en"")"),"a truck")</f>
        <v>a truck</v>
      </c>
      <c r="F1301" s="19" t="str">
        <f ca="1">IFERROR(__xludf.DUMMYFUNCTION("GOOGLETRANSLATE(C1301,""ar"",""en"")"),"300 XZU 730 LHA")</f>
        <v>300 XZU 730 LHA</v>
      </c>
      <c r="G1301" t="e">
        <f ca="1">VLOOKUP(F:F,matching_transelated_with_ref!A:C,2,0)</f>
        <v>#N/A</v>
      </c>
      <c r="H1301" t="e">
        <f>VLOOKUP(C:C,Sheet4!A:C,2,0)</f>
        <v>#N/A</v>
      </c>
    </row>
    <row r="1302" spans="1:8" ht="14.4">
      <c r="A1302" s="18" t="s">
        <v>553</v>
      </c>
      <c r="B1302" s="18" t="s">
        <v>114</v>
      </c>
      <c r="C1302" s="18" t="s">
        <v>1259</v>
      </c>
      <c r="D1302" s="19" t="str">
        <f ca="1">IFERROR(__xludf.DUMMYFUNCTION("GOOGLETRANSLATE(A1302, ""ar"", ""en"")"),"Hino")</f>
        <v>Hino</v>
      </c>
      <c r="E1302" s="19" t="str">
        <f ca="1">IFERROR(__xludf.DUMMYFUNCTION("GOOGLETRANSLATE(B1302,""ar"",""en"")"),"a truck")</f>
        <v>a truck</v>
      </c>
      <c r="F1302" s="19" t="str">
        <f ca="1">IFERROR(__xludf.DUMMYFUNCTION("GOOGLETRANSLATE(C1302,""ar"",""en"")"),"300-600 WWM")</f>
        <v>300-600 WWM</v>
      </c>
      <c r="G1302" t="e">
        <f ca="1">VLOOKUP(F:F,matching_transelated_with_ref!A:C,2,0)</f>
        <v>#N/A</v>
      </c>
      <c r="H1302" t="e">
        <f>VLOOKUP(C:C,Sheet4!A:C,2,0)</f>
        <v>#N/A</v>
      </c>
    </row>
    <row r="1303" spans="1:8" ht="14.4">
      <c r="A1303" s="18" t="s">
        <v>553</v>
      </c>
      <c r="B1303" s="18" t="s">
        <v>8</v>
      </c>
      <c r="C1303" s="18" t="s">
        <v>804</v>
      </c>
      <c r="D1303" s="19" t="str">
        <f ca="1">IFERROR(__xludf.DUMMYFUNCTION("GOOGLETRANSLATE(A1303, ""ar"", ""en"")"),"Hino")</f>
        <v>Hino</v>
      </c>
      <c r="E1303" s="19" t="str">
        <f ca="1">IFERROR(__xludf.DUMMYFUNCTION("GOOGLETRANSLATE(B1303,""ar"",""en"")"),"-")</f>
        <v>-</v>
      </c>
      <c r="F1303" s="19" t="str">
        <f ca="1">IFERROR(__xludf.DUMMYFUNCTION("GOOGLETRANSLATE(C1303,""ar"",""en"")"),"XZU 710 th")</f>
        <v>XZU 710 th</v>
      </c>
      <c r="G1303" t="e">
        <f ca="1">VLOOKUP(F:F,matching_transelated_with_ref!A:C,2,0)</f>
        <v>#N/A</v>
      </c>
      <c r="H1303" t="e">
        <f>VLOOKUP(C:C,Sheet4!A:C,2,0)</f>
        <v>#N/A</v>
      </c>
    </row>
    <row r="1304" spans="1:8" ht="14.4">
      <c r="A1304" s="18" t="s">
        <v>553</v>
      </c>
      <c r="B1304" s="18" t="s">
        <v>553</v>
      </c>
      <c r="C1304" s="18" t="s">
        <v>1028</v>
      </c>
      <c r="D1304" s="19" t="str">
        <f ca="1">IFERROR(__xludf.DUMMYFUNCTION("GOOGLETRANSLATE(A1304, ""ar"", ""en"")"),"Hino")</f>
        <v>Hino</v>
      </c>
      <c r="E1304" s="19" t="str">
        <f ca="1">IFERROR(__xludf.DUMMYFUNCTION("GOOGLETRANSLATE(B1304,""ar"",""en"")"),"Hino")</f>
        <v>Hino</v>
      </c>
      <c r="F1304" s="19" t="str">
        <f ca="1">IFERROR(__xludf.DUMMYFUNCTION("GOOGLETRANSLATE(C1304,""ar"",""en"")"),"XZU 600 LHMA")</f>
        <v>XZU 600 LHMA</v>
      </c>
      <c r="G1304" t="e">
        <f ca="1">VLOOKUP(F:F,matching_transelated_with_ref!A:C,2,0)</f>
        <v>#N/A</v>
      </c>
      <c r="H1304" t="e">
        <f>VLOOKUP(C:C,Sheet4!A:C,2,0)</f>
        <v>#N/A</v>
      </c>
    </row>
    <row r="1305" spans="1:8" ht="14.4">
      <c r="A1305" s="18" t="s">
        <v>556</v>
      </c>
      <c r="B1305" s="18" t="s">
        <v>8</v>
      </c>
      <c r="C1305" s="18" t="s">
        <v>807</v>
      </c>
      <c r="D1305" s="19" t="str">
        <f ca="1">IFERROR(__xludf.DUMMYFUNCTION("GOOGLETRANSLATE(A1305, ""ar"", ""en"")"),"Yal")</f>
        <v>Yal</v>
      </c>
      <c r="E1305" s="19" t="str">
        <f ca="1">IFERROR(__xludf.DUMMYFUNCTION("GOOGLETRANSLATE(B1305,""ar"",""en"")"),"-")</f>
        <v>-</v>
      </c>
      <c r="F1305" s="19" t="str">
        <f ca="1">IFERROR(__xludf.DUMMYFUNCTION("GOOGLETRANSLATE(C1305,""ar"",""en"")"),"ARB 30 in the")</f>
        <v>ARB 30 in the</v>
      </c>
      <c r="G1305" t="e">
        <f ca="1">VLOOKUP(F:F,matching_transelated_with_ref!A:C,2,0)</f>
        <v>#N/A</v>
      </c>
      <c r="H1305" t="e">
        <f>VLOOKUP(C:C,Sheet4!A:C,2,0)</f>
        <v>#N/A</v>
      </c>
    </row>
    <row r="1306" spans="1:8" ht="14.4">
      <c r="A1306" s="18" t="s">
        <v>556</v>
      </c>
      <c r="B1306" s="18" t="s">
        <v>43</v>
      </c>
      <c r="C1306" s="18" t="s">
        <v>557</v>
      </c>
      <c r="D1306" s="19" t="str">
        <f ca="1">IFERROR(__xludf.DUMMYFUNCTION("GOOGLETRANSLATE(A1306, ""ar"", ""en"")"),"Yal")</f>
        <v>Yal</v>
      </c>
      <c r="E1306" s="19" t="str">
        <f ca="1">IFERROR(__xludf.DUMMYFUNCTION("GOOGLETRANSLATE(B1306,""ar"",""en"")"),"stomach")</f>
        <v>stomach</v>
      </c>
      <c r="F1306" s="19" t="str">
        <f ca="1">IFERROR(__xludf.DUMMYFUNCTION("GOOGLETRANSLATE(C1306,""ar"",""en"")"),"ERB 25 in LL")</f>
        <v>ERB 25 in LL</v>
      </c>
      <c r="G1306" t="e">
        <f ca="1">VLOOKUP(F:F,matching_transelated_with_ref!A:C,2,0)</f>
        <v>#N/A</v>
      </c>
      <c r="H1306" t="e">
        <f>VLOOKUP(C:C,Sheet4!A:C,2,0)</f>
        <v>#N/A</v>
      </c>
    </row>
    <row r="1307" spans="1:8" ht="14.4">
      <c r="A1307" s="18" t="s">
        <v>556</v>
      </c>
      <c r="B1307" s="18" t="s">
        <v>43</v>
      </c>
      <c r="C1307" s="18" t="s">
        <v>558</v>
      </c>
      <c r="D1307" s="19" t="str">
        <f ca="1">IFERROR(__xludf.DUMMYFUNCTION("GOOGLETRANSLATE(A1307, ""ar"", ""en"")"),"Yal")</f>
        <v>Yal</v>
      </c>
      <c r="E1307" s="19" t="str">
        <f ca="1">IFERROR(__xludf.DUMMYFUNCTION("GOOGLETRANSLATE(B1307,""ar"",""en"")"),"stomach")</f>
        <v>stomach</v>
      </c>
      <c r="F1307" s="19" t="str">
        <f ca="1">IFERROR(__xludf.DUMMYFUNCTION("GOOGLETRANSLATE(C1307,""ar"",""en"")"),"IRB 20 PVT")</f>
        <v>IRB 20 PVT</v>
      </c>
      <c r="G1307" t="e">
        <f ca="1">VLOOKUP(F:F,matching_transelated_with_ref!A:C,2,0)</f>
        <v>#N/A</v>
      </c>
      <c r="H1307" t="e">
        <f>VLOOKUP(C:C,Sheet4!A:C,2,0)</f>
        <v>#N/A</v>
      </c>
    </row>
    <row r="1308" spans="1:8" ht="14.4">
      <c r="A1308" s="18" t="s">
        <v>556</v>
      </c>
      <c r="B1308" s="18" t="s">
        <v>43</v>
      </c>
      <c r="C1308" s="18" t="s">
        <v>808</v>
      </c>
      <c r="D1308" s="19" t="str">
        <f ca="1">IFERROR(__xludf.DUMMYFUNCTION("GOOGLETRANSLATE(A1308, ""ar"", ""en"")"),"Yal")</f>
        <v>Yal</v>
      </c>
      <c r="E1308" s="19" t="str">
        <f ca="1">IFERROR(__xludf.DUMMYFUNCTION("GOOGLETRANSLATE(B1308,""ar"",""en"")"),"stomach")</f>
        <v>stomach</v>
      </c>
      <c r="F1308" s="19" t="str">
        <f ca="1">IFERROR(__xludf.DUMMYFUNCTION("GOOGLETRANSLATE(C1308,""ar"",""en"")"),"MR 14")</f>
        <v>MR 14</v>
      </c>
      <c r="G1308" t="e">
        <f ca="1">VLOOKUP(F:F,matching_transelated_with_ref!A:C,2,0)</f>
        <v>#N/A</v>
      </c>
      <c r="H1308" t="e">
        <f>VLOOKUP(C:C,Sheet4!A:C,2,0)</f>
        <v>#N/A</v>
      </c>
    </row>
    <row r="1309" spans="1:8" ht="14.4">
      <c r="A1309" s="18" t="s">
        <v>556</v>
      </c>
      <c r="B1309" s="18" t="s">
        <v>43</v>
      </c>
      <c r="C1309" s="18" t="s">
        <v>1263</v>
      </c>
      <c r="D1309" s="19" t="str">
        <f ca="1">IFERROR(__xludf.DUMMYFUNCTION("GOOGLETRANSLATE(A1309, ""ar"", ""en"")"),"Yal")</f>
        <v>Yal</v>
      </c>
      <c r="E1309" s="19" t="str">
        <f ca="1">IFERROR(__xludf.DUMMYFUNCTION("GOOGLETRANSLATE(B1309,""ar"",""en"")"),"stomach")</f>
        <v>stomach</v>
      </c>
      <c r="F1309" s="19" t="str">
        <f ca="1">IFERROR(__xludf.DUMMYFUNCTION("GOOGLETRANSLATE(C1309,""ar"",""en"")"),"ERB 16 PVT")</f>
        <v>ERB 16 PVT</v>
      </c>
      <c r="G1309" t="e">
        <f ca="1">VLOOKUP(F:F,matching_transelated_with_ref!A:C,2,0)</f>
        <v>#N/A</v>
      </c>
      <c r="H1309" t="e">
        <f>VLOOKUP(C:C,Sheet4!A:C,2,0)</f>
        <v>#N/A</v>
      </c>
    </row>
    <row r="1310" spans="1:8" ht="14.4">
      <c r="A1310" s="18" t="s">
        <v>556</v>
      </c>
      <c r="B1310" s="18" t="s">
        <v>43</v>
      </c>
      <c r="C1310" s="18" t="s">
        <v>809</v>
      </c>
      <c r="D1310" s="19" t="str">
        <f ca="1">IFERROR(__xludf.DUMMYFUNCTION("GOOGLETRANSLATE(A1310, ""ar"", ""en"")"),"Yal")</f>
        <v>Yal</v>
      </c>
      <c r="E1310" s="19" t="str">
        <f ca="1">IFERROR(__xludf.DUMMYFUNCTION("GOOGLETRANSLATE(B1310,""ar"",""en"")"),"stomach")</f>
        <v>stomach</v>
      </c>
      <c r="F1310" s="19" t="str">
        <f ca="1">IFERROR(__xludf.DUMMYFUNCTION("GOOGLETRANSLATE(C1310,""ar"",""en"")"),"GB30 MX")</f>
        <v>GB30 MX</v>
      </c>
      <c r="G1310" t="e">
        <f ca="1">VLOOKUP(F:F,matching_transelated_with_ref!A:C,2,0)</f>
        <v>#N/A</v>
      </c>
      <c r="H1310" t="e">
        <f>VLOOKUP(C:C,Sheet4!A:C,2,0)</f>
        <v>#N/A</v>
      </c>
    </row>
    <row r="1311" spans="1:8" ht="14.4">
      <c r="A1311" s="18" t="s">
        <v>556</v>
      </c>
      <c r="B1311" s="18" t="s">
        <v>43</v>
      </c>
      <c r="C1311" s="18" t="s">
        <v>811</v>
      </c>
      <c r="D1311" s="19" t="str">
        <f ca="1">IFERROR(__xludf.DUMMYFUNCTION("GOOGLETRANSLATE(A1311, ""ar"", ""en"")"),"Yal")</f>
        <v>Yal</v>
      </c>
      <c r="E1311" s="19" t="str">
        <f ca="1">IFERROR(__xludf.DUMMYFUNCTION("GOOGLETRANSLATE(B1311,""ar"",""en"")"),"stomach")</f>
        <v>stomach</v>
      </c>
      <c r="F1311" s="19" t="str">
        <f ca="1">IFERROR(__xludf.DUMMYFUNCTION("GOOGLETRANSLATE(C1311,""ar"",""en"")"),"JB 30 UX")</f>
        <v>JB 30 UX</v>
      </c>
      <c r="G1311" t="e">
        <f ca="1">VLOOKUP(F:F,matching_transelated_with_ref!A:C,2,0)</f>
        <v>#N/A</v>
      </c>
      <c r="H1311" t="e">
        <f>VLOOKUP(C:C,Sheet4!A:C,2,0)</f>
        <v>#N/A</v>
      </c>
    </row>
    <row r="1312" spans="1:8" ht="14.4">
      <c r="A1312" s="18" t="s">
        <v>556</v>
      </c>
      <c r="B1312" s="18" t="s">
        <v>43</v>
      </c>
      <c r="C1312" s="18" t="s">
        <v>810</v>
      </c>
      <c r="D1312" s="19" t="str">
        <f ca="1">IFERROR(__xludf.DUMMYFUNCTION("GOOGLETRANSLATE(A1312, ""ar"", ""en"")"),"Yal")</f>
        <v>Yal</v>
      </c>
      <c r="E1312" s="19" t="str">
        <f ca="1">IFERROR(__xludf.DUMMYFUNCTION("GOOGLETRANSLATE(B1312,""ar"",""en"")"),"stomach")</f>
        <v>stomach</v>
      </c>
      <c r="F1312" s="19" t="str">
        <f ca="1">IFERROR(__xludf.DUMMYFUNCTION("GOOGLETRANSLATE(C1312,""ar"",""en"")"),"GB 25 UX")</f>
        <v>GB 25 UX</v>
      </c>
      <c r="G1312" t="e">
        <f ca="1">VLOOKUP(F:F,matching_transelated_with_ref!A:C,2,0)</f>
        <v>#N/A</v>
      </c>
      <c r="H1312" t="e">
        <f>VLOOKUP(C:C,Sheet4!A:C,2,0)</f>
        <v>#N/A</v>
      </c>
    </row>
    <row r="1313" spans="1:8" ht="14.4">
      <c r="A1313" s="18" t="s">
        <v>556</v>
      </c>
      <c r="B1313" s="18" t="s">
        <v>43</v>
      </c>
      <c r="C1313" s="18" t="s">
        <v>1030</v>
      </c>
      <c r="D1313" s="19" t="str">
        <f ca="1">IFERROR(__xludf.DUMMYFUNCTION("GOOGLETRANSLATE(A1313, ""ar"", ""en"")"),"Yal")</f>
        <v>Yal</v>
      </c>
      <c r="E1313" s="19" t="str">
        <f ca="1">IFERROR(__xludf.DUMMYFUNCTION("GOOGLETRANSLATE(B1313,""ar"",""en"")"),"stomach")</f>
        <v>stomach</v>
      </c>
      <c r="F1313" s="19" t="str">
        <f ca="1">IFERROR(__xludf.DUMMYFUNCTION("GOOGLETRANSLATE(C1313,""ar"",""en"")"),"MB 20 XU")</f>
        <v>MB 20 XU</v>
      </c>
      <c r="G1313" t="e">
        <f ca="1">VLOOKUP(F:F,matching_transelated_with_ref!A:C,2,0)</f>
        <v>#N/A</v>
      </c>
      <c r="H1313" t="e">
        <f>VLOOKUP(C:C,Sheet4!A:C,2,0)</f>
        <v>#N/A</v>
      </c>
    </row>
    <row r="1314" spans="1:8" ht="14.4">
      <c r="A1314" s="18" t="s">
        <v>1264</v>
      </c>
      <c r="B1314" s="18" t="s">
        <v>114</v>
      </c>
      <c r="C1314" s="18" t="s">
        <v>1268</v>
      </c>
      <c r="D1314" s="19" t="str">
        <f ca="1">IFERROR(__xludf.DUMMYFUNCTION("GOOGLETRANSLATE(A1314, ""ar"", ""en"")"),"UD Trix")</f>
        <v>UD Trix</v>
      </c>
      <c r="E1314" s="19" t="str">
        <f ca="1">IFERROR(__xludf.DUMMYFUNCTION("GOOGLETRANSLATE(B1314,""ar"",""en"")"),"a truck")</f>
        <v>a truck</v>
      </c>
      <c r="F1314" s="19" t="str">
        <f ca="1">IFERROR(__xludf.DUMMYFUNCTION("GOOGLETRANSLATE(C1314,""ar"",""en"")"),"Cylinder")</f>
        <v>Cylinder</v>
      </c>
      <c r="G1314" t="e">
        <f ca="1">VLOOKUP(F:F,matching_transelated_with_ref!A:C,2,0)</f>
        <v>#N/A</v>
      </c>
      <c r="H1314" t="str">
        <f>VLOOKUP(C:C,Sheet4!A:C,2,0)</f>
        <v>كورسير</v>
      </c>
    </row>
    <row r="1315" spans="1:8" ht="14.4">
      <c r="A1315" s="18" t="s">
        <v>1264</v>
      </c>
      <c r="B1315" s="18" t="s">
        <v>114</v>
      </c>
      <c r="C1315" s="18" t="s">
        <v>1267</v>
      </c>
      <c r="D1315" s="19" t="str">
        <f ca="1">IFERROR(__xludf.DUMMYFUNCTION("GOOGLETRANSLATE(A1315, ""ar"", ""en"")"),"UD Trix")</f>
        <v>UD Trix</v>
      </c>
      <c r="E1315" s="19" t="str">
        <f ca="1">IFERROR(__xludf.DUMMYFUNCTION("GOOGLETRANSLATE(B1315,""ar"",""en"")"),"a truck")</f>
        <v>a truck</v>
      </c>
      <c r="F1315" s="19" t="str">
        <f ca="1">IFERROR(__xludf.DUMMYFUNCTION("GOOGLETRANSLATE(C1315,""ar"",""en"")"),"Croner BKA 250")</f>
        <v>Croner BKA 250</v>
      </c>
      <c r="G1315" t="e">
        <f ca="1">VLOOKUP(F:F,matching_transelated_with_ref!A:C,2,0)</f>
        <v>#N/A</v>
      </c>
      <c r="H1315" t="e">
        <f>VLOOKUP(C:C,Sheet4!A:C,2,0)</f>
        <v>#N/A</v>
      </c>
    </row>
    <row r="1316" spans="1:8" ht="14.4">
      <c r="A1316" s="18" t="s">
        <v>1264</v>
      </c>
      <c r="B1316" s="18" t="s">
        <v>114</v>
      </c>
      <c r="C1316" s="18" t="s">
        <v>1266</v>
      </c>
      <c r="D1316" s="19" t="str">
        <f ca="1">IFERROR(__xludf.DUMMYFUNCTION("GOOGLETRANSLATE(A1316, ""ar"", ""en"")"),"UD Trix")</f>
        <v>UD Trix</v>
      </c>
      <c r="E1316" s="19" t="str">
        <f ca="1">IFERROR(__xludf.DUMMYFUNCTION("GOOGLETRANSLATE(B1316,""ar"",""en"")"),"a truck")</f>
        <v>a truck</v>
      </c>
      <c r="F1316" s="19" t="str">
        <f ca="1">IFERROR(__xludf.DUMMYFUNCTION("GOOGLETRANSLATE(C1316,""ar"",""en"")"),"Krone BKI 250 2 x 4")</f>
        <v>Krone BKI 250 2 x 4</v>
      </c>
      <c r="G1316" t="e">
        <f ca="1">VLOOKUP(F:F,matching_transelated_with_ref!A:C,2,0)</f>
        <v>#N/A</v>
      </c>
      <c r="H1316" t="e">
        <f>VLOOKUP(C:C,Sheet4!A:C,2,0)</f>
        <v>#N/A</v>
      </c>
    </row>
    <row r="1317" spans="1:8" ht="14.4">
      <c r="A1317" s="18" t="s">
        <v>1264</v>
      </c>
      <c r="B1317" s="18" t="s">
        <v>114</v>
      </c>
      <c r="C1317" s="18" t="s">
        <v>1265</v>
      </c>
      <c r="D1317" s="19" t="str">
        <f ca="1">IFERROR(__xludf.DUMMYFUNCTION("GOOGLETRANSLATE(A1317, ""ar"", ""en"")"),"UD Trix")</f>
        <v>UD Trix</v>
      </c>
      <c r="E1317" s="19" t="str">
        <f ca="1">IFERROR(__xludf.DUMMYFUNCTION("GOOGLETRANSLATE(B1317,""ar"",""en"")"),"a truck")</f>
        <v>a truck</v>
      </c>
      <c r="F1317" s="19" t="str">
        <f ca="1">IFERROR(__xludf.DUMMYFUNCTION("GOOGLETRANSLATE(C1317,""ar"",""en"")"),"Krone KI 210")</f>
        <v>Krone KI 210</v>
      </c>
      <c r="G1317" t="e">
        <f ca="1">VLOOKUP(F:F,matching_transelated_with_ref!A:C,2,0)</f>
        <v>#N/A</v>
      </c>
      <c r="H1317" t="e">
        <f>VLOOKUP(C:C,Sheet4!A:C,2,0)</f>
        <v>#N/A</v>
      </c>
    </row>
  </sheetData>
  <autoFilter ref="A1:H1317" xr:uid="{1CD5C9C4-0B21-4FCA-91EF-52F3072E1F3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1ADC-CBF0-4292-900A-A2AA5615CB9B}">
  <dimension ref="A1:A1317"/>
  <sheetViews>
    <sheetView workbookViewId="0">
      <selection sqref="A1:A1048576"/>
    </sheetView>
  </sheetViews>
  <sheetFormatPr defaultRowHeight="13.2"/>
  <cols>
    <col min="1" max="1" width="41.44140625" customWidth="1"/>
  </cols>
  <sheetData>
    <row r="1" spans="1:1">
      <c r="A1" s="17" t="s">
        <v>3949</v>
      </c>
    </row>
    <row r="2" spans="1:1" ht="14.4">
      <c r="A2" s="19" t="str">
        <f ca="1">IFERROR(__xludf.DUMMYFUNCTION("GOOGLETRANSLATE(C2,""ar"",""en"")"),"DPS")</f>
        <v>DPS</v>
      </c>
    </row>
    <row r="3" spans="1:1" ht="14.4">
      <c r="A3" s="19" t="str">
        <f ca="1">IFERROR(__xludf.DUMMYFUNCTION("GOOGLETRANSLATE(C3,""ar"",""en"")"),"DPX")</f>
        <v>DPX</v>
      </c>
    </row>
    <row r="4" spans="1:1" ht="14.4">
      <c r="A4" s="19" t="str">
        <f ca="1">IFERROR(__xludf.DUMMYFUNCTION("GOOGLETRANSLATE(C4,""ar"",""en"")"),"Vanntig")</f>
        <v>Vanntig</v>
      </c>
    </row>
    <row r="5" spans="1:1" ht="14.4">
      <c r="A5" s="19" t="str">
        <f ca="1">IFERROR(__xludf.DUMMYFUNCTION("GOOGLETRANSLATE(C5,""ar"",""en"")"),"Valan")</f>
        <v>Valan</v>
      </c>
    </row>
    <row r="6" spans="1:1" ht="14.4">
      <c r="A6" s="19" t="str">
        <f ca="1">IFERROR(__xludf.DUMMYFUNCTION("GOOGLETRANSLATE(C6,""ar"",""en"")"),"Falcon")</f>
        <v>Falcon</v>
      </c>
    </row>
    <row r="7" spans="1:1" ht="14.4">
      <c r="A7" s="19" t="str">
        <f ca="1">IFERROR(__xludf.DUMMYFUNCTION("GOOGLETRANSLATE(C7,""ar"",""en"")"),"Falcon")</f>
        <v>Falcon</v>
      </c>
    </row>
    <row r="8" spans="1:1" ht="14.4">
      <c r="A8" s="19" t="str">
        <f ca="1">IFERROR(__xludf.DUMMYFUNCTION("GOOGLETRANSLATE(C8,""ar"",""en"")"),"Oster")</f>
        <v>Oster</v>
      </c>
    </row>
    <row r="9" spans="1:1" ht="14.4">
      <c r="A9" s="19" t="str">
        <f ca="1">IFERROR(__xludf.DUMMYFUNCTION("GOOGLETRANSLATE(C9,""ar"",""en"")"),"Pendant")</f>
        <v>Pendant</v>
      </c>
    </row>
    <row r="10" spans="1:1" ht="14.4">
      <c r="A10" s="19" t="str">
        <f ca="1">IFERROR(__xludf.DUMMYFUNCTION("GOOGLETRANSLATE(C10,""ar"",""en"")"),"Prosecution 595")</f>
        <v>Prosecution 595</v>
      </c>
    </row>
    <row r="11" spans="1:1" ht="14.4">
      <c r="A11" s="19" t="str">
        <f ca="1">IFERROR(__xludf.DUMMYFUNCTION("GOOGLETRANSLATE(C11,""ar"",""en"")"),"-")</f>
        <v>-</v>
      </c>
    </row>
    <row r="12" spans="1:1" ht="14.4">
      <c r="A12" s="19" t="str">
        <f ca="1">IFERROR(__xludf.DUMMYFUNCTION("GOOGLETRANSLATE(C12,""ar"",""en"")"),"Julia")</f>
        <v>Julia</v>
      </c>
    </row>
    <row r="13" spans="1:1" ht="14.4">
      <c r="A13" s="19" t="str">
        <f ca="1">IFERROR(__xludf.DUMMYFUNCTION("GOOGLETRANSLATE(C13,""ar"",""en"")"),"400 Mercedes Benz 2 x 4")</f>
        <v>400 Mercedes Benz 2 x 4</v>
      </c>
    </row>
    <row r="14" spans="1:1" ht="14.4">
      <c r="A14" s="19" t="str">
        <f ca="1">IFERROR(__xludf.DUMMYFUNCTION("GOOGLETRANSLATE(C14,""ar"",""en"")"),"Skyot")</f>
        <v>Skyot</v>
      </c>
    </row>
    <row r="15" spans="1:1" ht="14.4">
      <c r="A15" s="19" t="str">
        <f ca="1">IFERROR(__xludf.DUMMYFUNCTION("GOOGLETRANSLATE(C15,""ar"",""en"")"),"Sris LE 645")</f>
        <v>Sris LE 645</v>
      </c>
    </row>
    <row r="16" spans="1:1" ht="14.4">
      <c r="A16" s="19" t="str">
        <f ca="1">IFERROR(__xludf.DUMMYFUNCTION("GOOGLETRANSLATE(C16,""ar"",""en"")"),"Sris LD 123")</f>
        <v>Sris LD 123</v>
      </c>
    </row>
    <row r="17" spans="1:1" ht="14.4">
      <c r="A17" s="19" t="str">
        <f ca="1">IFERROR(__xludf.DUMMYFUNCTION("GOOGLETRANSLATE(C17,""ar"",""en"")"),"C Way Z 51 Q.")</f>
        <v>C Way Z 51 Q.</v>
      </c>
    </row>
    <row r="18" spans="1:1" ht="14.4">
      <c r="A18" s="19" t="str">
        <f ca="1">IFERROR(__xludf.DUMMYFUNCTION("GOOGLETRANSLATE(C18,""ar"",""en"")"),"C Way Z 51 Q.")</f>
        <v>C Way Z 51 Q.</v>
      </c>
    </row>
    <row r="19" spans="1:1" ht="14.4">
      <c r="A19" s="19" t="str">
        <f ca="1">IFERROR(__xludf.DUMMYFUNCTION("GOOGLETRANSLATE(C19,""ar"",""en"")"),"C Wi -Z 51 h")</f>
        <v>C Wi -Z 51 h</v>
      </c>
    </row>
    <row r="20" spans="1:1" ht="14.4">
      <c r="A20" s="19" t="str">
        <f ca="1">IFERROR(__xludf.DUMMYFUNCTION("GOOGLETRANSLATE(C20,""ar"",""en"")"),"CIS 51B")</f>
        <v>CIS 51B</v>
      </c>
    </row>
    <row r="21" spans="1:1" ht="14.4">
      <c r="A21" s="19" t="str">
        <f ca="1">IFERROR(__xludf.DUMMYFUNCTION("GOOGLETRANSLATE(C21,""ar"",""en"")"),"CIS 51B - 07")</f>
        <v>CIS 51B - 07</v>
      </c>
    </row>
    <row r="22" spans="1:1" ht="14.4">
      <c r="A22" s="19" t="str">
        <f ca="1">IFERROR(__xludf.DUMMYFUNCTION("GOOGLETRANSLATE(C22,""ar"",""en"")"),"CIS 51B")</f>
        <v>CIS 51B</v>
      </c>
    </row>
    <row r="23" spans="1:1" ht="14.4">
      <c r="A23" s="19" t="str">
        <f ca="1">IFERROR(__xludf.DUMMYFUNCTION("GOOGLETRANSLATE(C23,""ar"",""en"")"),"MUX 3 liter 4 x 4")</f>
        <v>MUX 3 liter 4 x 4</v>
      </c>
    </row>
    <row r="24" spans="1:1" ht="14.4">
      <c r="A24" s="19" t="str">
        <f ca="1">IFERROR(__xludf.DUMMYFUNCTION("GOOGLETRANSLATE(C24,""ar"",""en"")"),"The QR 90 The 4*2")</f>
        <v>The QR 90 The 4*2</v>
      </c>
    </row>
    <row r="25" spans="1:1" ht="14.4">
      <c r="A25" s="19" t="str">
        <f ca="1">IFERROR(__xludf.DUMMYFUNCTION("GOOGLETRANSLATE(C25,""ar"",""en"")"),"The QR 90 th")</f>
        <v>The QR 90 th</v>
      </c>
    </row>
    <row r="26" spans="1:1" ht="14.4">
      <c r="A26" s="19" t="str">
        <f ca="1">IFERROR(__xludf.DUMMYFUNCTION("GOOGLETRANSLATE(C26,""ar"",""en"")"),"Dax 3 liter 4 x 4 Utuma")</f>
        <v>Dax 3 liter 4 x 4 Utuma</v>
      </c>
    </row>
    <row r="27" spans="1:1" ht="14.4">
      <c r="A27" s="19" t="str">
        <f ca="1">IFERROR(__xludf.DUMMYFUNCTION("GOOGLETRANSLATE(C27,""ar"",""en"")"),"MU -X -4*4")</f>
        <v>MU -X -4*4</v>
      </c>
    </row>
    <row r="28" spans="1:1" ht="14.4">
      <c r="A28" s="19" t="str">
        <f ca="1">IFERROR(__xludf.DUMMYFUNCTION("GOOGLETRANSLATE(C28,""ar"",""en"")"),"MUX -Double - Diesel")</f>
        <v>MUX -Double - Diesel</v>
      </c>
    </row>
    <row r="29" spans="1:1" ht="14.4">
      <c r="A29" s="19" t="str">
        <f ca="1">IFERROR(__xludf.DUMMYFUNCTION("GOOGLETRANSLATE(C29,""ar"",""en"")"),"The 24 24")</f>
        <v>The 24 24</v>
      </c>
    </row>
    <row r="30" spans="1:1" ht="14.4">
      <c r="A30" s="19" t="str">
        <f ca="1">IFERROR(__xludf.DUMMYFUNCTION("GOOGLETRANSLATE(C30,""ar"",""en"")"),"De Max 3 liter 4 x 4 normal")</f>
        <v>De Max 3 liter 4 x 4 normal</v>
      </c>
    </row>
    <row r="31" spans="1:1" ht="14.4">
      <c r="A31" s="19" t="str">
        <f ca="1">IFERROR(__xludf.DUMMYFUNCTION("GOOGLETRANSLATE(C31,""ar"",""en"")"),"Half a diesel transfer")</f>
        <v>Half a diesel transfer</v>
      </c>
    </row>
    <row r="32" spans="1:1" ht="14.4">
      <c r="A32" s="19" t="str">
        <f ca="1">IFERROR(__xludf.DUMMYFUNCTION("GOOGLETRANSLATE(C32,""ar"",""en"")"),"The Q75 th 75")</f>
        <v>The Q75 th 75</v>
      </c>
    </row>
    <row r="33" spans="1:1" ht="14.4">
      <c r="A33" s="19" t="str">
        <f ca="1">IFERROR(__xludf.DUMMYFUNCTION("GOOGLETRANSLATE(C33,""ar"",""en"")"),"De Max 4*4")</f>
        <v>De Max 4*4</v>
      </c>
    </row>
    <row r="34" spans="1:1" ht="14.4">
      <c r="A34" s="19" t="str">
        <f ca="1">IFERROR(__xludf.DUMMYFUNCTION("GOOGLETRANSLATE(C34,""ar"",""en"")"),"De Max 4 x 4 automatic")</f>
        <v>De Max 4 x 4 automatic</v>
      </c>
    </row>
    <row r="35" spans="1:1" ht="14.4">
      <c r="A35" s="19" t="str">
        <f ca="1">IFERROR(__xludf.DUMMYFUNCTION("GOOGLETRANSLATE(C35,""ar"",""en"")"),"MUX 3 liter 4.4")</f>
        <v>MUX 3 liter 4.4</v>
      </c>
    </row>
    <row r="36" spans="1:1" ht="14.4">
      <c r="A36" s="19" t="str">
        <f ca="1">IFERROR(__xludf.DUMMYFUNCTION("GOOGLETRANSLATE(C36,""ar"",""en"")"),"NPR 75 C-4 x 2")</f>
        <v>NPR 75 C-4 x 2</v>
      </c>
    </row>
    <row r="37" spans="1:1" ht="14.4">
      <c r="A37" s="19" t="str">
        <f ca="1">IFERROR(__xludf.DUMMYFUNCTION("GOOGLETRANSLATE(C37,""ar"",""en"")"),"De Max 4 x 4")</f>
        <v>De Max 4 x 4</v>
      </c>
    </row>
    <row r="38" spans="1:1" ht="14.4">
      <c r="A38" s="19" t="str">
        <f ca="1">IFERROR(__xludf.DUMMYFUNCTION("GOOGLETRANSLATE(C38,""ar"",""en"")"),"Dax 3 liter 2 x 4 GMT")</f>
        <v>Dax 3 liter 2 x 4 GMT</v>
      </c>
    </row>
    <row r="39" spans="1:1" ht="14.4">
      <c r="A39" s="19" t="str">
        <f ca="1">IFERROR(__xludf.DUMMYFUNCTION("GOOGLETRANSLATE(C39,""ar"",""en"")"),"NPR 75 F-HCD")</f>
        <v>NPR 75 F-HCD</v>
      </c>
    </row>
    <row r="40" spans="1:1" ht="14.4">
      <c r="A40" s="19" t="str">
        <f ca="1">IFERROR(__xludf.DUMMYFUNCTION("GOOGLETRANSLATE(C40,""ar"",""en"")"),"De Max 3 liter 4 x 4")</f>
        <v>De Max 3 liter 4 x 4</v>
      </c>
    </row>
    <row r="41" spans="1:1" ht="14.4">
      <c r="A41" s="19" t="str">
        <f ca="1">IFERROR(__xludf.DUMMYFUNCTION("GOOGLETRANSLATE(C41,""ar"",""en"")"),"NPR 75 f")</f>
        <v>NPR 75 f</v>
      </c>
    </row>
    <row r="42" spans="1:1" ht="14.4">
      <c r="A42" s="19" t="str">
        <f ca="1">IFERROR(__xludf.DUMMYFUNCTION("GOOGLETRANSLATE(C42,""ar"",""en"")"),"The Q75 Al Shasseh de")</f>
        <v>The Q75 Al Shasseh de</v>
      </c>
    </row>
    <row r="43" spans="1:1" ht="14.4">
      <c r="A43" s="19" t="str">
        <f ca="1">IFERROR(__xludf.DUMMYFUNCTION("GOOGLETRANSLATE(C43,""ar"",""en"")"),"MU -X -4*2")</f>
        <v>MU -X -4*2</v>
      </c>
    </row>
    <row r="44" spans="1:1" ht="14.4">
      <c r="A44" s="19" t="str">
        <f ca="1">IFERROR(__xludf.DUMMYFUNCTION("GOOGLETRANSLATE(C44,""ar"",""en"")"),"MUX - Diesel")</f>
        <v>MUX - Diesel</v>
      </c>
    </row>
    <row r="45" spans="1:1" ht="14.4">
      <c r="A45" s="19" t="str">
        <f ca="1">IFERROR(__xludf.DUMMYFUNCTION("GOOGLETRANSLATE(C45,""ar"",""en"")"),"MUX 3 liter 4 x 2")</f>
        <v>MUX 3 liter 4 x 2</v>
      </c>
    </row>
    <row r="46" spans="1:1" ht="14.4">
      <c r="A46" s="19" t="str">
        <f ca="1">IFERROR(__xludf.DUMMYFUNCTION("GOOGLETRANSLATE(C46,""ar"",""en"")"),"NPR 75 K.")</f>
        <v>NPR 75 K.</v>
      </c>
    </row>
    <row r="47" spans="1:1" ht="14.4">
      <c r="A47" s="19" t="str">
        <f ca="1">IFERROR(__xludf.DUMMYFUNCTION("GOOGLETRANSLATE(C47,""ar"",""en"")"),"NBR 81 H4*2")</f>
        <v>NBR 81 H4*2</v>
      </c>
    </row>
    <row r="48" spans="1:1" ht="14.4">
      <c r="A48" s="19" t="str">
        <f ca="1">IFERROR(__xludf.DUMMYFUNCTION("GOOGLETRANSLATE(C48,""ar"",""en"")"),"De Max 2.5 liter 4*4")</f>
        <v>De Max 2.5 liter 4*4</v>
      </c>
    </row>
    <row r="49" spans="1:1" ht="14.4">
      <c r="A49" s="19" t="str">
        <f ca="1">IFERROR(__xludf.DUMMYFUNCTION("GOOGLETRANSLATE(C49,""ar"",""en"")"),"Bkb two doubles dubbed")</f>
        <v>Bkb two doubles dubbed</v>
      </c>
    </row>
    <row r="50" spans="1:1" ht="14.4">
      <c r="A50" s="19" t="str">
        <f ca="1">IFERROR(__xludf.DUMMYFUNCTION("GOOGLETRANSLATE(C50,""ar"",""en"")"),"De Max 2.5 liter 4 x 4")</f>
        <v>De Max 2.5 liter 4 x 4</v>
      </c>
    </row>
    <row r="51" spans="1:1" ht="14.4">
      <c r="A51" s="19" t="str">
        <f ca="1">IFERROR(__xludf.DUMMYFUNCTION("GOOGLETRANSLATE(C51,""ar"",""en"")"),"The mother of 85 any")</f>
        <v>The mother of 85 any</v>
      </c>
    </row>
    <row r="52" spans="1:1" ht="14.4">
      <c r="A52" s="19" t="str">
        <f ca="1">IFERROR(__xludf.DUMMYFUNCTION("GOOGLETRANSLATE(C52,""ar"",""en"")"),"Half -transfer")</f>
        <v>Half -transfer</v>
      </c>
    </row>
    <row r="53" spans="1:1" ht="14.4">
      <c r="A53" s="19" t="str">
        <f ca="1">IFERROR(__xludf.DUMMYFUNCTION("GOOGLETRANSLATE(C53,""ar"",""en"")"),"NPR 85 K.")</f>
        <v>NPR 85 K.</v>
      </c>
    </row>
    <row r="54" spans="1:1" ht="14.4">
      <c r="A54" s="19" t="str">
        <f ca="1">IFERROR(__xludf.DUMMYFUNCTION("GOOGLETRANSLATE(C54,""ar"",""en"")"),"The mother of 85, i.4*2")</f>
        <v>The mother of 85, i.4*2</v>
      </c>
    </row>
    <row r="55" spans="1:1" ht="14.4">
      <c r="A55" s="19" t="str">
        <f ca="1">IFERROR(__xludf.DUMMYFUNCTION("GOOGLETRANSLATE(C55,""ar"",""en"")"),"NBR 85H")</f>
        <v>NBR 85H</v>
      </c>
    </row>
    <row r="56" spans="1:1" ht="14.4">
      <c r="A56" s="19" t="str">
        <f ca="1">IFERROR(__xludf.DUMMYFUNCTION("GOOGLETRANSLATE(C56,""ar"",""en"")"),"The mother of 85, i.4*2")</f>
        <v>The mother of 85, i.4*2</v>
      </c>
    </row>
    <row r="57" spans="1:1" ht="14.4">
      <c r="A57" s="19" t="str">
        <f ca="1">IFERROR(__xludf.DUMMYFUNCTION("GOOGLETRANSLATE(C57,""ar"",""en"")"),"De Max 4*2")</f>
        <v>De Max 4*2</v>
      </c>
    </row>
    <row r="58" spans="1:1" ht="14.4">
      <c r="A58" s="19" t="str">
        <f ca="1">IFERROR(__xludf.DUMMYFUNCTION("GOOGLETRANSLATE(C58,""ar"",""en"")"),"De Max 4*4")</f>
        <v>De Max 4*4</v>
      </c>
    </row>
    <row r="59" spans="1:1" ht="14.4">
      <c r="A59" s="19" t="str">
        <f ca="1">IFERROR(__xludf.DUMMYFUNCTION("GOOGLETRANSLATE(C59,""ar"",""en"")"),"In the MR 71 H22")</f>
        <v>In the MR 71 H22</v>
      </c>
    </row>
    <row r="60" spans="1:1" ht="14.4">
      <c r="A60" s="19" t="str">
        <f ca="1">IFERROR(__xludf.DUMMYFUNCTION("GOOGLETRANSLATE(C60,""ar"",""en"")"),"De Max 2.5 liter 4 x 2")</f>
        <v>De Max 2.5 liter 4 x 2</v>
      </c>
    </row>
    <row r="61" spans="1:1" ht="14.4">
      <c r="A61" s="19" t="str">
        <f ca="1">IFERROR(__xludf.DUMMYFUNCTION("GOOGLETRANSLATE(C61,""ar"",""en"")"),"De Max 2.5 liters")</f>
        <v>De Max 2.5 liters</v>
      </c>
    </row>
    <row r="62" spans="1:1" ht="14.4">
      <c r="A62" s="19" t="str">
        <f ca="1">IFERROR(__xludf.DUMMYFUNCTION("GOOGLETRANSLATE(C62,""ar"",""en"")"),"Two")</f>
        <v>Two</v>
      </c>
    </row>
    <row r="63" spans="1:1" ht="14.4">
      <c r="A63" s="19" t="str">
        <f ca="1">IFERROR(__xludf.DUMMYFUNCTION("GOOGLETRANSLATE(C63,""ar"",""en"")"),"De Max 2.5 liter 4 x 4")</f>
        <v>De Max 2.5 liter 4 x 4</v>
      </c>
    </row>
    <row r="64" spans="1:1" ht="14.4">
      <c r="A64" s="19" t="str">
        <f ca="1">IFERROR(__xludf.DUMMYFUNCTION("GOOGLETRANSLATE(C64,""ar"",""en"")"),"NPR 71 kh half -transfer u")</f>
        <v>NPR 71 kh half -transfer u</v>
      </c>
    </row>
    <row r="65" spans="1:1" ht="14.4">
      <c r="A65" s="19" t="str">
        <f ca="1">IFERROR(__xludf.DUMMYFUNCTION("GOOGLETRANSLATE(C65,""ar"",""en"")"),"De Max 2.5 liter 4 x 4")</f>
        <v>De Max 2.5 liter 4 x 4</v>
      </c>
    </row>
    <row r="66" spans="1:1" ht="14.4">
      <c r="A66" s="19" t="str">
        <f ca="1">IFERROR(__xludf.DUMMYFUNCTION("GOOGLETRANSLATE(C66,""ar"",""en"")"),"NM 71, i.e. 22")</f>
        <v>NM 71, i.e. 22</v>
      </c>
    </row>
    <row r="67" spans="1:1" ht="14.4">
      <c r="A67" s="19" t="str">
        <f ca="1">IFERROR(__xludf.DUMMYFUNCTION("GOOGLETRANSLATE(C67,""ar"",""en"")"),"De Max 2.5 liter 4 x 4 normal")</f>
        <v>De Max 2.5 liter 4 x 4 normal</v>
      </c>
    </row>
    <row r="68" spans="1:1" ht="14.4">
      <c r="A68" s="19" t="str">
        <f ca="1">IFERROR(__xludf.DUMMYFUNCTION("GOOGLETRANSLATE(C68,""ar"",""en"")"),"Small transfer")</f>
        <v>Small transfer</v>
      </c>
    </row>
    <row r="69" spans="1:1" ht="14.4">
      <c r="A69" s="19" t="str">
        <f ca="1">IFERROR(__xludf.DUMMYFUNCTION("GOOGLETRANSLATE(C69,""ar"",""en"")"),"De Max 2.5 liter 2 x 4 air")</f>
        <v>De Max 2.5 liter 2 x 4 air</v>
      </c>
    </row>
    <row r="70" spans="1:1" ht="14.4">
      <c r="A70" s="19" t="str">
        <f ca="1">IFERROR(__xludf.DUMMYFUNCTION("GOOGLETRANSLATE(C70,""ar"",""en"")"),"De Max open sides")</f>
        <v>De Max open sides</v>
      </c>
    </row>
    <row r="71" spans="1:1" ht="14.4">
      <c r="A71" s="19" t="str">
        <f ca="1">IFERROR(__xludf.DUMMYFUNCTION("GOOGLETRANSLATE(C71,""ar"",""en"")"),"tipper")</f>
        <v>tipper</v>
      </c>
    </row>
    <row r="72" spans="1:1" ht="14.4">
      <c r="A72" s="19" t="str">
        <f ca="1">IFERROR(__xludf.DUMMYFUNCTION("GOOGLETRANSLATE(C72,""ar"",""en"")"),"De Max")</f>
        <v>De Max</v>
      </c>
    </row>
    <row r="73" spans="1:1" ht="14.4">
      <c r="A73" s="19" t="str">
        <f ca="1">IFERROR(__xludf.DUMMYFUNCTION("GOOGLETRANSLATE(C73,""ar"",""en"")"),"De Max 2.5 liter 2 x 4")</f>
        <v>De Max 2.5 liter 2 x 4</v>
      </c>
    </row>
    <row r="74" spans="1:1" ht="14.4">
      <c r="A74" s="19" t="str">
        <f ca="1">IFERROR(__xludf.DUMMYFUNCTION("GOOGLETRANSLATE(C74,""ar"",""en"")"),"De Max 2.5 liter 4 x 2")</f>
        <v>De Max 2.5 liter 4 x 2</v>
      </c>
    </row>
    <row r="75" spans="1:1" ht="14.4">
      <c r="A75" s="19" t="str">
        <f ca="1">IFERROR(__xludf.DUMMYFUNCTION("GOOGLETRANSLATE(C75,""ar"",""en"")"),"De Max 4*2")</f>
        <v>De Max 4*2</v>
      </c>
    </row>
    <row r="76" spans="1:1" ht="14.4">
      <c r="A76" s="19" t="str">
        <f ca="1">IFERROR(__xludf.DUMMYFUNCTION("GOOGLETRANSLATE(C76,""ar"",""en"")"),"De Max two 4*2 August")</f>
        <v>De Max two 4*2 August</v>
      </c>
    </row>
    <row r="77" spans="1:1" ht="14.4">
      <c r="A77" s="19" t="str">
        <f ca="1">IFERROR(__xludf.DUMMYFUNCTION("GOOGLETRANSLATE(C77,""ar"",""en"")"),"20.15")</f>
        <v>20.15</v>
      </c>
    </row>
    <row r="78" spans="1:1" ht="14.4">
      <c r="A78" s="19" t="str">
        <f ca="1">IFERROR(__xludf.DUMMYFUNCTION("GOOGLETRANSLATE(C78,""ar"",""en"")"),"A8 Hybrid")</f>
        <v>A8 Hybrid</v>
      </c>
    </row>
    <row r="79" spans="1:1" ht="14.4">
      <c r="A79" s="19" t="str">
        <f ca="1">IFERROR(__xludf.DUMMYFUNCTION("GOOGLETRANSLATE(C79,""ar"",""en"")"),"A 8")</f>
        <v>A 8</v>
      </c>
    </row>
    <row r="80" spans="1:1" ht="14.4">
      <c r="A80" s="19" t="str">
        <f ca="1">IFERROR(__xludf.DUMMYFUNCTION("GOOGLETRANSLATE(C80,""ar"",""en"")"),"Q8")</f>
        <v>Q8</v>
      </c>
    </row>
    <row r="81" spans="1:1" ht="14.4">
      <c r="A81" s="19" t="str">
        <f ca="1">IFERROR(__xludf.DUMMYFUNCTION("GOOGLETRANSLATE(C81,""ar"",""en"")"),"R8 5.2")</f>
        <v>R8 5.2</v>
      </c>
    </row>
    <row r="82" spans="1:1" ht="14.4">
      <c r="A82" s="19" t="str">
        <f ca="1">IFERROR(__xludf.DUMMYFUNCTION("GOOGLETRANSLATE(C82,""ar"",""en"")"),"A 7")</f>
        <v>A 7</v>
      </c>
    </row>
    <row r="83" spans="1:1" ht="14.4">
      <c r="A83" s="19" t="str">
        <f ca="1">IFERROR(__xludf.DUMMYFUNCTION("GOOGLETRANSLATE(C83,""ar"",""en"")"),"Q7")</f>
        <v>Q7</v>
      </c>
    </row>
    <row r="84" spans="1:1" ht="14.4">
      <c r="A84" s="19" t="str">
        <f ca="1">IFERROR(__xludf.DUMMYFUNCTION("GOOGLETRANSLATE(C84,""ar"",""en"")"),"A6 Hybrid")</f>
        <v>A6 Hybrid</v>
      </c>
    </row>
    <row r="85" spans="1:1" ht="14.4">
      <c r="A85" s="19" t="str">
        <f ca="1">IFERROR(__xludf.DUMMYFUNCTION("GOOGLETRANSLATE(C85,""ar"",""en"")"),"Q7-3.0")</f>
        <v>Q7-3.0</v>
      </c>
    </row>
    <row r="86" spans="1:1" ht="14.4">
      <c r="A86" s="19" t="str">
        <f ca="1">IFERROR(__xludf.DUMMYFUNCTION("GOOGLETRANSLATE(C86,""ar"",""en"")"),"Q7 -2.0")</f>
        <v>Q7 -2.0</v>
      </c>
    </row>
    <row r="87" spans="1:1" ht="14.4">
      <c r="A87" s="19" t="str">
        <f ca="1">IFERROR(__xludf.DUMMYFUNCTION("GOOGLETRANSLATE(C87,""ar"",""en"")"),"Q5-2.0")</f>
        <v>Q5-2.0</v>
      </c>
    </row>
    <row r="88" spans="1:1" ht="14.4">
      <c r="A88" s="19" t="str">
        <f ca="1">IFERROR(__xludf.DUMMYFUNCTION("GOOGLETRANSLATE(C88,""ar"",""en"")"),"Aya 5")</f>
        <v>Aya 5</v>
      </c>
    </row>
    <row r="89" spans="1:1" ht="14.4">
      <c r="A89" s="19" t="str">
        <f ca="1">IFERROR(__xludf.DUMMYFUNCTION("GOOGLETRANSLATE(C89,""ar"",""en"")"),"Aya 6")</f>
        <v>Aya 6</v>
      </c>
    </row>
    <row r="90" spans="1:1" ht="14.4">
      <c r="A90" s="19" t="str">
        <f ca="1">IFERROR(__xludf.DUMMYFUNCTION("GOOGLETRANSLATE(C90,""ar"",""en"")"),"A6 High Post")</f>
        <v>A6 High Post</v>
      </c>
    </row>
    <row r="91" spans="1:1" ht="14.4">
      <c r="A91" s="19" t="str">
        <f ca="1">IFERROR(__xludf.DUMMYFUNCTION("GOOGLETRANSLATE(C91,""ar"",""en"")"),"A 5")</f>
        <v>A 5</v>
      </c>
    </row>
    <row r="92" spans="1:1" ht="14.4">
      <c r="A92" s="19" t="str">
        <f ca="1">IFERROR(__xludf.DUMMYFUNCTION("GOOGLETRANSLATE(C92,""ar"",""en"")"),"A4")</f>
        <v>A4</v>
      </c>
    </row>
    <row r="93" spans="1:1" ht="14.4">
      <c r="A93" s="19" t="str">
        <f ca="1">IFERROR(__xludf.DUMMYFUNCTION("GOOGLETRANSLATE(C93,""ar"",""en"")"),"Q3")</f>
        <v>Q3</v>
      </c>
    </row>
    <row r="94" spans="1:1" ht="14.4">
      <c r="A94" s="19" t="str">
        <f ca="1">IFERROR(__xludf.DUMMYFUNCTION("GOOGLETRANSLATE(C94,""ar"",""en"")"),"A4")</f>
        <v>A4</v>
      </c>
    </row>
    <row r="95" spans="1:1" ht="14.4">
      <c r="A95" s="19" t="str">
        <f ca="1">IFERROR(__xludf.DUMMYFUNCTION("GOOGLETRANSLATE(C95,""ar"",""en"")"),"Q3")</f>
        <v>Q3</v>
      </c>
    </row>
    <row r="96" spans="1:1" ht="14.4">
      <c r="A96" s="19" t="str">
        <f ca="1">IFERROR(__xludf.DUMMYFUNCTION("GOOGLETRANSLATE(C96,""ar"",""en"")"),"Q2 -1.4")</f>
        <v>Q2 -1.4</v>
      </c>
    </row>
    <row r="97" spans="1:1" ht="14.4">
      <c r="A97" s="19" t="str">
        <f ca="1">IFERROR(__xludf.DUMMYFUNCTION("GOOGLETRANSLATE(C97,""ar"",""en"")"),"A3-1.4")</f>
        <v>A3-1.4</v>
      </c>
    </row>
    <row r="98" spans="1:1" ht="14.4">
      <c r="A98" s="19" t="str">
        <f ca="1">IFERROR(__xludf.DUMMYFUNCTION("GOOGLETRANSLATE(C98,""ar"",""en"")"),"S 8")</f>
        <v>S 8</v>
      </c>
    </row>
    <row r="99" spans="1:1" ht="14.4">
      <c r="A99" s="19" t="str">
        <f ca="1">IFERROR(__xludf.DUMMYFUNCTION("GOOGLETRANSLATE(C99,""ar"",""en"")"),"S 3")</f>
        <v>S 3</v>
      </c>
    </row>
    <row r="100" spans="1:1" ht="14.4">
      <c r="A100" s="19" t="str">
        <f ca="1">IFERROR(__xludf.DUMMYFUNCTION("GOOGLETRANSLATE(C100,""ar"",""en"")"),"RS3 2.5")</f>
        <v>RS3 2.5</v>
      </c>
    </row>
    <row r="101" spans="1:1" ht="14.4">
      <c r="A101" s="19" t="str">
        <f ca="1">IFERROR(__xludf.DUMMYFUNCTION("GOOGLETRANSLATE(C101,""ar"",""en"")"),"BJ 40 th")</f>
        <v>BJ 40 th</v>
      </c>
    </row>
    <row r="102" spans="1:1" ht="14.4">
      <c r="A102" s="19" t="str">
        <f ca="1">IFERROR(__xludf.DUMMYFUNCTION("GOOGLETRANSLATE(C102,""ar"",""en"")"),"911 Turbo S")</f>
        <v>911 Turbo S</v>
      </c>
    </row>
    <row r="103" spans="1:1" ht="14.4">
      <c r="A103" s="19" t="str">
        <f ca="1">IFERROR(__xludf.DUMMYFUNCTION("GOOGLETRANSLATE(C103,""ar"",""en"")"),"911 Turbo")</f>
        <v>911 Turbo</v>
      </c>
    </row>
    <row r="104" spans="1:1" ht="14.4">
      <c r="A104" s="19" t="str">
        <f ca="1">IFERROR(__xludf.DUMMYFUNCTION("GOOGLETRANSLATE(C104,""ar"",""en"")"),"911 GT 3")</f>
        <v>911 GT 3</v>
      </c>
    </row>
    <row r="105" spans="1:1" ht="14.4">
      <c r="A105" s="19" t="str">
        <f ca="1">IFERROR(__xludf.DUMMYFUNCTION("GOOGLETRANSLATE(C105,""ar"",""en"")"),"911 Carrera 4S")</f>
        <v>911 Carrera 4S</v>
      </c>
    </row>
    <row r="106" spans="1:1" ht="14.4">
      <c r="A106" s="19" t="str">
        <f ca="1">IFERROR(__xludf.DUMMYFUNCTION("GOOGLETRANSLATE(C106,""ar"",""en"")"),"911 Carrera S")</f>
        <v>911 Carrera S</v>
      </c>
    </row>
    <row r="107" spans="1:1" ht="14.4">
      <c r="A107" s="19" t="str">
        <f ca="1">IFERROR(__xludf.DUMMYFUNCTION("GOOGLETRANSLATE(C107,""ar"",""en"")"),"Panamera 4 Excivit")</f>
        <v>Panamera 4 Excivit</v>
      </c>
    </row>
    <row r="108" spans="1:1" ht="14.4">
      <c r="A108" s="19" t="str">
        <f ca="1">IFERROR(__xludf.DUMMYFUNCTION("GOOGLETRANSLATE(C108,""ar"",""en"")"),"Cayenne GTS")</f>
        <v>Cayenne GTS</v>
      </c>
    </row>
    <row r="109" spans="1:1" ht="14.4">
      <c r="A109" s="19" t="str">
        <f ca="1">IFERROR(__xludf.DUMMYFUNCTION("GOOGLETRANSLATE(C109,""ar"",""en"")"),"Cayenne S.")</f>
        <v>Cayenne S.</v>
      </c>
    </row>
    <row r="110" spans="1:1" ht="14.4">
      <c r="A110" s="19" t="str">
        <f ca="1">IFERROR(__xludf.DUMMYFUNCTION("GOOGLETRANSLATE(C110,""ar"",""en"")"),"Panamera")</f>
        <v>Panamera</v>
      </c>
    </row>
    <row r="111" spans="1:1" ht="14.4">
      <c r="A111" s="19" t="str">
        <f ca="1">IFERROR(__xludf.DUMMYFUNCTION("GOOGLETRANSLATE(C111,""ar"",""en"")"),"Panomira 4S")</f>
        <v>Panomira 4S</v>
      </c>
    </row>
    <row r="112" spans="1:1" ht="14.4">
      <c r="A112" s="19" t="str">
        <f ca="1">IFERROR(__xludf.DUMMYFUNCTION("GOOGLETRANSLATE(C112,""ar"",""en"")"),"Cayenne Hybrid")</f>
        <v>Cayenne Hybrid</v>
      </c>
    </row>
    <row r="113" spans="1:1" ht="14.4">
      <c r="A113" s="19" t="str">
        <f ca="1">IFERROR(__xludf.DUMMYFUNCTION("GOOGLETRANSLATE(C113,""ar"",""en"")"),"Panamera 4")</f>
        <v>Panamera 4</v>
      </c>
    </row>
    <row r="114" spans="1:1" ht="14.4">
      <c r="A114" s="19" t="str">
        <f ca="1">IFERROR(__xludf.DUMMYFUNCTION("GOOGLETRANSLATE(C114,""ar"",""en"")"),"911 GT 2 RS")</f>
        <v>911 GT 2 RS</v>
      </c>
    </row>
    <row r="115" spans="1:1" ht="14.4">
      <c r="A115" s="19" t="str">
        <f ca="1">IFERROR(__xludf.DUMMYFUNCTION("GOOGLETRANSLATE(C115,""ar"",""en"")"),"Cayenne")</f>
        <v>Cayenne</v>
      </c>
    </row>
    <row r="116" spans="1:1" ht="14.4">
      <c r="A116" s="19" t="str">
        <f ca="1">IFERROR(__xludf.DUMMYFUNCTION("GOOGLETRANSLATE(C116,""ar"",""en"")"),"Magtt SS")</f>
        <v>Magtt SS</v>
      </c>
    </row>
    <row r="117" spans="1:1" ht="14.4">
      <c r="A117" s="19" t="str">
        <f ca="1">IFERROR(__xludf.DUMMYFUNCTION("GOOGLETRANSLATE(C117,""ar"",""en"")"),"Cayenne Pesk")</f>
        <v>Cayenne Pesk</v>
      </c>
    </row>
    <row r="118" spans="1:1" ht="14.4">
      <c r="A118" s="19" t="str">
        <f ca="1">IFERROR(__xludf.DUMMYFUNCTION("GOOGLETRANSLATE(C118,""ar"",""en"")"),"911 GT3 RS")</f>
        <v>911 GT3 RS</v>
      </c>
    </row>
    <row r="119" spans="1:1" ht="14.4">
      <c r="A119" s="19" t="str">
        <f ca="1">IFERROR(__xludf.DUMMYFUNCTION("GOOGLETRANSLATE(C119,""ar"",""en"")"),"Kayman")</f>
        <v>Kayman</v>
      </c>
    </row>
    <row r="120" spans="1:1" ht="14.4">
      <c r="A120" s="19" t="str">
        <f ca="1">IFERROR(__xludf.DUMMYFUNCTION("GOOGLETRANSLATE(C120,""ar"",""en"")"),"911 GT 3")</f>
        <v>911 GT 3</v>
      </c>
    </row>
    <row r="121" spans="1:1" ht="14.4">
      <c r="A121" s="19" t="str">
        <f ca="1">IFERROR(__xludf.DUMMYFUNCTION("GOOGLETRANSLATE(C121,""ar"",""en"")"),"It was not")</f>
        <v>It was not</v>
      </c>
    </row>
    <row r="122" spans="1:1" ht="14.4">
      <c r="A122" s="19" t="str">
        <f ca="1">IFERROR(__xludf.DUMMYFUNCTION("GOOGLETRANSLATE(C122,""ar"",""en"")"),"Kayman 718")</f>
        <v>Kayman 718</v>
      </c>
    </row>
    <row r="123" spans="1:1" ht="14.4">
      <c r="A123" s="19" t="str">
        <f ca="1">IFERROR(__xludf.DUMMYFUNCTION("GOOGLETRANSLATE(C123,""ar"",""en"")"),"718 Kayman S")</f>
        <v>718 Kayman S</v>
      </c>
    </row>
    <row r="124" spans="1:1" ht="14.4">
      <c r="A124" s="19" t="str">
        <f ca="1">IFERROR(__xludf.DUMMYFUNCTION("GOOGLETRANSLATE(C124,""ar"",""en"")"),"911 Carrera")</f>
        <v>911 Carrera</v>
      </c>
    </row>
    <row r="125" spans="1:1" ht="14.4">
      <c r="A125" s="19" t="str">
        <f ca="1">IFERROR(__xludf.DUMMYFUNCTION("GOOGLETRANSLATE(C125,""ar"",""en"")"),"Panira GTS")</f>
        <v>Panira GTS</v>
      </c>
    </row>
    <row r="126" spans="1:1" ht="14.4">
      <c r="A126" s="19" t="str">
        <f ca="1">IFERROR(__xludf.DUMMYFUNCTION("GOOGLETRANSLATE(C126,""ar"",""en"")"),"What was")</f>
        <v>What was</v>
      </c>
    </row>
    <row r="127" spans="1:1" ht="14.4">
      <c r="A127" s="19" t="str">
        <f ca="1">IFERROR(__xludf.DUMMYFUNCTION("GOOGLETRANSLATE(C127,""ar"",""en"")"),"Panamera Pesc")</f>
        <v>Panamera Pesc</v>
      </c>
    </row>
    <row r="128" spans="1:1" ht="14.4">
      <c r="A128" s="19" t="str">
        <f ca="1">IFERROR(__xludf.DUMMYFUNCTION("GOOGLETRANSLATE(C128,""ar"",""en"")"),"Panomera")</f>
        <v>Panomera</v>
      </c>
    </row>
    <row r="129" spans="1:1" ht="14.4">
      <c r="A129" s="19" t="str">
        <f ca="1">IFERROR(__xludf.DUMMYFUNCTION("GOOGLETRANSLATE(C129,""ar"",""en"")"),"BF 800 c")</f>
        <v>BF 800 c</v>
      </c>
    </row>
    <row r="130" spans="1:1" ht="14.4">
      <c r="A130" s="19" t="str">
        <f ca="1">IFERROR(__xludf.DUMMYFUNCTION("GOOGLETRANSLATE(C130,""ar"",""en"")"),"X6 m50 any")</f>
        <v>X6 m50 any</v>
      </c>
    </row>
    <row r="131" spans="1:1" ht="14.4">
      <c r="A131" s="19" t="str">
        <f ca="1">IFERROR(__xludf.DUMMYFUNCTION("GOOGLETRANSLATE(C131,""ar"",""en"")"),"M. 3")</f>
        <v>M. 3</v>
      </c>
    </row>
    <row r="132" spans="1:1" ht="14.4">
      <c r="A132" s="19" t="str">
        <f ca="1">IFERROR(__xludf.DUMMYFUNCTION("GOOGLETRANSLATE(C132,""ar"",""en"")"),"X5M 50 i")</f>
        <v>X5M 50 i</v>
      </c>
    </row>
    <row r="133" spans="1:1" ht="14.4">
      <c r="A133" s="19" t="str">
        <f ca="1">IFERROR(__xludf.DUMMYFUNCTION("GOOGLETRANSLATE(C133,""ar"",""en"")"),"X7 40 i")</f>
        <v>X7 40 i</v>
      </c>
    </row>
    <row r="134" spans="1:1" ht="14.4">
      <c r="A134" s="19" t="str">
        <f ca="1">IFERROR(__xludf.DUMMYFUNCTION("GOOGLETRANSLATE(C134,""ar"",""en"")"),"730 LI")</f>
        <v>730 LI</v>
      </c>
    </row>
    <row r="135" spans="1:1" ht="14.4">
      <c r="A135" s="19" t="str">
        <f ca="1">IFERROR(__xludf.DUMMYFUNCTION("GOOGLETRANSLATE(C135,""ar"",""en"")"),"X6 40 i")</f>
        <v>X6 40 i</v>
      </c>
    </row>
    <row r="136" spans="1:1" ht="14.4">
      <c r="A136" s="19" t="str">
        <f ca="1">IFERROR(__xludf.DUMMYFUNCTION("GOOGLETRANSLATE(C136,""ar"",""en"")"),"X5 40 i")</f>
        <v>X5 40 i</v>
      </c>
    </row>
    <row r="137" spans="1:1" ht="14.4">
      <c r="A137" s="19" t="str">
        <f ca="1">IFERROR(__xludf.DUMMYFUNCTION("GOOGLETRANSLATE(C137,""ar"",""en"")"),"X4 m 40 any")</f>
        <v>X4 m 40 any</v>
      </c>
    </row>
    <row r="138" spans="1:1" ht="14.4">
      <c r="A138" s="19" t="str">
        <f ca="1">IFERROR(__xludf.DUMMYFUNCTION("GOOGLETRANSLATE(C138,""ar"",""en"")"),"740 LI")</f>
        <v>740 LI</v>
      </c>
    </row>
    <row r="139" spans="1:1" ht="14.4">
      <c r="A139" s="19" t="str">
        <f ca="1">IFERROR(__xludf.DUMMYFUNCTION("GOOGLETRANSLATE(C139,""ar"",""en"")"),"X7 50 i")</f>
        <v>X7 50 i</v>
      </c>
    </row>
    <row r="140" spans="1:1" ht="14.4">
      <c r="A140" s="19" t="str">
        <f ca="1">IFERROR(__xludf.DUMMYFUNCTION("GOOGLETRANSLATE(C140,""ar"",""en"")"),"530 i")</f>
        <v>530 i</v>
      </c>
    </row>
    <row r="141" spans="1:1" ht="14.4">
      <c r="A141" s="19" t="str">
        <f ca="1">IFERROR(__xludf.DUMMYFUNCTION("GOOGLETRANSLATE(C141,""ar"",""en"")"),"X6 m")</f>
        <v>X6 m</v>
      </c>
    </row>
    <row r="142" spans="1:1" ht="14.4">
      <c r="A142" s="19" t="str">
        <f ca="1">IFERROR(__xludf.DUMMYFUNCTION("GOOGLETRANSLATE(C142,""ar"",""en"")"),"M4")</f>
        <v>M4</v>
      </c>
    </row>
    <row r="143" spans="1:1" ht="14.4">
      <c r="A143" s="19" t="str">
        <f ca="1">IFERROR(__xludf.DUMMYFUNCTION("GOOGLETRANSLATE(C143,""ar"",""en"")"),"X4 30 i")</f>
        <v>X4 30 i</v>
      </c>
    </row>
    <row r="144" spans="1:1" ht="14.4">
      <c r="A144" s="19" t="str">
        <f ca="1">IFERROR(__xludf.DUMMYFUNCTION("GOOGLETRANSLATE(C144,""ar"",""en"")"),"I320")</f>
        <v>I320</v>
      </c>
    </row>
    <row r="145" spans="1:1" ht="14.4">
      <c r="A145" s="19" t="str">
        <f ca="1">IFERROR(__xludf.DUMMYFUNCTION("GOOGLETRANSLATE(C145,""ar"",""en"")"),"X 6-35 any")</f>
        <v>X 6-35 any</v>
      </c>
    </row>
    <row r="146" spans="1:1" ht="14.4">
      <c r="A146" s="19" t="str">
        <f ca="1">IFERROR(__xludf.DUMMYFUNCTION("GOOGLETRANSLATE(C146,""ar"",""en"")"),"318 i")</f>
        <v>318 i</v>
      </c>
    </row>
    <row r="147" spans="1:1" ht="14.4">
      <c r="A147" s="19" t="str">
        <f ca="1">IFERROR(__xludf.DUMMYFUNCTION("GOOGLETRANSLATE(C147,""ar"",""en"")"),"Z 4 30 any")</f>
        <v>Z 4 30 any</v>
      </c>
    </row>
    <row r="148" spans="1:1" ht="14.4">
      <c r="A148" s="19" t="str">
        <f ca="1">IFERROR(__xludf.DUMMYFUNCTION("GOOGLETRANSLATE(C148,""ar"",""en"")"),"X3 30 i")</f>
        <v>X3 30 i</v>
      </c>
    </row>
    <row r="149" spans="1:1" ht="14.4">
      <c r="A149" s="19" t="str">
        <f ca="1">IFERROR(__xludf.DUMMYFUNCTION("GOOGLETRANSLATE(C149,""ar"",""en"")"),"X 4-28")</f>
        <v>X 4-28</v>
      </c>
    </row>
    <row r="150" spans="1:1" ht="14.4">
      <c r="A150" s="19" t="str">
        <f ca="1">IFERROR(__xludf.DUMMYFUNCTION("GOOGLETRANSLATE(C150,""ar"",""en"")"),"X 5-35 any")</f>
        <v>X 5-35 any</v>
      </c>
    </row>
    <row r="151" spans="1:1" ht="14.4">
      <c r="A151" s="19" t="str">
        <f ca="1">IFERROR(__xludf.DUMMYFUNCTION("GOOGLETRANSLATE(C151,""ar"",""en"")"),"520 i")</f>
        <v>520 i</v>
      </c>
    </row>
    <row r="152" spans="1:1" ht="14.4">
      <c r="A152" s="19" t="str">
        <f ca="1">IFERROR(__xludf.DUMMYFUNCTION("GOOGLETRANSLATE(C152,""ar"",""en"")"),"420 any")</f>
        <v>420 any</v>
      </c>
    </row>
    <row r="153" spans="1:1" ht="14.4">
      <c r="A153" s="19" t="str">
        <f ca="1">IFERROR(__xludf.DUMMYFUNCTION("GOOGLETRANSLATE(C153,""ar"",""en"")"),"Z 4 20 any")</f>
        <v>Z 4 20 any</v>
      </c>
    </row>
    <row r="154" spans="1:1" ht="14.4">
      <c r="A154" s="19" t="str">
        <f ca="1">IFERROR(__xludf.DUMMYFUNCTION("GOOGLETRANSLATE(C154,""ar"",""en"")"),"540 i")</f>
        <v>540 i</v>
      </c>
    </row>
    <row r="155" spans="1:1" ht="14.4">
      <c r="A155" s="19" t="str">
        <f ca="1">IFERROR(__xludf.DUMMYFUNCTION("GOOGLETRANSLATE(C155,""ar"",""en"")"),"430 any")</f>
        <v>430 any</v>
      </c>
    </row>
    <row r="156" spans="1:1" ht="14.4">
      <c r="A156" s="19" t="str">
        <f ca="1">IFERROR(__xludf.DUMMYFUNCTION("GOOGLETRANSLATE(C156,""ar"",""en"")"),"X2 20 i")</f>
        <v>X2 20 i</v>
      </c>
    </row>
    <row r="157" spans="1:1" ht="14.4">
      <c r="A157" s="19" t="str">
        <f ca="1">IFERROR(__xludf.DUMMYFUNCTION("GOOGLETRANSLATE(C157,""ar"",""en"")"),"750 LI")</f>
        <v>750 LI</v>
      </c>
    </row>
    <row r="158" spans="1:1" ht="14.4">
      <c r="A158" s="19" t="str">
        <f ca="1">IFERROR(__xludf.DUMMYFUNCTION("GOOGLETRANSLATE(C158,""ar"",""en"")"),"320 i")</f>
        <v>320 i</v>
      </c>
    </row>
    <row r="159" spans="1:1" ht="14.4">
      <c r="A159" s="19" t="str">
        <f ca="1">IFERROR(__xludf.DUMMYFUNCTION("GOOGLETRANSLATE(C159,""ar"",""en"")"),"120 i")</f>
        <v>120 i</v>
      </c>
    </row>
    <row r="160" spans="1:1" ht="14.4">
      <c r="A160" s="19" t="str">
        <f ca="1">IFERROR(__xludf.DUMMYFUNCTION("GOOGLETRANSLATE(C160,""ar"",""en"")"),"Mini Cooper S Country Ma")</f>
        <v>Mini Cooper S Country Ma</v>
      </c>
    </row>
    <row r="161" spans="1:1" ht="14.4">
      <c r="A161" s="19" t="str">
        <f ca="1">IFERROR(__xludf.DUMMYFUNCTION("GOOGLETRANSLATE(C161,""ar"",""en"")"),"Umm 5")</f>
        <v>Umm 5</v>
      </c>
    </row>
    <row r="162" spans="1:1" ht="14.4">
      <c r="A162" s="19" t="str">
        <f ca="1">IFERROR(__xludf.DUMMYFUNCTION("GOOGLETRANSLATE(C162,""ar"",""en"")"),"M. 8")</f>
        <v>M. 8</v>
      </c>
    </row>
    <row r="163" spans="1:1" ht="14.4">
      <c r="A163" s="19" t="str">
        <f ca="1">IFERROR(__xludf.DUMMYFUNCTION("GOOGLETRANSLATE(C163,""ar"",""en"")"),"330 i")</f>
        <v>330 i</v>
      </c>
    </row>
    <row r="164" spans="1:1" ht="14.4">
      <c r="A164" s="19" t="str">
        <f ca="1">IFERROR(__xludf.DUMMYFUNCTION("GOOGLETRANSLATE(C164,""ar"",""en"")"),"X1 20 i")</f>
        <v>X1 20 i</v>
      </c>
    </row>
    <row r="165" spans="1:1" ht="14.4">
      <c r="A165" s="19" t="str">
        <f ca="1">IFERROR(__xludf.DUMMYFUNCTION("GOOGLETRANSLATE(C165,""ar"",""en"")"),"Umm 850 i")</f>
        <v>Umm 850 i</v>
      </c>
    </row>
    <row r="166" spans="1:1" ht="14.4">
      <c r="A166" s="19" t="str">
        <f ca="1">IFERROR(__xludf.DUMMYFUNCTION("GOOGLETRANSLATE(C166,""ar"",""en"")"),"Umm 440 i")</f>
        <v>Umm 440 i</v>
      </c>
    </row>
    <row r="167" spans="1:1" ht="14.4">
      <c r="A167" s="19" t="str">
        <f ca="1">IFERROR(__xludf.DUMMYFUNCTION("GOOGLETRANSLATE(C167,""ar"",""en"")"),"218 any")</f>
        <v>218 any</v>
      </c>
    </row>
    <row r="168" spans="1:1" ht="14.4">
      <c r="A168" s="19" t="str">
        <f ca="1">IFERROR(__xludf.DUMMYFUNCTION("GOOGLETRANSLATE(C168,""ar"",""en"")"),"Mini Cooper Club Man")</f>
        <v>Mini Cooper Club Man</v>
      </c>
    </row>
    <row r="169" spans="1:1" ht="14.4">
      <c r="A169" s="19" t="str">
        <f ca="1">IFERROR(__xludf.DUMMYFUNCTION("GOOGLETRANSLATE(C169,""ar"",""en"")"),"Mini John Cooper Worms")</f>
        <v>Mini John Cooper Worms</v>
      </c>
    </row>
    <row r="170" spans="1:1" ht="14.4">
      <c r="A170" s="19" t="str">
        <f ca="1">IFERROR(__xludf.DUMMYFUNCTION("GOOGLETRANSLATE(C170,""ar"",""en"")"),"840 i")</f>
        <v>840 i</v>
      </c>
    </row>
    <row r="171" spans="1:1" ht="14.4">
      <c r="A171" s="19" t="str">
        <f ca="1">IFERROR(__xludf.DUMMYFUNCTION("GOOGLETRANSLATE(C171,""ar"",""en"")"),"X3 30 i")</f>
        <v>X3 30 i</v>
      </c>
    </row>
    <row r="172" spans="1:1" ht="14.4">
      <c r="A172" s="19" t="str">
        <f ca="1">IFERROR(__xludf.DUMMYFUNCTION("GOOGLETRANSLATE(C172,""ar"",""en"")"),"X1 20 i")</f>
        <v>X1 20 i</v>
      </c>
    </row>
    <row r="173" spans="1:1" ht="14.4">
      <c r="A173" s="19" t="str">
        <f ca="1">IFERROR(__xludf.DUMMYFUNCTION("GOOGLETRANSLATE(C173,""ar"",""en"")"),"Mini Cooper S")</f>
        <v>Mini Cooper S</v>
      </c>
    </row>
    <row r="174" spans="1:1" ht="14.4">
      <c r="A174" s="19" t="str">
        <f ca="1">IFERROR(__xludf.DUMMYFUNCTION("GOOGLETRANSLATE(C174,""ar"",""en"")"),"Mini Cooper")</f>
        <v>Mini Cooper</v>
      </c>
    </row>
    <row r="175" spans="1:1" ht="14.4">
      <c r="A175" s="19" t="str">
        <f ca="1">IFERROR(__xludf.DUMMYFUNCTION("GOOGLETRANSLATE(C175,""ar"",""en"")"),"R 18")</f>
        <v>R 18</v>
      </c>
    </row>
    <row r="176" spans="1:1" ht="14.4">
      <c r="A176" s="19" t="str">
        <f ca="1">IFERROR(__xludf.DUMMYFUNCTION("GOOGLETRANSLATE(C176,""ar"",""en"")"),"R1250 GS I built")</f>
        <v>R1250 GS I built</v>
      </c>
    </row>
    <row r="177" spans="1:1" ht="14.4">
      <c r="A177" s="19" t="str">
        <f ca="1">IFERROR(__xludf.DUMMYFUNCTION("GOOGLETRANSLATE(C177,""ar"",""en"")"),"R1250 GS")</f>
        <v>R1250 GS</v>
      </c>
    </row>
    <row r="178" spans="1:1" ht="14.4">
      <c r="A178" s="19" t="str">
        <f ca="1">IFERROR(__xludf.DUMMYFUNCTION("GOOGLETRANSLATE(C178,""ar"",""en"")"),"S 1000 RR")</f>
        <v>S 1000 RR</v>
      </c>
    </row>
    <row r="179" spans="1:1" ht="14.4">
      <c r="A179" s="19" t="str">
        <f ca="1">IFERROR(__xludf.DUMMYFUNCTION("GOOGLETRANSLATE(C179,""ar"",""en"")"),"GT 508")</f>
        <v>GT 508</v>
      </c>
    </row>
    <row r="180" spans="1:1" ht="14.4">
      <c r="A180" s="19" t="str">
        <f ca="1">IFERROR(__xludf.DUMMYFUNCTION("GOOGLETRANSLATE(C180,""ar"",""en"")"),"GT 5008")</f>
        <v>GT 5008</v>
      </c>
    </row>
    <row r="181" spans="1:1" ht="14.4">
      <c r="A181" s="19" t="str">
        <f ca="1">IFERROR(__xludf.DUMMYFUNCTION("GOOGLETRANSLATE(C181,""ar"",""en"")"),"508 GT Line")</f>
        <v>508 GT Line</v>
      </c>
    </row>
    <row r="182" spans="1:1" ht="14.4">
      <c r="A182" s="19" t="str">
        <f ca="1">IFERROR(__xludf.DUMMYFUNCTION("GOOGLETRANSLATE(C182,""ar"",""en"")"),"GT 3008")</f>
        <v>GT 3008</v>
      </c>
    </row>
    <row r="183" spans="1:1" ht="14.4">
      <c r="A183" s="19" t="str">
        <f ca="1">IFERROR(__xludf.DUMMYFUNCTION("GOOGLETRANSLATE(C183,""ar"",""en"")"),"508 Wr")</f>
        <v>508 Wr</v>
      </c>
    </row>
    <row r="184" spans="1:1" ht="14.4">
      <c r="A184" s="19" t="str">
        <f ca="1">IFERROR(__xludf.DUMMYFUNCTION("GOOGLETRANSLATE(C184,""ar"",""en"")"),"Lore 5008")</f>
        <v>Lore 5008</v>
      </c>
    </row>
    <row r="185" spans="1:1" ht="14.4">
      <c r="A185" s="19" t="str">
        <f ca="1">IFERROR(__xludf.DUMMYFUNCTION("GOOGLETRANSLATE(C185,""ar"",""en"")"),"Peugeot 3008 GT Line Hat")</f>
        <v>Peugeot 3008 GT Line Hat</v>
      </c>
    </row>
    <row r="186" spans="1:1" ht="14.4">
      <c r="A186" s="19" t="str">
        <f ca="1">IFERROR(__xludf.DUMMYFUNCTION("GOOGLETRANSLATE(C186,""ar"",""en"")"),"Lore 3008")</f>
        <v>Lore 3008</v>
      </c>
    </row>
    <row r="187" spans="1:1" ht="14.4">
      <c r="A187" s="19" t="str">
        <f ca="1">IFERROR(__xludf.DUMMYFUNCTION("GOOGLETRANSLATE(C187,""ar"",""en"")"),"GT Line 3008")</f>
        <v>GT Line 3008</v>
      </c>
    </row>
    <row r="188" spans="1:1" ht="14.4">
      <c r="A188" s="19" t="str">
        <f ca="1">IFERROR(__xludf.DUMMYFUNCTION("GOOGLETRANSLATE(C188,""ar"",""en"")"),"Activ 3008")</f>
        <v>Activ 3008</v>
      </c>
    </row>
    <row r="189" spans="1:1" ht="14.4">
      <c r="A189" s="19" t="str">
        <f ca="1">IFERROR(__xludf.DUMMYFUNCTION("GOOGLETRANSLATE(C189,""ar"",""en"")"),"Pus")</f>
        <v>Pus</v>
      </c>
    </row>
    <row r="190" spans="1:1" ht="14.4">
      <c r="A190" s="19" t="str">
        <f ca="1">IFERROR(__xludf.DUMMYFUNCTION("GOOGLETRANSLATE(C190,""ar"",""en"")"),"GT 2008")</f>
        <v>GT 2008</v>
      </c>
    </row>
    <row r="191" spans="1:1" ht="14.4">
      <c r="A191" s="19" t="str">
        <f ca="1">IFERROR(__xludf.DUMMYFUNCTION("GOOGLETRANSLATE(C191,""ar"",""en"")"),"Express automatic")</f>
        <v>Express automatic</v>
      </c>
    </row>
    <row r="192" spans="1:1" ht="14.4">
      <c r="A192" s="19" t="str">
        <f ca="1">IFERROR(__xludf.DUMMYFUNCTION("GOOGLETRANSLATE(C192,""ar"",""en"")"),"Lower 2008")</f>
        <v>Lower 2008</v>
      </c>
    </row>
    <row r="193" spans="1:1" ht="14.4">
      <c r="A193" s="19" t="str">
        <f ca="1">IFERROR(__xludf.DUMMYFUNCTION("GOOGLETRANSLATE(C193,""ar"",""en"")"),"Lower 2008")</f>
        <v>Lower 2008</v>
      </c>
    </row>
    <row r="194" spans="1:1" ht="14.4">
      <c r="A194" s="19" t="str">
        <f ca="1">IFERROR(__xludf.DUMMYFUNCTION("GOOGLETRANSLATE(C194,""ar"",""en"")"),"208")</f>
        <v>208</v>
      </c>
    </row>
    <row r="195" spans="1:1" ht="14.4">
      <c r="A195" s="19" t="str">
        <f ca="1">IFERROR(__xludf.DUMMYFUNCTION("GOOGLETRANSLATE(C195,""ar"",""en"")"),"Partner")</f>
        <v>Partner</v>
      </c>
    </row>
    <row r="196" spans="1:1" ht="14.4">
      <c r="A196" s="19" t="str">
        <f ca="1">IFERROR(__xludf.DUMMYFUNCTION("GOOGLETRANSLATE(C196,""ar"",""en"")"),"Molsan iWB")</f>
        <v>Molsan iWB</v>
      </c>
    </row>
    <row r="197" spans="1:1" ht="14.4">
      <c r="A197" s="19" t="str">
        <f ca="1">IFERROR(__xludf.DUMMYFUNCTION("GOOGLETRANSLATE(C197,""ar"",""en"")"),"Fly Speer WD 12")</f>
        <v>Fly Speer WD 12</v>
      </c>
    </row>
    <row r="198" spans="1:1" ht="14.4">
      <c r="A198" s="19" t="str">
        <f ca="1">IFERROR(__xludf.DUMMYFUNCTION("GOOGLETRANSLATE(C198,""ar"",""en"")"),"Continental")</f>
        <v>Continental</v>
      </c>
    </row>
    <row r="199" spans="1:1" ht="14.4">
      <c r="A199" s="19" t="str">
        <f ca="1">IFERROR(__xludf.DUMMYFUNCTION("GOOGLETRANSLATE(C199,""ar"",""en"")"),"Fly Speer in 8S")</f>
        <v>Fly Speer in 8S</v>
      </c>
    </row>
    <row r="200" spans="1:1" ht="14.4">
      <c r="A200" s="19" t="str">
        <f ca="1">IFERROR(__xludf.DUMMYFUNCTION("GOOGLETRANSLATE(C200,""ar"",""en"")"),"Fly Spere in 8")</f>
        <v>Fly Spere in 8</v>
      </c>
    </row>
    <row r="201" spans="1:1" ht="14.4">
      <c r="A201" s="19" t="str">
        <f ca="1">IFERROR(__xludf.DUMMYFUNCTION("GOOGLETRANSLATE(C201,""ar"",""en"")"),"LB or 1618")</f>
        <v>LB or 1618</v>
      </c>
    </row>
    <row r="202" spans="1:1" ht="14.4">
      <c r="A202" s="19" t="str">
        <f ca="1">IFERROR(__xludf.DUMMYFUNCTION("GOOGLETRANSLATE(C202,""ar"",""en"")"),"LB 613")</f>
        <v>LB 613</v>
      </c>
    </row>
    <row r="203" spans="1:1" ht="14.4">
      <c r="A203" s="19" t="str">
        <f ca="1">IFERROR(__xludf.DUMMYFUNCTION("GOOGLETRANSLATE(C203,""ar"",""en"")"),"Ultra 814")</f>
        <v>Ultra 814</v>
      </c>
    </row>
    <row r="204" spans="1:1" ht="14.4">
      <c r="A204" s="19" t="str">
        <f ca="1">IFERROR(__xludf.DUMMYFUNCTION("GOOGLETRANSLATE(C204,""ar"",""en"")"),"Xenon 2.2 liter diesel")</f>
        <v>Xenon 2.2 liter diesel</v>
      </c>
    </row>
    <row r="205" spans="1:1" ht="14.4">
      <c r="A205" s="19" t="str">
        <f ca="1">IFERROR(__xludf.DUMMYFUNCTION("GOOGLETRANSLATE(C205,""ar"",""en"")"),"M8C 4f")</f>
        <v>M8C 4f</v>
      </c>
    </row>
    <row r="206" spans="1:1" ht="14.4">
      <c r="A206" s="19" t="str">
        <f ca="1">IFERROR(__xludf.DUMMYFUNCTION("GOOGLETRANSLATE(C206,""ar"",""en"")"),"LS 500")</f>
        <v>LS 500</v>
      </c>
    </row>
    <row r="207" spans="1:1" ht="14.4">
      <c r="A207" s="19" t="str">
        <f ca="1">IFERROR(__xludf.DUMMYFUNCTION("GOOGLETRANSLATE(C207,""ar"",""en"")"),"Lux 600 3.5 liters pay Lord")</f>
        <v>Lux 600 3.5 liters pay Lord</v>
      </c>
    </row>
    <row r="208" spans="1:1" ht="14.4">
      <c r="A208" s="19" t="str">
        <f ca="1">IFERROR(__xludf.DUMMYFUNCTION("GOOGLETRANSLATE(C208,""ar"",""en"")"),"LS 500H")</f>
        <v>LS 500H</v>
      </c>
    </row>
    <row r="209" spans="1:1" ht="14.4">
      <c r="A209" s="19" t="str">
        <f ca="1">IFERROR(__xludf.DUMMYFUNCTION("GOOGLETRANSLATE(C209,""ar"",""en"")"),"Lux 600 3.5 liters pay usury")</f>
        <v>Lux 600 3.5 liters pay usury</v>
      </c>
    </row>
    <row r="210" spans="1:1" ht="14.4">
      <c r="A210" s="19" t="str">
        <f ca="1">IFERROR(__xludf.DUMMYFUNCTION("GOOGLETRANSLATE(C210,""ar"",""en"")"),"LX 450 diesel")</f>
        <v>LX 450 diesel</v>
      </c>
    </row>
    <row r="211" spans="1:1" ht="14.4">
      <c r="A211" s="19" t="str">
        <f ca="1">IFERROR(__xludf.DUMMYFUNCTION("GOOGLETRANSLATE(C211,""ar"",""en"")"),"570 LX")</f>
        <v>570 LX</v>
      </c>
    </row>
    <row r="212" spans="1:1" ht="14.4">
      <c r="A212" s="19" t="str">
        <f ca="1">IFERROR(__xludf.DUMMYFUNCTION("GOOGLETRANSLATE(C212,""ar"",""en"")"),"LS 350")</f>
        <v>LS 350</v>
      </c>
    </row>
    <row r="213" spans="1:1" ht="14.4">
      <c r="A213" s="19" t="str">
        <f ca="1">IFERROR(__xludf.DUMMYFUNCTION("GOOGLETRANSLATE(C213,""ar"",""en"")"),"In XR")</f>
        <v>In XR</v>
      </c>
    </row>
    <row r="214" spans="1:1" ht="14.4">
      <c r="A214" s="19" t="str">
        <f ca="1">IFERROR(__xludf.DUMMYFUNCTION("GOOGLETRANSLATE(C214,""ar"",""en"")"),"RX 450 HL")</f>
        <v>RX 450 HL</v>
      </c>
    </row>
    <row r="215" spans="1:1" ht="14.4">
      <c r="A215" s="19" t="str">
        <f ca="1">IFERROR(__xludf.DUMMYFUNCTION("GOOGLETRANSLATE(C215,""ar"",""en"")"),"GS 450H")</f>
        <v>GS 450H</v>
      </c>
    </row>
    <row r="216" spans="1:1" ht="14.4">
      <c r="A216" s="19" t="str">
        <f ca="1">IFERROR(__xludf.DUMMYFUNCTION("GOOGLETRANSLATE(C216,""ar"",""en"")"),"RX 450H")</f>
        <v>RX 450H</v>
      </c>
    </row>
    <row r="217" spans="1:1" ht="14.4">
      <c r="A217" s="19" t="str">
        <f ca="1">IFERROR(__xludf.DUMMYFUNCTION("GOOGLETRANSLATE(C217,""ar"",""en"")"),"GS 350")</f>
        <v>GS 350</v>
      </c>
    </row>
    <row r="218" spans="1:1" ht="14.4">
      <c r="A218" s="19" t="str">
        <f ca="1">IFERROR(__xludf.DUMMYFUNCTION("GOOGLETRANSLATE(C218,""ar"",""en"")"),"RX 350 th")</f>
        <v>RX 350 th</v>
      </c>
    </row>
    <row r="219" spans="1:1" ht="14.4">
      <c r="A219" s="19" t="str">
        <f ca="1">IFERROR(__xludf.DUMMYFUNCTION("GOOGLETRANSLATE(C219,""ar"",""en"")"),"RX 350 pockets")</f>
        <v>RX 350 pockets</v>
      </c>
    </row>
    <row r="220" spans="1:1" ht="14.4">
      <c r="A220" s="19" t="str">
        <f ca="1">IFERROR(__xludf.DUMMYFUNCTION("GOOGLETRANSLATE(C220,""ar"",""en"")"),"GXR")</f>
        <v>GXR</v>
      </c>
    </row>
    <row r="221" spans="1:1" ht="14.4">
      <c r="A221" s="19" t="str">
        <f ca="1">IFERROR(__xludf.DUMMYFUNCTION("GOOGLETRANSLATE(C221,""ar"",""en"")"),"GX 460 460 liters")</f>
        <v>GX 460 460 liters</v>
      </c>
    </row>
    <row r="222" spans="1:1" ht="14.4">
      <c r="A222" s="19" t="str">
        <f ca="1">IFERROR(__xludf.DUMMYFUNCTION("GOOGLETRANSLATE(C222,""ar"",""en"")"),"Land Cruiser gasoline 3.5 l")</f>
        <v>Land Cruiser gasoline 3.5 l</v>
      </c>
    </row>
    <row r="223" spans="1:1" ht="14.4">
      <c r="A223" s="19" t="str">
        <f ca="1">IFERROR(__xludf.DUMMYFUNCTION("GOOGLETRANSLATE(C223,""ar"",""en"")"),"GXR 3")</f>
        <v>GXR 3</v>
      </c>
    </row>
    <row r="224" spans="1:1" ht="14.4">
      <c r="A224" s="19" t="str">
        <f ca="1">IFERROR(__xludf.DUMMYFUNCTION("GOOGLETRANSLATE(C224,""ar"",""en"")"),"AS 350")</f>
        <v>AS 350</v>
      </c>
    </row>
    <row r="225" spans="1:1" ht="14.4">
      <c r="A225" s="19" t="str">
        <f ca="1">IFERROR(__xludf.DUMMYFUNCTION("GOOGLETRANSLATE(C225,""ar"",""en"")"),"Land Cruiser 3.3 liters pay Lord")</f>
        <v>Land Cruiser 3.3 liters pay Lord</v>
      </c>
    </row>
    <row r="226" spans="1:1" ht="14.4">
      <c r="A226" s="19" t="str">
        <f ca="1">IFERROR(__xludf.DUMMYFUNCTION("GOOGLETRANSLATE(C226,""ar"",""en"")"),"Land Cruiser 3.4 liters diesel d")</f>
        <v>Land Cruiser 3.4 liters diesel d</v>
      </c>
    </row>
    <row r="227" spans="1:1" ht="14.4">
      <c r="A227" s="19" t="str">
        <f ca="1">IFERROR(__xludf.DUMMYFUNCTION("GOOGLETRANSLATE(C227,""ar"",""en"")"),"Land Cruiser 3.3 liters R.")</f>
        <v>Land Cruiser 3.3 liters R.</v>
      </c>
    </row>
    <row r="228" spans="1:1" ht="14.4">
      <c r="A228" s="19" t="str">
        <f ca="1">IFERROR(__xludf.DUMMYFUNCTION("GOOGLETRANSLATE(C228,""ar"",""en"")"),"Super")</f>
        <v>Super</v>
      </c>
    </row>
    <row r="229" spans="1:1" ht="14.4">
      <c r="A229" s="19" t="str">
        <f ca="1">IFERROR(__xludf.DUMMYFUNCTION("GOOGLETRANSLATE(C229,""ar"",""en"")"),"Inc")</f>
        <v>Inc</v>
      </c>
    </row>
    <row r="230" spans="1:1" ht="14.4">
      <c r="A230" s="19" t="str">
        <f ca="1">IFERROR(__xludf.DUMMYFUNCTION("GOOGLETRANSLATE(C230,""ar"",""en"")"),"GXR Diesel")</f>
        <v>GXR Diesel</v>
      </c>
    </row>
    <row r="231" spans="1:1" ht="14.4">
      <c r="A231" s="19" t="str">
        <f ca="1">IFERROR(__xludf.DUMMYFUNCTION("GOOGLETRANSLATE(C231,""ar"",""en"")"),"RX 350")</f>
        <v>RX 350</v>
      </c>
    </row>
    <row r="232" spans="1:1" ht="14.4">
      <c r="A232" s="19" t="str">
        <f ca="1">IFERROR(__xludf.DUMMYFUNCTION("GOOGLETRANSLATE(C232,""ar"",""en"")"),"GXR 2")</f>
        <v>GXR 2</v>
      </c>
    </row>
    <row r="233" spans="1:1" ht="14.4">
      <c r="A233" s="19" t="str">
        <f ca="1">IFERROR(__xludf.DUMMYFUNCTION("GOOGLETRANSLATE(C233,""ar"",""en"")"),"Prado in X")</f>
        <v>Prado in X</v>
      </c>
    </row>
    <row r="234" spans="1:1" ht="14.4">
      <c r="A234" s="19" t="str">
        <f ca="1">IFERROR(__xludf.DUMMYFUNCTION("GOOGLETRANSLATE(C234,""ar"",""en"")"),"Coster")</f>
        <v>Coster</v>
      </c>
    </row>
    <row r="235" spans="1:1" ht="14.4">
      <c r="A235" s="19" t="str">
        <f ca="1">IFERROR(__xludf.DUMMYFUNCTION("GOOGLETRANSLATE(C235,""ar"",""en"")"),"Granavia 3.5 liters pushed behind")</f>
        <v>Granavia 3.5 liters pushed behind</v>
      </c>
    </row>
    <row r="236" spans="1:1" ht="14.4">
      <c r="A236" s="19" t="str">
        <f ca="1">IFERROR(__xludf.DUMMYFUNCTION("GOOGLETRANSLATE(C236,""ar"",""en"")"),"Land Cruiser")</f>
        <v>Land Cruiser</v>
      </c>
    </row>
    <row r="237" spans="1:1" ht="14.4">
      <c r="A237" s="19" t="str">
        <f ca="1">IFERROR(__xludf.DUMMYFUNCTION("GOOGLETRANSLATE(C237,""ar"",""en"")"),"An X 350 is four -wheel drive")</f>
        <v>An X 350 is four -wheel drive</v>
      </c>
    </row>
    <row r="238" spans="1:1" ht="14.4">
      <c r="A238" s="19" t="str">
        <f ca="1">IFERROR(__xludf.DUMMYFUNCTION("GOOGLETRANSLATE(C238,""ar"",""en"")"),"GXR 1")</f>
        <v>GXR 1</v>
      </c>
    </row>
    <row r="239" spans="1:1" ht="14.4">
      <c r="A239" s="19" t="str">
        <f ca="1">IFERROR(__xludf.DUMMYFUNCTION("GOOGLETRANSLATE(C239,""ar"",""en"")"),"IS 350")</f>
        <v>IS 350</v>
      </c>
    </row>
    <row r="240" spans="1:1" ht="14.4">
      <c r="A240" s="19" t="str">
        <f ca="1">IFERROR(__xludf.DUMMYFUNCTION("GOOGLETRANSLATE(C240,""ar"",""en"")"),"IS 300 H Hybrid")</f>
        <v>IS 300 H Hybrid</v>
      </c>
    </row>
    <row r="241" spans="1:1" ht="14.4">
      <c r="A241" s="19" t="str">
        <f ca="1">IFERROR(__xludf.DUMMYFUNCTION("GOOGLETRANSLATE(C241,""ar"",""en"")"),"Hailander Hybrid Pay R.")</f>
        <v>Hailander Hybrid Pay R.</v>
      </c>
    </row>
    <row r="242" spans="1:1" ht="14.4">
      <c r="A242" s="19" t="str">
        <f ca="1">IFERROR(__xludf.DUMMYFUNCTION("GOOGLETRANSLATE(C242,""ar"",""en"")"),"Inc 300")</f>
        <v>Inc 300</v>
      </c>
    </row>
    <row r="243" spans="1:1" ht="14.4">
      <c r="A243" s="19" t="str">
        <f ca="1">IFERROR(__xludf.DUMMYFUNCTION("GOOGLETRANSLATE(C243,""ar"",""en"")"),"Prado TX does")</f>
        <v>Prado TX does</v>
      </c>
    </row>
    <row r="244" spans="1:1" ht="14.4">
      <c r="A244" s="19" t="str">
        <f ca="1">IFERROR(__xludf.DUMMYFUNCTION("GOOGLETRANSLATE(C244,""ar"",""en"")"),"IS 250")</f>
        <v>IS 250</v>
      </c>
    </row>
    <row r="245" spans="1:1" ht="14.4">
      <c r="A245" s="19" t="str">
        <f ca="1">IFERROR(__xludf.DUMMYFUNCTION("GOOGLETRANSLATE(C245,""ar"",""en"")"),"Prado 2.8 liter diesel payment")</f>
        <v>Prado 2.8 liter diesel payment</v>
      </c>
    </row>
    <row r="246" spans="1:1" ht="14.4">
      <c r="A246" s="19" t="str">
        <f ca="1">IFERROR(__xludf.DUMMYFUNCTION("GOOGLETRANSLATE(C246,""ar"",""en"")"),"Fortnar")</f>
        <v>Fortnar</v>
      </c>
    </row>
    <row r="247" spans="1:1" ht="14.4">
      <c r="A247" s="19" t="str">
        <f ca="1">IFERROR(__xludf.DUMMYFUNCTION("GOOGLETRANSLATE(C247,""ar"",""en"")"),"TX Diesel")</f>
        <v>TX Diesel</v>
      </c>
    </row>
    <row r="248" spans="1:1" ht="14.4">
      <c r="A248" s="19" t="str">
        <f ca="1">IFERROR(__xludf.DUMMYFUNCTION("GOOGLETRANSLATE(C248,""ar"",""en"")"),"Land Cruiser Prado Pay R.")</f>
        <v>Land Cruiser Prado Pay R.</v>
      </c>
    </row>
    <row r="249" spans="1:1" ht="14.4">
      <c r="A249" s="19" t="str">
        <f ca="1">IFERROR(__xludf.DUMMYFUNCTION("GOOGLETRANSLATE(C249,""ar"",""en"")"),"Land Cruiser Prado")</f>
        <v>Land Cruiser Prado</v>
      </c>
    </row>
    <row r="250" spans="1:1" ht="14.4">
      <c r="A250" s="19" t="str">
        <f ca="1">IFERROR(__xludf.DUMMYFUNCTION("GOOGLETRANSLATE(C250,""ar"",""en"")"),"IS 300")</f>
        <v>IS 300</v>
      </c>
    </row>
    <row r="251" spans="1:1" ht="14.4">
      <c r="A251" s="19" t="str">
        <f ca="1">IFERROR(__xludf.DUMMYFUNCTION("GOOGLETRANSLATE(C251,""ar"",""en"")"),"Prado TXL")</f>
        <v>Prado TXL</v>
      </c>
    </row>
    <row r="252" spans="1:1" ht="14.4">
      <c r="A252" s="19" t="str">
        <f ca="1">IFERROR(__xludf.DUMMYFUNCTION("GOOGLETRANSLATE(C252,""ar"",""en"")"),"In X")</f>
        <v>In X</v>
      </c>
    </row>
    <row r="253" spans="1:1" ht="14.4">
      <c r="A253" s="19" t="str">
        <f ca="1">IFERROR(__xludf.DUMMYFUNCTION("GOOGLETRANSLATE(C253,""ar"",""en"")"),"Land Cruiser is normal diesel")</f>
        <v>Land Cruiser is normal diesel</v>
      </c>
    </row>
    <row r="254" spans="1:1" ht="14.4">
      <c r="A254" s="19" t="str">
        <f ca="1">IFERROR(__xludf.DUMMYFUNCTION("GOOGLETRANSLATE(C254,""ar"",""en"")"),"UX 200")</f>
        <v>UX 200</v>
      </c>
    </row>
    <row r="255" spans="1:1" ht="14.4">
      <c r="A255" s="19" t="str">
        <f ca="1">IFERROR(__xludf.DUMMYFUNCTION("GOOGLETRANSLATE(C255,""ar"",""en"")"),"Limited")</f>
        <v>Limited</v>
      </c>
    </row>
    <row r="256" spans="1:1" ht="14.4">
      <c r="A256" s="19" t="str">
        <f ca="1">IFERROR(__xludf.DUMMYFUNCTION("GOOGLETRANSLATE(C256,""ar"",""en"")"),"Hayes automatic")</f>
        <v>Hayes automatic</v>
      </c>
    </row>
    <row r="257" spans="1:1" ht="14.4">
      <c r="A257" s="19" t="str">
        <f ca="1">IFERROR(__xludf.DUMMYFUNCTION("GOOGLETRANSLATE(C257,""ar"",""en"")"),"Land Cruiser Prado Pay R.")</f>
        <v>Land Cruiser Prado Pay R.</v>
      </c>
    </row>
    <row r="258" spans="1:1" ht="14.4">
      <c r="A258" s="19" t="str">
        <f ca="1">IFERROR(__xludf.DUMMYFUNCTION("GOOGLETRANSLATE(C258,""ar"",""en"")"),"Fortuner four -wheel drive 2.8 l")</f>
        <v>Fortuner four -wheel drive 2.8 l</v>
      </c>
    </row>
    <row r="259" spans="1:1" ht="14.4">
      <c r="A259" s="19" t="str">
        <f ca="1">IFERROR(__xludf.DUMMYFUNCTION("GOOGLETRANSLATE(C259,""ar"",""en"")"),"In X2")</f>
        <v>In X2</v>
      </c>
    </row>
    <row r="260" spans="1:1" ht="14.4">
      <c r="A260" s="19" t="str">
        <f ca="1">IFERROR(__xludf.DUMMYFUNCTION("GOOGLETRANSLATE(C260,""ar"",""en"")"),"Prado TX")</f>
        <v>Prado TX</v>
      </c>
    </row>
    <row r="261" spans="1:1" ht="14.4">
      <c r="A261" s="19" t="str">
        <f ca="1">IFERROR(__xludf.DUMMYFUNCTION("GOOGLETRANSLATE(C261,""ar"",""en"")"),"Hilux four -wheel drive Ban")</f>
        <v>Hilux four -wheel drive Ban</v>
      </c>
    </row>
    <row r="262" spans="1:1" ht="14.4">
      <c r="A262" s="19" t="str">
        <f ca="1">IFERROR(__xludf.DUMMYFUNCTION("GOOGLETRANSLATE(C262,""ar"",""en"")"),"Hailander Hybrid Pay R.")</f>
        <v>Hailander Hybrid Pay R.</v>
      </c>
    </row>
    <row r="263" spans="1:1" ht="14.4">
      <c r="A263" s="19" t="str">
        <f ca="1">IFERROR(__xludf.DUMMYFUNCTION("GOOGLETRANSLATE(C263,""ar"",""en"")"),"Fortuner four -liter payment 4 liters")</f>
        <v>Fortuner four -liter payment 4 liters</v>
      </c>
    </row>
    <row r="264" spans="1:1" ht="14.4">
      <c r="A264" s="19" t="str">
        <f ca="1">IFERROR(__xludf.DUMMYFUNCTION("GOOGLETRANSLATE(C264,""ar"",""en"")"),"In X1")</f>
        <v>In X1</v>
      </c>
    </row>
    <row r="265" spans="1:1" ht="14.4">
      <c r="A265" s="19" t="str">
        <f ca="1">IFERROR(__xludf.DUMMYFUNCTION("GOOGLETRANSLATE(C265,""ar"",""en"")"),"Land Cruiser is normal diesel")</f>
        <v>Land Cruiser is normal diesel</v>
      </c>
    </row>
    <row r="266" spans="1:1" ht="14.4">
      <c r="A266" s="19" t="str">
        <f ca="1">IFERROR(__xludf.DUMMYFUNCTION("GOOGLETRANSLATE(C266,""ar"",""en"")"),"FJ Cruiser")</f>
        <v>FJ Cruiser</v>
      </c>
    </row>
    <row r="267" spans="1:1" ht="14.4">
      <c r="A267" s="19" t="str">
        <f ca="1">IFERROR(__xludf.DUMMYFUNCTION("GOOGLETRANSLATE(C267,""ar"",""en"")"),"Hailander Hybrid pushed a")</f>
        <v>Hailander Hybrid pushed a</v>
      </c>
    </row>
    <row r="268" spans="1:1" ht="14.4">
      <c r="A268" s="19" t="str">
        <f ca="1">IFERROR(__xludf.DUMMYFUNCTION("GOOGLETRANSLATE(C268,""ar"",""en"")"),"Hayes Hands")</f>
        <v>Hayes Hands</v>
      </c>
    </row>
    <row r="269" spans="1:1" ht="14.4">
      <c r="A269" s="19" t="str">
        <f ca="1">IFERROR(__xludf.DUMMYFUNCTION("GOOGLETRANSLATE(C269,""ar"",""en"")"),"TRD")</f>
        <v>TRD</v>
      </c>
    </row>
    <row r="270" spans="1:1" ht="14.4">
      <c r="A270" s="19" t="str">
        <f ca="1">IFERROR(__xludf.DUMMYFUNCTION("GOOGLETRANSLATE(C270,""ar"",""en"")"),"Fortnar 2.4 liters of four -wheel drive")</f>
        <v>Fortnar 2.4 liters of four -wheel drive</v>
      </c>
    </row>
    <row r="271" spans="1:1" ht="14.4">
      <c r="A271" s="19" t="str">
        <f ca="1">IFERROR(__xludf.DUMMYFUNCTION("GOOGLETRANSLATE(C271,""ar"",""en"")"),"The 45 DF8")</f>
        <v>The 45 DF8</v>
      </c>
    </row>
    <row r="272" spans="1:1" ht="14.4">
      <c r="A272" s="19" t="str">
        <f ca="1">IFERROR(__xludf.DUMMYFUNCTION("GOOGLETRANSLATE(C272,""ar"",""en"")"),"Hayes 4*2")</f>
        <v>Hayes 4*2</v>
      </c>
    </row>
    <row r="273" spans="1:1" ht="14.4">
      <c r="A273" s="19" t="str">
        <f ca="1">IFERROR(__xludf.DUMMYFUNCTION("GOOGLETRANSLATE(C273,""ar"",""en"")"),"Super GLX")</f>
        <v>Super GLX</v>
      </c>
    </row>
    <row r="274" spans="1:1" ht="14.4">
      <c r="A274" s="19" t="str">
        <f ca="1">IFERROR(__xludf.DUMMYFUNCTION("GOOGLETRANSLATE(C274,""ar"",""en"")"),"Avalon 3.5 liters")</f>
        <v>Avalon 3.5 liters</v>
      </c>
    </row>
    <row r="275" spans="1:1" ht="14.4">
      <c r="A275" s="19" t="str">
        <f ca="1">IFERROR(__xludf.DUMMYFUNCTION("GOOGLETRANSLATE(C275,""ar"",""en"")"),"Hayes Gear automatic")</f>
        <v>Hayes Gear automatic</v>
      </c>
    </row>
    <row r="276" spans="1:1" ht="14.4">
      <c r="A276" s="19" t="str">
        <f ca="1">IFERROR(__xludf.DUMMYFUNCTION("GOOGLETRANSLATE(C276,""ar"",""en"")"),"Land Cruiser Pickup Benzi")</f>
        <v>Land Cruiser Pickup Benzi</v>
      </c>
    </row>
    <row r="277" spans="1:1" ht="14.4">
      <c r="A277" s="19" t="str">
        <f ca="1">IFERROR(__xludf.DUMMYFUNCTION("GOOGLETRANSLATE(C277,""ar"",""en"")"),"Super GLX 2.4 Atoma")</f>
        <v>Super GLX 2.4 Atoma</v>
      </c>
    </row>
    <row r="278" spans="1:1" ht="14.4">
      <c r="A278" s="19" t="str">
        <f ca="1">IFERROR(__xludf.DUMMYFUNCTION("GOOGLETRANSLATE(C278,""ar"",""en"")"),"Hi S high roof 2.8 liters d")</f>
        <v>Hi S high roof 2.8 liters d</v>
      </c>
    </row>
    <row r="279" spans="1:1" ht="14.4">
      <c r="A279" s="19" t="str">
        <f ca="1">IFERROR(__xludf.DUMMYFUNCTION("GOOGLETRANSLATE(C279,""ar"",""en"")"),"Hess")</f>
        <v>Hess</v>
      </c>
    </row>
    <row r="280" spans="1:1" ht="14.4">
      <c r="A280" s="19" t="str">
        <f ca="1">IFERROR(__xludf.DUMMYFUNCTION("GOOGLETRANSLATE(C280,""ar"",""en"")"),"Deluxe long")</f>
        <v>Deluxe long</v>
      </c>
    </row>
    <row r="281" spans="1:1" ht="14.4">
      <c r="A281" s="19" t="str">
        <f ca="1">IFERROR(__xludf.DUMMYFUNCTION("GOOGLETRANSLATE(C281,""ar"",""en"")"),"GX 1")</f>
        <v>GX 1</v>
      </c>
    </row>
    <row r="282" spans="1:1" ht="14.4">
      <c r="A282" s="19" t="str">
        <f ca="1">IFERROR(__xludf.DUMMYFUNCTION("GOOGLETRANSLATE(C282,""ar"",""en"")"),"Fortuner four -wheel drive")</f>
        <v>Fortuner four -wheel drive</v>
      </c>
    </row>
    <row r="283" spans="1:1" ht="14.4">
      <c r="A283" s="19" t="str">
        <f ca="1">IFERROR(__xludf.DUMMYFUNCTION("GOOGLETRANSLATE(C283,""ar"",""en"")"),"Land Cruiser")</f>
        <v>Land Cruiser</v>
      </c>
    </row>
    <row r="284" spans="1:1" ht="14.4">
      <c r="A284" s="19" t="str">
        <f ca="1">IFERROR(__xludf.DUMMYFUNCTION("GOOGLETRANSLATE(C284,""ar"",""en"")"),"Fortuner four -wheel drive 2.7 l")</f>
        <v>Fortuner four -wheel drive 2.7 l</v>
      </c>
    </row>
    <row r="285" spans="1:1" ht="14.4">
      <c r="A285" s="19" t="str">
        <f ca="1">IFERROR(__xludf.DUMMYFUNCTION("GOOGLETRANSLATE(C285,""ar"",""en"")"),"2.4 Super GLX Rus R.")</f>
        <v>2.4 Super GLX Rus R.</v>
      </c>
    </row>
    <row r="286" spans="1:1" ht="14.4">
      <c r="A286" s="19" t="str">
        <f ca="1">IFERROR(__xludf.DUMMYFUNCTION("GOOGLETRANSLATE(C286,""ar"",""en"")"),"Hilux 2.7 liter petrol d")</f>
        <v>Hilux 2.7 liter petrol d</v>
      </c>
    </row>
    <row r="287" spans="1:1" ht="14.4">
      <c r="A287" s="19" t="str">
        <f ca="1">IFERROR(__xludf.DUMMYFUNCTION("GOOGLETRANSLATE(C287,""ar"",""en"")"),"Hi S 2.8 liter rear -wheel drive")</f>
        <v>Hi S 2.8 liter rear -wheel drive</v>
      </c>
    </row>
    <row r="288" spans="1:1" ht="14.4">
      <c r="A288" s="19" t="str">
        <f ca="1">IFERROR(__xludf.DUMMYFUNCTION("GOOGLETRANSLATE(C288,""ar"",""en"")"),"Fortnar 4*4")</f>
        <v>Fortnar 4*4</v>
      </c>
    </row>
    <row r="289" spans="1:1" ht="14.4">
      <c r="A289" s="19" t="str">
        <f ca="1">IFERROR(__xludf.DUMMYFUNCTION("GOOGLETRANSLATE(C289,""ar"",""en"")"),"X Sidan")</f>
        <v>X Sidan</v>
      </c>
    </row>
    <row r="290" spans="1:1" ht="14.4">
      <c r="A290" s="19" t="str">
        <f ca="1">IFERROR(__xludf.DUMMYFUNCTION("GOOGLETRANSLATE(C290,""ar"",""en"")"),"Camry 3.5 liters")</f>
        <v>Camry 3.5 liters</v>
      </c>
    </row>
    <row r="291" spans="1:1" ht="14.4">
      <c r="A291" s="19" t="str">
        <f ca="1">IFERROR(__xludf.DUMMYFUNCTION("GOOGLETRANSLATE(C291,""ar"",""en"")"),"short")</f>
        <v>short</v>
      </c>
    </row>
    <row r="292" spans="1:1" ht="14.4">
      <c r="A292" s="19" t="str">
        <f ca="1">IFERROR(__xludf.DUMMYFUNCTION("GOOGLETRANSLATE(C292,""ar"",""en"")"),"2.7 Super GLX Rus R.")</f>
        <v>2.7 Super GLX Rus R.</v>
      </c>
    </row>
    <row r="293" spans="1:1" ht="14.4">
      <c r="A293" s="19" t="str">
        <f ca="1">IFERROR(__xludf.DUMMYFUNCTION("GOOGLETRANSLATE(C293,""ar"",""en"")"),"Land Cruiser 4 liters normal b")</f>
        <v>Land Cruiser 4 liters normal b</v>
      </c>
    </row>
    <row r="294" spans="1:1" ht="14.4">
      <c r="A294" s="19" t="str">
        <f ca="1">IFERROR(__xludf.DUMMYFUNCTION("GOOGLETRANSLATE(C294,""ar"",""en"")"),"Cub")</f>
        <v>Cub</v>
      </c>
    </row>
    <row r="295" spans="1:1" ht="14.4">
      <c r="A295" s="19" t="str">
        <f ca="1">IFERROR(__xludf.DUMMYFUNCTION("GOOGLETRANSLATE(C295,""ar"",""en"")"),"Hilux four -wheel drive Ban")</f>
        <v>Hilux four -wheel drive Ban</v>
      </c>
    </row>
    <row r="296" spans="1:1" ht="14.4">
      <c r="A296" s="19" t="str">
        <f ca="1">IFERROR(__xludf.DUMMYFUNCTION("GOOGLETRANSLATE(C296,""ar"",""en"")"),"Swimming automatic payment b")</f>
        <v>Swimming automatic payment b</v>
      </c>
    </row>
    <row r="297" spans="1:1" ht="14.4">
      <c r="A297" s="19" t="str">
        <f ca="1">IFERROR(__xludf.DUMMYFUNCTION("GOOGLETRANSLATE(C297,""ar"",""en"")"),"Rav for 2.5 Hybrid Pay R.")</f>
        <v>Rav for 2.5 Hybrid Pay R.</v>
      </c>
    </row>
    <row r="298" spans="1:1" ht="14.4">
      <c r="A298" s="19" t="str">
        <f ca="1">IFERROR(__xludf.DUMMYFUNCTION("GOOGLETRANSLATE(C298,""ar"",""en"")"),"Fortuner Back Pay 2.7 LT")</f>
        <v>Fortuner Back Pay 2.7 LT</v>
      </c>
    </row>
    <row r="299" spans="1:1" ht="14.4">
      <c r="A299" s="19" t="str">
        <f ca="1">IFERROR(__xludf.DUMMYFUNCTION("GOOGLETRANSLATE(C299,""ar"",""en"")"),"Fortnar SUV Diesel")</f>
        <v>Fortnar SUV Diesel</v>
      </c>
    </row>
    <row r="300" spans="1:1" ht="14.4">
      <c r="A300" s="19" t="str">
        <f ca="1">IFERROR(__xludf.DUMMYFUNCTION("GOOGLETRANSLATE(C300,""ar"",""en"")"),"High ceiling")</f>
        <v>High ceiling</v>
      </c>
    </row>
    <row r="301" spans="1:1" ht="14.4">
      <c r="A301" s="19" t="str">
        <f ca="1">IFERROR(__xludf.DUMMYFUNCTION("GOOGLETRANSLATE(C301,""ar"",""en"")"),"GX 2")</f>
        <v>GX 2</v>
      </c>
    </row>
    <row r="302" spans="1:1" ht="14.4">
      <c r="A302" s="19" t="str">
        <f ca="1">IFERROR(__xludf.DUMMYFUNCTION("GOOGLETRANSLATE(C302,""ar"",""en"")"),"Rav for 2.5 liters of gasoline")</f>
        <v>Rav for 2.5 liters of gasoline</v>
      </c>
    </row>
    <row r="303" spans="1:1" ht="14.4">
      <c r="A303" s="19" t="str">
        <f ca="1">IFERROR(__xludf.DUMMYFUNCTION("GOOGLETRANSLATE(C303,""ar"",""en"")"),"Hi S 2.8 liter rear -wheel drive e")</f>
        <v>Hi S 2.8 liter rear -wheel drive e</v>
      </c>
    </row>
    <row r="304" spans="1:1" ht="14.4">
      <c r="A304" s="19" t="str">
        <f ca="1">IFERROR(__xludf.DUMMYFUNCTION("GOOGLETRANSLATE(C304,""ar"",""en"")"),"Hilux 2.8 liter diesel payment")</f>
        <v>Hilux 2.8 liter diesel payment</v>
      </c>
    </row>
    <row r="305" spans="1:1" ht="14.4">
      <c r="A305" s="19" t="str">
        <f ca="1">IFERROR(__xludf.DUMMYFUNCTION("GOOGLETRANSLATE(C305,""ar"",""en"")"),"Jeep 4*2 automatic")</f>
        <v>Jeep 4*2 automatic</v>
      </c>
    </row>
    <row r="306" spans="1:1" ht="14.4">
      <c r="A306" s="19" t="str">
        <f ca="1">IFERROR(__xludf.DUMMYFUNCTION("GOOGLETRANSLATE(C306,""ar"",""en"")"),"Anofa Pay Diesel 2.8")</f>
        <v>Anofa Pay Diesel 2.8</v>
      </c>
    </row>
    <row r="307" spans="1:1" ht="14.4">
      <c r="A307" s="19" t="str">
        <f ca="1">IFERROR(__xludf.DUMMYFUNCTION("GOOGLETRANSLATE(C307,""ar"",""en"")"),"Anova 2.8 liters")</f>
        <v>Anova 2.8 liters</v>
      </c>
    </row>
    <row r="308" spans="1:1" ht="14.4">
      <c r="A308" s="19" t="str">
        <f ca="1">IFERROR(__xludf.DUMMYFUNCTION("GOOGLETRANSLATE(C308,""ar"",""en"")"),"XL")</f>
        <v>XL</v>
      </c>
    </row>
    <row r="309" spans="1:1" ht="14.4">
      <c r="A309" s="19" t="str">
        <f ca="1">IFERROR(__xludf.DUMMYFUNCTION("GOOGLETRANSLATE(C309,""ar"",""en"")"),"Hilux four -wheel drive dies")</f>
        <v>Hilux four -wheel drive dies</v>
      </c>
    </row>
    <row r="310" spans="1:1" ht="14.4">
      <c r="A310" s="19" t="str">
        <f ca="1">IFERROR(__xludf.DUMMYFUNCTION("GOOGLETRANSLATE(C310,""ar"",""en"")"),"GL 2")</f>
        <v>GL 2</v>
      </c>
    </row>
    <row r="311" spans="1:1" ht="14.4">
      <c r="A311" s="19" t="str">
        <f ca="1">IFERROR(__xludf.DUMMYFUNCTION("GOOGLETRANSLATE(C311,""ar"",""en"")"),"Hilux 2.8 liter diesel")</f>
        <v>Hilux 2.8 liter diesel</v>
      </c>
    </row>
    <row r="312" spans="1:1" ht="14.4">
      <c r="A312" s="19" t="str">
        <f ca="1">IFERROR(__xludf.DUMMYFUNCTION("GOOGLETRANSLATE(C312,""ar"",""en"")"),"RAF for Hybrid 2.5 liters of Daf")</f>
        <v>RAF for Hybrid 2.5 liters of Daf</v>
      </c>
    </row>
    <row r="313" spans="1:1" ht="14.4">
      <c r="A313" s="19" t="str">
        <f ca="1">IFERROR(__xludf.DUMMYFUNCTION("GOOGLETRANSLATE(C313,""ar"",""en"")"),"Anofa pushed back from gasoline 2.")</f>
        <v>Anofa pushed back from gasoline 2.</v>
      </c>
    </row>
    <row r="314" spans="1:1" ht="14.4">
      <c r="A314" s="19" t="str">
        <f ca="1">IFERROR(__xludf.DUMMYFUNCTION("GOOGLETRANSLATE(C314,""ar"",""en"")"),"Innova")</f>
        <v>Innova</v>
      </c>
    </row>
    <row r="315" spans="1:1" ht="14.4">
      <c r="A315" s="19" t="str">
        <f ca="1">IFERROR(__xludf.DUMMYFUNCTION("GOOGLETRANSLATE(C315,""ar"",""en"")"),"Corolla Cross 1.8 liters Hap")</f>
        <v>Corolla Cross 1.8 liters Hap</v>
      </c>
    </row>
    <row r="316" spans="1:1" ht="14.4">
      <c r="A316" s="19" t="str">
        <f ca="1">IFERROR(__xludf.DUMMYFUNCTION("GOOGLETRANSLATE(C316,""ar"",""en"")"),"Hilux 2.4 liters normal")</f>
        <v>Hilux 2.4 liters normal</v>
      </c>
    </row>
    <row r="317" spans="1:1" ht="14.4">
      <c r="A317" s="19" t="str">
        <f ca="1">IFERROR(__xludf.DUMMYFUNCTION("GOOGLETRANSLATE(C317,""ar"",""en"")"),"GLX")</f>
        <v>GLX</v>
      </c>
    </row>
    <row r="318" spans="1:1" ht="14.4">
      <c r="A318" s="19" t="str">
        <f ca="1">IFERROR(__xludf.DUMMYFUNCTION("GOOGLETRANSLATE(C318,""ar"",""en"")"),"Hilux gasoline 2.7 liters d")</f>
        <v>Hilux gasoline 2.7 liters d</v>
      </c>
    </row>
    <row r="319" spans="1:1" ht="14.4">
      <c r="A319" s="19" t="str">
        <f ca="1">IFERROR(__xludf.DUMMYFUNCTION("GOOGLETRANSLATE(C319,""ar"",""en"")"),"CHR Hybrid Atoma")</f>
        <v>CHR Hybrid Atoma</v>
      </c>
    </row>
    <row r="320" spans="1:1" ht="14.4">
      <c r="A320" s="19" t="str">
        <f ca="1">IFERROR(__xludf.DUMMYFUNCTION("GOOGLETRANSLATE(C320,""ar"",""en"")"),"4*4")</f>
        <v>4*4</v>
      </c>
    </row>
    <row r="321" spans="1:1" ht="14.4">
      <c r="A321" s="19" t="str">
        <f ca="1">IFERROR(__xludf.DUMMYFUNCTION("GOOGLETRANSLATE(C321,""ar"",""en"")"),"Hilux 2.4 liter diesel payment")</f>
        <v>Hilux 2.4 liter diesel payment</v>
      </c>
    </row>
    <row r="322" spans="1:1" ht="14.4">
      <c r="A322" s="19" t="str">
        <f ca="1">IFERROR(__xludf.DUMMYFUNCTION("GOOGLETRANSLATE(C322,""ar"",""en"")"),"Corolla 2 liter automatic")</f>
        <v>Corolla 2 liter automatic</v>
      </c>
    </row>
    <row r="323" spans="1:1" ht="14.4">
      <c r="A323" s="19" t="str">
        <f ca="1">IFERROR(__xludf.DUMMYFUNCTION("GOOGLETRANSLATE(C323,""ar"",""en"")"),"Rav for 2 liters of petrol payment")</f>
        <v>Rav for 2 liters of petrol payment</v>
      </c>
    </row>
    <row r="324" spans="1:1" ht="14.4">
      <c r="A324" s="19" t="str">
        <f ca="1">IFERROR(__xludf.DUMMYFUNCTION("GOOGLETRANSLATE(C324,""ar"",""en"")"),"Van")</f>
        <v>Van</v>
      </c>
    </row>
    <row r="325" spans="1:1" ht="14.4">
      <c r="A325" s="19" t="str">
        <f ca="1">IFERROR(__xludf.DUMMYFUNCTION("GOOGLETRANSLATE(C325,""ar"",""en"")"),"Bkb, long -term 2700 c")</f>
        <v>Bkb, long -term 2700 c</v>
      </c>
    </row>
    <row r="326" spans="1:1" ht="14.4">
      <c r="A326" s="19" t="str">
        <f ca="1">IFERROR(__xludf.DUMMYFUNCTION("GOOGLETRANSLATE(C326,""ar"",""en"")"),"Hatch hybrid")</f>
        <v>Hatch hybrid</v>
      </c>
    </row>
    <row r="327" spans="1:1" ht="14.4">
      <c r="A327" s="19" t="str">
        <f ca="1">IFERROR(__xludf.DUMMYFUNCTION("GOOGLETRANSLATE(C327,""ar"",""en"")"),"GLI 2.0 automatic")</f>
        <v>GLI 2.0 automatic</v>
      </c>
    </row>
    <row r="328" spans="1:1" ht="14.4">
      <c r="A328" s="19" t="str">
        <f ca="1">IFERROR(__xludf.DUMMYFUNCTION("GOOGLETRANSLATE(C328,""ar"",""en"")"),"Camry 2.5 liter Hybrid")</f>
        <v>Camry 2.5 liter Hybrid</v>
      </c>
    </row>
    <row r="329" spans="1:1" ht="14.4">
      <c r="A329" s="19" t="str">
        <f ca="1">IFERROR(__xludf.DUMMYFUNCTION("GOOGLETRANSLATE(C329,""ar"",""en"")"),"2.7 GLX dualist")</f>
        <v>2.7 GLX dualist</v>
      </c>
    </row>
    <row r="330" spans="1:1" ht="14.4">
      <c r="A330" s="19" t="str">
        <f ca="1">IFERROR(__xludf.DUMMYFUNCTION("GOOGLETRANSLATE(C330,""ar"",""en"")"),"Hilux 2.4 liter diesel")</f>
        <v>Hilux 2.4 liter diesel</v>
      </c>
    </row>
    <row r="331" spans="1:1" ht="14.4">
      <c r="A331" s="19" t="str">
        <f ca="1">IFERROR(__xludf.DUMMYFUNCTION("GOOGLETRANSLATE(C331,""ar"",""en"")"),"Hilux gasoline pushed behind")</f>
        <v>Hilux gasoline pushed behind</v>
      </c>
    </row>
    <row r="332" spans="1:1" ht="14.4">
      <c r="A332" s="19" t="str">
        <f ca="1">IFERROR(__xludf.DUMMYFUNCTION("GOOGLETRANSLATE(C332,""ar"",""en"")"),"30 D62.8")</f>
        <v>30 D62.8</v>
      </c>
    </row>
    <row r="333" spans="1:1" ht="14.4">
      <c r="A333" s="19" t="str">
        <f ca="1">IFERROR(__xludf.DUMMYFUNCTION("GOOGLETRANSLATE(C333,""ar"",""en"")"),"GL 2.4")</f>
        <v>GL 2.4</v>
      </c>
    </row>
    <row r="334" spans="1:1" ht="14.4">
      <c r="A334" s="19" t="str">
        <f ca="1">IFERROR(__xludf.DUMMYFUNCTION("GOOGLETRANSLATE(C334,""ar"",""en"")"),"Corolla Hybrid 1.8 liters a")</f>
        <v>Corolla Hybrid 1.8 liters a</v>
      </c>
    </row>
    <row r="335" spans="1:1" ht="14.4">
      <c r="A335" s="19" t="str">
        <f ca="1">IFERROR(__xludf.DUMMYFUNCTION("GOOGLETRANSLATE(C335,""ar"",""en"")"),"8 FBE 20")</f>
        <v>8 FBE 20</v>
      </c>
    </row>
    <row r="336" spans="1:1" ht="14.4">
      <c r="A336" s="19" t="str">
        <f ca="1">IFERROR(__xludf.DUMMYFUNCTION("GOOGLETRANSLATE(C336,""ar"",""en"")"),"25 GF 32.8")</f>
        <v>25 GF 32.8</v>
      </c>
    </row>
    <row r="337" spans="1:1" ht="14.4">
      <c r="A337" s="19" t="str">
        <f ca="1">IFERROR(__xludf.DUMMYFUNCTION("GOOGLETRANSLATE(C337,""ar"",""en"")"),"8 FBN 25")</f>
        <v>8 FBN 25</v>
      </c>
    </row>
    <row r="338" spans="1:1" ht="14.4">
      <c r="A338" s="19" t="str">
        <f ca="1">IFERROR(__xludf.DUMMYFUNCTION("GOOGLETRANSLATE(C338,""ar"",""en"")"),"GLX")</f>
        <v>GLX</v>
      </c>
    </row>
    <row r="339" spans="1:1" ht="14.4">
      <c r="A339" s="19" t="str">
        <f ca="1">IFERROR(__xludf.DUMMYFUNCTION("GOOGLETRANSLATE(C339,""ar"",""en"")"),"Hilux 2.7 liters of Duffar gasoline")</f>
        <v>Hilux 2.7 liters of Duffar gasoline</v>
      </c>
    </row>
    <row r="340" spans="1:1" ht="14.4">
      <c r="A340" s="19" t="str">
        <f ca="1">IFERROR(__xludf.DUMMYFUNCTION("GOOGLETRANSLATE(C340,""ar"",""en"")"),"Camry 2.5 liters")</f>
        <v>Camry 2.5 liters</v>
      </c>
    </row>
    <row r="341" spans="1:1" ht="14.4">
      <c r="A341" s="19" t="str">
        <f ca="1">IFERROR(__xludf.DUMMYFUNCTION("GOOGLETRANSLATE(C341,""ar"",""en"")"),"Bakkbara short 2700 c")</f>
        <v>Bakkbara short 2700 c</v>
      </c>
    </row>
    <row r="342" spans="1:1" ht="14.4">
      <c r="A342" s="19" t="str">
        <f ca="1">IFERROR(__xludf.DUMMYFUNCTION("GOOGLETRANSLATE(C342,""ar"",""en"")"),"Hilux Ghamr Payment Payment")</f>
        <v>Hilux Ghamr Payment Payment</v>
      </c>
    </row>
    <row r="343" spans="1:1" ht="14.4">
      <c r="A343" s="19" t="str">
        <f ca="1">IFERROR(__xludf.DUMMYFUNCTION("GOOGLETRANSLATE(C343,""ar"",""en"")"),"8 FBI 15")</f>
        <v>8 FBI 15</v>
      </c>
    </row>
    <row r="344" spans="1:1" ht="14.4">
      <c r="A344" s="19" t="str">
        <f ca="1">IFERROR(__xludf.DUMMYFUNCTION("GOOGLETRANSLATE(C344,""ar"",""en"")"),"GLI 1.6 automatic")</f>
        <v>GLI 1.6 automatic</v>
      </c>
    </row>
    <row r="345" spans="1:1" ht="14.4">
      <c r="A345" s="19" t="str">
        <f ca="1">IFERROR(__xludf.DUMMYFUNCTION("GOOGLETRANSLATE(C345,""ar"",""en"")"),"Ghambara Bakb 2000 CC/ J")</f>
        <v>Ghambara Bakb 2000 CC/ J</v>
      </c>
    </row>
    <row r="346" spans="1:1" ht="14.4">
      <c r="A346" s="19" t="str">
        <f ca="1">IFERROR(__xludf.DUMMYFUNCTION("GOOGLETRANSLATE(C346,""ar"",""en"")"),"XL 2.0 automatic")</f>
        <v>XL 2.0 automatic</v>
      </c>
    </row>
    <row r="347" spans="1:1" ht="14.4">
      <c r="A347" s="19" t="str">
        <f ca="1">IFERROR(__xludf.DUMMYFUNCTION("GOOGLETRANSLATE(C347,""ar"",""en"")"),"15 GF 32.8")</f>
        <v>15 GF 32.8</v>
      </c>
    </row>
    <row r="348" spans="1:1" ht="14.4">
      <c r="A348" s="19" t="str">
        <f ca="1">IFERROR(__xludf.DUMMYFUNCTION("GOOGLETRANSLATE(C348,""ar"",""en"")"),"Xal automatic")</f>
        <v>Xal automatic</v>
      </c>
    </row>
    <row r="349" spans="1:1" ht="14.4">
      <c r="A349" s="19" t="str">
        <f ca="1">IFERROR(__xludf.DUMMYFUNCTION("GOOGLETRANSLATE(C349,""ar"",""en"")"),"Bakbah Ghamra gasoline 2700 c")</f>
        <v>Bakbah Ghamra gasoline 2700 c</v>
      </c>
    </row>
    <row r="350" spans="1:1" ht="14.4">
      <c r="A350" s="19" t="str">
        <f ca="1">IFERROR(__xludf.DUMMYFUNCTION("GOOGLETRANSLATE(C350,""ar"",""en"")"),"Automatic Autandic")</f>
        <v>Automatic Autandic</v>
      </c>
    </row>
    <row r="351" spans="1:1" ht="14.4">
      <c r="A351" s="19" t="str">
        <f ca="1">IFERROR(__xludf.DUMMYFUNCTION("GOOGLETRANSLATE(C351,""ar"",""en"")"),"Corolla 1.5 liters automatic")</f>
        <v>Corolla 1.5 liters automatic</v>
      </c>
    </row>
    <row r="352" spans="1:1" ht="14.4">
      <c r="A352" s="19" t="str">
        <f ca="1">IFERROR(__xludf.DUMMYFUNCTION("GOOGLETRANSLATE(C352,""ar"",""en"")"),"FF 800 LI spray")</f>
        <v>FF 800 LI spray</v>
      </c>
    </row>
    <row r="353" spans="1:1" ht="14.4">
      <c r="A353" s="19" t="str">
        <f ca="1">IFERROR(__xludf.DUMMYFUNCTION("GOOGLETRANSLATE(C353,""ar"",""en"")"),"spray")</f>
        <v>spray</v>
      </c>
    </row>
    <row r="354" spans="1:1" ht="14.4">
      <c r="A354" s="19" t="str">
        <f ca="1">IFERROR(__xludf.DUMMYFUNCTION("GOOGLETRANSLATE(C354,""ar"",""en"")"),"GL automatic")</f>
        <v>GL automatic</v>
      </c>
    </row>
    <row r="355" spans="1:1" ht="14.4">
      <c r="A355" s="19" t="str">
        <f ca="1">IFERROR(__xludf.DUMMYFUNCTION("GOOGLETRANSLATE(C355,""ar"",""en"")"),"Corolla 1.6 liter automatic")</f>
        <v>Corolla 1.6 liter automatic</v>
      </c>
    </row>
    <row r="356" spans="1:1" ht="14.4">
      <c r="A356" s="19" t="str">
        <f ca="1">IFERROR(__xludf.DUMMYFUNCTION("GOOGLETRANSLATE(C356,""ar"",""en"")"),"Rose 1 liter automatic d")</f>
        <v>Rose 1 liter automatic d</v>
      </c>
    </row>
    <row r="357" spans="1:1" ht="14.4">
      <c r="A357" s="19" t="str">
        <f ca="1">IFERROR(__xludf.DUMMYFUNCTION("GOOGLETRANSLATE(C357,""ar"",""en"")"),"XLI 1.6 is normal")</f>
        <v>XLI 1.6 is normal</v>
      </c>
    </row>
    <row r="358" spans="1:1" ht="14.4">
      <c r="A358" s="19" t="str">
        <f ca="1">IFERROR(__xludf.DUMMYFUNCTION("GOOGLETRANSLATE(C358,""ar"",""en"")"),"XL AE 1.6 automatic")</f>
        <v>XL AE 1.6 automatic</v>
      </c>
    </row>
    <row r="359" spans="1:1" ht="14.4">
      <c r="A359" s="19" t="str">
        <f ca="1">IFERROR(__xludf.DUMMYFUNCTION("GOOGLETRANSLATE(C359,""ar"",""en"")"),"Yars")</f>
        <v>Yars</v>
      </c>
    </row>
    <row r="360" spans="1:1" ht="14.4">
      <c r="A360" s="19" t="str">
        <f ca="1">IFERROR(__xludf.DUMMYFUNCTION("GOOGLETRANSLATE(C360,""ar"",""en"")"),"Rose 1.2 liters automatic d")</f>
        <v>Rose 1.2 liters automatic d</v>
      </c>
    </row>
    <row r="361" spans="1:1" ht="14.4">
      <c r="A361" s="19" t="str">
        <f ca="1">IFERROR(__xludf.DUMMYFUNCTION("GOOGLETRANSLATE(C361,""ar"",""en"")"),"Corolla 1.6 liter normal")</f>
        <v>Corolla 1.6 liter normal</v>
      </c>
    </row>
    <row r="362" spans="1:1" ht="14.4">
      <c r="A362" s="19" t="str">
        <f ca="1">IFERROR(__xludf.DUMMYFUNCTION("GOOGLETRANSLATE(C362,""ar"",""en"")"),"AX 1.5")</f>
        <v>AX 1.5</v>
      </c>
    </row>
    <row r="363" spans="1:1" ht="14.4">
      <c r="A363" s="19" t="str">
        <f ca="1">IFERROR(__xludf.DUMMYFUNCTION("GOOGLETRANSLATE(C363,""ar"",""en"")"),"AX 1.3")</f>
        <v>AX 1.3</v>
      </c>
    </row>
    <row r="364" spans="1:1" ht="14.4">
      <c r="A364" s="19" t="str">
        <f ca="1">IFERROR(__xludf.DUMMYFUNCTION("GOOGLETRANSLATE(C364,""ar"",""en"")"),"Yaris 1.5 liters in front of me")</f>
        <v>Yaris 1.5 liters in front of me</v>
      </c>
    </row>
    <row r="365" spans="1:1" ht="14.4">
      <c r="A365" s="19" t="str">
        <f ca="1">IFERROR(__xludf.DUMMYFUNCTION("GOOGLETRANSLATE(C365,""ar"",""en"")"),"Yaris 1.3")</f>
        <v>Yaris 1.3</v>
      </c>
    </row>
    <row r="366" spans="1:1" ht="14.4">
      <c r="A366" s="19" t="str">
        <f ca="1">IFERROR(__xludf.DUMMYFUNCTION("GOOGLETRANSLATE(C366,""ar"",""en"")"),"Way 1.5")</f>
        <v>Way 1.5</v>
      </c>
    </row>
    <row r="367" spans="1:1" ht="14.4">
      <c r="A367" s="19" t="str">
        <f ca="1">IFERROR(__xludf.DUMMYFUNCTION("GOOGLETRANSLATE(C367,""ar"",""en"")"),"And any automatic")</f>
        <v>And any automatic</v>
      </c>
    </row>
    <row r="368" spans="1:1" ht="14.4">
      <c r="A368" s="19" t="str">
        <f ca="1">IFERROR(__xludf.DUMMYFUNCTION("GOOGLETRANSLATE(C368,""ar"",""en"")"),"1.3")</f>
        <v>1.3</v>
      </c>
    </row>
    <row r="369" spans="1:1" ht="14.4">
      <c r="A369" s="19" t="str">
        <f ca="1">IFERROR(__xludf.DUMMYFUNCTION("GOOGLETRANSLATE(C369,""ar"",""en"")"),"Way 1.3")</f>
        <v>Way 1.3</v>
      </c>
    </row>
    <row r="370" spans="1:1" ht="14.4">
      <c r="A370" s="19" t="str">
        <f ca="1">IFERROR(__xludf.DUMMYFUNCTION("GOOGLETRANSLATE(C370,""ar"",""en"")"),"X -JL L does not")</f>
        <v>X -JL L does not</v>
      </c>
    </row>
    <row r="371" spans="1:1" ht="14.4">
      <c r="A371" s="19" t="str">
        <f ca="1">IFERROR(__xludf.DUMMYFUNCTION("GOOGLETRANSLATE(C371,""ar"",""en"")"),"F -Type R Denmak")</f>
        <v>F -Type R Denmak</v>
      </c>
    </row>
    <row r="372" spans="1:1" ht="14.4">
      <c r="A372" s="19" t="str">
        <f ca="1">IFERROR(__xludf.DUMMYFUNCTION("GOOGLETRANSLATE(C372,""ar"",""en"")"),"FESS Sport")</f>
        <v>FESS Sport</v>
      </c>
    </row>
    <row r="373" spans="1:1" ht="14.4">
      <c r="A373" s="19" t="str">
        <f ca="1">IFERROR(__xludf.DUMMYFUNCTION("GOOGLETRANSLATE(C373,""ar"",""en"")"),"XF Prestige")</f>
        <v>XF Prestige</v>
      </c>
    </row>
    <row r="374" spans="1:1" ht="14.4">
      <c r="A374" s="19" t="str">
        <f ca="1">IFERROR(__xludf.DUMMYFUNCTION("GOOGLETRANSLATE(C374,""ar"",""en"")"),"I-PES R. Denmak S")</f>
        <v>I-PES R. Denmak S</v>
      </c>
    </row>
    <row r="375" spans="1:1" ht="14.4">
      <c r="A375" s="19" t="str">
        <f ca="1">IFERROR(__xludf.DUMMYFUNCTION("GOOGLETRANSLATE(C375,""ar"",""en"")"),"X-E")</f>
        <v>X-E</v>
      </c>
    </row>
    <row r="376" spans="1:1" ht="14.4">
      <c r="A376" s="19" t="str">
        <f ca="1">IFERROR(__xludf.DUMMYFUNCTION("GOOGLETRANSLATE(C376,""ar"",""en"")"),"IS Standard")</f>
        <v>IS Standard</v>
      </c>
    </row>
    <row r="377" spans="1:1" ht="14.4">
      <c r="A377" s="19" t="str">
        <f ca="1">IFERROR(__xludf.DUMMYFUNCTION("GOOGLETRANSLATE(C377,""ar"",""en"")"),"Haval H9 for WW d")</f>
        <v>Haval H9 for WW d</v>
      </c>
    </row>
    <row r="378" spans="1:1" ht="14.4">
      <c r="A378" s="19" t="str">
        <f ca="1">IFERROR(__xludf.DUMMYFUNCTION("GOOGLETRANSLATE(C378,""ar"",""en"")"),"Port 4 x 4")</f>
        <v>Port 4 x 4</v>
      </c>
    </row>
    <row r="379" spans="1:1" ht="14.4">
      <c r="A379" s="19" t="str">
        <f ca="1">IFERROR(__xludf.DUMMYFUNCTION("GOOGLETRANSLATE(C379,""ar"",""en"")"),"Haval H6")</f>
        <v>Haval H6</v>
      </c>
    </row>
    <row r="380" spans="1:1" ht="14.4">
      <c r="A380" s="19" t="str">
        <f ca="1">IFERROR(__xludf.DUMMYFUNCTION("GOOGLETRANSLATE(C380,""ar"",""en"")"),"Haval H6 4 x 2")</f>
        <v>Haval H6 4 x 2</v>
      </c>
    </row>
    <row r="381" spans="1:1" ht="14.4">
      <c r="A381" s="19" t="str">
        <f ca="1">IFERROR(__xludf.DUMMYFUNCTION("GOOGLETRANSLATE(C381,""ar"",""en"")"),"Haval H6 4 x 4")</f>
        <v>Haval H6 4 x 4</v>
      </c>
    </row>
    <row r="382" spans="1:1" ht="14.4">
      <c r="A382" s="19" t="str">
        <f ca="1">IFERROR(__xludf.DUMMYFUNCTION("GOOGLETRANSLATE(C382,""ar"",""en"")"),"Haval H2FWD")</f>
        <v>Haval H2FWD</v>
      </c>
    </row>
    <row r="383" spans="1:1" ht="14.4">
      <c r="A383" s="19" t="str">
        <f ca="1">IFERROR(__xludf.DUMMYFUNCTION("GOOGLETRANSLATE(C383,""ar"",""en"")"),"Haval Julian")</f>
        <v>Haval Julian</v>
      </c>
    </row>
    <row r="384" spans="1:1" ht="14.4">
      <c r="A384" s="19" t="str">
        <f ca="1">IFERROR(__xludf.DUMMYFUNCTION("GOOGLETRANSLATE(C384,""ar"",""en"")"),"Winjel 7 four -wheel drive")</f>
        <v>Winjel 7 four -wheel drive</v>
      </c>
    </row>
    <row r="385" spans="1:1" ht="14.4">
      <c r="A385" s="19" t="str">
        <f ca="1">IFERROR(__xludf.DUMMYFUNCTION("GOOGLETRANSLATE(C385,""ar"",""en"")"),"Winjel 7 4*2")</f>
        <v>Winjel 7 4*2</v>
      </c>
    </row>
    <row r="386" spans="1:1" ht="14.4">
      <c r="A386" s="19" t="str">
        <f ca="1">IFERROR(__xludf.DUMMYFUNCTION("GOOGLETRANSLATE(C386,""ar"",""en"")"),"Winjel 5 RWD")</f>
        <v>Winjel 5 RWD</v>
      </c>
    </row>
    <row r="387" spans="1:1" ht="14.4">
      <c r="A387" s="19" t="str">
        <f ca="1">IFERROR(__xludf.DUMMYFUNCTION("GOOGLETRANSLATE(C387,""ar"",""en"")"),"Escalade 4 x 4")</f>
        <v>Escalade 4 x 4</v>
      </c>
    </row>
    <row r="388" spans="1:1" ht="14.4">
      <c r="A388" s="19" t="str">
        <f ca="1">IFERROR(__xludf.DUMMYFUNCTION("GOOGLETRANSLATE(C388,""ar"",""en"")"),"Escalade")</f>
        <v>Escalade</v>
      </c>
    </row>
    <row r="389" spans="1:1" ht="14.4">
      <c r="A389" s="19" t="str">
        <f ca="1">IFERROR(__xludf.DUMMYFUNCTION("GOOGLETRANSLATE(C389,""ar"",""en"")"),"Escalade 4*4")</f>
        <v>Escalade 4*4</v>
      </c>
    </row>
    <row r="390" spans="1:1" ht="14.4">
      <c r="A390" s="19" t="str">
        <f ca="1">IFERROR(__xludf.DUMMYFUNCTION("GOOGLETRANSLATE(C390,""ar"",""en"")"),"Yukon XL Denali does not")</f>
        <v>Yukon XL Denali does not</v>
      </c>
    </row>
    <row r="391" spans="1:1" ht="14.4">
      <c r="A391" s="19" t="str">
        <f ca="1">IFERROR(__xludf.DUMMYFUNCTION("GOOGLETRANSLATE(C391,""ar"",""en"")"),"Yukon four -wheel drive Denal")</f>
        <v>Yukon four -wheel drive Denal</v>
      </c>
    </row>
    <row r="392" spans="1:1" ht="14.4">
      <c r="A392" s="19" t="str">
        <f ca="1">IFERROR(__xludf.DUMMYFUNCTION("GOOGLETRANSLATE(C392,""ar"",""en"")"),"Yukon XL Denali")</f>
        <v>Yukon XL Denali</v>
      </c>
    </row>
    <row r="393" spans="1:1" ht="14.4">
      <c r="A393" s="19" t="str">
        <f ca="1">IFERROR(__xludf.DUMMYFUNCTION("GOOGLETRANSLATE(C393,""ar"",""en"")"),"Yukon Denali pay a quadrant")</f>
        <v>Yukon Denali pay a quadrant</v>
      </c>
    </row>
    <row r="394" spans="1:1" ht="14.4">
      <c r="A394" s="19" t="str">
        <f ca="1">IFERROR(__xludf.DUMMYFUNCTION("GOOGLETRANSLATE(C394,""ar"",""en"")"),"Tahoe quad -paying 6.2 liters")</f>
        <v>Tahoe quad -paying 6.2 liters</v>
      </c>
    </row>
    <row r="395" spans="1:1" ht="14.4">
      <c r="A395" s="19" t="str">
        <f ca="1">IFERROR(__xludf.DUMMYFUNCTION("GOOGLETRANSLATE(C395,""ar"",""en"")"),"Yukon Denali")</f>
        <v>Yukon Denali</v>
      </c>
    </row>
    <row r="396" spans="1:1" ht="14.4">
      <c r="A396" s="19" t="str">
        <f ca="1">IFERROR(__xludf.DUMMYFUNCTION("GOOGLETRANSLATE(C396,""ar"",""en"")"),"Yukon XL Large Pay")</f>
        <v>Yukon XL Large Pay</v>
      </c>
    </row>
    <row r="397" spans="1:1" ht="14.4">
      <c r="A397" s="19" t="str">
        <f ca="1">IFERROR(__xludf.DUMMYFUNCTION("GOOGLETRANSLATE(C397,""ar"",""en"")"),"Yukon XL is a four -wheel drive")</f>
        <v>Yukon XL is a four -wheel drive</v>
      </c>
    </row>
    <row r="398" spans="1:1" ht="14.4">
      <c r="A398" s="19" t="str">
        <f ca="1">IFERROR(__xludf.DUMMYFUNCTION("GOOGLETRANSLATE(C398,""ar"",""en"")"),"Yukon XL Large Pay")</f>
        <v>Yukon XL Large Pay</v>
      </c>
    </row>
    <row r="399" spans="1:1" ht="14.4">
      <c r="A399" s="19" t="str">
        <f ca="1">IFERROR(__xludf.DUMMYFUNCTION("GOOGLETRANSLATE(C399,""ar"",""en"")"),"Yukon XL Large Pay")</f>
        <v>Yukon XL Large Pay</v>
      </c>
    </row>
    <row r="400" spans="1:1" ht="14.4">
      <c r="A400" s="19" t="str">
        <f ca="1">IFERROR(__xludf.DUMMYFUNCTION("GOOGLETRANSLATE(C400,""ar"",""en"")"),"Supban four -wheel drive 5.3 l")</f>
        <v>Supban four -wheel drive 5.3 l</v>
      </c>
    </row>
    <row r="401" spans="1:1" ht="14.4">
      <c r="A401" s="19" t="str">
        <f ca="1">IFERROR(__xludf.DUMMYFUNCTION("GOOGLETRANSLATE(C401,""ar"",""en"")"),"Yukon X does not pay back")</f>
        <v>Yukon X does not pay back</v>
      </c>
    </row>
    <row r="402" spans="1:1" ht="14.4">
      <c r="A402" s="19" t="str">
        <f ca="1">IFERROR(__xludf.DUMMYFUNCTION("GOOGLETRANSLATE(C402,""ar"",""en"")"),"Yukon four -wheel drive")</f>
        <v>Yukon four -wheel drive</v>
      </c>
    </row>
    <row r="403" spans="1:1" ht="14.4">
      <c r="A403" s="19" t="str">
        <f ca="1">IFERROR(__xludf.DUMMYFUNCTION("GOOGLETRANSLATE(C403,""ar"",""en"")"),"Yukon four -wheel drive 5.3 liters")</f>
        <v>Yukon four -wheel drive 5.3 liters</v>
      </c>
    </row>
    <row r="404" spans="1:1" ht="14.4">
      <c r="A404" s="19" t="str">
        <f ca="1">IFERROR(__xludf.DUMMYFUNCTION("GOOGLETRANSLATE(C404,""ar"",""en"")"),"Supban Back Pay 6.2 LT")</f>
        <v>Supban Back Pay 6.2 LT</v>
      </c>
    </row>
    <row r="405" spans="1:1" ht="14.4">
      <c r="A405" s="19" t="str">
        <f ca="1">IFERROR(__xludf.DUMMYFUNCTION("GOOGLETRANSLATE(C405,""ar"",""en"")"),"Super Back Back")</f>
        <v>Super Back Back</v>
      </c>
    </row>
    <row r="406" spans="1:1" ht="14.4">
      <c r="A406" s="19" t="str">
        <f ca="1">IFERROR(__xludf.DUMMYFUNCTION("GOOGLETRANSLATE(C406,""ar"",""en"")"),"Superbian backpack")</f>
        <v>Superbian backpack</v>
      </c>
    </row>
    <row r="407" spans="1:1" ht="14.4">
      <c r="A407" s="19" t="str">
        <f ca="1">IFERROR(__xludf.DUMMYFUNCTION("GOOGLETRANSLATE(C407,""ar"",""en"")"),"Tahoe four -wheel drive")</f>
        <v>Tahoe four -wheel drive</v>
      </c>
    </row>
    <row r="408" spans="1:1" ht="14.4">
      <c r="A408" s="19" t="str">
        <f ca="1">IFERROR(__xludf.DUMMYFUNCTION("GOOGLETRANSLATE(C408,""ar"",""en"")"),"Yukon backpack")</f>
        <v>Yukon backpack</v>
      </c>
    </row>
    <row r="409" spans="1:1" ht="14.4">
      <c r="A409" s="19" t="str">
        <f ca="1">IFERROR(__xludf.DUMMYFUNCTION("GOOGLETRANSLATE(C409,""ar"",""en"")"),"Sierra")</f>
        <v>Sierra</v>
      </c>
    </row>
    <row r="410" spans="1:1" ht="14.4">
      <c r="A410" s="19" t="str">
        <f ca="1">IFERROR(__xludf.DUMMYFUNCTION("GOOGLETRANSLATE(C410,""ar"",""en"")"),"Yukon 4 x 4")</f>
        <v>Yukon 4 x 4</v>
      </c>
    </row>
    <row r="411" spans="1:1" ht="14.4">
      <c r="A411" s="19" t="str">
        <f ca="1">IFERROR(__xludf.DUMMYFUNCTION("GOOGLETRANSLATE(C411,""ar"",""en"")"),"XL 4 x 4")</f>
        <v>XL 4 x 4</v>
      </c>
    </row>
    <row r="412" spans="1:1" ht="14.4">
      <c r="A412" s="19" t="str">
        <f ca="1">IFERROR(__xludf.DUMMYFUNCTION("GOOGLETRANSLATE(C412,""ar"",""en"")"),"Tahoe backpack 5.3")</f>
        <v>Tahoe backpack 5.3</v>
      </c>
    </row>
    <row r="413" spans="1:1" ht="14.4">
      <c r="A413" s="19" t="str">
        <f ca="1">IFERROR(__xludf.DUMMYFUNCTION("GOOGLETRANSLATE(C413,""ar"",""en"")"),"Sierra four -wheel drive")</f>
        <v>Sierra four -wheel drive</v>
      </c>
    </row>
    <row r="414" spans="1:1" ht="14.4">
      <c r="A414" s="19" t="str">
        <f ca="1">IFERROR(__xludf.DUMMYFUNCTION("GOOGLETRANSLATE(C414,""ar"",""en"")"),"Tahoe backpack")</f>
        <v>Tahoe backpack</v>
      </c>
    </row>
    <row r="415" spans="1:1" ht="14.4">
      <c r="A415" s="19" t="str">
        <f ca="1">IFERROR(__xludf.DUMMYFUNCTION("GOOGLETRANSLATE(C415,""ar"",""en"")"),"Yukon Denali XL")</f>
        <v>Yukon Denali XL</v>
      </c>
    </row>
    <row r="416" spans="1:1" ht="14.4">
      <c r="A416" s="19" t="str">
        <f ca="1">IFERROR(__xludf.DUMMYFUNCTION("GOOGLETRANSLATE(C416,""ar"",""en"")"),"CT 6")</f>
        <v>CT 6</v>
      </c>
    </row>
    <row r="417" spans="1:1" ht="14.4">
      <c r="A417" s="19" t="str">
        <f ca="1">IFERROR(__xludf.DUMMYFUNCTION("GOOGLETRANSLATE(C417,""ar"",""en"")"),"XL 4 x 2")</f>
        <v>XL 4 x 2</v>
      </c>
    </row>
    <row r="418" spans="1:1" ht="14.4">
      <c r="A418" s="19" t="str">
        <f ca="1">IFERROR(__xludf.DUMMYFUNCTION("GOOGLETRANSLATE(C418,""ar"",""en"")"),"Superbian four -wheel drive")</f>
        <v>Superbian four -wheel drive</v>
      </c>
    </row>
    <row r="419" spans="1:1" ht="14.4">
      <c r="A419" s="19" t="str">
        <f ca="1">IFERROR(__xludf.DUMMYFUNCTION("GOOGLETRANSLATE(C419,""ar"",""en"")"),"Super Ban 4 x 4")</f>
        <v>Super Ban 4 x 4</v>
      </c>
    </row>
    <row r="420" spans="1:1" ht="14.4">
      <c r="A420" s="19" t="str">
        <f ca="1">IFERROR(__xludf.DUMMYFUNCTION("GOOGLETRANSLATE(C420,""ar"",""en"")"),"Yukon XL 4 x 4")</f>
        <v>Yukon XL 4 x 4</v>
      </c>
    </row>
    <row r="421" spans="1:1" ht="14.4">
      <c r="A421" s="19" t="str">
        <f ca="1">IFERROR(__xludf.DUMMYFUNCTION("GOOGLETRANSLATE(C421,""ar"",""en"")"),"Yukon XL 4 x 2")</f>
        <v>Yukon XL 4 x 2</v>
      </c>
    </row>
    <row r="422" spans="1:1" ht="14.4">
      <c r="A422" s="19" t="str">
        <f ca="1">IFERROR(__xludf.DUMMYFUNCTION("GOOGLETRANSLATE(C422,""ar"",""en"")"),"Silverado four -wheel drive")</f>
        <v>Silverado four -wheel drive</v>
      </c>
    </row>
    <row r="423" spans="1:1" ht="14.4">
      <c r="A423" s="19" t="str">
        <f ca="1">IFERROR(__xludf.DUMMYFUNCTION("GOOGLETRANSLATE(C423,""ar"",""en"")"),"Travelers Premier pushed Lord")</f>
        <v>Travelers Premier pushed Lord</v>
      </c>
    </row>
    <row r="424" spans="1:1" ht="14.4">
      <c r="A424" s="19" t="str">
        <f ca="1">IFERROR(__xludf.DUMMYFUNCTION("GOOGLETRANSLATE(C424,""ar"",""en"")"),"XT6")</f>
        <v>XT6</v>
      </c>
    </row>
    <row r="425" spans="1:1" ht="14.4">
      <c r="A425" s="19" t="str">
        <f ca="1">IFERROR(__xludf.DUMMYFUNCTION("GOOGLETRANSLATE(C425,""ar"",""en"")"),"XT 5")</f>
        <v>XT 5</v>
      </c>
    </row>
    <row r="426" spans="1:1" ht="14.4">
      <c r="A426" s="19" t="str">
        <f ca="1">IFERROR(__xludf.DUMMYFUNCTION("GOOGLETRANSLATE(C426,""ar"",""en"")"),"Tahoe 4 x 4")</f>
        <v>Tahoe 4 x 4</v>
      </c>
    </row>
    <row r="427" spans="1:1" ht="14.4">
      <c r="A427" s="19" t="str">
        <f ca="1">IFERROR(__xludf.DUMMYFUNCTION("GOOGLETRANSLATE(C427,""ar"",""en"")"),"Yukon XL")</f>
        <v>Yukon XL</v>
      </c>
    </row>
    <row r="428" spans="1:1" ht="14.4">
      <c r="A428" s="19" t="str">
        <f ca="1">IFERROR(__xludf.DUMMYFUNCTION("GOOGLETRANSLATE(C428,""ar"",""en"")"),"Yukon 4 x 2")</f>
        <v>Yukon 4 x 2</v>
      </c>
    </row>
    <row r="429" spans="1:1" ht="14.4">
      <c r="A429" s="19" t="str">
        <f ca="1">IFERROR(__xludf.DUMMYFUNCTION("GOOGLETRANSLATE(C429,""ar"",""en"")"),"Supban 1500 4*4")</f>
        <v>Supban 1500 4*4</v>
      </c>
    </row>
    <row r="430" spans="1:1" ht="14.4">
      <c r="A430" s="19" t="str">
        <f ca="1">IFERROR(__xludf.DUMMYFUNCTION("GOOGLETRANSLATE(C430,""ar"",""en"")"),"Bill butz four -wheel drive")</f>
        <v>Bill butz four -wheel drive</v>
      </c>
    </row>
    <row r="431" spans="1:1" ht="14.4">
      <c r="A431" s="19" t="str">
        <f ca="1">IFERROR(__xludf.DUMMYFUNCTION("GOOGLETRANSLATE(C431,""ar"",""en"")"),"Superman")</f>
        <v>Superman</v>
      </c>
    </row>
    <row r="432" spans="1:1" ht="14.4">
      <c r="A432" s="19" t="str">
        <f ca="1">IFERROR(__xludf.DUMMYFUNCTION("GOOGLETRANSLATE(C432,""ar"",""en"")"),"Tahoe 4 x 2")</f>
        <v>Tahoe 4 x 2</v>
      </c>
    </row>
    <row r="433" spans="1:1" ht="14.4">
      <c r="A433" s="19" t="str">
        <f ca="1">IFERROR(__xludf.DUMMYFUNCTION("GOOGLETRANSLATE(C433,""ar"",""en"")"),"Sierra 4 x 4")</f>
        <v>Sierra 4 x 4</v>
      </c>
    </row>
    <row r="434" spans="1:1" ht="14.4">
      <c r="A434" s="19" t="str">
        <f ca="1">IFERROR(__xludf.DUMMYFUNCTION("GOOGLETRANSLATE(C434,""ar"",""en"")"),"Yukon 4*4")</f>
        <v>Yukon 4*4</v>
      </c>
    </row>
    <row r="435" spans="1:1" ht="14.4">
      <c r="A435" s="19" t="str">
        <f ca="1">IFERROR(__xludf.DUMMYFUNCTION("GOOGLETRANSLATE(C435,""ar"",""en"")"),"Yukon 4*2")</f>
        <v>Yukon 4*2</v>
      </c>
    </row>
    <row r="436" spans="1:1" ht="14.4">
      <c r="A436" s="19" t="str">
        <f ca="1">IFERROR(__xludf.DUMMYFUNCTION("GOOGLETRANSLATE(C436,""ar"",""en"")"),"Tahoe RST 4 x 4")</f>
        <v>Tahoe RST 4 x 4</v>
      </c>
    </row>
    <row r="437" spans="1:1" ht="14.4">
      <c r="A437" s="19" t="str">
        <f ca="1">IFERROR(__xludf.DUMMYFUNCTION("GOOGLETRANSLATE(C437,""ar"",""en"")"),"Sea Bakb")</f>
        <v>Sea Bakb</v>
      </c>
    </row>
    <row r="438" spans="1:1" ht="14.4">
      <c r="A438" s="19" t="str">
        <f ca="1">IFERROR(__xludf.DUMMYFUNCTION("GOOGLETRANSLATE(C438,""ar"",""en"")"),"CT 5")</f>
        <v>CT 5</v>
      </c>
    </row>
    <row r="439" spans="1:1" ht="14.4">
      <c r="A439" s="19" t="str">
        <f ca="1">IFERROR(__xludf.DUMMYFUNCTION("GOOGLETRANSLATE(C439,""ar"",""en"")"),"Tahoe RST")</f>
        <v>Tahoe RST</v>
      </c>
    </row>
    <row r="440" spans="1:1" ht="14.4">
      <c r="A440" s="19" t="str">
        <f ca="1">IFERROR(__xludf.DUMMYFUNCTION("GOOGLETRANSLATE(C440,""ar"",""en"")"),"CTS")</f>
        <v>CTS</v>
      </c>
    </row>
    <row r="441" spans="1:1" ht="14.4">
      <c r="A441" s="19" t="str">
        <f ca="1">IFERROR(__xludf.DUMMYFUNCTION("GOOGLETRANSLATE(C441,""ar"",""en"")"),"ATS")</f>
        <v>ATS</v>
      </c>
    </row>
    <row r="442" spans="1:1" ht="14.4">
      <c r="A442" s="19" t="str">
        <f ca="1">IFERROR(__xludf.DUMMYFUNCTION("GOOGLETRANSLATE(C442,""ar"",""en"")"),"XT 4")</f>
        <v>XT 4</v>
      </c>
    </row>
    <row r="443" spans="1:1" ht="14.4">
      <c r="A443" s="19" t="str">
        <f ca="1">IFERROR(__xludf.DUMMYFUNCTION("GOOGLETRANSLATE(C443,""ar"",""en"")"),"Supban 1500 4*2")</f>
        <v>Supban 1500 4*2</v>
      </c>
    </row>
    <row r="444" spans="1:1" ht="14.4">
      <c r="A444" s="19" t="str">
        <f ca="1">IFERROR(__xludf.DUMMYFUNCTION("GOOGLETRANSLATE(C444,""ar"",""en"")"),"Travelers RS Payment Quad")</f>
        <v>Travelers RS Payment Quad</v>
      </c>
    </row>
    <row r="445" spans="1:1" ht="14.4">
      <c r="A445" s="19" t="str">
        <f ca="1">IFERROR(__xludf.DUMMYFUNCTION("GOOGLETRANSLATE(C445,""ar"",""en"")"),"Imbala LTZ")</f>
        <v>Imbala LTZ</v>
      </c>
    </row>
    <row r="446" spans="1:1" ht="14.4">
      <c r="A446" s="19" t="str">
        <f ca="1">IFERROR(__xludf.DUMMYFUNCTION("GOOGLETRANSLATE(C446,""ar"",""en"")"),"Travelers Premier Payment M.")</f>
        <v>Travelers Premier Payment M.</v>
      </c>
    </row>
    <row r="447" spans="1:1" ht="14.4">
      <c r="A447" s="19" t="str">
        <f ca="1">IFERROR(__xludf.DUMMYFUNCTION("GOOGLETRANSLATE(C447,""ar"",""en"")"),"Sierra 4 x 4")</f>
        <v>Sierra 4 x 4</v>
      </c>
    </row>
    <row r="448" spans="1:1" ht="14.4">
      <c r="A448" s="19" t="str">
        <f ca="1">IFERROR(__xludf.DUMMYFUNCTION("GOOGLETRANSLATE(C448,""ar"",""en"")"),"Travelers LT pushed in front of")</f>
        <v>Travelers LT pushed in front of</v>
      </c>
    </row>
    <row r="449" spans="1:1" ht="14.4">
      <c r="A449" s="19" t="str">
        <f ca="1">IFERROR(__xludf.DUMMYFUNCTION("GOOGLETRANSLATE(C449,""ar"",""en"")"),"Silverado 4 x 4")</f>
        <v>Silverado 4 x 4</v>
      </c>
    </row>
    <row r="450" spans="1:1" ht="14.4">
      <c r="A450" s="19" t="str">
        <f ca="1">IFERROR(__xludf.DUMMYFUNCTION("GOOGLETRANSLATE(C450,""ar"",""en"")"),"CT 4")</f>
        <v>CT 4</v>
      </c>
    </row>
    <row r="451" spans="1:1" ht="14.4">
      <c r="A451" s="19" t="str">
        <f ca="1">IFERROR(__xludf.DUMMYFUNCTION("GOOGLETRANSLATE(C451,""ar"",""en"")"),"Tahoe 4*2")</f>
        <v>Tahoe 4*2</v>
      </c>
    </row>
    <row r="452" spans="1:1" ht="14.4">
      <c r="A452" s="19" t="str">
        <f ca="1">IFERROR(__xludf.DUMMYFUNCTION("GOOGLETRANSLATE(C452,""ar"",""en"")"),"Travelers LS pushed in front of")</f>
        <v>Travelers LS pushed in front of</v>
      </c>
    </row>
    <row r="453" spans="1:1" ht="14.4">
      <c r="A453" s="19" t="str">
        <f ca="1">IFERROR(__xludf.DUMMYFUNCTION("GOOGLETRANSLATE(C453,""ar"",""en"")"),"Axadia four -wheel drive")</f>
        <v>Axadia four -wheel drive</v>
      </c>
    </row>
    <row r="454" spans="1:1" ht="14.4">
      <c r="A454" s="19" t="str">
        <f ca="1">IFERROR(__xludf.DUMMYFUNCTION("GOOGLETRANSLATE(C454,""ar"",""en"")"),"Savana 2500")</f>
        <v>Savana 2500</v>
      </c>
    </row>
    <row r="455" spans="1:1" ht="14.4">
      <c r="A455" s="19" t="str">
        <f ca="1">IFERROR(__xludf.DUMMYFUNCTION("GOOGLETRANSLATE(C455,""ar"",""en"")"),"I am sure")</f>
        <v>I am sure</v>
      </c>
    </row>
    <row r="456" spans="1:1" ht="14.4">
      <c r="A456" s="19" t="str">
        <f ca="1">IFERROR(__xludf.DUMMYFUNCTION("GOOGLETRANSLATE(C456,""ar"",""en"")"),"Silvrado four -wheel drive")</f>
        <v>Silvrado four -wheel drive</v>
      </c>
    </row>
    <row r="457" spans="1:1" ht="14.4">
      <c r="A457" s="19" t="str">
        <f ca="1">IFERROR(__xludf.DUMMYFUNCTION("GOOGLETRANSLATE(C457,""ar"",""en"")"),"I am in front of me")</f>
        <v>I am in front of me</v>
      </c>
    </row>
    <row r="458" spans="1:1" ht="14.4">
      <c r="A458" s="19" t="str">
        <f ca="1">IFERROR(__xludf.DUMMYFUNCTION("GOOGLETRANSLATE(C458,""ar"",""en"")"),"Travelers LT")</f>
        <v>Travelers LT</v>
      </c>
    </row>
    <row r="459" spans="1:1" ht="14.4">
      <c r="A459" s="19" t="str">
        <f ca="1">IFERROR(__xludf.DUMMYFUNCTION("GOOGLETRANSLATE(C459,""ar"",""en"")"),"Savana 6 liters")</f>
        <v>Savana 6 liters</v>
      </c>
    </row>
    <row r="460" spans="1:1" ht="14.4">
      <c r="A460" s="19" t="str">
        <f ca="1">IFERROR(__xludf.DUMMYFUNCTION("GOOGLETRANSLATE(C460,""ar"",""en"")"),"Malibu LTZ")</f>
        <v>Malibu LTZ</v>
      </c>
    </row>
    <row r="461" spans="1:1" ht="14.4">
      <c r="A461" s="19" t="str">
        <f ca="1">IFERROR(__xludf.DUMMYFUNCTION("GOOGLETRANSLATE(C461,""ar"",""en"")"),"Kumaru")</f>
        <v>Kumaru</v>
      </c>
    </row>
    <row r="462" spans="1:1" ht="14.4">
      <c r="A462" s="19" t="str">
        <f ca="1">IFERROR(__xludf.DUMMYFUNCTION("GOOGLETRANSLATE(C462,""ar"",""en"")"),"Akkadia")</f>
        <v>Akkadia</v>
      </c>
    </row>
    <row r="463" spans="1:1" ht="14.4">
      <c r="A463" s="19" t="str">
        <f ca="1">IFERROR(__xludf.DUMMYFUNCTION("GOOGLETRANSLATE(C463,""ar"",""en"")"),"Savanna")</f>
        <v>Savanna</v>
      </c>
    </row>
    <row r="464" spans="1:1" ht="14.4">
      <c r="A464" s="19" t="str">
        <f ca="1">IFERROR(__xludf.DUMMYFUNCTION("GOOGLETRANSLATE(C464,""ar"",""en"")"),"Imbala LT")</f>
        <v>Imbala LT</v>
      </c>
    </row>
    <row r="465" spans="1:1" ht="14.4">
      <c r="A465" s="19" t="str">
        <f ca="1">IFERROR(__xludf.DUMMYFUNCTION("GOOGLETRANSLATE(C465,""ar"",""en"")"),"Travelers LS")</f>
        <v>Travelers LS</v>
      </c>
    </row>
    <row r="466" spans="1:1" ht="14.4">
      <c r="A466" s="19" t="str">
        <f ca="1">IFERROR(__xludf.DUMMYFUNCTION("GOOGLETRANSLATE(C466,""ar"",""en"")"),"Bakbah")</f>
        <v>Bakbah</v>
      </c>
    </row>
    <row r="467" spans="1:1" ht="14.4">
      <c r="A467" s="19" t="str">
        <f ca="1">IFERROR(__xludf.DUMMYFUNCTION("GOOGLETRANSLATE(C467,""ar"",""en"")"),"Economics Premier Pay Lord")</f>
        <v>Economics Premier Pay Lord</v>
      </c>
    </row>
    <row r="468" spans="1:1" ht="14.4">
      <c r="A468" s="19" t="str">
        <f ca="1">IFERROR(__xludf.DUMMYFUNCTION("GOOGLETRANSLATE(C468,""ar"",""en"")"),"Silvrado")</f>
        <v>Silvrado</v>
      </c>
    </row>
    <row r="469" spans="1:1" ht="14.4">
      <c r="A469" s="19" t="str">
        <f ca="1">IFERROR(__xludf.DUMMYFUNCTION("GOOGLETRANSLATE(C469,""ar"",""en"")"),"SUV")</f>
        <v>SUV</v>
      </c>
    </row>
    <row r="470" spans="1:1" ht="14.4">
      <c r="A470" s="19" t="str">
        <f ca="1">IFERROR(__xludf.DUMMYFUNCTION("GOOGLETRANSLATE(C470,""ar"",""en"")"),"Blyser")</f>
        <v>Blyser</v>
      </c>
    </row>
    <row r="471" spans="1:1" ht="14.4">
      <c r="A471" s="19" t="str">
        <f ca="1">IFERROR(__xludf.DUMMYFUNCTION("GOOGLETRANSLATE(C471,""ar"",""en"")"),"Sera 4*4")</f>
        <v>Sera 4*4</v>
      </c>
    </row>
    <row r="472" spans="1:1" ht="14.4">
      <c r="A472" s="19" t="str">
        <f ca="1">IFERROR(__xludf.DUMMYFUNCTION("GOOGLETRANSLATE(C472,""ar"",""en"")"),"Tyrin four -wheel drive turbo")</f>
        <v>Tyrin four -wheel drive turbo</v>
      </c>
    </row>
    <row r="473" spans="1:1" ht="14.4">
      <c r="A473" s="19" t="str">
        <f ca="1">IFERROR(__xludf.DUMMYFUNCTION("GOOGLETRANSLATE(C473,""ar"",""en"")"),"Imbala LS")</f>
        <v>Imbala LS</v>
      </c>
    </row>
    <row r="474" spans="1:1" ht="14.4">
      <c r="A474" s="19" t="str">
        <f ca="1">IFERROR(__xludf.DUMMYFUNCTION("GOOGLETRANSLATE(C474,""ar"",""en"")"),"Blazer in front of me")</f>
        <v>Blazer in front of me</v>
      </c>
    </row>
    <row r="475" spans="1:1" ht="14.4">
      <c r="A475" s="19" t="str">
        <f ca="1">IFERROR(__xludf.DUMMYFUNCTION("GOOGLETRANSLATE(C475,""ar"",""en"")"),"Tyrin SL I. Pay Ruba")</f>
        <v>Tyrin SL I. Pay Ruba</v>
      </c>
    </row>
    <row r="476" spans="1:1" ht="14.4">
      <c r="A476" s="19" t="str">
        <f ca="1">IFERROR(__xludf.DUMMYFUNCTION("GOOGLETRANSLATE(C476,""ar"",""en"")"),"Aquinox LT Pay either")</f>
        <v>Aquinox LT Pay either</v>
      </c>
    </row>
    <row r="477" spans="1:1" ht="14.4">
      <c r="A477" s="19" t="str">
        <f ca="1">IFERROR(__xludf.DUMMYFUNCTION("GOOGLETRANSLATE(C477,""ar"",""en"")"),"Terreen Denali pay a quadrilateral")</f>
        <v>Terreen Denali pay a quadrilateral</v>
      </c>
    </row>
    <row r="478" spans="1:1" ht="14.4">
      <c r="A478" s="19" t="str">
        <f ca="1">IFERROR(__xludf.DUMMYFUNCTION("GOOGLETRANSLATE(C478,""ar"",""en"")"),"Terrene SL I. Either Pay either")</f>
        <v>Terrene SL I. Either Pay either</v>
      </c>
    </row>
    <row r="479" spans="1:1" ht="14.4">
      <c r="A479" s="19" t="str">
        <f ca="1">IFERROR(__xludf.DUMMYFUNCTION("GOOGLETRANSLATE(C479,""ar"",""en"")"),"Chevrolet Selvrado")</f>
        <v>Chevrolet Selvrado</v>
      </c>
    </row>
    <row r="480" spans="1:1" ht="14.4">
      <c r="A480" s="19" t="str">
        <f ca="1">IFERROR(__xludf.DUMMYFUNCTION("GOOGLETRANSLATE(C480,""ar"",""en"")"),"Aquinox LS Pay either")</f>
        <v>Aquinox LS Pay either</v>
      </c>
    </row>
    <row r="481" spans="1:1" ht="14.4">
      <c r="A481" s="19" t="str">
        <f ca="1">IFERROR(__xludf.DUMMYFUNCTION("GOOGLETRANSLATE(C481,""ar"",""en"")"),"Economs LT")</f>
        <v>Economs LT</v>
      </c>
    </row>
    <row r="482" spans="1:1" ht="14.4">
      <c r="A482" s="19" t="str">
        <f ca="1">IFERROR(__xludf.DUMMYFUNCTION("GOOGLETRANSLATE(C482,""ar"",""en"")"),"Eco Naks LS")</f>
        <v>Eco Naks LS</v>
      </c>
    </row>
    <row r="483" spans="1:1" ht="14.4">
      <c r="A483" s="19" t="str">
        <f ca="1">IFERROR(__xludf.DUMMYFUNCTION("GOOGLETRANSLATE(C483,""ar"",""en"")"),"Terreen")</f>
        <v>Terreen</v>
      </c>
    </row>
    <row r="484" spans="1:1" ht="14.4">
      <c r="A484" s="19" t="str">
        <f ca="1">IFERROR(__xludf.DUMMYFUNCTION("GOOGLETRANSLATE(C484,""ar"",""en"")"),"Silvrao")</f>
        <v>Silvrao</v>
      </c>
    </row>
    <row r="485" spans="1:1" ht="14.4">
      <c r="A485" s="19" t="str">
        <f ca="1">IFERROR(__xludf.DUMMYFUNCTION("GOOGLETRANSLATE(C485,""ar"",""en"")"),"Aquinox LS")</f>
        <v>Aquinox LS</v>
      </c>
    </row>
    <row r="486" spans="1:1" ht="14.4">
      <c r="A486" s="19" t="str">
        <f ca="1">IFERROR(__xludf.DUMMYFUNCTION("GOOGLETRANSLATE(C486,""ar"",""en"")"),"Malibu")</f>
        <v>Malibu</v>
      </c>
    </row>
    <row r="487" spans="1:1" ht="14.4">
      <c r="A487" s="19" t="str">
        <f ca="1">IFERROR(__xludf.DUMMYFUNCTION("GOOGLETRANSLATE(C487,""ar"",""en"")"),"Malibu LT")</f>
        <v>Malibu LT</v>
      </c>
    </row>
    <row r="488" spans="1:1" ht="14.4">
      <c r="A488" s="19" t="str">
        <f ca="1">IFERROR(__xludf.DUMMYFUNCTION("GOOGLETRANSLATE(C488,""ar"",""en"")"),"Malibu LS")</f>
        <v>Malibu LS</v>
      </c>
    </row>
    <row r="489" spans="1:1" ht="14.4">
      <c r="A489" s="19" t="str">
        <f ca="1">IFERROR(__xludf.DUMMYFUNCTION("GOOGLETRANSLATE(C489,""ar"",""en"")"),"Malibu Turbo pushed in front of")</f>
        <v>Malibu Turbo pushed in front of</v>
      </c>
    </row>
    <row r="490" spans="1:1" ht="14.4">
      <c r="A490" s="19" t="str">
        <f ca="1">IFERROR(__xludf.DUMMYFUNCTION("GOOGLETRANSLATE(C490,""ar"",""en"")"),"Capteva in front of me")</f>
        <v>Capteva in front of me</v>
      </c>
    </row>
    <row r="491" spans="1:1" ht="14.4">
      <c r="A491" s="19" t="str">
        <f ca="1">IFERROR(__xludf.DUMMYFUNCTION("GOOGLETRANSLATE(C491,""ar"",""en"")"),"Capteva")</f>
        <v>Capteva</v>
      </c>
    </row>
    <row r="492" spans="1:1" ht="14.4">
      <c r="A492" s="19" t="str">
        <f ca="1">IFERROR(__xludf.DUMMYFUNCTION("GOOGLETRANSLATE(C492,""ar"",""en"")"),"Prior to me 1.5 liters")</f>
        <v>Prior to me 1.5 liters</v>
      </c>
    </row>
    <row r="493" spans="1:1" ht="14.4">
      <c r="A493" s="19" t="str">
        <f ca="1">IFERROR(__xludf.DUMMYFUNCTION("GOOGLETRANSLATE(C493,""ar"",""en"")"),"Garrov")</f>
        <v>Garrov</v>
      </c>
    </row>
    <row r="494" spans="1:1" ht="14.4">
      <c r="A494" s="19" t="str">
        <f ca="1">IFERROR(__xludf.DUMMYFUNCTION("GOOGLETRANSLATE(C494,""ar"",""en"")"),"Spark")</f>
        <v>Spark</v>
      </c>
    </row>
    <row r="495" spans="1:1" ht="14.4">
      <c r="A495" s="19" t="str">
        <f ca="1">IFERROR(__xludf.DUMMYFUNCTION("GOOGLETRANSLATE(C495,""ar"",""en"")"),"Park is normal")</f>
        <v>Park is normal</v>
      </c>
    </row>
    <row r="496" spans="1:1" ht="14.4">
      <c r="A496" s="19" t="str">
        <f ca="1">IFERROR(__xludf.DUMMYFUNCTION("GOOGLETRANSLATE(C496,""ar"",""en"")"),"GN 8")</f>
        <v>GN 8</v>
      </c>
    </row>
    <row r="497" spans="1:1" ht="14.4">
      <c r="A497" s="19" t="str">
        <f ca="1">IFERROR(__xludf.DUMMYFUNCTION("GOOGLETRANSLATE(C497,""ar"",""en"")"),"GA8")</f>
        <v>GA8</v>
      </c>
    </row>
    <row r="498" spans="1:1" ht="14.4">
      <c r="A498" s="19" t="str">
        <f ca="1">IFERROR(__xludf.DUMMYFUNCTION("GOOGLETRANSLATE(C498,""ar"",""en"")"),"GS8")</f>
        <v>GS8</v>
      </c>
    </row>
    <row r="499" spans="1:1" ht="14.4">
      <c r="A499" s="19" t="str">
        <f ca="1">IFERROR(__xludf.DUMMYFUNCTION("GOOGLETRANSLATE(C499,""ar"",""en"")"),"GI6")</f>
        <v>GI6</v>
      </c>
    </row>
    <row r="500" spans="1:1" ht="14.4">
      <c r="A500" s="19" t="str">
        <f ca="1">IFERROR(__xludf.DUMMYFUNCTION("GOOGLETRANSLATE(C500,""ar"",""en"")"),"GN 6")</f>
        <v>GN 6</v>
      </c>
    </row>
    <row r="501" spans="1:1" ht="14.4">
      <c r="A501" s="19" t="str">
        <f ca="1">IFERROR(__xludf.DUMMYFUNCTION("GOOGLETRANSLATE(C501,""ar"",""en"")"),"GS4")</f>
        <v>GS4</v>
      </c>
    </row>
    <row r="502" spans="1:1" ht="14.4">
      <c r="A502" s="19" t="str">
        <f ca="1">IFERROR(__xludf.DUMMYFUNCTION("GOOGLETRANSLATE(C502,""ar"",""en"")"),"GS5")</f>
        <v>GS5</v>
      </c>
    </row>
    <row r="503" spans="1:1" ht="14.4">
      <c r="A503" s="19" t="str">
        <f ca="1">IFERROR(__xludf.DUMMYFUNCTION("GOOGLETRANSLATE(C503,""ar"",""en"")"),"GA4")</f>
        <v>GA4</v>
      </c>
    </row>
    <row r="504" spans="1:1" ht="14.4">
      <c r="A504" s="19" t="str">
        <f ca="1">IFERROR(__xludf.DUMMYFUNCTION("GOOGLETRANSLATE(C504,""ar"",""en"")"),"GS3")</f>
        <v>GS3</v>
      </c>
    </row>
    <row r="505" spans="1:1" ht="14.4">
      <c r="A505" s="19" t="str">
        <f ca="1">IFERROR(__xludf.DUMMYFUNCTION("GOOGLETRANSLATE(C505,""ar"",""en"")")," GS3")</f>
        <v xml:space="preserve"> GS3</v>
      </c>
    </row>
    <row r="506" spans="1:1" ht="14.4">
      <c r="A506" s="19" t="str">
        <f ca="1">IFERROR(__xludf.DUMMYFUNCTION("GOOGLETRANSLATE(C506,""ar"",""en"")"),"JX 1043 DP2")</f>
        <v>JX 1043 DP2</v>
      </c>
    </row>
    <row r="507" spans="1:1" ht="14.4">
      <c r="A507" s="19" t="str">
        <f ca="1">IFERROR(__xludf.DUMMYFUNCTION("GOOGLETRANSLATE(C507,""ar"",""en"")"),"JX 1021 DP")</f>
        <v>JX 1021 DP</v>
      </c>
    </row>
    <row r="508" spans="1:1" ht="14.4">
      <c r="A508" s="19" t="str">
        <f ca="1">IFERROR(__xludf.DUMMYFUNCTION("GOOGLETRANSLATE(C508,""ar"",""en"")"),"Tujila quad")</f>
        <v>Tujila quad</v>
      </c>
    </row>
    <row r="509" spans="1:1" ht="14.4">
      <c r="A509" s="19" t="str">
        <f ca="1">IFERROR(__xludf.DUMMYFUNCTION("GOOGLETRANSLATE(C509,""ar"",""en"")"),"SUVs")</f>
        <v>SUVs</v>
      </c>
    </row>
    <row r="510" spans="1:1" ht="14.4">
      <c r="A510" s="19" t="str">
        <f ca="1">IFERROR(__xludf.DUMMYFUNCTION("GOOGLETRANSLATE(C510,""ar"",""en"")"),"Okavango")</f>
        <v>Okavango</v>
      </c>
    </row>
    <row r="511" spans="1:1" ht="14.4">
      <c r="A511" s="19" t="str">
        <f ca="1">IFERROR(__xludf.DUMMYFUNCTION("GOOGLETRANSLATE(C511,""ar"",""en"")"),"X7 Sport")</f>
        <v>X7 Sport</v>
      </c>
    </row>
    <row r="512" spans="1:1" ht="14.4">
      <c r="A512" s="19" t="str">
        <f ca="1">IFERROR(__xludf.DUMMYFUNCTION("GOOGLETRANSLATE(C512,""ar"",""en"")"),"Collery")</f>
        <v>Collery</v>
      </c>
    </row>
    <row r="513" spans="1:1" ht="14.4">
      <c r="A513" s="19" t="str">
        <f ca="1">IFERROR(__xludf.DUMMYFUNCTION("GOOGLETRANSLATE(C513,""ar"",""en"")"),"Naray")</f>
        <v>Naray</v>
      </c>
    </row>
    <row r="514" spans="1:1" ht="14.4">
      <c r="A514" s="19" t="str">
        <f ca="1">IFERROR(__xludf.DUMMYFUNCTION("GOOGLETRANSLATE(C514,""ar"",""en"")"),"JX 1064 TG2")</f>
        <v>JX 1064 TG2</v>
      </c>
    </row>
    <row r="515" spans="1:1" ht="14.4">
      <c r="A515" s="19" t="str">
        <f ca="1">IFERROR(__xludf.DUMMYFUNCTION("GOOGLETRANSLATE(C515,""ar"",""en"")"),"JX 1021 DSH")</f>
        <v>JX 1021 DSH</v>
      </c>
    </row>
    <row r="516" spans="1:1" ht="14.4">
      <c r="A516" s="19" t="str">
        <f ca="1">IFERROR(__xludf.DUMMYFUNCTION("GOOGLETRANSLATE(C516,""ar"",""en"")"),"neon")</f>
        <v>neon</v>
      </c>
    </row>
    <row r="517" spans="1:1" ht="14.4">
      <c r="A517" s="19" t="str">
        <f ca="1">IFERROR(__xludf.DUMMYFUNCTION("GOOGLETRANSLATE(C517,""ar"",""en"")"),"1200")</f>
        <v>1200</v>
      </c>
    </row>
    <row r="518" spans="1:1" ht="14.4">
      <c r="A518" s="19" t="str">
        <f ca="1">IFERROR(__xludf.DUMMYFUNCTION("GOOGLETRANSLATE(C518,""ar"",""en"")"),"DX 520 LCA")</f>
        <v>DX 520 LCA</v>
      </c>
    </row>
    <row r="519" spans="1:1" ht="14.4">
      <c r="A519" s="19" t="str">
        <f ca="1">IFERROR(__xludf.DUMMYFUNCTION("GOOGLETRANSLATE(C519,""ar"",""en"")"),"DX 480 LCA")</f>
        <v>DX 480 LCA</v>
      </c>
    </row>
    <row r="520" spans="1:1" ht="14.4">
      <c r="A520" s="19" t="str">
        <f ca="1">IFERROR(__xludf.DUMMYFUNCTION("GOOGLETRANSLATE(C520,""ar"",""en"")"),"DX 420 LCA")</f>
        <v>DX 420 LCA</v>
      </c>
    </row>
    <row r="521" spans="1:1" ht="14.4">
      <c r="A521" s="19" t="str">
        <f ca="1">IFERROR(__xludf.DUMMYFUNCTION("GOOGLETRANSLATE(C521,""ar"",""en"")"),"The 420A")</f>
        <v>The 420A</v>
      </c>
    </row>
    <row r="522" spans="1:1" ht="14.4">
      <c r="A522" s="19" t="str">
        <f ca="1">IFERROR(__xludf.DUMMYFUNCTION("GOOGLETRANSLATE(C522,""ar"",""en"")"),"DX 190WA")</f>
        <v>DX 190WA</v>
      </c>
    </row>
    <row r="523" spans="1:1" ht="14.4">
      <c r="A523" s="19" t="str">
        <f ca="1">IFERROR(__xludf.DUMMYFUNCTION("GOOGLETRANSLATE(C523,""ar"",""en"")"),"DX 225 LCA")</f>
        <v>DX 225 LCA</v>
      </c>
    </row>
    <row r="524" spans="1:1" ht="14.4">
      <c r="A524" s="19" t="str">
        <f ca="1">IFERROR(__xludf.DUMMYFUNCTION("GOOGLETRANSLATE(C524,""ar"",""en"")"),"DX 220 LCA -2")</f>
        <v>DX 220 LCA -2</v>
      </c>
    </row>
    <row r="525" spans="1:1" ht="14.4">
      <c r="A525" s="19" t="str">
        <f ca="1">IFERROR(__xludf.DUMMYFUNCTION("GOOGLETRANSLATE(C525,""ar"",""en"")"),"SD 310")</f>
        <v>SD 310</v>
      </c>
    </row>
    <row r="526" spans="1:1" ht="14.4">
      <c r="A526" s="19" t="str">
        <f ca="1">IFERROR(__xludf.DUMMYFUNCTION("GOOGLETRANSLATE(C526,""ar"",""en"")"),"SD 300")</f>
        <v>SD 300</v>
      </c>
    </row>
    <row r="527" spans="1:1" ht="14.4">
      <c r="A527" s="19" t="str">
        <f ca="1">IFERROR(__xludf.DUMMYFUNCTION("GOOGLETRANSLATE(C527,""ar"",""en"")"),"D 70 S-5")</f>
        <v>D 70 S-5</v>
      </c>
    </row>
    <row r="528" spans="1:1" ht="14.4">
      <c r="A528" s="19" t="str">
        <f ca="1">IFERROR(__xludf.DUMMYFUNCTION("GOOGLETRANSLATE(C528,""ar"",""en"")"),"D 30G")</f>
        <v>D 30G</v>
      </c>
    </row>
    <row r="529" spans="1:1" ht="14.4">
      <c r="A529" s="19" t="str">
        <f ca="1">IFERROR(__xludf.DUMMYFUNCTION("GOOGLETRANSLATE(C529,""ar"",""en"")"),"D30 NNXP")</f>
        <v>D30 NNXP</v>
      </c>
    </row>
    <row r="530" spans="1:1" ht="14.4">
      <c r="A530" s="19" t="str">
        <f ca="1">IFERROR(__xludf.DUMMYFUNCTION("GOOGLETRANSLATE(C530,""ar"",""en"")"),"5000 Eiffel and Yu 4")</f>
        <v>5000 Eiffel and Yu 4</v>
      </c>
    </row>
    <row r="531" spans="1:1" ht="14.4">
      <c r="A531" s="19" t="str">
        <f ca="1">IFERROR(__xludf.DUMMYFUNCTION("GOOGLETRANSLATE(C531,""ar"",""en"")"),"3000 Revolution")</f>
        <v>3000 Revolution</v>
      </c>
    </row>
    <row r="532" spans="1:1" ht="14.4">
      <c r="A532" s="19" t="str">
        <f ca="1">IFERROR(__xludf.DUMMYFUNCTION("GOOGLETRANSLATE(C532,""ar"",""en"")"),"Grand Cherokee")</f>
        <v>Grand Cherokee</v>
      </c>
    </row>
    <row r="533" spans="1:1" ht="14.4">
      <c r="A533" s="19" t="str">
        <f ca="1">IFERROR(__xludf.DUMMYFUNCTION("GOOGLETRANSLATE(C533,""ar"",""en"")"),"Drango")</f>
        <v>Drango</v>
      </c>
    </row>
    <row r="534" spans="1:1" ht="14.4">
      <c r="A534" s="19" t="str">
        <f ca="1">IFERROR(__xludf.DUMMYFUNCTION("GOOGLETRANSLATE(C534,""ar"",""en"")"),"Colin")</f>
        <v>Colin</v>
      </c>
    </row>
    <row r="535" spans="1:1" ht="14.4">
      <c r="A535" s="19" t="str">
        <f ca="1">IFERROR(__xludf.DUMMYFUNCTION("GOOGLETRANSLATE(C535,""ar"",""en"")"),"Ghost")</f>
        <v>Ghost</v>
      </c>
    </row>
    <row r="536" spans="1:1" ht="14.4">
      <c r="A536" s="19" t="str">
        <f ca="1">IFERROR(__xludf.DUMMYFUNCTION("GOOGLETRANSLATE(C536,""ar"",""en"")"),"Ray")</f>
        <v>Ray</v>
      </c>
    </row>
    <row r="537" spans="1:1" ht="14.4">
      <c r="A537" s="19" t="str">
        <f ca="1">IFERROR(__xludf.DUMMYFUNCTION("GOOGLETRANSLATE(C537,""ar"",""en"")"),"Phantom")</f>
        <v>Phantom</v>
      </c>
    </row>
    <row r="538" spans="1:1" ht="14.4">
      <c r="A538" s="19" t="str">
        <f ca="1">IFERROR(__xludf.DUMMYFUNCTION("GOOGLETRANSLATE(C538,""ar"",""en"")"),"Colin")</f>
        <v>Colin</v>
      </c>
    </row>
    <row r="539" spans="1:1" ht="14.4">
      <c r="A539" s="19" t="str">
        <f ca="1">IFERROR(__xludf.DUMMYFUNCTION("GOOGLETRANSLATE(C539,""ar"",""en"")"),"Ghost")</f>
        <v>Ghost</v>
      </c>
    </row>
    <row r="540" spans="1:1" ht="14.4">
      <c r="A540" s="19" t="str">
        <f ca="1">IFERROR(__xludf.DUMMYFUNCTION("GOOGLETRANSLATE(C540,""ar"",""en"")"),"Mounted")</f>
        <v>Mounted</v>
      </c>
    </row>
    <row r="541" spans="1:1" ht="14.4">
      <c r="A541" s="19" t="str">
        <f ca="1">IFERROR(__xludf.DUMMYFUNCTION("GOOGLETRANSLATE(C541,""ar"",""en"")"),"Continental GT")</f>
        <v>Continental GT</v>
      </c>
    </row>
    <row r="542" spans="1:1" ht="14.4">
      <c r="A542" s="19" t="str">
        <f ca="1">IFERROR(__xludf.DUMMYFUNCTION("GOOGLETRANSLATE(C542,""ar"",""en"")"),"Pentaga")</f>
        <v>Pentaga</v>
      </c>
    </row>
    <row r="543" spans="1:1" ht="14.4">
      <c r="A543" s="19" t="str">
        <f ca="1">IFERROR(__xludf.DUMMYFUNCTION("GOOGLETRANSLATE(C543,""ar"",""en"")"),"Bentiga W. 12")</f>
        <v>Bentiga W. 12</v>
      </c>
    </row>
    <row r="544" spans="1:1" ht="14.4">
      <c r="A544" s="19" t="str">
        <f ca="1">IFERROR(__xludf.DUMMYFUNCTION("GOOGLETRANSLATE(C544,""ar"",""en"")"),"C 460")</f>
        <v>C 460</v>
      </c>
    </row>
    <row r="545" spans="1:1" ht="14.4">
      <c r="A545" s="19" t="str">
        <f ca="1">IFERROR(__xludf.DUMMYFUNCTION("GOOGLETRANSLATE(C545,""ar"",""en"")"),"Colius")</f>
        <v>Colius</v>
      </c>
    </row>
    <row r="546" spans="1:1" ht="14.4">
      <c r="A546" s="19" t="str">
        <f ca="1">IFERROR(__xludf.DUMMYFUNCTION("GOOGLETRANSLATE(C546,""ar"",""en"")"),"Master The 1H1")</f>
        <v>Master The 1H1</v>
      </c>
    </row>
    <row r="547" spans="1:1" ht="14.4">
      <c r="A547" s="19" t="str">
        <f ca="1">IFERROR(__xludf.DUMMYFUNCTION("GOOGLETRANSLATE(C547,""ar"",""en"")"),"Any 1.6 automatic")</f>
        <v>Any 1.6 automatic</v>
      </c>
    </row>
    <row r="548" spans="1:1" ht="14.4">
      <c r="A548" s="19" t="str">
        <f ca="1">IFERROR(__xludf.DUMMYFUNCTION("GOOGLETRANSLATE(C548,""ar"",""en"")"),"Duster 4 x 4")</f>
        <v>Duster 4 x 4</v>
      </c>
    </row>
    <row r="549" spans="1:1" ht="14.4">
      <c r="A549" s="19" t="str">
        <f ca="1">IFERROR(__xludf.DUMMYFUNCTION("GOOGLETRANSLATE(C549,""ar"",""en"")"),"Megan")</f>
        <v>Megan</v>
      </c>
    </row>
    <row r="550" spans="1:1" ht="14.4">
      <c r="A550" s="19" t="str">
        <f ca="1">IFERROR(__xludf.DUMMYFUNCTION("GOOGLETRANSLATE(C550,""ar"",""en"")"),"Duster 4 x 2")</f>
        <v>Duster 4 x 2</v>
      </c>
    </row>
    <row r="551" spans="1:1" ht="14.4">
      <c r="A551" s="19" t="str">
        <f ca="1">IFERROR(__xludf.DUMMYFUNCTION("GOOGLETRANSLATE(C551,""ar"",""en"")"),"Van 1.6")</f>
        <v>Van 1.6</v>
      </c>
    </row>
    <row r="552" spans="1:1" ht="14.4">
      <c r="A552" s="19" t="str">
        <f ca="1">IFERROR(__xludf.DUMMYFUNCTION("GOOGLETRANSLATE(C552,""ar"",""en"")"),"Ducly")</f>
        <v>Ducly</v>
      </c>
    </row>
    <row r="553" spans="1:1" ht="14.4">
      <c r="A553" s="19" t="str">
        <f ca="1">IFERROR(__xludf.DUMMYFUNCTION("GOOGLETRANSLATE(C553,""ar"",""en"")"),"1.6 automatic")</f>
        <v>1.6 automatic</v>
      </c>
    </row>
    <row r="554" spans="1:1" ht="14.4">
      <c r="A554" s="19" t="str">
        <f ca="1">IFERROR(__xludf.DUMMYFUNCTION("GOOGLETRANSLATE(C554,""ar"",""en"")"),"Symbol")</f>
        <v>Symbol</v>
      </c>
    </row>
    <row r="555" spans="1:1" ht="14.4">
      <c r="A555" s="19" t="str">
        <f ca="1">IFERROR(__xludf.DUMMYFUNCTION("GOOGLETRANSLATE(C555,""ar"",""en"")"),"Tifoli XK")</f>
        <v>Tifoli XK</v>
      </c>
    </row>
    <row r="556" spans="1:1" ht="14.4">
      <c r="A556" s="19" t="str">
        <f ca="1">IFERROR(__xludf.DUMMYFUNCTION("GOOGLETRANSLATE(C556,""ar"",""en"")"),"Korendua 4 x 2 automatic")</f>
        <v>Korendua 4 x 2 automatic</v>
      </c>
    </row>
    <row r="557" spans="1:1" ht="14.4">
      <c r="A557" s="19" t="str">
        <f ca="1">IFERROR(__xludf.DUMMYFUNCTION("GOOGLETRANSLATE(C557,""ar"",""en"")"),"Rixon 4 x 4 automatic")</f>
        <v>Rixon 4 x 4 automatic</v>
      </c>
    </row>
    <row r="558" spans="1:1" ht="14.4">
      <c r="A558" s="19" t="str">
        <f ca="1">IFERROR(__xludf.DUMMYFUNCTION("GOOGLETRANSLATE(C558,""ar"",""en"")"),"Coranda 4 x 2 automatic")</f>
        <v>Coranda 4 x 2 automatic</v>
      </c>
    </row>
    <row r="559" spans="1:1" ht="14.4">
      <c r="A559" s="19" t="str">
        <f ca="1">IFERROR(__xludf.DUMMYFUNCTION("GOOGLETRANSLATE(C559,""ar"",""en"")"),"Tifoli 4 x 2 automatic")</f>
        <v>Tifoli 4 x 2 automatic</v>
      </c>
    </row>
    <row r="560" spans="1:1" ht="14.4">
      <c r="A560" s="19" t="str">
        <f ca="1">IFERROR(__xludf.DUMMYFUNCTION("GOOGLETRANSLATE(C560,""ar"",""en"")"),"Tifoli XK 4 x 2")</f>
        <v>Tifoli XK 4 x 2</v>
      </c>
    </row>
    <row r="561" spans="1:1" ht="14.4">
      <c r="A561" s="19" t="str">
        <f ca="1">IFERROR(__xludf.DUMMYFUNCTION("GOOGLETRANSLATE(C561,""ar"",""en"")"),"Tivoli 4 x 2 automatic")</f>
        <v>Tivoli 4 x 2 automatic</v>
      </c>
    </row>
    <row r="562" spans="1:1" ht="14.4">
      <c r="A562" s="19" t="str">
        <f ca="1">IFERROR(__xludf.DUMMYFUNCTION("GOOGLETRANSLATE(C562,""ar"",""en"")"),"Tifoli XK 4 x 2")</f>
        <v>Tifoli XK 4 x 2</v>
      </c>
    </row>
    <row r="563" spans="1:1" ht="14.4">
      <c r="A563" s="19" t="str">
        <f ca="1">IFERROR(__xludf.DUMMYFUNCTION("GOOGLETRANSLATE(C563,""ar"",""en"")"),"MGRX 8")</f>
        <v>MGRX 8</v>
      </c>
    </row>
    <row r="564" spans="1:1" ht="14.4">
      <c r="A564" s="19" t="str">
        <f ca="1">IFERROR(__xludf.DUMMYFUNCTION("GOOGLETRANSLATE(C564,""ar"",""en"")"),"MG HSS")</f>
        <v>MG HSS</v>
      </c>
    </row>
    <row r="565" spans="1:1" ht="14.4">
      <c r="A565" s="19" t="str">
        <f ca="1">IFERROR(__xludf.DUMMYFUNCTION("GOOGLETRANSLATE(C565,""ar"",""en"")"),"Maxos de 90")</f>
        <v>Maxos de 90</v>
      </c>
    </row>
    <row r="566" spans="1:1" ht="14.4">
      <c r="A566" s="19" t="str">
        <f ca="1">IFERROR(__xludf.DUMMYFUNCTION("GOOGLETRANSLATE(C566,""ar"",""en"")"),"MGT 60 4 x 4")</f>
        <v>MGT 60 4 x 4</v>
      </c>
    </row>
    <row r="567" spans="1:1" ht="14.4">
      <c r="A567" s="19" t="str">
        <f ca="1">IFERROR(__xludf.DUMMYFUNCTION("GOOGLETRANSLATE(C567,""ar"",""en"")"),"MGT 60")</f>
        <v>MGT 60</v>
      </c>
    </row>
    <row r="568" spans="1:1" ht="14.4">
      <c r="A568" s="19" t="str">
        <f ca="1">IFERROR(__xludf.DUMMYFUNCTION("GOOGLETRANSLATE(C568,""ar"",""en"")"),"Maxos de 60")</f>
        <v>Maxos de 60</v>
      </c>
    </row>
    <row r="569" spans="1:1" ht="14.4">
      <c r="A569" s="19" t="str">
        <f ca="1">IFERROR(__xludf.DUMMYFUNCTION("GOOGLETRANSLATE(C569,""ar"",""en"")"),"MG 6")</f>
        <v>MG 6</v>
      </c>
    </row>
    <row r="570" spans="1:1" ht="14.4">
      <c r="A570" s="19" t="str">
        <f ca="1">IFERROR(__xludf.DUMMYFUNCTION("GOOGLETRANSLATE(C570,""ar"",""en"")"),"MGRX 5")</f>
        <v>MGRX 5</v>
      </c>
    </row>
    <row r="571" spans="1:1" ht="14.4">
      <c r="A571" s="19" t="str">
        <f ca="1">IFERROR(__xludf.DUMMYFUNCTION("GOOGLETRANSLATE(C571,""ar"",""en"")"),"MG GT")</f>
        <v>MG GT</v>
      </c>
    </row>
    <row r="572" spans="1:1" ht="14.4">
      <c r="A572" s="19" t="str">
        <f ca="1">IFERROR(__xludf.DUMMYFUNCTION("GOOGLETRANSLATE(C572,""ar"",""en"")"),"MG ZSS")</f>
        <v>MG ZSS</v>
      </c>
    </row>
    <row r="573" spans="1:1" ht="14.4">
      <c r="A573" s="19" t="str">
        <f ca="1">IFERROR(__xludf.DUMMYFUNCTION("GOOGLETRANSLATE(C573,""ar"",""en"")"),"Maxos T 60 4 x 4")</f>
        <v>Maxos T 60 4 x 4</v>
      </c>
    </row>
    <row r="574" spans="1:1" ht="14.4">
      <c r="A574" s="19" t="str">
        <f ca="1">IFERROR(__xludf.DUMMYFUNCTION("GOOGLETRANSLATE(C574,""ar"",""en"")"),"MG 5")</f>
        <v>MG 5</v>
      </c>
    </row>
    <row r="575" spans="1:1" ht="14.4">
      <c r="A575" s="19" t="str">
        <f ca="1">IFERROR(__xludf.DUMMYFUNCTION("GOOGLETRANSLATE(C575,""ar"",""en"")"),"MG 360")</f>
        <v>MG 360</v>
      </c>
    </row>
    <row r="576" spans="1:1" ht="14.4">
      <c r="A576" s="19" t="str">
        <f ca="1">IFERROR(__xludf.DUMMYFUNCTION("GOOGLETRANSLATE(C576,""ar"",""en"")"),"Forex")</f>
        <v>Forex</v>
      </c>
    </row>
    <row r="577" spans="1:1" ht="14.4">
      <c r="A577" s="19" t="str">
        <f ca="1">IFERROR(__xludf.DUMMYFUNCTION("GOOGLETRANSLATE(C577,""ar"",""en"")"),"XV")</f>
        <v>XV</v>
      </c>
    </row>
    <row r="578" spans="1:1" ht="14.4">
      <c r="A578" s="19" t="str">
        <f ca="1">IFERROR(__xludf.DUMMYFUNCTION("GOOGLETRANSLATE(C578,""ar"",""en"")"),"ABV - Van goods")</f>
        <v>ABV - Van goods</v>
      </c>
    </row>
    <row r="579" spans="1:1" ht="14.4">
      <c r="A579" s="19" t="str">
        <f ca="1">IFERROR(__xludf.DUMMYFUNCTION("GOOGLETRANSLATE(C579,""ar"",""en"")"),"SH 220 LC -6")</f>
        <v>SH 220 LC -6</v>
      </c>
    </row>
    <row r="580" spans="1:1" ht="14.4">
      <c r="A580" s="19" t="str">
        <f ca="1">IFERROR(__xludf.DUMMYFUNCTION("GOOGLETRANSLATE(C580,""ar"",""en"")"),"SD 125")</f>
        <v>SD 125</v>
      </c>
    </row>
    <row r="581" spans="1:1" ht="14.4">
      <c r="A581" s="19" t="str">
        <f ca="1">IFERROR(__xludf.DUMMYFUNCTION("GOOGLETRANSLATE(C581,""ar"",""en"")"),"CS95")</f>
        <v>CS95</v>
      </c>
    </row>
    <row r="582" spans="1:1" ht="14.4">
      <c r="A582" s="19" t="str">
        <f ca="1">IFERROR(__xludf.DUMMYFUNCTION("GOOGLETRANSLATE(C582,""ar"",""en"")"),"CS85")</f>
        <v>CS85</v>
      </c>
    </row>
    <row r="583" spans="1:1" ht="14.4">
      <c r="A583" s="19" t="str">
        <f ca="1">IFERROR(__xludf.DUMMYFUNCTION("GOOGLETRANSLATE(C583,""ar"",""en"")"),"CS75 Plus")</f>
        <v>CS75 Plus</v>
      </c>
    </row>
    <row r="584" spans="1:1" ht="14.4">
      <c r="A584" s="19" t="str">
        <f ca="1">IFERROR(__xludf.DUMMYFUNCTION("GOOGLETRANSLATE(C584,""ar"",""en"")"),"CS75")</f>
        <v>CS75</v>
      </c>
    </row>
    <row r="585" spans="1:1" ht="14.4">
      <c r="A585" s="19" t="str">
        <f ca="1">IFERROR(__xludf.DUMMYFUNCTION("GOOGLETRANSLATE(C585,""ar"",""en"")"),"CS 35 Plus")</f>
        <v>CS 35 Plus</v>
      </c>
    </row>
    <row r="586" spans="1:1" ht="14.4">
      <c r="A586" s="19" t="str">
        <f ca="1">IFERROR(__xludf.DUMMYFUNCTION("GOOGLETRANSLATE(C586,""ar"",""en"")"),"Edo Plus")</f>
        <v>Edo Plus</v>
      </c>
    </row>
    <row r="587" spans="1:1" ht="14.4">
      <c r="A587" s="19" t="str">
        <f ca="1">IFERROR(__xludf.DUMMYFUNCTION("GOOGLETRANSLATE(C587,""ar"",""en"")"),"EDO")</f>
        <v>EDO</v>
      </c>
    </row>
    <row r="588" spans="1:1" ht="14.4">
      <c r="A588" s="19" t="str">
        <f ca="1">IFERROR(__xludf.DUMMYFUNCTION("GOOGLETRANSLATE(C588,""ar"",""en"")"),"CS 35")</f>
        <v>CS 35</v>
      </c>
    </row>
    <row r="589" spans="1:1" ht="14.4">
      <c r="A589" s="19" t="str">
        <f ca="1">IFERROR(__xludf.DUMMYFUNCTION("GOOGLETRANSLATE(C589,""ar"",""en"")"),"In 7 automatic")</f>
        <v>In 7 automatic</v>
      </c>
    </row>
    <row r="590" spans="1:1" ht="14.4">
      <c r="A590" s="19" t="str">
        <f ca="1">IFERROR(__xludf.DUMMYFUNCTION("GOOGLETRANSLATE(C590,""ar"",""en"")"),"Ships")</f>
        <v>Ships</v>
      </c>
    </row>
    <row r="591" spans="1:1" ht="14.4">
      <c r="A591" s="19" t="str">
        <f ca="1">IFERROR(__xludf.DUMMYFUNCTION("GOOGLETRANSLATE(C591,""ar"",""en"")"),"TXL Exide")</f>
        <v>TXL Exide</v>
      </c>
    </row>
    <row r="592" spans="1:1" ht="14.4">
      <c r="A592" s="19" t="str">
        <f ca="1">IFERROR(__xludf.DUMMYFUNCTION("GOOGLETRANSLATE(C592,""ar"",""en"")"),"Tigo 8")</f>
        <v>Tigo 8</v>
      </c>
    </row>
    <row r="593" spans="1:1" ht="14.4">
      <c r="A593" s="19" t="str">
        <f ca="1">IFERROR(__xludf.DUMMYFUNCTION("GOOGLETRANSLATE(C593,""ar"",""en"")"),"Tigo 7 Pro")</f>
        <v>Tigo 7 Pro</v>
      </c>
    </row>
    <row r="594" spans="1:1" ht="14.4">
      <c r="A594" s="19" t="str">
        <f ca="1">IFERROR(__xludf.DUMMYFUNCTION("GOOGLETRANSLATE(C594,""ar"",""en"")"),"Tigo GO8T 18")</f>
        <v>Tigo GO8T 18</v>
      </c>
    </row>
    <row r="595" spans="1:1" ht="14.4">
      <c r="A595" s="19" t="str">
        <f ca="1">IFERROR(__xludf.DUMMYFUNCTION("GOOGLETRANSLATE(C595,""ar"",""en"")"),"Sherry Tigo 7")</f>
        <v>Sherry Tigo 7</v>
      </c>
    </row>
    <row r="596" spans="1:1" ht="14.4">
      <c r="A596" s="19" t="str">
        <f ca="1">IFERROR(__xludf.DUMMYFUNCTION("GOOGLETRANSLATE(C596,""ar"",""en"")"),"Tigo 8 Pro")</f>
        <v>Tigo 8 Pro</v>
      </c>
    </row>
    <row r="597" spans="1:1" ht="14.4">
      <c r="A597" s="19" t="str">
        <f ca="1">IFERROR(__xludf.DUMMYFUNCTION("GOOGLETRANSLATE(C597,""ar"",""en"")"),"Areno 6 Pro")</f>
        <v>Areno 6 Pro</v>
      </c>
    </row>
    <row r="598" spans="1:1" ht="14.4">
      <c r="A598" s="19" t="str">
        <f ca="1">IFERROR(__xludf.DUMMYFUNCTION("GOOGLETRANSLATE(C598,""ar"",""en"")"),"Tigo 4 Pro")</f>
        <v>Tigo 4 Pro</v>
      </c>
    </row>
    <row r="599" spans="1:1" ht="14.4">
      <c r="A599" s="19" t="str">
        <f ca="1">IFERROR(__xludf.DUMMYFUNCTION("GOOGLETRANSLATE(C599,""ar"",""en"")"),"Areno 6")</f>
        <v>Areno 6</v>
      </c>
    </row>
    <row r="600" spans="1:1" ht="14.4">
      <c r="A600" s="19" t="str">
        <f ca="1">IFERROR(__xludf.DUMMYFUNCTION("GOOGLETRANSLATE(C600,""ar"",""en"")"),"Tigo 2 Pro")</f>
        <v>Tigo 2 Pro</v>
      </c>
    </row>
    <row r="601" spans="1:1" ht="14.4">
      <c r="A601" s="19" t="str">
        <f ca="1">IFERROR(__xludf.DUMMYFUNCTION("GOOGLETRANSLATE(C601,""ar"",""en"")"),"Tigo 2")</f>
        <v>Tigo 2</v>
      </c>
    </row>
    <row r="602" spans="1:1" ht="14.4">
      <c r="A602" s="19" t="str">
        <f ca="1">IFERROR(__xludf.DUMMYFUNCTION("GOOGLETRANSLATE(C602,""ar"",""en"")"),"Areno 5")</f>
        <v>Areno 5</v>
      </c>
    </row>
    <row r="603" spans="1:1" ht="14.4">
      <c r="A603" s="19" t="str">
        <f ca="1">IFERROR(__xludf.DUMMYFUNCTION("GOOGLETRANSLATE(C603,""ar"",""en"")"),"Areno 3")</f>
        <v>Areno 3</v>
      </c>
    </row>
    <row r="604" spans="1:1" ht="14.4">
      <c r="A604" s="19" t="str">
        <f ca="1">IFERROR(__xludf.DUMMYFUNCTION("GOOGLETRANSLATE(C604,""ar"",""en"")"),"H9 Back Payment")</f>
        <v>H9 Back Payment</v>
      </c>
    </row>
    <row r="605" spans="1:1" ht="14.4">
      <c r="A605" s="19" t="str">
        <f ca="1">IFERROR(__xludf.DUMMYFUNCTION("GOOGLETRANSLATE(C605,""ar"",""en"")"),"HS5 in front of me")</f>
        <v>HS5 in front of me</v>
      </c>
    </row>
    <row r="606" spans="1:1" ht="14.4">
      <c r="A606" s="19" t="str">
        <f ca="1">IFERROR(__xludf.DUMMYFUNCTION("GOOGLETRANSLATE(C606,""ar"",""en"")"),"HS5 four -wheel drive")</f>
        <v>HS5 four -wheel drive</v>
      </c>
    </row>
    <row r="607" spans="1:1" ht="14.4">
      <c r="A607" s="19" t="str">
        <f ca="1">IFERROR(__xludf.DUMMYFUNCTION("GOOGLETRANSLATE(C607,""ar"",""en"")"),"Beston T99")</f>
        <v>Beston T99</v>
      </c>
    </row>
    <row r="608" spans="1:1" ht="14.4">
      <c r="A608" s="19" t="str">
        <f ca="1">IFERROR(__xludf.DUMMYFUNCTION("GOOGLETRANSLATE(C608,""ar"",""en"")"),"Lincoln Navartor Brezid")</f>
        <v>Lincoln Navartor Brezid</v>
      </c>
    </row>
    <row r="609" spans="1:1" ht="14.4">
      <c r="A609" s="19" t="str">
        <f ca="1">IFERROR(__xludf.DUMMYFUNCTION("GOOGLETRANSLATE(C609,""ar"",""en"")"),"Navigitor Turbo 3.5 l")</f>
        <v>Navigitor Turbo 3.5 l</v>
      </c>
    </row>
    <row r="610" spans="1:1" ht="14.4">
      <c r="A610" s="19" t="str">
        <f ca="1">IFERROR(__xludf.DUMMYFUNCTION("GOOGLETRANSLATE(C610,""ar"",""en"")"),"Navigitor Brezzal")</f>
        <v>Navigitor Brezzal</v>
      </c>
    </row>
    <row r="611" spans="1:1" ht="14.4">
      <c r="A611" s="19" t="str">
        <f ca="1">IFERROR(__xludf.DUMMYFUNCTION("GOOGLETRANSLATE(C611,""ar"",""en"")"),"Navigitor Razerv 4 x 4")</f>
        <v>Navigitor Razerv 4 x 4</v>
      </c>
    </row>
    <row r="612" spans="1:1" ht="14.4">
      <c r="A612" s="19" t="str">
        <f ca="1">IFERROR(__xludf.DUMMYFUNCTION("GOOGLETRANSLATE(C612,""ar"",""en"")"),"Any platinum 4 x 4")</f>
        <v>Any platinum 4 x 4</v>
      </c>
    </row>
    <row r="613" spans="1:1" ht="14.4">
      <c r="A613" s="19" t="str">
        <f ca="1">IFERROR(__xludf.DUMMYFUNCTION("GOOGLETRANSLATE(C613,""ar"",""en"")"),"Planteium 4 x 4")</f>
        <v>Planteium 4 x 4</v>
      </c>
    </row>
    <row r="614" spans="1:1" ht="14.4">
      <c r="A614" s="19" t="str">
        <f ca="1">IFERROR(__xludf.DUMMYFUNCTION("GOOGLETRANSLATE(C614,""ar"",""en"")"),"F 150 4 x 4 and Want Raptor")</f>
        <v>F 150 4 x 4 and Want Raptor</v>
      </c>
    </row>
    <row r="615" spans="1:1" ht="14.4">
      <c r="A615" s="19" t="str">
        <f ca="1">IFERROR(__xludf.DUMMYFUNCTION("GOOGLETRANSLATE(C615,""ar"",""en"")"),"Avitor Breeze Benchhan Daf")</f>
        <v>Avitor Breeze Benchhan Daf</v>
      </c>
    </row>
    <row r="616" spans="1:1" ht="14.4">
      <c r="A616" s="19" t="str">
        <f ca="1">IFERROR(__xludf.DUMMYFUNCTION("GOOGLETRANSLATE(C616,""ar"",""en"")"),"FOC C-4500 DC")</f>
        <v>FOC C-4500 DC</v>
      </c>
    </row>
    <row r="617" spans="1:1" ht="14.4">
      <c r="A617" s="19" t="str">
        <f ca="1">IFERROR(__xludf.DUMMYFUNCTION("GOOGLETRANSLATE(C617,""ar"",""en"")"),"Platinum 4 x 4")</f>
        <v>Platinum 4 x 4</v>
      </c>
    </row>
    <row r="618" spans="1:1" ht="14.4">
      <c r="A618" s="19" t="str">
        <f ca="1">IFERROR(__xludf.DUMMYFUNCTION("GOOGLETRANSLATE(C618,""ar"",""en"")"),"Avitor Reserve Pay Ruba")</f>
        <v>Avitor Reserve Pay Ruba</v>
      </c>
    </row>
    <row r="619" spans="1:1" ht="14.4">
      <c r="A619" s="19" t="str">
        <f ca="1">IFERROR(__xludf.DUMMYFUNCTION("GOOGLETRANSLATE(C619,""ar"",""en"")"),"Filter of 4 x 4")</f>
        <v>Filter of 4 x 4</v>
      </c>
    </row>
    <row r="620" spans="1:1" ht="14.4">
      <c r="A620" s="19" t="str">
        <f ca="1">IFERROR(__xludf.DUMMYFUNCTION("GOOGLETRANSLATE(C620,""ar"",""en"")"),"Avenor")</f>
        <v>Avenor</v>
      </c>
    </row>
    <row r="621" spans="1:1" ht="14.4">
      <c r="A621" s="19" t="str">
        <f ca="1">IFERROR(__xludf.DUMMYFUNCTION("GOOGLETRANSLATE(C621,""ar"",""en"")"),"Ophiator 3 liters")</f>
        <v>Ophiator 3 liters</v>
      </c>
    </row>
    <row r="622" spans="1:1" ht="14.4">
      <c r="A622" s="19" t="str">
        <f ca="1">IFERROR(__xludf.DUMMYFUNCTION("GOOGLETRANSLATE(C622,""ar"",""en"")"),"4 x 4 3.5 liters")</f>
        <v>4 x 4 3.5 liters</v>
      </c>
    </row>
    <row r="623" spans="1:1" ht="14.4">
      <c r="A623" s="19" t="str">
        <f ca="1">IFERROR(__xludf.DUMMYFUNCTION("GOOGLETRANSLATE(C623,""ar"",""en"")"),"F 150 Rapter")</f>
        <v>F 150 Rapter</v>
      </c>
    </row>
    <row r="624" spans="1:1" ht="14.4">
      <c r="A624" s="19" t="str">
        <f ca="1">IFERROR(__xludf.DUMMYFUNCTION("GOOGLETRANSLATE(C624,""ar"",""en"")"),"F 150 Raptor 4 x 4")</f>
        <v>F 150 Raptor 4 x 4</v>
      </c>
    </row>
    <row r="625" spans="1:1" ht="14.4">
      <c r="A625" s="19" t="str">
        <f ca="1">IFERROR(__xludf.DUMMYFUNCTION("GOOGLETRANSLATE(C625,""ar"",""en"")"),"Bronco 2.7 liters 4 x 4")</f>
        <v>Bronco 2.7 liters 4 x 4</v>
      </c>
    </row>
    <row r="626" spans="1:1" ht="14.4">
      <c r="A626" s="19" t="str">
        <f ca="1">IFERROR(__xludf.DUMMYFUNCTION("GOOGLETRANSLATE(C626,""ar"",""en"")"),"Avitor Stander")</f>
        <v>Avitor Stander</v>
      </c>
    </row>
    <row r="627" spans="1:1" ht="14.4">
      <c r="A627" s="19" t="str">
        <f ca="1">IFERROR(__xludf.DUMMYFUNCTION("GOOGLETRANSLATE(C627,""ar"",""en"")"),"Bronco Autabranx 4 Abu")</f>
        <v>Bronco Autabranx 4 Abu</v>
      </c>
    </row>
    <row r="628" spans="1:1" ht="14.4">
      <c r="A628" s="19" t="str">
        <f ca="1">IFERROR(__xludf.DUMMYFUNCTION("GOOGLETRANSLATE(C628,""ar"",""en"")"),"F 150 4 x 4 hybrid")</f>
        <v>F 150 4 x 4 hybrid</v>
      </c>
    </row>
    <row r="629" spans="1:1" ht="14.4">
      <c r="A629" s="19" t="str">
        <f ca="1">IFERROR(__xludf.DUMMYFUNCTION("GOOGLETRANSLATE(C629,""ar"",""en"")"),"Mustang GT automatic")</f>
        <v>Mustang GT automatic</v>
      </c>
    </row>
    <row r="630" spans="1:1" ht="14.4">
      <c r="A630" s="19" t="str">
        <f ca="1">IFERROR(__xludf.DUMMYFUNCTION("GOOGLETRANSLATE(C630,""ar"",""en"")"),"FOC C-330 BS-I")</f>
        <v>FOC C-330 BS-I</v>
      </c>
    </row>
    <row r="631" spans="1:1" ht="14.4">
      <c r="A631" s="19" t="str">
        <f ca="1">IFERROR(__xludf.DUMMYFUNCTION("GOOGLETRANSLATE(C631,""ar"",""en"")"),"XL 4 x 4")</f>
        <v>XL 4 x 4</v>
      </c>
    </row>
    <row r="632" spans="1:1" ht="14.4">
      <c r="A632" s="19" t="str">
        <f ca="1">IFERROR(__xludf.DUMMYFUNCTION("GOOGLETRANSLATE(C632,""ar"",""en"")"),"XLTL 4 x 4 3.5 liters")</f>
        <v>XLTL 4 x 4 3.5 liters</v>
      </c>
    </row>
    <row r="633" spans="1:1" ht="14.4">
      <c r="A633" s="19" t="str">
        <f ca="1">IFERROR(__xludf.DUMMYFUNCTION("GOOGLETRANSLATE(C633,""ar"",""en"")")," B8C")</f>
        <v xml:space="preserve"> B8C</v>
      </c>
    </row>
    <row r="634" spans="1:1" ht="14.4">
      <c r="A634" s="19" t="str">
        <f ca="1">IFERROR(__xludf.DUMMYFUNCTION("GOOGLETRANSLATE(C634,""ar"",""en"")"),"XLT 4 x 4 3.5 liters")</f>
        <v>XLT 4 x 4 3.5 liters</v>
      </c>
    </row>
    <row r="635" spans="1:1" ht="14.4">
      <c r="A635" s="19" t="str">
        <f ca="1">IFERROR(__xludf.DUMMYFUNCTION("GOOGLETRANSLATE(C635,""ar"",""en"")"),"XT 4 x 2 3.5 liters")</f>
        <v>XT 4 x 2 3.5 liters</v>
      </c>
    </row>
    <row r="636" spans="1:1" ht="14.4">
      <c r="A636" s="19" t="str">
        <f ca="1">IFERROR(__xludf.DUMMYFUNCTION("GOOGLETRANSLATE(C636,""ar"",""en"")"),"X the 2 x 4")</f>
        <v>X the 2 x 4</v>
      </c>
    </row>
    <row r="637" spans="1:1" ht="14.4">
      <c r="A637" s="19" t="str">
        <f ca="1">IFERROR(__xludf.DUMMYFUNCTION("GOOGLETRANSLATE(C637,""ar"",""en"")"),"Explorer to extend the payment of Lord")</f>
        <v>Explorer to extend the payment of Lord</v>
      </c>
    </row>
    <row r="638" spans="1:1" ht="14.4">
      <c r="A638" s="19" t="str">
        <f ca="1">IFERROR(__xludf.DUMMYFUNCTION("GOOGLETRANSLATE(C638,""ar"",""en"")"),"F150 GM 4*4")</f>
        <v>F150 GM 4*4</v>
      </c>
    </row>
    <row r="639" spans="1:1" ht="14.4">
      <c r="A639" s="19" t="str">
        <f ca="1">IFERROR(__xludf.DUMMYFUNCTION("GOOGLETRANSLATE(C639,""ar"",""en"")"),"Bronco Big Bend 4 x 4 4 August")</f>
        <v>Bronco Big Bend 4 x 4 4 August</v>
      </c>
    </row>
    <row r="640" spans="1:1" ht="14.4">
      <c r="A640" s="19" t="str">
        <f ca="1">IFERROR(__xludf.DUMMYFUNCTION("GOOGLETRANSLATE(C640,""ar"",""en"")"),"Explore")</f>
        <v>Explore</v>
      </c>
    </row>
    <row r="641" spans="1:1" ht="14.4">
      <c r="A641" s="19" t="str">
        <f ca="1">IFERROR(__xludf.DUMMYFUNCTION("GOOGLETRANSLATE(C641,""ar"",""en"")"),"F 150")</f>
        <v>F 150</v>
      </c>
    </row>
    <row r="642" spans="1:1" ht="14.4">
      <c r="A642" s="19" t="str">
        <f ca="1">IFERROR(__xludf.DUMMYFUNCTION("GOOGLETRANSLATE(C642,""ar"",""en"")"),"Wanit")</f>
        <v>Wanit</v>
      </c>
    </row>
    <row r="643" spans="1:1" ht="14.4">
      <c r="A643" s="19" t="str">
        <f ca="1">IFERROR(__xludf.DUMMYFUNCTION("GOOGLETRANSLATE(C643,""ar"",""en"")"),"Lincoln Cross Air 2.0 liters")</f>
        <v>Lincoln Cross Air 2.0 liters</v>
      </c>
    </row>
    <row r="644" spans="1:1" ht="14.4">
      <c r="A644" s="19" t="str">
        <f ca="1">IFERROR(__xludf.DUMMYFUNCTION("GOOGLETRANSLATE(C644,""ar"",""en"")"),"Nutelos 2 liters")</f>
        <v>Nutelos 2 liters</v>
      </c>
    </row>
    <row r="645" spans="1:1" ht="14.4">
      <c r="A645" s="19" t="str">
        <f ca="1">IFERROR(__xludf.DUMMYFUNCTION("GOOGLETRANSLATE(C645,""ar"",""en"")"),"Lincoln Corser")</f>
        <v>Lincoln Corser</v>
      </c>
    </row>
    <row r="646" spans="1:1" ht="14.4">
      <c r="A646" s="19" t="str">
        <f ca="1">IFERROR(__xludf.DUMMYFUNCTION("GOOGLETRANSLATE(C646,""ar"",""en"")"),"Expound IL XL")</f>
        <v>Expound IL XL</v>
      </c>
    </row>
    <row r="647" spans="1:1" ht="14.4">
      <c r="A647" s="19" t="str">
        <f ca="1">IFERROR(__xludf.DUMMYFUNCTION("GOOGLETRANSLATE(C647,""ar"",""en"")"),"Excing 3.5 liters 4 x 4")</f>
        <v>Excing 3.5 liters 4 x 4</v>
      </c>
    </row>
    <row r="648" spans="1:1" ht="14.4">
      <c r="A648" s="19" t="str">
        <f ca="1">IFERROR(__xludf.DUMMYFUNCTION("GOOGLETRANSLATE(C648,""ar"",""en"")"),"Expedition 3.5 liters 4 x 4")</f>
        <v>Expedition 3.5 liters 4 x 4</v>
      </c>
    </row>
    <row r="649" spans="1:1" ht="14.4">
      <c r="A649" s="19" t="str">
        <f ca="1">IFERROR(__xludf.DUMMYFUNCTION("GOOGLETRANSLATE(C649,""ar"",""en"")"),"Expldation 3.5 liters 4 x 2")</f>
        <v>Expldation 3.5 liters 4 x 2</v>
      </c>
    </row>
    <row r="650" spans="1:1" ht="14.4">
      <c r="A650" s="19" t="str">
        <f ca="1">IFERROR(__xludf.DUMMYFUNCTION("GOOGLETRANSLATE(C650,""ar"",""en"")"),"Bronco Big Bend 4 x 4 2 Ba")</f>
        <v>Bronco Big Bend 4 x 4 2 Ba</v>
      </c>
    </row>
    <row r="651" spans="1:1" ht="14.4">
      <c r="A651" s="19" t="str">
        <f ca="1">IFERROR(__xludf.DUMMYFUNCTION("GOOGLETRANSLATE(C651,""ar"",""en"")"),"Expldhen 3.5 liters 4 x 2")</f>
        <v>Expldhen 3.5 liters 4 x 2</v>
      </c>
    </row>
    <row r="652" spans="1:1" ht="14.4">
      <c r="A652" s="19" t="str">
        <f ca="1">IFERROR(__xludf.DUMMYFUNCTION("GOOGLETRANSLATE(C652,""ar"",""en"")"),"Bronco 2.7 liters")</f>
        <v>Bronco 2.7 liters</v>
      </c>
    </row>
    <row r="653" spans="1:1" ht="14.4">
      <c r="A653" s="19" t="str">
        <f ca="1">IFERROR(__xludf.DUMMYFUNCTION("GOOGLETRANSLATE(C653,""ar"",""en"")"),"KEDXLT")</f>
        <v>KEDXLT</v>
      </c>
    </row>
    <row r="654" spans="1:1" ht="14.4">
      <c r="A654" s="19" t="str">
        <f ca="1">IFERROR(__xludf.DUMMYFUNCTION("GOOGLETRANSLATE(C654,""ar"",""en"")"),"Nutelos")</f>
        <v>Nutelos</v>
      </c>
    </row>
    <row r="655" spans="1:1" ht="14.4">
      <c r="A655" s="19" t="str">
        <f ca="1">IFERROR(__xludf.DUMMYFUNCTION("GOOGLETRANSLATE(C655,""ar"",""en"")"),"Explorer XLT 14")</f>
        <v>Explorer XLT 14</v>
      </c>
    </row>
    <row r="656" spans="1:1" ht="14.4">
      <c r="A656" s="19" t="str">
        <f ca="1">IFERROR(__xludf.DUMMYFUNCTION("GOOGLETRANSLATE(C656,""ar"",""en"")"),"SAL")</f>
        <v>SAL</v>
      </c>
    </row>
    <row r="657" spans="1:1" ht="14.4">
      <c r="A657" s="19" t="str">
        <f ca="1">IFERROR(__xludf.DUMMYFUNCTION("GOOGLETRANSLATE(C657,""ar"",""en"")"),"Explore ST Quad")</f>
        <v>Explore ST Quad</v>
      </c>
    </row>
    <row r="658" spans="1:1" ht="14.4">
      <c r="A658" s="19" t="str">
        <f ca="1">IFERROR(__xludf.DUMMYFUNCTION("GOOGLETRANSLATE(C658,""ar"",""en"")"),"Lincoln Crossir Stander")</f>
        <v>Lincoln Crossir Stander</v>
      </c>
    </row>
    <row r="659" spans="1:1" ht="14.4">
      <c r="A659" s="19" t="str">
        <f ca="1">IFERROR(__xludf.DUMMYFUNCTION("GOOGLETRANSLATE(C659,""ar"",""en"")"),"Crossor Stander")</f>
        <v>Crossor Stander</v>
      </c>
    </row>
    <row r="660" spans="1:1" ht="14.4">
      <c r="A660" s="19" t="str">
        <f ca="1">IFERROR(__xludf.DUMMYFUNCTION("GOOGLETRANSLATE(C660,""ar"",""en"")"),"Explore XL 2.3")</f>
        <v>Explore XL 2.3</v>
      </c>
    </row>
    <row r="661" spans="1:1" ht="14.4">
      <c r="A661" s="19" t="str">
        <f ca="1">IFERROR(__xludf.DUMMYFUNCTION("GOOGLETRANSLATE(C661,""ar"",""en"")"),"Explore XL T pay")</f>
        <v>Explore XL T pay</v>
      </c>
    </row>
    <row r="662" spans="1:1" ht="14.4">
      <c r="A662" s="19" t="str">
        <f ca="1">IFERROR(__xludf.DUMMYFUNCTION("GOOGLETRANSLATE(C662,""ar"",""en"")"),"Super Dueti F350")</f>
        <v>Super Dueti F350</v>
      </c>
    </row>
    <row r="663" spans="1:1" ht="14.4">
      <c r="A663" s="19" t="str">
        <f ca="1">IFERROR(__xludf.DUMMYFUNCTION("GOOGLETRANSLATE(C663,""ar"",""en"")"),"F 150 4 x 2")</f>
        <v>F 150 4 x 2</v>
      </c>
    </row>
    <row r="664" spans="1:1" ht="14.4">
      <c r="A664" s="19" t="str">
        <f ca="1">IFERROR(__xludf.DUMMYFUNCTION("GOOGLETRANSLATE(C664,""ar"",""en"")"),"F 150 Raptor 4*4")</f>
        <v>F 150 Raptor 4*4</v>
      </c>
    </row>
    <row r="665" spans="1:1" ht="14.4">
      <c r="A665" s="19" t="str">
        <f ca="1">IFERROR(__xludf.DUMMYFUNCTION("GOOGLETRANSLATE(C665,""ar"",""en"")"),"Explorest Stander Pay Lord")</f>
        <v>Explorest Stander Pay Lord</v>
      </c>
    </row>
    <row r="666" spans="1:1" ht="14.4">
      <c r="A666" s="19" t="str">
        <f ca="1">IFERROR(__xludf.DUMMYFUNCTION("GOOGLETRANSLATE(C666,""ar"",""en"")"),"F 150 4 x 4")</f>
        <v>F 150 4 x 4</v>
      </c>
    </row>
    <row r="667" spans="1:1" ht="14.4">
      <c r="A667" s="19" t="str">
        <f ca="1">IFERROR(__xludf.DUMMYFUNCTION("GOOGLETRANSLATE(C667,""ar"",""en"")"),"F 150 4 x 4 and Anet")</f>
        <v>F 150 4 x 4 and Anet</v>
      </c>
    </row>
    <row r="668" spans="1:1" ht="14.4">
      <c r="A668" s="19" t="str">
        <f ca="1">IFERROR(__xludf.DUMMYFUNCTION("GOOGLETRANSLATE(C668,""ar"",""en"")"),"Mustang GT5 liter")</f>
        <v>Mustang GT5 liter</v>
      </c>
    </row>
    <row r="669" spans="1:1" ht="14.4">
      <c r="A669" s="19" t="str">
        <f ca="1">IFERROR(__xludf.DUMMYFUNCTION("GOOGLETRANSLATE(C669,""ar"",""en"")"),"Explore")</f>
        <v>Explore</v>
      </c>
    </row>
    <row r="670" spans="1:1" ht="14.4">
      <c r="A670" s="19" t="str">
        <f ca="1">IFERROR(__xludf.DUMMYFUNCTION("GOOGLETRANSLATE(C670,""ar"",""en"")"),"Edge 2 liters")</f>
        <v>Edge 2 liters</v>
      </c>
    </row>
    <row r="671" spans="1:1" ht="14.4">
      <c r="A671" s="19" t="str">
        <f ca="1">IFERROR(__xludf.DUMMYFUNCTION("GOOGLETRANSLATE(C671,""ar"",""en"")"),"LTDFW D.")</f>
        <v>LTDFW D.</v>
      </c>
    </row>
    <row r="672" spans="1:1" ht="14.4">
      <c r="A672" s="19" t="str">
        <f ca="1">IFERROR(__xludf.DUMMYFUNCTION("GOOGLETRANSLATE(C672,""ar"",""en"")"),"Transit 150")</f>
        <v>Transit 150</v>
      </c>
    </row>
    <row r="673" spans="1:1" ht="14.4">
      <c r="A673" s="19" t="str">
        <f ca="1">IFERROR(__xludf.DUMMYFUNCTION("GOOGLETRANSLATE(C673,""ar"",""en"")"),"Titanium Torus Pay either")</f>
        <v>Titanium Torus Pay either</v>
      </c>
    </row>
    <row r="674" spans="1:1" ht="14.4">
      <c r="A674" s="19" t="str">
        <f ca="1">IFERROR(__xludf.DUMMYFUNCTION("GOOGLETRANSLATE(C674,""ar"",""en"")"),"Explorer XLT")</f>
        <v>Explorer XLT</v>
      </c>
    </row>
    <row r="675" spans="1:1" ht="14.4">
      <c r="A675" s="19" t="str">
        <f ca="1">IFERROR(__xludf.DUMMYFUNCTION("GOOGLETRANSLATE(C675,""ar"",""en"")"),"Edge")</f>
        <v>Edge</v>
      </c>
    </row>
    <row r="676" spans="1:1" ht="14.4">
      <c r="A676" s="19" t="str">
        <f ca="1">IFERROR(__xludf.DUMMYFUNCTION("GOOGLETRANSLATE(C676,""ar"",""en"")"),"B2F")</f>
        <v>B2F</v>
      </c>
    </row>
    <row r="677" spans="1:1" ht="14.4">
      <c r="A677" s="19" t="str">
        <f ca="1">IFERROR(__xludf.DUMMYFUNCTION("GOOGLETRANSLATE(C677,""ar"",""en"")"),"Torres Trend Front Payment")</f>
        <v>Torres Trend Front Payment</v>
      </c>
    </row>
    <row r="678" spans="1:1" ht="14.4">
      <c r="A678" s="19" t="str">
        <f ca="1">IFERROR(__xludf.DUMMYFUNCTION("GOOGLETRANSLATE(C678,""ar"",""en"")"),"Edge I any front payment")</f>
        <v>Edge I any front payment</v>
      </c>
    </row>
    <row r="679" spans="1:1" ht="14.4">
      <c r="A679" s="19" t="str">
        <f ca="1">IFERROR(__xludf.DUMMYFUNCTION("GOOGLETRANSLATE(C679,""ar"",""en"")"),"F 250 4 x 2 gasoline")</f>
        <v>F 250 4 x 2 gasoline</v>
      </c>
    </row>
    <row r="680" spans="1:1" ht="14.4">
      <c r="A680" s="19" t="str">
        <f ca="1">IFERROR(__xludf.DUMMYFUNCTION("GOOGLETRANSLATE(C680,""ar"",""en"")"),"SAALFW D.")</f>
        <v>SAALFW D.</v>
      </c>
    </row>
    <row r="681" spans="1:1" ht="14.4">
      <c r="A681" s="19" t="str">
        <f ca="1">IFERROR(__xludf.DUMMYFUNCTION("GOOGLETRANSLATE(C681,""ar"",""en"")"),"Transit")</f>
        <v>Transit</v>
      </c>
    </row>
    <row r="682" spans="1:1" ht="14.4">
      <c r="A682" s="19" t="str">
        <f ca="1">IFERROR(__xludf.DUMMYFUNCTION("GOOGLETRANSLATE(C682,""ar"",""en"")"),"SAA LAW D.")</f>
        <v>SAA LAW D.</v>
      </c>
    </row>
    <row r="683" spans="1:1" ht="14.4">
      <c r="A683" s="19" t="str">
        <f ca="1">IFERROR(__xludf.DUMMYFUNCTION("GOOGLETRANSLATE(C683,""ar"",""en"")"),"SIL")</f>
        <v>SIL</v>
      </c>
    </row>
    <row r="684" spans="1:1" ht="14.4">
      <c r="A684" s="19" t="str">
        <f ca="1">IFERROR(__xludf.DUMMYFUNCTION("GOOGLETRANSLATE(C684,""ar"",""en"")"),"Torus Ambiani paid either")</f>
        <v>Torus Ambiani paid either</v>
      </c>
    </row>
    <row r="685" spans="1:1" ht="14.4">
      <c r="A685" s="19" t="str">
        <f ca="1">IFERROR(__xludf.DUMMYFUNCTION("GOOGLETRANSLATE(C685,""ar"",""en"")"),"Ranger XLT 4*4")</f>
        <v>Ranger XLT 4*4</v>
      </c>
    </row>
    <row r="686" spans="1:1" ht="14.4">
      <c r="A686" s="19" t="str">
        <f ca="1">IFERROR(__xludf.DUMMYFUNCTION("GOOGLETRANSLATE(C686,""ar"",""en"")"),"Transit 270 S4*2")</f>
        <v>Transit 270 S4*2</v>
      </c>
    </row>
    <row r="687" spans="1:1" ht="14.4">
      <c r="A687" s="19" t="str">
        <f ca="1">IFERROR(__xludf.DUMMYFUNCTION("GOOGLETRANSLATE(C687,""ar"",""en"")"),"SI")</f>
        <v>SI</v>
      </c>
    </row>
    <row r="688" spans="1:1" ht="14.4">
      <c r="A688" s="19" t="str">
        <f ca="1">IFERROR(__xludf.DUMMYFUNCTION("GOOGLETRANSLATE(C688,""ar"",""en"")"),"XLT 4*4")</f>
        <v>XLT 4*4</v>
      </c>
    </row>
    <row r="689" spans="1:1" ht="14.4">
      <c r="A689" s="19" t="str">
        <f ca="1">IFERROR(__xludf.DUMMYFUNCTION("GOOGLETRANSLATE(C689,""ar"",""en"")"),"SE")</f>
        <v>SE</v>
      </c>
    </row>
    <row r="690" spans="1:1" ht="14.4">
      <c r="A690" s="19" t="str">
        <f ca="1">IFERROR(__xludf.DUMMYFUNCTION("GOOGLETRANSLATE(C690,""ar"",""en"")"),"Ranger XL Pickup 4*4")</f>
        <v>Ranger XL Pickup 4*4</v>
      </c>
    </row>
    <row r="691" spans="1:1" ht="14.4">
      <c r="A691" s="19" t="str">
        <f ca="1">IFERROR(__xludf.DUMMYFUNCTION("GOOGLETRANSLATE(C691,""ar"",""en"")"),"Ranger XLS 2.2 liter")</f>
        <v>Ranger XLS 2.2 liter</v>
      </c>
    </row>
    <row r="692" spans="1:1" ht="14.4">
      <c r="A692" s="19" t="str">
        <f ca="1">IFERROR(__xludf.DUMMYFUNCTION("GOOGLETRANSLATE(C692,""ar"",""en"")"),"Ranger XL 4 x 2 pickup")</f>
        <v>Ranger XL 4 x 2 pickup</v>
      </c>
    </row>
    <row r="693" spans="1:1" ht="14.4">
      <c r="A693" s="19" t="str">
        <f ca="1">IFERROR(__xludf.DUMMYFUNCTION("GOOGLETRANSLATE(C693,""ar"",""en"")"),"Askour Ambiani pushed a")</f>
        <v>Askour Ambiani pushed a</v>
      </c>
    </row>
    <row r="694" spans="1:1" ht="14.4">
      <c r="A694" s="19" t="str">
        <f ca="1">IFERROR(__xludf.DUMMYFUNCTION("GOOGLETRANSLATE(C694,""ar"",""en"")"),"Automatic Automatic 1.5 liters")</f>
        <v>Automatic Automatic 1.5 liters</v>
      </c>
    </row>
    <row r="695" spans="1:1" ht="14.4">
      <c r="A695" s="19" t="str">
        <f ca="1">IFERROR(__xludf.DUMMYFUNCTION("GOOGLETRANSLATE(C695,""ar"",""en"")"),"EC 480 DL")</f>
        <v>EC 480 DL</v>
      </c>
    </row>
    <row r="696" spans="1:1" ht="14.4">
      <c r="A696" s="19" t="str">
        <f ca="1">IFERROR(__xludf.DUMMYFUNCTION("GOOGLETRANSLATE(C696,""ar"",""en"")"),"AC 220 DL")</f>
        <v>AC 220 DL</v>
      </c>
    </row>
    <row r="697" spans="1:1" ht="14.4">
      <c r="A697" s="19" t="str">
        <f ca="1">IFERROR(__xludf.DUMMYFUNCTION("GOOGLETRANSLATE(C697,""ar"",""en"")"),"FH 12 4*2")</f>
        <v>FH 12 4*2</v>
      </c>
    </row>
    <row r="698" spans="1:1" ht="14.4">
      <c r="A698" s="19" t="str">
        <f ca="1">IFERROR(__xludf.DUMMYFUNCTION("GOOGLETRANSLATE(C698,""ar"",""en"")"),"Touareg Tred Line 4 x 4")</f>
        <v>Touareg Tred Line 4 x 4</v>
      </c>
    </row>
    <row r="699" spans="1:1" ht="14.4">
      <c r="A699" s="19" t="str">
        <f ca="1">IFERROR(__xludf.DUMMYFUNCTION("GOOGLETRANSLATE(C699,""ar"",""en"")"),"Touareg Hi Line 4 x 4")</f>
        <v>Touareg Hi Line 4 x 4</v>
      </c>
    </row>
    <row r="700" spans="1:1" ht="14.4">
      <c r="A700" s="19" t="str">
        <f ca="1">IFERROR(__xludf.DUMMYFUNCTION("GOOGLETRANSLATE(C700,""ar"",""en"")"),"Tuareg")</f>
        <v>Tuareg</v>
      </c>
    </row>
    <row r="701" spans="1:1" ht="14.4">
      <c r="A701" s="19" t="str">
        <f ca="1">IFERROR(__xludf.DUMMYFUNCTION("GOOGLETRANSLATE(C701,""ar"",""en"")"),"Touareg Komfer Line 4 x 4")</f>
        <v>Touareg Komfer Line 4 x 4</v>
      </c>
    </row>
    <row r="702" spans="1:1" ht="14.4">
      <c r="A702" s="19" t="str">
        <f ca="1">IFERROR(__xludf.DUMMYFUNCTION("GOOGLETRANSLATE(C702,""ar"",""en"")"),"Termont SAL 4 x 4")</f>
        <v>Termont SAL 4 x 4</v>
      </c>
    </row>
    <row r="703" spans="1:1" ht="14.4">
      <c r="A703" s="19" t="str">
        <f ca="1">IFERROR(__xludf.DUMMYFUNCTION("GOOGLETRANSLATE(C703,""ar"",""en"")"),"Tremont")</f>
        <v>Tremont</v>
      </c>
    </row>
    <row r="704" spans="1:1" ht="14.4">
      <c r="A704" s="19" t="str">
        <f ca="1">IFERROR(__xludf.DUMMYFUNCTION("GOOGLETRANSLATE(C704,""ar"",""en"")"),"Tiguan Sport")</f>
        <v>Tiguan Sport</v>
      </c>
    </row>
    <row r="705" spans="1:1" ht="14.4">
      <c r="A705" s="19" t="str">
        <f ca="1">IFERROR(__xludf.DUMMYFUNCTION("GOOGLETRANSLATE(C705,""ar"",""en"")"),"Arteon Elegance 4*2")</f>
        <v>Arteon Elegance 4*2</v>
      </c>
    </row>
    <row r="706" spans="1:1" ht="14.4">
      <c r="A706" s="19" t="str">
        <f ca="1">IFERROR(__xludf.DUMMYFUNCTION("GOOGLETRANSLATE(C706,""ar"",""en"")"),"Termont SE 4 x 4")</f>
        <v>Termont SE 4 x 4</v>
      </c>
    </row>
    <row r="707" spans="1:1" ht="14.4">
      <c r="A707" s="19" t="str">
        <f ca="1">IFERROR(__xludf.DUMMYFUNCTION("GOOGLETRANSLATE(C707,""ar"",""en"")"),"GTI 4*2 4 doors")</f>
        <v>GTI 4*2 4 doors</v>
      </c>
    </row>
    <row r="708" spans="1:1" ht="14.4">
      <c r="A708" s="19" t="str">
        <f ca="1">IFERROR(__xludf.DUMMYFUNCTION("GOOGLETRANSLATE(C708,""ar"",""en"")"),"GTI 4*2 4 doors")</f>
        <v>GTI 4*2 4 doors</v>
      </c>
    </row>
    <row r="709" spans="1:1" ht="14.4">
      <c r="A709" s="19" t="str">
        <f ca="1">IFERROR(__xludf.DUMMYFUNCTION("GOOGLETRANSLATE(C709,""ar"",""en"")"),"GTI 4*2 2 door")</f>
        <v>GTI 4*2 2 door</v>
      </c>
    </row>
    <row r="710" spans="1:1" ht="14.4">
      <c r="A710" s="19" t="str">
        <f ca="1">IFERROR(__xludf.DUMMYFUNCTION("GOOGLETRANSLATE(C710,""ar"",""en"")"),"Artion R. Line 4 x 4")</f>
        <v>Artion R. Line 4 x 4</v>
      </c>
    </row>
    <row r="711" spans="1:1" ht="14.4">
      <c r="A711" s="19" t="str">
        <f ca="1">IFERROR(__xludf.DUMMYFUNCTION("GOOGLETRANSLATE(C711,""ar"",""en"")"),"Tiguan SA")</f>
        <v>Tiguan SA</v>
      </c>
    </row>
    <row r="712" spans="1:1" ht="14.4">
      <c r="A712" s="19" t="str">
        <f ca="1">IFERROR(__xludf.DUMMYFUNCTION("GOOGLETRANSLATE(C712,""ar"",""en"")"),"Arteon Elegance 4*4")</f>
        <v>Arteon Elegance 4*4</v>
      </c>
    </row>
    <row r="713" spans="1:1" ht="14.4">
      <c r="A713" s="19" t="str">
        <f ca="1">IFERROR(__xludf.DUMMYFUNCTION("GOOGLETRANSLATE(C713,""ar"",""en"")"),"Ter Amont 4 x 4")</f>
        <v>Ter Amont 4 x 4</v>
      </c>
    </row>
    <row r="714" spans="1:1" ht="14.4">
      <c r="A714" s="19" t="str">
        <f ca="1">IFERROR(__xludf.DUMMYFUNCTION("GOOGLETRANSLATE(C714,""ar"",""en"")"),"Tremont S")</f>
        <v>Tremont S</v>
      </c>
    </row>
    <row r="715" spans="1:1" ht="14.4">
      <c r="A715" s="19" t="str">
        <f ca="1">IFERROR(__xludf.DUMMYFUNCTION("GOOGLETRANSLATE(C715,""ar"",""en"")"),"Passat Sport")</f>
        <v>Passat Sport</v>
      </c>
    </row>
    <row r="716" spans="1:1" ht="14.4">
      <c r="A716" s="19" t="str">
        <f ca="1">IFERROR(__xludf.DUMMYFUNCTION("GOOGLETRANSLATE(C716,""ar"",""en"")"),"Passat Hi Line")</f>
        <v>Passat Hi Line</v>
      </c>
    </row>
    <row r="717" spans="1:1" ht="14.4">
      <c r="A717" s="19" t="str">
        <f ca="1">IFERROR(__xludf.DUMMYFUNCTION("GOOGLETRANSLATE(C717,""ar"",""en"")"),"Passet Comfort Line")</f>
        <v>Passet Comfort Line</v>
      </c>
    </row>
    <row r="718" spans="1:1" ht="14.4">
      <c r="A718" s="19" t="str">
        <f ca="1">IFERROR(__xludf.DUMMYFUNCTION("GOOGLETRANSLATE(C718,""ar"",""en"")"),"Tiguan R -Line")</f>
        <v>Tiguan R -Line</v>
      </c>
    </row>
    <row r="719" spans="1:1" ht="14.4">
      <c r="A719" s="19" t="str">
        <f ca="1">IFERROR(__xludf.DUMMYFUNCTION("GOOGLETRANSLATE(C719,""ar"",""en"")"),"Tiguan Trend")</f>
        <v>Tiguan Trend</v>
      </c>
    </row>
    <row r="720" spans="1:1" ht="14.4">
      <c r="A720" s="19" t="str">
        <f ca="1">IFERROR(__xludf.DUMMYFUNCTION("GOOGLETRANSLATE(C720,""ar"",""en"")"),"Tiguan SAL")</f>
        <v>Tiguan SAL</v>
      </c>
    </row>
    <row r="721" spans="1:1" ht="14.4">
      <c r="A721" s="19" t="str">
        <f ca="1">IFERROR(__xludf.DUMMYFUNCTION("GOOGLETRANSLATE(C721,""ar"",""en"")"),"T -Rock Sport")</f>
        <v>T -Rock Sport</v>
      </c>
    </row>
    <row r="722" spans="1:1" ht="14.4">
      <c r="A722" s="19" t="str">
        <f ca="1">IFERROR(__xludf.DUMMYFUNCTION("GOOGLETRANSLATE(C722,""ar"",""en"")"),"Passat Trend Line")</f>
        <v>Passat Trend Line</v>
      </c>
    </row>
    <row r="723" spans="1:1" ht="14.4">
      <c r="A723" s="19" t="str">
        <f ca="1">IFERROR(__xludf.DUMMYFUNCTION("GOOGLETRANSLATE(C723,""ar"",""en"")"),"Passet SEL")</f>
        <v>Passet SEL</v>
      </c>
    </row>
    <row r="724" spans="1:1" ht="14.4">
      <c r="A724" s="19" t="str">
        <f ca="1">IFERROR(__xludf.DUMMYFUNCTION("GOOGLETRANSLATE(C724,""ar"",""en"")"),"Passat SE")</f>
        <v>Passat SE</v>
      </c>
    </row>
    <row r="725" spans="1:1" ht="14.4">
      <c r="A725" s="19" t="str">
        <f ca="1">IFERROR(__xludf.DUMMYFUNCTION("GOOGLETRANSLATE(C725,""ar"",""en"")"),"Passat S")</f>
        <v>Passat S</v>
      </c>
    </row>
    <row r="726" spans="1:1" ht="14.4">
      <c r="A726" s="19" t="str">
        <f ca="1">IFERROR(__xludf.DUMMYFUNCTION("GOOGLETRANSLATE(C726,""ar"",""en"")"),"T -Rock Stayley")</f>
        <v>T -Rock Stayley</v>
      </c>
    </row>
    <row r="727" spans="1:1" ht="14.4">
      <c r="A727" s="19" t="str">
        <f ca="1">IFERROR(__xludf.DUMMYFUNCTION("GOOGLETRANSLATE(C727,""ar"",""en"")"),"T -Rock Trend")</f>
        <v>T -Rock Trend</v>
      </c>
    </row>
    <row r="728" spans="1:1" ht="14.4">
      <c r="A728" s="19" t="str">
        <f ca="1">IFERROR(__xludf.DUMMYFUNCTION("GOOGLETRANSLATE(C728,""ar"",""en"")"),"550")</f>
        <v>550</v>
      </c>
    </row>
    <row r="729" spans="1:1" ht="14.4">
      <c r="A729" s="19" t="str">
        <f ca="1">IFERROR(__xludf.DUMMYFUNCTION("GOOGLETRANSLATE(C729,""ar"",""en"")"),"500 X")</f>
        <v>500 X</v>
      </c>
    </row>
    <row r="730" spans="1:1" ht="14.4">
      <c r="A730" s="19" t="str">
        <f ca="1">IFERROR(__xludf.DUMMYFUNCTION("GOOGLETRANSLATE(C730,""ar"",""en"")"),"500")</f>
        <v>500</v>
      </c>
    </row>
    <row r="731" spans="1:1" ht="14.4">
      <c r="A731" s="19" t="str">
        <f ca="1">IFERROR(__xludf.DUMMYFUNCTION("GOOGLETRANSLATE(C731,""ar"",""en"")"),"500 c 1.4 liters")</f>
        <v>500 c 1.4 liters</v>
      </c>
    </row>
    <row r="732" spans="1:1" ht="14.4">
      <c r="A732" s="19" t="str">
        <f ca="1">IFERROR(__xludf.DUMMYFUNCTION("GOOGLETRANSLATE(C732,""ar"",""en"")")," 500 1.4 liters")</f>
        <v xml:space="preserve"> 500 1.4 liters</v>
      </c>
    </row>
    <row r="733" spans="1:1" ht="14.4">
      <c r="A733" s="19" t="str">
        <f ca="1">IFERROR(__xludf.DUMMYFUNCTION("GOOGLETRANSLATE(C733,""ar"",""en"")"),"Fioreno")</f>
        <v>Fioreno</v>
      </c>
    </row>
    <row r="734" spans="1:1" ht="14.4">
      <c r="A734" s="19" t="str">
        <f ca="1">IFERROR(__xludf.DUMMYFUNCTION("GOOGLETRANSLATE(C734,""ar"",""en"")"),"RAM 1200 4*4")</f>
        <v>RAM 1200 4*4</v>
      </c>
    </row>
    <row r="735" spans="1:1" ht="14.4">
      <c r="A735" s="19" t="str">
        <f ca="1">IFERROR(__xludf.DUMMYFUNCTION("GOOGLETRANSLATE(C735,""ar"",""en"")"),"RAM 1200 4*2")</f>
        <v>RAM 1200 4*2</v>
      </c>
    </row>
    <row r="736" spans="1:1" ht="14.4">
      <c r="A736" s="19" t="str">
        <f ca="1">IFERROR(__xludf.DUMMYFUNCTION("GOOGLETRANSLATE(C736,""ar"",""en"")"),"812 GTS")</f>
        <v>812 GTS</v>
      </c>
    </row>
    <row r="737" spans="1:1" ht="14.4">
      <c r="A737" s="19" t="str">
        <f ca="1">IFERROR(__xludf.DUMMYFUNCTION("GOOGLETRANSLATE(C737,""ar"",""en"")"),"812 Supervast")</f>
        <v>812 Supervast</v>
      </c>
    </row>
    <row r="738" spans="1:1" ht="14.4">
      <c r="A738" s="19" t="str">
        <f ca="1">IFERROR(__xludf.DUMMYFUNCTION("GOOGLETRANSLATE(C738,""ar"",""en"")"),"488 Besta")</f>
        <v>488 Besta</v>
      </c>
    </row>
    <row r="739" spans="1:1" ht="14.4">
      <c r="A739" s="19" t="str">
        <f ca="1">IFERROR(__xludf.DUMMYFUNCTION("GOOGLETRANSLATE(C739,""ar"",""en"")"),"F8")</f>
        <v>F8</v>
      </c>
    </row>
    <row r="740" spans="1:1" ht="14.4">
      <c r="A740" s="19" t="str">
        <f ca="1">IFERROR(__xludf.DUMMYFUNCTION("GOOGLETRANSLATE(C740,""ar"",""en"")"),"D9GC")</f>
        <v>D9GC</v>
      </c>
    </row>
    <row r="741" spans="1:1" ht="14.4">
      <c r="A741" s="19" t="str">
        <f ca="1">IFERROR(__xludf.DUMMYFUNCTION("GOOGLETRANSLATE(C741,""ar"",""en"")"),"D9R")</f>
        <v>D9R</v>
      </c>
    </row>
    <row r="742" spans="1:1" ht="14.4">
      <c r="A742" s="19" t="str">
        <f ca="1">IFERROR(__xludf.DUMMYFUNCTION("GOOGLETRANSLATE(C742,""ar"",""en"")"),"745 c")</f>
        <v>745 c</v>
      </c>
    </row>
    <row r="743" spans="1:1" ht="14.4">
      <c r="A743" s="19" t="str">
        <f ca="1">IFERROR(__xludf.DUMMYFUNCTION("GOOGLETRANSLATE(C743,""ar"",""en"")"),"D8 R.")</f>
        <v>D8 R.</v>
      </c>
    </row>
    <row r="744" spans="1:1" ht="14.4">
      <c r="A744" s="19" t="str">
        <f ca="1">IFERROR(__xludf.DUMMYFUNCTION("GOOGLETRANSLATE(C744,""ar"",""en"")"),"BM 620")</f>
        <v>BM 620</v>
      </c>
    </row>
    <row r="745" spans="1:1" ht="14.4">
      <c r="A745" s="19" t="str">
        <f ca="1">IFERROR(__xludf.DUMMYFUNCTION("GOOGLETRANSLATE(C745,""ar"",""en"")"),"349 D2 th")</f>
        <v>349 D2 th</v>
      </c>
    </row>
    <row r="746" spans="1:1" ht="14.4">
      <c r="A746" s="19" t="str">
        <f ca="1">IFERROR(__xludf.DUMMYFUNCTION("GOOGLETRANSLATE(C746,""ar"",""en"")"),"349-07 B")</f>
        <v>349-07 B</v>
      </c>
    </row>
    <row r="747" spans="1:1" ht="14.4">
      <c r="A747" s="19" t="str">
        <f ca="1">IFERROR(__xludf.DUMMYFUNCTION("GOOGLETRANSLATE(C747,""ar"",""en"")"),"A 08-352")</f>
        <v>A 08-352</v>
      </c>
    </row>
    <row r="748" spans="1:1" ht="14.4">
      <c r="A748" s="19" t="str">
        <f ca="1">IFERROR(__xludf.DUMMYFUNCTION("GOOGLETRANSLATE(C748,""ar"",""en"")"),"349-07 C.")</f>
        <v>349-07 C.</v>
      </c>
    </row>
    <row r="749" spans="1:1" ht="14.4">
      <c r="A749" s="19" t="str">
        <f ca="1">IFERROR(__xludf.DUMMYFUNCTION("GOOGLETRANSLATE(C749,""ar"",""en"")"),"14 th")</f>
        <v>14 th</v>
      </c>
    </row>
    <row r="750" spans="1:1" ht="14.4">
      <c r="A750" s="19" t="str">
        <f ca="1">IFERROR(__xludf.DUMMYFUNCTION("GOOGLETRANSLATE(C750,""ar"",""en"")"),"D6R")</f>
        <v>D6R</v>
      </c>
    </row>
    <row r="751" spans="1:1" ht="14.4">
      <c r="A751" s="19" t="str">
        <f ca="1">IFERROR(__xludf.DUMMYFUNCTION("GOOGLETRANSLATE(C751,""ar"",""en"")"),"AB 655 F")</f>
        <v>AB 655 F</v>
      </c>
    </row>
    <row r="752" spans="1:1" ht="14.4">
      <c r="A752" s="19" t="str">
        <f ca="1">IFERROR(__xludf.DUMMYFUNCTION("GOOGLETRANSLATE(C752,""ar"",""en"")"),"966 th")</f>
        <v>966 th</v>
      </c>
    </row>
    <row r="753" spans="1:1" ht="14.4">
      <c r="A753" s="19" t="str">
        <f ca="1">IFERROR(__xludf.DUMMYFUNCTION("GOOGLETRANSLATE(C753,""ar"",""en"")"),"345 GC")</f>
        <v>345 GC</v>
      </c>
    </row>
    <row r="754" spans="1:1" ht="14.4">
      <c r="A754" s="19" t="str">
        <f ca="1">IFERROR(__xludf.DUMMYFUNCTION("GOOGLETRANSLATE(C754,""ar"",""en"")"),"K 160")</f>
        <v>K 160</v>
      </c>
    </row>
    <row r="755" spans="1:1" ht="14.4">
      <c r="A755" s="19" t="str">
        <f ca="1">IFERROR(__xludf.DUMMYFUNCTION("GOOGLETRANSLATE(C755,""ar"",""en"")"),"966 GC")</f>
        <v>966 GC</v>
      </c>
    </row>
    <row r="756" spans="1:1" ht="14.4">
      <c r="A756" s="19" t="str">
        <f ca="1">IFERROR(__xludf.DUMMYFUNCTION("GOOGLETRANSLATE(C756,""ar"",""en"")"),"950 th")</f>
        <v>950 th</v>
      </c>
    </row>
    <row r="757" spans="1:1" ht="14.4">
      <c r="A757" s="19" t="str">
        <f ca="1">IFERROR(__xludf.DUMMYFUNCTION("GOOGLETRANSLATE(C757,""ar"",""en"")"),"950 GC")</f>
        <v>950 GC</v>
      </c>
    </row>
    <row r="758" spans="1:1" ht="14.4">
      <c r="A758" s="19" t="str">
        <f ca="1">IFERROR(__xludf.DUMMYFUNCTION("GOOGLETRANSLATE(C758,""ar"",""en"")"),"930 k")</f>
        <v>930 k</v>
      </c>
    </row>
    <row r="759" spans="1:1" ht="14.4">
      <c r="A759" s="19" t="str">
        <f ca="1">IFERROR(__xludf.DUMMYFUNCTION("GOOGLETRANSLATE(C759,""ar"",""en"")"),"320 - 07D")</f>
        <v>320 - 07D</v>
      </c>
    </row>
    <row r="760" spans="1:1" ht="14.4">
      <c r="A760" s="19" t="str">
        <f ca="1">IFERROR(__xludf.DUMMYFUNCTION("GOOGLETRANSLATE(C760,""ar"",""en"")"),"07-320 B")</f>
        <v>07-320 B</v>
      </c>
    </row>
    <row r="761" spans="1:1" ht="14.4">
      <c r="A761" s="19" t="str">
        <f ca="1">IFERROR(__xludf.DUMMYFUNCTION("GOOGLETRANSLATE(C761,""ar"",""en"")"),"320-07 C.")</f>
        <v>320-07 C.</v>
      </c>
    </row>
    <row r="762" spans="1:1" ht="14.4">
      <c r="A762" s="19" t="str">
        <f ca="1">IFERROR(__xludf.DUMMYFUNCTION("GOOGLETRANSLATE(C762,""ar"",""en"")"),"TH 417 D")</f>
        <v>TH 417 D</v>
      </c>
    </row>
    <row r="763" spans="1:1" ht="14.4">
      <c r="A763" s="19" t="str">
        <f ca="1">IFERROR(__xludf.DUMMYFUNCTION("GOOGLETRANSLATE(C763,""ar"",""en"")"),"DB 150 N1S")</f>
        <v>DB 150 N1S</v>
      </c>
    </row>
    <row r="764" spans="1:1" ht="14.4">
      <c r="A764" s="19" t="str">
        <f ca="1">IFERROR(__xludf.DUMMYFUNCTION("GOOGLETRANSLATE(C764,""ar"",""en"")"),"323 GX")</f>
        <v>323 GX</v>
      </c>
    </row>
    <row r="765" spans="1:1" ht="14.4">
      <c r="A765" s="19" t="str">
        <f ca="1">IFERROR(__xludf.DUMMYFUNCTION("GOOGLETRANSLATE(C765,""ar"",""en"")"),"320 GC")</f>
        <v>320 GC</v>
      </c>
    </row>
    <row r="766" spans="1:1" ht="14.4">
      <c r="A766" s="19" t="str">
        <f ca="1">IFERROR(__xludf.DUMMYFUNCTION("GOOGLETRANSLATE(C766,""ar"",""en"")"),"DB 100 N1S")</f>
        <v>DB 100 N1S</v>
      </c>
    </row>
    <row r="767" spans="1:1" ht="14.4">
      <c r="A767" s="19" t="str">
        <f ca="1">IFERROR(__xludf.DUMMYFUNCTION("GOOGLETRANSLATE(C767,""ar"",""en"")"),"320-05 JX")</f>
        <v>320-05 JX</v>
      </c>
    </row>
    <row r="768" spans="1:1" ht="14.4">
      <c r="A768" s="19" t="str">
        <f ca="1">IFERROR(__xludf.DUMMYFUNCTION("GOOGLETRANSLATE(C768,""ar"",""en"")"),"CB 10")</f>
        <v>CB 10</v>
      </c>
    </row>
    <row r="769" spans="1:1" ht="14.4">
      <c r="A769" s="19" t="str">
        <f ca="1">IFERROR(__xludf.DUMMYFUNCTION("GOOGLETRANSLATE(C769,""ar"",""en"")"),"CW 34")</f>
        <v>CW 34</v>
      </c>
    </row>
    <row r="770" spans="1:1" ht="14.4">
      <c r="A770" s="19" t="str">
        <f ca="1">IFERROR(__xludf.DUMMYFUNCTION("GOOGLETRANSLATE(C770,""ar"",""en"")"),"428 A.")</f>
        <v>428 A.</v>
      </c>
    </row>
    <row r="771" spans="1:1" ht="14.4">
      <c r="A771" s="19" t="str">
        <f ca="1">IFERROR(__xludf.DUMMYFUNCTION("GOOGLETRANSLATE(C771,""ar"",""en"")"),"CS11 GC")</f>
        <v>CS11 GC</v>
      </c>
    </row>
    <row r="772" spans="1:1" ht="14.4">
      <c r="A772" s="19" t="str">
        <f ca="1">IFERROR(__xludf.DUMMYFUNCTION("GOOGLETRANSLATE(C772,""ar"",""en"")"),"426 F2")</f>
        <v>426 F2</v>
      </c>
    </row>
    <row r="773" spans="1:1" ht="14.4">
      <c r="A773" s="19" t="str">
        <f ca="1">IFERROR(__xludf.DUMMYFUNCTION("GOOGLETRANSLATE(C773,""ar"",""en"")"),"DB 100 NH")</f>
        <v>DB 100 NH</v>
      </c>
    </row>
    <row r="774" spans="1:1" ht="14.4">
      <c r="A774" s="19" t="str">
        <f ca="1">IFERROR(__xludf.DUMMYFUNCTION("GOOGLETRANSLATE(C774,""ar"",""en"")"),"422 f")</f>
        <v>422 f</v>
      </c>
    </row>
    <row r="775" spans="1:1" ht="14.4">
      <c r="A775" s="19" t="str">
        <f ca="1">IFERROR(__xludf.DUMMYFUNCTION("GOOGLETRANSLATE(C775,""ar"",""en"")"),"DP 70")</f>
        <v>DP 70</v>
      </c>
    </row>
    <row r="776" spans="1:1" ht="14.4">
      <c r="A776" s="19" t="str">
        <f ca="1">IFERROR(__xludf.DUMMYFUNCTION("GOOGLETRANSLATE(C776,""ar"",""en"")"),"246")</f>
        <v>246</v>
      </c>
    </row>
    <row r="777" spans="1:1" ht="14.4">
      <c r="A777" s="19" t="str">
        <f ca="1">IFERROR(__xludf.DUMMYFUNCTION("GOOGLETRANSLATE(C777,""ar"",""en"")"),"262")</f>
        <v>262</v>
      </c>
    </row>
    <row r="778" spans="1:1" ht="14.4">
      <c r="A778" s="19" t="str">
        <f ca="1">IFERROR(__xludf.DUMMYFUNCTION("GOOGLETRANSLATE(C778,""ar"",""en"")"),"DB 50 CNT")</f>
        <v>DB 50 CNT</v>
      </c>
    </row>
    <row r="779" spans="1:1" ht="14.4">
      <c r="A779" s="19" t="str">
        <f ca="1">IFERROR(__xludf.DUMMYFUNCTION("GOOGLETRANSLATE(C779,""ar"",""en"")"),"CB 2.7")</f>
        <v>CB 2.7</v>
      </c>
    </row>
    <row r="780" spans="1:1" ht="14.4">
      <c r="A780" s="19" t="str">
        <f ca="1">IFERROR(__xludf.DUMMYFUNCTION("GOOGLETRANSLATE(C780,""ar"",""en"")"),"AB3CB")</f>
        <v>AB3CB</v>
      </c>
    </row>
    <row r="781" spans="1:1" ht="14.4">
      <c r="A781" s="19" t="str">
        <f ca="1">IFERROR(__xludf.DUMMYFUNCTION("GOOGLETRANSLATE(C781,""ar"",""en"")"),"216B")</f>
        <v>216B</v>
      </c>
    </row>
    <row r="782" spans="1:1" ht="14.4">
      <c r="A782" s="19" t="str">
        <f ca="1">IFERROR(__xludf.DUMMYFUNCTION("GOOGLETRANSLATE(C782,""ar"",""en"")"),"226B")</f>
        <v>226B</v>
      </c>
    </row>
    <row r="783" spans="1:1" ht="14.4">
      <c r="A783" s="19" t="str">
        <f ca="1">IFERROR(__xludf.DUMMYFUNCTION("GOOGLETRANSLATE(C783,""ar"",""en"")"),"CB 2.5")</f>
        <v>CB 2.5</v>
      </c>
    </row>
    <row r="784" spans="1:1" ht="14.4">
      <c r="A784" s="19" t="str">
        <f ca="1">IFERROR(__xludf.DUMMYFUNCTION("GOOGLETRANSLATE(C784,""ar"",""en"")"),"AB 30C a")</f>
        <v>AB 30C a</v>
      </c>
    </row>
    <row r="785" spans="1:1" ht="14.4">
      <c r="A785" s="19" t="str">
        <f ca="1">IFERROR(__xludf.DUMMYFUNCTION("GOOGLETRANSLATE(C785,""ar"",""en"")"),"CB 14P")</f>
        <v>CB 14P</v>
      </c>
    </row>
    <row r="786" spans="1:1" ht="14.4">
      <c r="A786" s="19" t="str">
        <f ca="1">IFERROR(__xludf.DUMMYFUNCTION("GOOGLETRANSLATE(C786,""ar"",""en"")"),"DP 35 NT")</f>
        <v>DP 35 NT</v>
      </c>
    </row>
    <row r="787" spans="1:1" ht="14.4">
      <c r="A787" s="19" t="str">
        <f ca="1">IFERROR(__xludf.DUMMYFUNCTION("GOOGLETRANSLATE(C787,""ar"",""en"")"),"DP 30 in T.TT")</f>
        <v>DP 30 in T.TT</v>
      </c>
    </row>
    <row r="788" spans="1:1" ht="14.4">
      <c r="A788" s="19" t="str">
        <f ca="1">IFERROR(__xludf.DUMMYFUNCTION("GOOGLETRANSLATE(C788,""ar"",""en"")"),"CB 1.7")</f>
        <v>CB 1.7</v>
      </c>
    </row>
    <row r="789" spans="1:1" ht="14.4">
      <c r="A789" s="19" t="str">
        <f ca="1">IFERROR(__xludf.DUMMYFUNCTION("GOOGLETRANSLATE(C789,""ar"",""en"")"),"AB 25CB")</f>
        <v>AB 25CB</v>
      </c>
    </row>
    <row r="790" spans="1:1" ht="14.4">
      <c r="A790" s="19" t="str">
        <f ca="1">IFERROR(__xludf.DUMMYFUNCTION("GOOGLETRANSLATE(C790,""ar"",""en"")"),"GB 30 TT")</f>
        <v>GB 30 TT</v>
      </c>
    </row>
    <row r="791" spans="1:1" ht="14.4">
      <c r="A791" s="19" t="str">
        <f ca="1">IFERROR(__xludf.DUMMYFUNCTION("GOOGLETRANSLATE(C791,""ar"",""en"")"),"AB 20 TCB")</f>
        <v>AB 20 TCB</v>
      </c>
    </row>
    <row r="792" spans="1:1" ht="14.4">
      <c r="A792" s="19" t="str">
        <f ca="1">IFERROR(__xludf.DUMMYFUNCTION("GOOGLETRANSLATE(C792,""ar"",""en"")"),"DB 25 NT")</f>
        <v>DB 25 NT</v>
      </c>
    </row>
    <row r="793" spans="1:1" ht="14.4">
      <c r="A793" s="19" t="str">
        <f ca="1">IFERROR(__xludf.DUMMYFUNCTION("GOOGLETRANSLATE(C793,""ar"",""en"")"),"GB 25 NT")</f>
        <v>GB 25 NT</v>
      </c>
    </row>
    <row r="794" spans="1:1" ht="14.4">
      <c r="A794" s="19" t="str">
        <f ca="1">IFERROR(__xludf.DUMMYFUNCTION("GOOGLETRANSLATE(C794,""ar"",""en"")"),"AB 20CA")</f>
        <v>AB 20CA</v>
      </c>
    </row>
    <row r="795" spans="1:1" ht="14.4">
      <c r="A795" s="19" t="str">
        <f ca="1">IFERROR(__xludf.DUMMYFUNCTION("GOOGLETRANSLATE(C795,""ar"",""en"")"),"Stinger")</f>
        <v>Stinger</v>
      </c>
    </row>
    <row r="796" spans="1:1" ht="14.4">
      <c r="A796" s="19" t="str">
        <f ca="1">IFERROR(__xludf.DUMMYFUNCTION("GOOGLETRANSLATE(C796,""ar"",""en"")"),"Ki 900")</f>
        <v>Ki 900</v>
      </c>
    </row>
    <row r="797" spans="1:1" ht="14.4">
      <c r="A797" s="19" t="str">
        <f ca="1">IFERROR(__xludf.DUMMYFUNCTION("GOOGLETRANSLATE(C797,""ar"",""en"")"),"Ki8")</f>
        <v>Ki8</v>
      </c>
    </row>
    <row r="798" spans="1:1" ht="14.4">
      <c r="A798" s="19" t="str">
        <f ca="1">IFERROR(__xludf.DUMMYFUNCTION("GOOGLETRANSLATE(C798,""ar"",""en"")"),"3.8 liters of payment of Lord")</f>
        <v>3.8 liters of payment of Lord</v>
      </c>
    </row>
    <row r="799" spans="1:1" ht="14.4">
      <c r="A799" s="19" t="str">
        <f ca="1">IFERROR(__xludf.DUMMYFUNCTION("GOOGLETRANSLATE(C799,""ar"",""en"")"),"Tiloride")</f>
        <v>Tiloride</v>
      </c>
    </row>
    <row r="800" spans="1:1" ht="14.4">
      <c r="A800" s="19" t="str">
        <f ca="1">IFERROR(__xludf.DUMMYFUNCTION("GOOGLETRANSLATE(C800,""ar"",""en"")"),"Carnival I 3.5 LTI")</f>
        <v>Carnival I 3.5 LTI</v>
      </c>
    </row>
    <row r="801" spans="1:1" ht="14.4">
      <c r="A801" s="19" t="str">
        <f ca="1">IFERROR(__xludf.DUMMYFUNCTION("GOOGLETRANSLATE(C801,""ar"",""en"")"),"Carnival")</f>
        <v>Carnival</v>
      </c>
    </row>
    <row r="802" spans="1:1" ht="14.4">
      <c r="A802" s="19" t="str">
        <f ca="1">IFERROR(__xludf.DUMMYFUNCTION("GOOGLETRANSLATE(C802,""ar"",""en"")"),"Sorento Mi 4")</f>
        <v>Sorento Mi 4</v>
      </c>
    </row>
    <row r="803" spans="1:1" ht="14.4">
      <c r="A803" s="19" t="str">
        <f ca="1">IFERROR(__xludf.DUMMYFUNCTION("GOOGLETRANSLATE(C803,""ar"",""en"")"),"Muhafi")</f>
        <v>Muhafi</v>
      </c>
    </row>
    <row r="804" spans="1:1" ht="14.4">
      <c r="A804" s="19" t="str">
        <f ca="1">IFERROR(__xludf.DUMMYFUNCTION("GOOGLETRANSLATE(C804,""ar"",""en"")"),"Cadadza")</f>
        <v>Cadadza</v>
      </c>
    </row>
    <row r="805" spans="1:1" ht="14.4">
      <c r="A805" s="19" t="str">
        <f ca="1">IFERROR(__xludf.DUMMYFUNCTION("GOOGLETRANSLATE(C805,""ar"",""en"")"),"Optima")</f>
        <v>Optima</v>
      </c>
    </row>
    <row r="806" spans="1:1" ht="14.4">
      <c r="A806" s="19" t="str">
        <f ca="1">IFERROR(__xludf.DUMMYFUNCTION("GOOGLETRANSLATE(C806,""ar"",""en"")"),"Sorento UM")</f>
        <v>Sorento UM</v>
      </c>
    </row>
    <row r="807" spans="1:1" ht="14.4">
      <c r="A807" s="19" t="str">
        <f ca="1">IFERROR(__xludf.DUMMYFUNCTION("GOOGLETRANSLATE(C807,""ar"",""en"")"),"K8 pushed in front of me")</f>
        <v>K8 pushed in front of me</v>
      </c>
    </row>
    <row r="808" spans="1:1" ht="14.4">
      <c r="A808" s="19" t="str">
        <f ca="1">IFERROR(__xludf.DUMMYFUNCTION("GOOGLETRANSLATE(C808,""ar"",""en"")"),"Celtos SP2 EI")</f>
        <v>Celtos SP2 EI</v>
      </c>
    </row>
    <row r="809" spans="1:1" ht="14.4">
      <c r="A809" s="19" t="str">
        <f ca="1">IFERROR(__xludf.DUMMYFUNCTION("GOOGLETRANSLATE(C809,""ar"",""en"")"),"Ki 5")</f>
        <v>Ki 5</v>
      </c>
    </row>
    <row r="810" spans="1:1" ht="14.4">
      <c r="A810" s="19" t="str">
        <f ca="1">IFERROR(__xludf.DUMMYFUNCTION("GOOGLETRANSLATE(C810,""ar"",""en"")"),"Ceratio IX")</f>
        <v>Ceratio IX</v>
      </c>
    </row>
    <row r="811" spans="1:1" ht="14.4">
      <c r="A811" s="19" t="str">
        <f ca="1">IFERROR(__xludf.DUMMYFUNCTION("GOOGLETRANSLATE(C811,""ar"",""en"")"),"Asportage")</f>
        <v>Asportage</v>
      </c>
    </row>
    <row r="812" spans="1:1" ht="14.4">
      <c r="A812" s="19" t="str">
        <f ca="1">IFERROR(__xludf.DUMMYFUNCTION("GOOGLETRANSLATE(C812,""ar"",""en"")"),"K5D 3 in front of me 2")</f>
        <v>K5D 3 in front of me 2</v>
      </c>
    </row>
    <row r="813" spans="1:1" ht="14.4">
      <c r="A813" s="19" t="str">
        <f ca="1">IFERROR(__xludf.DUMMYFUNCTION("GOOGLETRANSLATE(C813,""ar"",""en"")"),"K8G -3 in front of me 3")</f>
        <v>K8G -3 in front of me 3</v>
      </c>
    </row>
    <row r="814" spans="1:1" ht="14.4">
      <c r="A814" s="19" t="str">
        <f ca="1">IFERROR(__xludf.DUMMYFUNCTION("GOOGLETRANSLATE(C814,""ar"",""en"")"),"Sportage 1.6 liters in front of")</f>
        <v>Sportage 1.6 liters in front of</v>
      </c>
    </row>
    <row r="815" spans="1:1" ht="14.4">
      <c r="A815" s="19" t="str">
        <f ca="1">IFERROR(__xludf.DUMMYFUNCTION("GOOGLETRANSLATE(C815,""ar"",""en"")"),"Ki 4000 G")</f>
        <v>Ki 4000 G</v>
      </c>
    </row>
    <row r="816" spans="1:1" ht="14.4">
      <c r="A816" s="19" t="str">
        <f ca="1">IFERROR(__xludf.DUMMYFUNCTION("GOOGLETRANSLATE(C816,""ar"",""en"")"),"Celtos")</f>
        <v>Celtos</v>
      </c>
    </row>
    <row r="817" spans="1:1" ht="14.4">
      <c r="A817" s="19" t="str">
        <f ca="1">IFERROR(__xludf.DUMMYFUNCTION("GOOGLETRANSLATE(C817,""ar"",""en"")"),"Opta")</f>
        <v>Opta</v>
      </c>
    </row>
    <row r="818" spans="1:1" ht="14.4">
      <c r="A818" s="19" t="str">
        <f ca="1">IFERROR(__xludf.DUMMYFUNCTION("GOOGLETRANSLATE(C818,""ar"",""en"")"),"Celtos 1.6 liters in front of me")</f>
        <v>Celtos 1.6 liters in front of me</v>
      </c>
    </row>
    <row r="819" spans="1:1" ht="14.4">
      <c r="A819" s="19" t="str">
        <f ca="1">IFERROR(__xludf.DUMMYFUNCTION("GOOGLETRANSLATE(C819,""ar"",""en"")"),"Sonnet CVTIY")</f>
        <v>Sonnet CVTIY</v>
      </c>
    </row>
    <row r="820" spans="1:1" ht="14.4">
      <c r="A820" s="19" t="str">
        <f ca="1">IFERROR(__xludf.DUMMYFUNCTION("GOOGLETRANSLATE(C820,""ar"",""en"")"),"Sol 1.6 liters in front of me")</f>
        <v>Sol 1.6 liters in front of me</v>
      </c>
    </row>
    <row r="821" spans="1:1" ht="14.4">
      <c r="A821" s="19" t="str">
        <f ca="1">IFERROR(__xludf.DUMMYFUNCTION("GOOGLETRANSLATE(C821,""ar"",""en"")"),"Sont")</f>
        <v>Sont</v>
      </c>
    </row>
    <row r="822" spans="1:1" ht="14.4">
      <c r="A822" s="19" t="str">
        <f ca="1">IFERROR(__xludf.DUMMYFUNCTION("GOOGLETRANSLATE(C822,""ar"",""en"")"),"Cerato")</f>
        <v>Cerato</v>
      </c>
    </row>
    <row r="823" spans="1:1" ht="14.4">
      <c r="A823" s="19" t="str">
        <f ca="1">IFERROR(__xludf.DUMMYFUNCTION("GOOGLETRANSLATE(C823,""ar"",""en"")"),"Sonnet QICVT")</f>
        <v>Sonnet QICVT</v>
      </c>
    </row>
    <row r="824" spans="1:1" ht="14.4">
      <c r="A824" s="19" t="str">
        <f ca="1">IFERROR(__xludf.DUMMYFUNCTION("GOOGLETRANSLATE(C824,""ar"",""en"")"),"Sonnet 1.5 liter front -wheel drive")</f>
        <v>Sonnet 1.5 liter front -wheel drive</v>
      </c>
    </row>
    <row r="825" spans="1:1" ht="14.4">
      <c r="A825" s="19" t="str">
        <f ca="1">IFERROR(__xludf.DUMMYFUNCTION("GOOGLETRANSLATE(C825,""ar"",""en"")"),"Teller")</f>
        <v>Teller</v>
      </c>
    </row>
    <row r="826" spans="1:1" ht="14.4">
      <c r="A826" s="19" t="str">
        <f ca="1">IFERROR(__xludf.DUMMYFUNCTION("GOOGLETRANSLATE(C826,""ar"",""en"")"),"Sonit pushed me in front of me")</f>
        <v>Sonit pushed me in front of me</v>
      </c>
    </row>
    <row r="827" spans="1:1" ht="14.4">
      <c r="A827" s="19" t="str">
        <f ca="1">IFERROR(__xludf.DUMMYFUNCTION("GOOGLETRANSLATE(C827,""ar"",""en"")"),"The 1.6")</f>
        <v>The 1.6</v>
      </c>
    </row>
    <row r="828" spans="1:1" ht="14.4">
      <c r="A828" s="19" t="str">
        <f ca="1">IFERROR(__xludf.DUMMYFUNCTION("GOOGLETRANSLATE(C828,""ar"",""en"")"),"Ceratio LX")</f>
        <v>Ceratio LX</v>
      </c>
    </row>
    <row r="829" spans="1:1" ht="14.4">
      <c r="A829" s="19" t="str">
        <f ca="1">IFERROR(__xludf.DUMMYFUNCTION("GOOGLETRANSLATE(C829,""ar"",""en"")"),"Rio paid 1.4 liters in front of me")</f>
        <v>Rio paid 1.4 liters in front of me</v>
      </c>
    </row>
    <row r="830" spans="1:1" ht="14.4">
      <c r="A830" s="19" t="str">
        <f ca="1">IFERROR(__xludf.DUMMYFUNCTION("GOOGLETRANSLATE(C830,""ar"",""en"")"),"Kia Rio")</f>
        <v>Kia Rio</v>
      </c>
    </row>
    <row r="831" spans="1:1" ht="14.4">
      <c r="A831" s="19" t="str">
        <f ca="1">IFERROR(__xludf.DUMMYFUNCTION("GOOGLETRANSLATE(C831,""ar"",""en"")"),"Picanto EX")</f>
        <v>Picanto EX</v>
      </c>
    </row>
    <row r="832" spans="1:1" ht="14.4">
      <c r="A832" s="19" t="str">
        <f ca="1">IFERROR(__xludf.DUMMYFUNCTION("GOOGLETRANSLATE(C832,""ar"",""en"")"),"Picanto LX")</f>
        <v>Picanto LX</v>
      </c>
    </row>
    <row r="833" spans="1:1" ht="14.4">
      <c r="A833" s="19" t="str">
        <f ca="1">IFERROR(__xludf.DUMMYFUNCTION("GOOGLETRANSLATE(C833,""ar"",""en"")"),"Begas")</f>
        <v>Begas</v>
      </c>
    </row>
    <row r="834" spans="1:1" ht="14.4">
      <c r="A834" s="19" t="str">
        <f ca="1">IFERROR(__xludf.DUMMYFUNCTION("GOOGLETRANSLATE(C834,""ar"",""en"")"),"570 T.")</f>
        <v>570 T.</v>
      </c>
    </row>
    <row r="835" spans="1:1" ht="14.4">
      <c r="A835" s="19" t="str">
        <f ca="1">IFERROR(__xludf.DUMMYFUNCTION("GOOGLETRANSLATE(C835,""ar"",""en"")"),"SR 250")</f>
        <v>SR 250</v>
      </c>
    </row>
    <row r="836" spans="1:1" ht="14.4">
      <c r="A836" s="19" t="str">
        <f ca="1">IFERROR(__xludf.DUMMYFUNCTION("GOOGLETRANSLATE(C836,""ar"",""en"")"),"SR 130")</f>
        <v>SR 130</v>
      </c>
    </row>
    <row r="837" spans="1:1" ht="14.4">
      <c r="A837" s="19" t="str">
        <f ca="1">IFERROR(__xludf.DUMMYFUNCTION("GOOGLETRANSLATE(C837,""ar"",""en"")"),"Range Rover above SE")</f>
        <v>Range Rover above SE</v>
      </c>
    </row>
    <row r="838" spans="1:1" ht="14.4">
      <c r="A838" s="19" t="str">
        <f ca="1">IFERROR(__xludf.DUMMYFUNCTION("GOOGLETRANSLATE(C838,""ar"",""en"")"),"Range Rover Auto Pegeraf")</f>
        <v>Range Rover Auto Pegeraf</v>
      </c>
    </row>
    <row r="839" spans="1:1" ht="14.4">
      <c r="A839" s="19" t="str">
        <f ca="1">IFERROR(__xludf.DUMMYFUNCTION("GOOGLETRANSLATE(C839,""ar"",""en"")"),"Range Rover above")</f>
        <v>Range Rover above</v>
      </c>
    </row>
    <row r="840" spans="1:1" ht="14.4">
      <c r="A840" s="19" t="str">
        <f ca="1">IFERROR(__xludf.DUMMYFUNCTION("GOOGLETRANSLATE(C840,""ar"",""en"")"),"Range Rover Sport Otop")</f>
        <v>Range Rover Sport Otop</v>
      </c>
    </row>
    <row r="841" spans="1:1" ht="14.4">
      <c r="A841" s="19" t="str">
        <f ca="1">IFERROR(__xludf.DUMMYFUNCTION("GOOGLETRANSLATE(C841,""ar"",""en"")"),"Range Rover HSI")</f>
        <v>Range Rover HSI</v>
      </c>
    </row>
    <row r="842" spans="1:1" ht="14.4">
      <c r="A842" s="19" t="str">
        <f ca="1">IFERROR(__xludf.DUMMYFUNCTION("GOOGLETRANSLATE(C842,""ar"",""en"")"),"Range Rover Sport HS")</f>
        <v>Range Rover Sport HS</v>
      </c>
    </row>
    <row r="843" spans="1:1" ht="14.4">
      <c r="A843" s="19" t="str">
        <f ca="1">IFERROR(__xludf.DUMMYFUNCTION("GOOGLETRANSLATE(C843,""ar"",""en"")"),"Sport 3 liters")</f>
        <v>Sport 3 liters</v>
      </c>
    </row>
    <row r="844" spans="1:1" ht="14.4">
      <c r="A844" s="19" t="str">
        <f ca="1">IFERROR(__xludf.DUMMYFUNCTION("GOOGLETRANSLATE(C844,""ar"",""en"")"),"Range Rover Sport SA")</f>
        <v>Range Rover Sport SA</v>
      </c>
    </row>
    <row r="845" spans="1:1" ht="14.4">
      <c r="A845" s="19" t="str">
        <f ca="1">IFERROR(__xludf.DUMMYFUNCTION("GOOGLETRANSLATE(C845,""ar"",""en"")"),"Defander 110 3 liters")</f>
        <v>Defander 110 3 liters</v>
      </c>
    </row>
    <row r="846" spans="1:1" ht="14.4">
      <c r="A846" s="19" t="str">
        <f ca="1">IFERROR(__xludf.DUMMYFUNCTION("GOOGLETRANSLATE(C846,""ar"",""en"")"),"Defenner 110 four -liter payment 3 liters")</f>
        <v>Defenner 110 four -liter payment 3 liters</v>
      </c>
    </row>
    <row r="847" spans="1:1" ht="14.4">
      <c r="A847" s="19" t="str">
        <f ca="1">IFERROR(__xludf.DUMMYFUNCTION("GOOGLETRANSLATE(C847,""ar"",""en"")"),"Devinder 110 5 liters")</f>
        <v>Devinder 110 5 liters</v>
      </c>
    </row>
    <row r="848" spans="1:1" ht="14.4">
      <c r="A848" s="19" t="str">
        <f ca="1">IFERROR(__xludf.DUMMYFUNCTION("GOOGLETRANSLATE(C848,""ar"",""en"")"),"Defenner 110 four -wheel drive 2 liters")</f>
        <v>Defenner 110 four -wheel drive 2 liters</v>
      </c>
    </row>
    <row r="849" spans="1:1" ht="14.4">
      <c r="A849" s="19" t="str">
        <f ca="1">IFERROR(__xludf.DUMMYFUNCTION("GOOGLETRANSLATE(C849,""ar"",""en"")"),"Velarid Edesen")</f>
        <v>Velarid Edesen</v>
      </c>
    </row>
    <row r="850" spans="1:1" ht="14.4">
      <c r="A850" s="19" t="str">
        <f ca="1">IFERROR(__xludf.DUMMYFUNCTION("GOOGLETRANSLATE(C850,""ar"",""en"")"),"Villar R-Denmak SA")</f>
        <v>Villar R-Denmak SA</v>
      </c>
    </row>
    <row r="851" spans="1:1" ht="14.4">
      <c r="A851" s="19" t="str">
        <f ca="1">IFERROR(__xludf.DUMMYFUNCTION("GOOGLETRANSLATE(C851,""ar"",""en"")"),"Defander 90 3 doors 3 liters")</f>
        <v>Defander 90 3 doors 3 liters</v>
      </c>
    </row>
    <row r="852" spans="1:1" ht="14.4">
      <c r="A852" s="19" t="str">
        <f ca="1">IFERROR(__xludf.DUMMYFUNCTION("GOOGLETRANSLATE(C852,""ar"",""en"")"),"Defander 90 3 doors 3 liters")</f>
        <v>Defander 90 3 doors 3 liters</v>
      </c>
    </row>
    <row r="853" spans="1:1" ht="14.4">
      <c r="A853" s="19" t="str">
        <f ca="1">IFERROR(__xludf.DUMMYFUNCTION("GOOGLETRANSLATE(C853,""ar"",""en"")"),"Villar R Denmak S")</f>
        <v>Villar R Denmak S</v>
      </c>
    </row>
    <row r="854" spans="1:1" ht="14.4">
      <c r="A854" s="19" t="str">
        <f ca="1">IFERROR(__xludf.DUMMYFUNCTION("GOOGLETRANSLATE(C854,""ar"",""en"")"),"Villar R-Denmak Piece")</f>
        <v>Villar R-Denmak Piece</v>
      </c>
    </row>
    <row r="855" spans="1:1" ht="14.4">
      <c r="A855" s="19" t="str">
        <f ca="1">IFERROR(__xludf.DUMMYFUNCTION("GOOGLETRANSLATE(C855,""ar"",""en"")"),"Evoque")</f>
        <v>Evoque</v>
      </c>
    </row>
    <row r="856" spans="1:1" ht="14.4">
      <c r="A856" s="19" t="str">
        <f ca="1">IFERROR(__xludf.DUMMYFUNCTION("GOOGLETRANSLATE(C856,""ar"",""en"")"),"Discovery Sport")</f>
        <v>Discovery Sport</v>
      </c>
    </row>
    <row r="857" spans="1:1" ht="14.4">
      <c r="A857" s="19" t="str">
        <f ca="1">IFERROR(__xludf.DUMMYFUNCTION("GOOGLETRANSLATE(C857,""ar"",""en"")"),"Evoque SI Plus")</f>
        <v>Evoque SI Plus</v>
      </c>
    </row>
    <row r="858" spans="1:1" ht="14.4">
      <c r="A858" s="19" t="str">
        <f ca="1">IFERROR(__xludf.DUMMYFUNCTION("GOOGLETRANSLATE(C858,""ar"",""en"")"),"Discovery HSI 2 liter")</f>
        <v>Discovery HSI 2 liter</v>
      </c>
    </row>
    <row r="859" spans="1:1" ht="14.4">
      <c r="A859" s="19" t="str">
        <f ca="1">IFERROR(__xludf.DUMMYFUNCTION("GOOGLETRANSLATE(C859,""ar"",""en"")"),"Discovery Sport HSA")</f>
        <v>Discovery Sport HSA</v>
      </c>
    </row>
    <row r="860" spans="1:1" ht="14.4">
      <c r="A860" s="19" t="str">
        <f ca="1">IFERROR(__xludf.DUMMYFUNCTION("GOOGLETRANSLATE(C860,""ar"",""en"")"),"Lesteeni Avenor SK")</f>
        <v>Lesteeni Avenor SK</v>
      </c>
    </row>
    <row r="861" spans="1:1" ht="14.4">
      <c r="A861" s="19" t="str">
        <f ca="1">IFERROR(__xludf.DUMMYFUNCTION("GOOGLETRANSLATE(C861,""ar"",""en"")"),"Eurus 4*4")</f>
        <v>Eurus 4*4</v>
      </c>
    </row>
    <row r="862" spans="1:1" ht="14.4">
      <c r="A862" s="19" t="str">
        <f ca="1">IFERROR(__xludf.DUMMYFUNCTION("GOOGLETRANSLATE(C862,""ar"",""en"")"),"Hirkan")</f>
        <v>Hirkan</v>
      </c>
    </row>
    <row r="863" spans="1:1" ht="14.4">
      <c r="A863" s="19" t="str">
        <f ca="1">IFERROR(__xludf.DUMMYFUNCTION("GOOGLETRANSLATE(C863,""ar"",""en"")"),"Navigitor Reserve 4 x 4 3.5")</f>
        <v>Navigitor Reserve 4 x 4 3.5</v>
      </c>
    </row>
    <row r="864" spans="1:1" ht="14.4">
      <c r="A864" s="19" t="str">
        <f ca="1">IFERROR(__xludf.DUMMYFUNCTION("GOOGLETRANSLATE(C864,""ar"",""en"")"),"Navigitor Silket 4 x 4 3.5")</f>
        <v>Navigitor Silket 4 x 4 3.5</v>
      </c>
    </row>
    <row r="865" spans="1:1" ht="14.4">
      <c r="A865" s="19" t="str">
        <f ca="1">IFERROR(__xludf.DUMMYFUNCTION("GOOGLETRANSLATE(C865,""ar"",""en"")"),"CX -9 4*4")</f>
        <v>CX -9 4*4</v>
      </c>
    </row>
    <row r="866" spans="1:1" ht="14.4">
      <c r="A866" s="19" t="str">
        <f ca="1">IFERROR(__xludf.DUMMYFUNCTION("GOOGLETRANSLATE(C866,""ar"",""en"")"),"CX -5 SUV 4 x 4")</f>
        <v>CX -5 SUV 4 x 4</v>
      </c>
    </row>
    <row r="867" spans="1:1" ht="14.4">
      <c r="A867" s="19" t="str">
        <f ca="1">IFERROR(__xludf.DUMMYFUNCTION("GOOGLETRANSLATE(C867,""ar"",""en"")"),"CX -9 4 x 2")</f>
        <v>CX -9 4 x 2</v>
      </c>
    </row>
    <row r="868" spans="1:1" ht="14.4">
      <c r="A868" s="19" t="str">
        <f ca="1">IFERROR(__xludf.DUMMYFUNCTION("GOOGLETRANSLATE(C868,""ar"",""en"")"),"CX 4*4")</f>
        <v>CX 4*4</v>
      </c>
    </row>
    <row r="869" spans="1:1" ht="14.4">
      <c r="A869" s="19" t="str">
        <f ca="1">IFERROR(__xludf.DUMMYFUNCTION("GOOGLETRANSLATE(C869,""ar"",""en"")"),"CX 30 bilateral payment")</f>
        <v>CX 30 bilateral payment</v>
      </c>
    </row>
    <row r="870" spans="1:1" ht="14.4">
      <c r="A870" s="19" t="str">
        <f ca="1">IFERROR(__xludf.DUMMYFUNCTION("GOOGLETRANSLATE(C870,""ar"",""en"")"),"CX -5")</f>
        <v>CX -5</v>
      </c>
    </row>
    <row r="871" spans="1:1" ht="14.4">
      <c r="A871" s="19" t="str">
        <f ca="1">IFERROR(__xludf.DUMMYFUNCTION("GOOGLETRANSLATE(C871,""ar"",""en"")"),"CX -5 Binary Pay 4 x 2")</f>
        <v>CX -5 Binary Pay 4 x 2</v>
      </c>
    </row>
    <row r="872" spans="1:1" ht="14.4">
      <c r="A872" s="19" t="str">
        <f ca="1">IFERROR(__xludf.DUMMYFUNCTION("GOOGLETRANSLATE(C872,""ar"",""en"")"),"6")</f>
        <v>6</v>
      </c>
    </row>
    <row r="873" spans="1:1" ht="14.4">
      <c r="A873" s="19" t="str">
        <f ca="1">IFERROR(__xludf.DUMMYFUNCTION("GOOGLETRANSLATE(C873,""ar"",""en"")"),"CX 4*2")</f>
        <v>CX 4*2</v>
      </c>
    </row>
    <row r="874" spans="1:1" ht="14.4">
      <c r="A874" s="19" t="str">
        <f ca="1">IFERROR(__xludf.DUMMYFUNCTION("GOOGLETRANSLATE(C874,""ar"",""en"")"),"3")</f>
        <v>3</v>
      </c>
    </row>
    <row r="875" spans="1:1" ht="14.4">
      <c r="A875" s="19" t="str">
        <f ca="1">IFERROR(__xludf.DUMMYFUNCTION("GOOGLETRANSLATE(C875,""ar"",""en"")"),"Levante Modena pushed Lord")</f>
        <v>Levante Modena pushed Lord</v>
      </c>
    </row>
    <row r="876" spans="1:1" ht="14.4">
      <c r="A876" s="19" t="str">
        <f ca="1">IFERROR(__xludf.DUMMYFUNCTION("GOOGLETRANSLATE(C876,""ar"",""en"")"),"Quattroporte")</f>
        <v>Quattroporte</v>
      </c>
    </row>
    <row r="877" spans="1:1" ht="14.4">
      <c r="A877" s="19" t="str">
        <f ca="1">IFERROR(__xludf.DUMMYFUNCTION("GOOGLETRANSLATE(C877,""ar"",""en"")"),"Livatni S")</f>
        <v>Livatni S</v>
      </c>
    </row>
    <row r="878" spans="1:1" ht="14.4">
      <c r="A878" s="19" t="str">
        <f ca="1">IFERROR(__xludf.DUMMYFUNCTION("GOOGLETRANSLATE(C878,""ar"",""en"")"),"Levante")</f>
        <v>Levante</v>
      </c>
    </row>
    <row r="879" spans="1:1" ht="14.4">
      <c r="A879" s="19" t="str">
        <f ca="1">IFERROR(__xludf.DUMMYFUNCTION("GOOGLETRANSLATE(C879,""ar"",""en"")"),"Levante Hybrid pushed Lord")</f>
        <v>Levante Hybrid pushed Lord</v>
      </c>
    </row>
    <row r="880" spans="1:1" ht="14.4">
      <c r="A880" s="19" t="str">
        <f ca="1">IFERROR(__xludf.DUMMYFUNCTION("GOOGLETRANSLATE(C880,""ar"",""en"")"),"Gibli")</f>
        <v>Gibli</v>
      </c>
    </row>
    <row r="881" spans="1:1" ht="14.4">
      <c r="A881" s="19" t="str">
        <f ca="1">IFERROR(__xludf.DUMMYFUNCTION("GOOGLETRANSLATE(C881,""ar"",""en"")"),"Line S.CJA 23")</f>
        <v>Line S.CJA 23</v>
      </c>
    </row>
    <row r="882" spans="1:1" ht="14.4">
      <c r="A882" s="19" t="str">
        <f ca="1">IFERROR(__xludf.DUMMYFUNCTION("GOOGLETRANSLATE(C882,""ar"",""en"")"),"Line S. City A 21")</f>
        <v>Line S. City A 21</v>
      </c>
    </row>
    <row r="883" spans="1:1" ht="14.4">
      <c r="A883" s="19" t="str">
        <f ca="1">IFERROR(__xludf.DUMMYFUNCTION("GOOGLETRANSLATE(C883,""ar"",""en"")"),"TGS 18.400")</f>
        <v>TGS 18.400</v>
      </c>
    </row>
    <row r="884" spans="1:1" ht="14.4">
      <c r="A884" s="19" t="str">
        <f ca="1">IFERROR(__xludf.DUMMYFUNCTION("GOOGLETRANSLATE(C884,""ar"",""en"")"),"TGX 18.440")</f>
        <v>TGX 18.440</v>
      </c>
    </row>
    <row r="885" spans="1:1" ht="14.4">
      <c r="A885" s="19" t="str">
        <f ca="1">IFERROR(__xludf.DUMMYFUNCTION("GOOGLETRANSLATE(C885,""ar"",""en"")"),"Two of 1500 5.7 liters")</f>
        <v>Two of 1500 5.7 liters</v>
      </c>
    </row>
    <row r="886" spans="1:1" ht="14.4">
      <c r="A886" s="19" t="str">
        <f ca="1">IFERROR(__xludf.DUMMYFUNCTION("GOOGLETRANSLATE(C886,""ar"",""en"")"),"Wrangler Entlement")</f>
        <v>Wrangler Entlement</v>
      </c>
    </row>
    <row r="887" spans="1:1" ht="14.4">
      <c r="A887" s="19" t="str">
        <f ca="1">IFERROR(__xludf.DUMMYFUNCTION("GOOGLETRANSLATE(C887,""ar"",""en"")"),"Grand Shocke 3.6 liters")</f>
        <v>Grand Shocke 3.6 liters</v>
      </c>
    </row>
    <row r="888" spans="1:1" ht="14.4">
      <c r="A888" s="19" t="str">
        <f ca="1">IFERROR(__xludf.DUMMYFUNCTION("GOOGLETRANSLATE(C888,""ar"",""en"")"),"Wrangler Annolmate")</f>
        <v>Wrangler Annolmate</v>
      </c>
    </row>
    <row r="889" spans="1:1" ht="14.4">
      <c r="A889" s="19" t="str">
        <f ca="1">IFERROR(__xludf.DUMMYFUNCTION("GOOGLETRANSLATE(C889,""ar"",""en"")"),"Drango RT 4 x 4")</f>
        <v>Drango RT 4 x 4</v>
      </c>
    </row>
    <row r="890" spans="1:1" ht="14.4">
      <c r="A890" s="19" t="str">
        <f ca="1">IFERROR(__xludf.DUMMYFUNCTION("GOOGLETRANSLATE(C890,""ar"",""en"")"),"Gladitor")</f>
        <v>Gladitor</v>
      </c>
    </row>
    <row r="891" spans="1:1" ht="14.4">
      <c r="A891" s="19" t="str">
        <f ca="1">IFERROR(__xludf.DUMMYFUNCTION("GOOGLETRANSLATE(C891,""ar"",""en"")"),"Jeep Grand Cherokee")</f>
        <v>Jeep Grand Cherokee</v>
      </c>
    </row>
    <row r="892" spans="1:1" ht="14.4">
      <c r="A892" s="19" t="str">
        <f ca="1">IFERROR(__xludf.DUMMYFUNCTION("GOOGLETRANSLATE(C892,""ar"",""en"")"),"Wrangler 2 liter 2 door")</f>
        <v>Wrangler 2 liter 2 door</v>
      </c>
    </row>
    <row r="893" spans="1:1" ht="14.4">
      <c r="A893" s="19" t="str">
        <f ca="1">IFERROR(__xludf.DUMMYFUNCTION("GOOGLETRANSLATE(C893,""ar"",""en"")"),"Grand Cherokee 4*4")</f>
        <v>Grand Cherokee 4*4</v>
      </c>
    </row>
    <row r="894" spans="1:1" ht="14.4">
      <c r="A894" s="19" t="str">
        <f ca="1">IFERROR(__xludf.DUMMYFUNCTION("GOOGLETRANSLATE(C894,""ar"",""en"")"),"Grand Cherokee 3.6 liter 4")</f>
        <v>Grand Cherokee 3.6 liter 4</v>
      </c>
    </row>
    <row r="895" spans="1:1" ht="14.4">
      <c r="A895" s="19" t="str">
        <f ca="1">IFERROR(__xludf.DUMMYFUNCTION("GOOGLETRANSLATE(C895,""ar"",""en"")"),"Wrangler to extend automatic")</f>
        <v>Wrangler to extend automatic</v>
      </c>
    </row>
    <row r="896" spans="1:1" ht="14.4">
      <c r="A896" s="19" t="str">
        <f ca="1">IFERROR(__xludf.DUMMYFUNCTION("GOOGLETRANSLATE(C896,""ar"",""en"")"),"Grand Shocke Limmet 4 x 4")</f>
        <v>Grand Shocke Limmet 4 x 4</v>
      </c>
    </row>
    <row r="897" spans="1:1" ht="14.4">
      <c r="A897" s="19" t="str">
        <f ca="1">IFERROR(__xludf.DUMMYFUNCTION("GOOGLETRANSLATE(C897,""ar"",""en"")"),"300")</f>
        <v>300</v>
      </c>
    </row>
    <row r="898" spans="1:1" ht="14.4">
      <c r="A898" s="19" t="str">
        <f ca="1">IFERROR(__xludf.DUMMYFUNCTION("GOOGLETRANSLATE(C898,""ar"",""en"")"),"300 c")</f>
        <v>300 c</v>
      </c>
    </row>
    <row r="899" spans="1:1" ht="14.4">
      <c r="A899" s="19" t="str">
        <f ca="1">IFERROR(__xludf.DUMMYFUNCTION("GOOGLETRANSLATE(C899,""ar"",""en"")"),"Grand Shocky Larado 4 x 4")</f>
        <v>Grand Shocky Larado 4 x 4</v>
      </c>
    </row>
    <row r="900" spans="1:1" ht="14.4">
      <c r="A900" s="19" t="str">
        <f ca="1">IFERROR(__xludf.DUMMYFUNCTION("GOOGLETRANSLATE(C900,""ar"",""en"")"),"Wrangler two doors")</f>
        <v>Wrangler two doors</v>
      </c>
    </row>
    <row r="901" spans="1:1" ht="14.4">
      <c r="A901" s="19" t="str">
        <f ca="1">IFERROR(__xludf.DUMMYFUNCTION("GOOGLETRANSLATE(C901,""ar"",""en"")"),"300 CSRT 8")</f>
        <v>300 CSRT 8</v>
      </c>
    </row>
    <row r="902" spans="1:1" ht="14.4">
      <c r="A902" s="19" t="str">
        <f ca="1">IFERROR(__xludf.DUMMYFUNCTION("GOOGLETRANSLATE(C902,""ar"",""en"")"),"Wrangler 2 liters 4 doors")</f>
        <v>Wrangler 2 liters 4 doors</v>
      </c>
    </row>
    <row r="903" spans="1:1" ht="14.4">
      <c r="A903" s="19" t="str">
        <f ca="1">IFERROR(__xludf.DUMMYFUNCTION("GOOGLETRANSLATE(C903,""ar"",""en"")"),"RAM 1500 3.6 liters 4 x 4")</f>
        <v>RAM 1500 3.6 liters 4 x 4</v>
      </c>
    </row>
    <row r="904" spans="1:1" ht="14.4">
      <c r="A904" s="19" t="str">
        <f ca="1">IFERROR(__xludf.DUMMYFUNCTION("GOOGLETRANSLATE(C904,""ar"",""en"")"),"The role of the Ango SRT")</f>
        <v>The role of the Ango SRT</v>
      </c>
    </row>
    <row r="905" spans="1:1" ht="14.4">
      <c r="A905" s="19" t="str">
        <f ca="1">IFERROR(__xludf.DUMMYFUNCTION("GOOGLETRANSLATE(C905,""ar"",""en"")"),"Wrangler 2 liters 4 doors")</f>
        <v>Wrangler 2 liters 4 doors</v>
      </c>
    </row>
    <row r="906" spans="1:1" ht="14.4">
      <c r="A906" s="19" t="str">
        <f ca="1">IFERROR(__xludf.DUMMYFUNCTION("GOOGLETRANSLATE(C906,""ar"",""en"")"),"Wrangler 2 liter 2 door")</f>
        <v>Wrangler 2 liter 2 door</v>
      </c>
    </row>
    <row r="907" spans="1:1" ht="14.4">
      <c r="A907" s="19" t="str">
        <f ca="1">IFERROR(__xludf.DUMMYFUNCTION("GOOGLETRANSLATE(C907,""ar"",""en"")"),"Rangler Sahara is 4 x")</f>
        <v>Rangler Sahara is 4 x</v>
      </c>
    </row>
    <row r="908" spans="1:1" ht="14.4">
      <c r="A908" s="19" t="str">
        <f ca="1">IFERROR(__xludf.DUMMYFUNCTION("GOOGLETRANSLATE(C908,""ar"",""en"")"),"300s")</f>
        <v>300s</v>
      </c>
    </row>
    <row r="909" spans="1:1" ht="14.4">
      <c r="A909" s="19" t="str">
        <f ca="1">IFERROR(__xludf.DUMMYFUNCTION("GOOGLETRANSLATE(C909,""ar"",""en"")"),"Challenger 5.7 liters")</f>
        <v>Challenger 5.7 liters</v>
      </c>
    </row>
    <row r="910" spans="1:1" ht="14.4">
      <c r="A910" s="19" t="str">
        <f ca="1">IFERROR(__xludf.DUMMYFUNCTION("GOOGLETRANSLATE(C910,""ar"",""en"")"),"Challenger 3.6 liters")</f>
        <v>Challenger 3.6 liters</v>
      </c>
    </row>
    <row r="911" spans="1:1" ht="14.4">
      <c r="A911" s="19" t="str">
        <f ca="1">IFERROR(__xludf.DUMMYFUNCTION("GOOGLETRANSLATE(C911,""ar"",""en"")"),"Drango 4*2")</f>
        <v>Drango 4*2</v>
      </c>
    </row>
    <row r="912" spans="1:1" ht="14.4">
      <c r="A912" s="19" t="str">
        <f ca="1">IFERROR(__xludf.DUMMYFUNCTION("GOOGLETRANSLATE(C912,""ar"",""en"")"),"Grand Shocke 3.6 liters")</f>
        <v>Grand Shocke 3.6 liters</v>
      </c>
    </row>
    <row r="913" spans="1:1" ht="14.4">
      <c r="A913" s="19" t="str">
        <f ca="1">IFERROR(__xludf.DUMMYFUNCTION("GOOGLETRANSLATE(C913,""ar"",""en"")"),"Passevica")</f>
        <v>Passevica</v>
      </c>
    </row>
    <row r="914" spans="1:1" ht="14.4">
      <c r="A914" s="19" t="str">
        <f ca="1">IFERROR(__xludf.DUMMYFUNCTION("GOOGLETRANSLATE(C914,""ar"",""en"")"),"Grand Cherokee Silence 4 x 4")</f>
        <v>Grand Cherokee Silence 4 x 4</v>
      </c>
    </row>
    <row r="915" spans="1:1" ht="14.4">
      <c r="A915" s="19" t="str">
        <f ca="1">IFERROR(__xludf.DUMMYFUNCTION("GOOGLETRANSLATE(C915,""ar"",""en"")"),"1500 4 x 4")</f>
        <v>1500 4 x 4</v>
      </c>
    </row>
    <row r="916" spans="1:1" ht="14.4">
      <c r="A916" s="19" t="str">
        <f ca="1">IFERROR(__xludf.DUMMYFUNCTION("GOOGLETRANSLATE(C916,""ar"",""en"")"),"Challenge SRT")</f>
        <v>Challenge SRT</v>
      </c>
    </row>
    <row r="917" spans="1:1" ht="14.4">
      <c r="A917" s="19" t="str">
        <f ca="1">IFERROR(__xludf.DUMMYFUNCTION("GOOGLETRANSLATE(C917,""ar"",""en"")"),"300 later")</f>
        <v>300 later</v>
      </c>
    </row>
    <row r="918" spans="1:1" ht="14.4">
      <c r="A918" s="19" t="str">
        <f ca="1">IFERROR(__xludf.DUMMYFUNCTION("GOOGLETRANSLATE(C918,""ar"",""en"")"),"Charger 5.7 liters")</f>
        <v>Charger 5.7 liters</v>
      </c>
    </row>
    <row r="919" spans="1:1" ht="14.4">
      <c r="A919" s="19" t="str">
        <f ca="1">IFERROR(__xludf.DUMMYFUNCTION("GOOGLETRANSLATE(C919,""ar"",""en"")"),"The role of Ango Express 4 x 4")</f>
        <v>The role of Ango Express 4 x 4</v>
      </c>
    </row>
    <row r="920" spans="1:1" ht="14.4">
      <c r="A920" s="19" t="str">
        <f ca="1">IFERROR(__xludf.DUMMYFUNCTION("GOOGLETRANSLATE(C920,""ar"",""en"")"),"Shalinger Arte")</f>
        <v>Shalinger Arte</v>
      </c>
    </row>
    <row r="921" spans="1:1" ht="14.4">
      <c r="A921" s="19" t="str">
        <f ca="1">IFERROR(__xludf.DUMMYFUNCTION("GOOGLETRANSLATE(C921,""ar"",""en"")"),"The role of Ango 4 x 2")</f>
        <v>The role of Ango 4 x 2</v>
      </c>
    </row>
    <row r="922" spans="1:1" ht="14.4">
      <c r="A922" s="19" t="str">
        <f ca="1">IFERROR(__xludf.DUMMYFUNCTION("GOOGLETRANSLATE(C922,""ar"",""en"")"),"Shalinger SA")</f>
        <v>Shalinger SA</v>
      </c>
    </row>
    <row r="923" spans="1:1" ht="14.4">
      <c r="A923" s="19" t="str">
        <f ca="1">IFERROR(__xludf.DUMMYFUNCTION("GOOGLETRANSLATE(C923,""ar"",""en"")"),"Charger RT")</f>
        <v>Charger RT</v>
      </c>
    </row>
    <row r="924" spans="1:1" ht="14.4">
      <c r="A924" s="19" t="str">
        <f ca="1">IFERROR(__xludf.DUMMYFUNCTION("GOOGLETRANSLATE(C924,""ar"",""en"")"),"RAM 1500 Classic 3.6 liter 4 x 4")</f>
        <v>RAM 1500 Classic 3.6 liter 4 x 4</v>
      </c>
    </row>
    <row r="925" spans="1:1" ht="14.4">
      <c r="A925" s="19" t="str">
        <f ca="1">IFERROR(__xludf.DUMMYFUNCTION("GOOGLETRANSLATE(C925,""ar"",""en"")"),"Charger SA Lux")</f>
        <v>Charger SA Lux</v>
      </c>
    </row>
    <row r="926" spans="1:1" ht="14.4">
      <c r="A926" s="19" t="str">
        <f ca="1">IFERROR(__xludf.DUMMYFUNCTION("GOOGLETRANSLATE(C926,""ar"",""en"")"),"Charger 6.4")</f>
        <v>Charger 6.4</v>
      </c>
    </row>
    <row r="927" spans="1:1" ht="14.4">
      <c r="A927" s="19" t="str">
        <f ca="1">IFERROR(__xludf.DUMMYFUNCTION("GOOGLETRANSLATE(C927,""ar"",""en"")"),"Charger 3.6 liters")</f>
        <v>Charger 3.6 liters</v>
      </c>
    </row>
    <row r="928" spans="1:1" ht="14.4">
      <c r="A928" s="19" t="str">
        <f ca="1">IFERROR(__xludf.DUMMYFUNCTION("GOOGLETRANSLATE(C928,""ar"",""en"")"),"Compass 2.4 liter 4 x 4")</f>
        <v>Compass 2.4 liter 4 x 4</v>
      </c>
    </row>
    <row r="929" spans="1:1" ht="14.4">
      <c r="A929" s="19" t="str">
        <f ca="1">IFERROR(__xludf.DUMMYFUNCTION("GOOGLETRANSLATE(C929,""ar"",""en"")")," 1500 GD")</f>
        <v xml:space="preserve"> 1500 GD</v>
      </c>
    </row>
    <row r="930" spans="1:1" ht="14.4">
      <c r="A930" s="19" t="str">
        <f ca="1">IFERROR(__xludf.DUMMYFUNCTION("GOOGLETRANSLATE(C930,""ar"",""en"")"),"Wrangler Sport 4 x 4")</f>
        <v>Wrangler Sport 4 x 4</v>
      </c>
    </row>
    <row r="931" spans="1:1" ht="14.4">
      <c r="A931" s="19" t="str">
        <f ca="1">IFERROR(__xludf.DUMMYFUNCTION("GOOGLETRANSLATE(C931,""ar"",""en"")"),"Charger SA Express")</f>
        <v>Charger SA Express</v>
      </c>
    </row>
    <row r="932" spans="1:1" ht="14.4">
      <c r="A932" s="19" t="str">
        <f ca="1">IFERROR(__xludf.DUMMYFUNCTION("GOOGLETRANSLATE(C932,""ar"",""en"")"),"Cherokee 3.2 liters")</f>
        <v>Cherokee 3.2 liters</v>
      </c>
    </row>
    <row r="933" spans="1:1" ht="14.4">
      <c r="A933" s="19" t="str">
        <f ca="1">IFERROR(__xludf.DUMMYFUNCTION("GOOGLETRANSLATE(C933,""ar"",""en"")"),"Charger liter 3.6")</f>
        <v>Charger liter 3.6</v>
      </c>
    </row>
    <row r="934" spans="1:1" ht="14.4">
      <c r="A934" s="19" t="str">
        <f ca="1">IFERROR(__xludf.DUMMYFUNCTION("GOOGLETRANSLATE(C934,""ar"",""en"")"),"RAM 1500 Classic 3.6 4 x 4")</f>
        <v>RAM 1500 Classic 3.6 4 x 4</v>
      </c>
    </row>
    <row r="935" spans="1:1" ht="14.4">
      <c r="A935" s="19" t="str">
        <f ca="1">IFERROR(__xludf.DUMMYFUNCTION("GOOGLETRANSLATE(C935,""ar"",""en"")"),"Compass 2.4 liter 4*4")</f>
        <v>Compass 2.4 liter 4*4</v>
      </c>
    </row>
    <row r="936" spans="1:1" ht="14.4">
      <c r="A936" s="19" t="str">
        <f ca="1">IFERROR(__xludf.DUMMYFUNCTION("GOOGLETRANSLATE(C936,""ar"",""en"")"),"1500 clouds")</f>
        <v>1500 clouds</v>
      </c>
    </row>
    <row r="937" spans="1:1" ht="14.4">
      <c r="A937" s="19" t="str">
        <f ca="1">IFERROR(__xludf.DUMMYFUNCTION("GOOGLETRANSLATE(C937,""ar"",""en"")"),"Citaru GC2")</f>
        <v>Citaru GC2</v>
      </c>
    </row>
    <row r="938" spans="1:1" ht="14.4">
      <c r="A938" s="19" t="str">
        <f ca="1">IFERROR(__xludf.DUMMYFUNCTION("GOOGLETRANSLATE(C938,""ar"",""en"")"),"Citaru C 2 x 4")</f>
        <v>Citaru C 2 x 4</v>
      </c>
    </row>
    <row r="939" spans="1:1" ht="14.4">
      <c r="A939" s="19" t="str">
        <f ca="1">IFERROR(__xludf.DUMMYFUNCTION("GOOGLETRANSLATE(C939,""ar"",""en"")"),"4440")</f>
        <v>4440</v>
      </c>
    </row>
    <row r="940" spans="1:1" ht="14.4">
      <c r="A940" s="19" t="str">
        <f ca="1">IFERROR(__xludf.DUMMYFUNCTION("GOOGLETRANSLATE(C940,""ar"",""en"")"),"S 680 Maybach Formate")</f>
        <v>S 680 Maybach Formate</v>
      </c>
    </row>
    <row r="941" spans="1:1" ht="14.4">
      <c r="A941" s="19" t="str">
        <f ca="1">IFERROR(__xludf.DUMMYFUNCTION("GOOGLETRANSLATE(C941,""ar"",""en"")"),"S 650 Maybach")</f>
        <v>S 650 Maybach</v>
      </c>
    </row>
    <row r="942" spans="1:1" ht="14.4">
      <c r="A942" s="19" t="str">
        <f ca="1">IFERROR(__xludf.DUMMYFUNCTION("GOOGLETRANSLATE(C942,""ar"",""en"")"),"GLS 600 Formate")</f>
        <v>GLS 600 Formate</v>
      </c>
    </row>
    <row r="943" spans="1:1" ht="14.4">
      <c r="A943" s="19" t="str">
        <f ca="1">IFERROR(__xludf.DUMMYFUNCTION("GOOGLETRANSLATE(C943,""ar"",""en"")"),"S63 AMG")</f>
        <v>S63 AMG</v>
      </c>
    </row>
    <row r="944" spans="1:1" ht="14.4">
      <c r="A944" s="19" t="str">
        <f ca="1">IFERROR(__xludf.DUMMYFUNCTION("GOOGLETRANSLATE(C944,""ar"",""en"")"),"AM GGT 63S F")</f>
        <v>AM GGT 63S F</v>
      </c>
    </row>
    <row r="945" spans="1:1" ht="14.4">
      <c r="A945" s="19" t="str">
        <f ca="1">IFERROR(__xludf.DUMMYFUNCTION("GOOGLETRANSLATE(C945,""ar"",""en"")"),"AMG GT 63S Fu")</f>
        <v>AMG GT 63S Fu</v>
      </c>
    </row>
    <row r="946" spans="1:1" ht="14.4">
      <c r="A946" s="19" t="str">
        <f ca="1">IFERROR(__xludf.DUMMYFUNCTION("GOOGLETRANSLATE(C946,""ar"",""en"")"),"AG GG 63")</f>
        <v>AG GG 63</v>
      </c>
    </row>
    <row r="947" spans="1:1" ht="14.4">
      <c r="A947" s="19" t="str">
        <f ca="1">IFERROR(__xludf.DUMMYFUNCTION("GOOGLETRANSLATE(C947,""ar"",""en"")"),"S 580 Formate")</f>
        <v>S 580 Formate</v>
      </c>
    </row>
    <row r="948" spans="1:1" ht="14.4">
      <c r="A948" s="19" t="str">
        <f ca="1">IFERROR(__xludf.DUMMYFUNCTION("GOOGLETRANSLATE(C948,""ar"",""en"")"),"G63 AMG")</f>
        <v>G63 AMG</v>
      </c>
    </row>
    <row r="949" spans="1:1" ht="14.4">
      <c r="A949" s="19" t="str">
        <f ca="1">IFERROR(__xludf.DUMMYFUNCTION("GOOGLETRANSLATE(C949,""ar"",""en"")"),"AG GGL 63S")</f>
        <v>AG GGL 63S</v>
      </c>
    </row>
    <row r="950" spans="1:1" ht="14.4">
      <c r="A950" s="19" t="str">
        <f ca="1">IFERROR(__xludf.DUMMYFUNCTION("GOOGLETRANSLATE(C950,""ar"",""en"")"),"S 500 Formate")</f>
        <v>S 500 Formate</v>
      </c>
    </row>
    <row r="951" spans="1:1" ht="14.4">
      <c r="A951" s="19" t="str">
        <f ca="1">IFERROR(__xludf.DUMMYFUNCTION("GOOGLETRANSLATE(C951,""ar"",""en"")"),"G500 th")</f>
        <v>G500 th</v>
      </c>
    </row>
    <row r="952" spans="1:1" ht="14.4">
      <c r="A952" s="19" t="str">
        <f ca="1">IFERROR(__xludf.DUMMYFUNCTION("GOOGLETRANSLATE(C952,""ar"",""en"")"),"S 560 Formate")</f>
        <v>S 560 Formate</v>
      </c>
    </row>
    <row r="953" spans="1:1" ht="14.4">
      <c r="A953" s="19" t="str">
        <f ca="1">IFERROR(__xludf.DUMMYFUNCTION("GOOGLETRANSLATE(C953,""ar"",""en"")"),"AMGI 63S Form")</f>
        <v>AMGI 63S Form</v>
      </c>
    </row>
    <row r="954" spans="1:1" ht="14.4">
      <c r="A954" s="19" t="str">
        <f ca="1">IFERROR(__xludf.DUMMYFUNCTION("GOOGLETRANSLATE(C954,""ar"",""en"")"),"AMG GT 53 Form")</f>
        <v>AMG GT 53 Form</v>
      </c>
    </row>
    <row r="955" spans="1:1" ht="14.4">
      <c r="A955" s="19" t="str">
        <f ca="1">IFERROR(__xludf.DUMMYFUNCTION("GOOGLETRANSLATE(C955,""ar"",""en"")"),"GLA 63S AAMG")</f>
        <v>GLA 63S AAMG</v>
      </c>
    </row>
    <row r="956" spans="1:1" ht="14.4">
      <c r="A956" s="19" t="str">
        <f ca="1">IFERROR(__xludf.DUMMYFUNCTION("GOOGLETRANSLATE(C956,""ar"",""en"")"),"Arox 3048 A 6*6")</f>
        <v>Arox 3048 A 6*6</v>
      </c>
    </row>
    <row r="957" spans="1:1" ht="14.4">
      <c r="A957" s="19" t="str">
        <f ca="1">IFERROR(__xludf.DUMMYFUNCTION("GOOGLETRANSLATE(C957,""ar"",""en"")"),"Zitros 3342 IS 6 x 6")</f>
        <v>Zitros 3342 IS 6 x 6</v>
      </c>
    </row>
    <row r="958" spans="1:1" ht="14.4">
      <c r="A958" s="19" t="str">
        <f ca="1">IFERROR(__xludf.DUMMYFUNCTION("GOOGLETRANSLATE(C958,""ar"",""en"")"),"S450 Formate")</f>
        <v>S450 Formate</v>
      </c>
    </row>
    <row r="959" spans="1:1" ht="14.4">
      <c r="A959" s="19" t="str">
        <f ca="1">IFERROR(__xludf.DUMMYFUNCTION("GOOGLETRANSLATE(C959,""ar"",""en"")"),"4800 any 2733")</f>
        <v>4800 any 2733</v>
      </c>
    </row>
    <row r="960" spans="1:1" ht="14.4">
      <c r="A960" s="19" t="str">
        <f ca="1">IFERROR(__xludf.DUMMYFUNCTION("GOOGLETRANSLATE(C960,""ar"",""en"")"),"AMG GT 43")</f>
        <v>AMG GT 43</v>
      </c>
    </row>
    <row r="961" spans="1:1" ht="14.4">
      <c r="A961" s="19" t="str">
        <f ca="1">IFERROR(__xludf.DUMMYFUNCTION("GOOGLETRANSLATE(C961,""ar"",""en"")"),"AG GGL 53 Fu")</f>
        <v>AG GGL 53 Fu</v>
      </c>
    </row>
    <row r="962" spans="1:1" ht="14.4">
      <c r="A962" s="19" t="str">
        <f ca="1">IFERROR(__xludf.DUMMYFUNCTION("GOOGLETRANSLATE(C962,""ar"",""en"")"),"S 450")</f>
        <v>S 450</v>
      </c>
    </row>
    <row r="963" spans="1:1" ht="14.4">
      <c r="A963" s="19" t="str">
        <f ca="1">IFERROR(__xludf.DUMMYFUNCTION("GOOGLETRANSLATE(C963,""ar"",""en"")"),"S 320")</f>
        <v>S 320</v>
      </c>
    </row>
    <row r="964" spans="1:1" ht="14.4">
      <c r="A964" s="19" t="str">
        <f ca="1">IFERROR(__xludf.DUMMYFUNCTION("GOOGLETRANSLATE(C964,""ar"",""en"")"),"GLS 450 Formate")</f>
        <v>GLS 450 Formate</v>
      </c>
    </row>
    <row r="965" spans="1:1" ht="14.4">
      <c r="A965" s="19" t="str">
        <f ca="1">IFERROR(__xludf.DUMMYFUNCTION("GOOGLETRANSLATE(C965,""ar"",""en"")"),"AMG C 63s")</f>
        <v>AMG C 63s</v>
      </c>
    </row>
    <row r="966" spans="1:1" ht="14.4">
      <c r="A966" s="19" t="str">
        <f ca="1">IFERROR(__xludf.DUMMYFUNCTION("GOOGLETRANSLATE(C966,""ar"",""en"")"),"GLS 500")</f>
        <v>GLS 500</v>
      </c>
    </row>
    <row r="967" spans="1:1" ht="14.4">
      <c r="A967" s="19" t="str">
        <f ca="1">IFERROR(__xludf.DUMMYFUNCTION("GOOGLETRANSLATE(C967,""ar"",""en"")"),"GLS 450 Mattik 4")</f>
        <v>GLS 450 Mattik 4</v>
      </c>
    </row>
    <row r="968" spans="1:1" ht="14.4">
      <c r="A968" s="19" t="str">
        <f ca="1">IFERROR(__xludf.DUMMYFUNCTION("GOOGLETRANSLATE(C968,""ar"",""en"")"),"GL 450 for Mattik")</f>
        <v>GL 450 for Mattik</v>
      </c>
    </row>
    <row r="969" spans="1:1" ht="14.4">
      <c r="A969" s="19" t="str">
        <f ca="1">IFERROR(__xludf.DUMMYFUNCTION("GOOGLETRANSLATE(C969,""ar"",""en"")"),"GL 43")</f>
        <v>GL 43</v>
      </c>
    </row>
    <row r="970" spans="1:1" ht="14.4">
      <c r="A970" s="19" t="str">
        <f ca="1">IFERROR(__xludf.DUMMYFUNCTION("GOOGLETRANSLATE(C970,""ar"",""en"")"),"CLS 450 Formate")</f>
        <v>CLS 450 Formate</v>
      </c>
    </row>
    <row r="971" spans="1:1" ht="14.4">
      <c r="A971" s="19" t="str">
        <f ca="1">IFERROR(__xludf.DUMMYFUNCTION("GOOGLETRANSLATE(C971,""ar"",""en"")"),"Arox 3342 AS 6 x 6")</f>
        <v>Arox 3342 AS 6 x 6</v>
      </c>
    </row>
    <row r="972" spans="1:1" ht="14.4">
      <c r="A972" s="19" t="str">
        <f ca="1">IFERROR(__xludf.DUMMYFUNCTION("GOOGLETRANSLATE(C972,""ar"",""en"")"),"GLS 400 Formate")</f>
        <v>GLS 400 Formate</v>
      </c>
    </row>
    <row r="973" spans="1:1" ht="14.4">
      <c r="A973" s="19" t="str">
        <f ca="1">IFERROR(__xludf.DUMMYFUNCTION("GOOGLETRANSLATE(C973,""ar"",""en"")"),"I 300")</f>
        <v>I 300</v>
      </c>
    </row>
    <row r="974" spans="1:1" ht="14.4">
      <c r="A974" s="19" t="str">
        <f ca="1">IFERROR(__xludf.DUMMYFUNCTION("GOOGLETRANSLATE(C974,""ar"",""en"")"),"CLS 350")</f>
        <v>CLS 350</v>
      </c>
    </row>
    <row r="975" spans="1:1" ht="14.4">
      <c r="A975" s="19" t="str">
        <f ca="1">IFERROR(__xludf.DUMMYFUNCTION("GOOGLETRANSLATE(C975,""ar"",""en"")"),"E 450 formatic")</f>
        <v>E 450 formatic</v>
      </c>
    </row>
    <row r="976" spans="1:1" ht="14.4">
      <c r="A976" s="19" t="str">
        <f ca="1">IFERROR(__xludf.DUMMYFUNCTION("GOOGLETRANSLATE(C976,""ar"",""en"")"),"GL 400 Formate")</f>
        <v>GL 400 Formate</v>
      </c>
    </row>
    <row r="977" spans="1:1" ht="14.4">
      <c r="A977" s="19" t="str">
        <f ca="1">IFERROR(__xludf.DUMMYFUNCTION("GOOGLETRANSLATE(C977,""ar"",""en"")"),"I 200")</f>
        <v>I 200</v>
      </c>
    </row>
    <row r="978" spans="1:1" ht="14.4">
      <c r="A978" s="19" t="str">
        <f ca="1">IFERROR(__xludf.DUMMYFUNCTION("GOOGLETRANSLATE(C978,""ar"",""en"")"),"I 350")</f>
        <v>I 350</v>
      </c>
    </row>
    <row r="979" spans="1:1" ht="14.4">
      <c r="A979" s="19" t="str">
        <f ca="1">IFERROR(__xludf.DUMMYFUNCTION("GOOGLETRANSLATE(C979,""ar"",""en"")"),"GLC 300 Formate")</f>
        <v>GLC 300 Formate</v>
      </c>
    </row>
    <row r="980" spans="1:1" ht="14.4">
      <c r="A980" s="19" t="str">
        <f ca="1">IFERROR(__xludf.DUMMYFUNCTION("GOOGLETRANSLATE(C980,""ar"",""en"")"),"GLC 200 Formate")</f>
        <v>GLC 200 Formate</v>
      </c>
    </row>
    <row r="981" spans="1:1" ht="14.4">
      <c r="A981" s="19" t="str">
        <f ca="1">IFERROR(__xludf.DUMMYFUNCTION("GOOGLETRANSLATE(C981,""ar"",""en"")"),"GLC 300 Formate")</f>
        <v>GLC 300 Formate</v>
      </c>
    </row>
    <row r="982" spans="1:1" ht="14.4">
      <c r="A982" s="19" t="str">
        <f ca="1">IFERROR(__xludf.DUMMYFUNCTION("GOOGLETRANSLATE(C982,""ar"",""en"")"),"C 300")</f>
        <v>C 300</v>
      </c>
    </row>
    <row r="983" spans="1:1" ht="14.4">
      <c r="A983" s="19" t="str">
        <f ca="1">IFERROR(__xludf.DUMMYFUNCTION("GOOGLETRANSLATE(C983,""ar"",""en"")"),"In 250")</f>
        <v>In 250</v>
      </c>
    </row>
    <row r="984" spans="1:1" ht="14.4">
      <c r="A984" s="19" t="str">
        <f ca="1">IFERROR(__xludf.DUMMYFUNCTION("GOOGLETRANSLATE(C984,""ar"",""en"")"),"C 200")</f>
        <v>C 200</v>
      </c>
    </row>
    <row r="985" spans="1:1" ht="14.4">
      <c r="A985" s="19" t="str">
        <f ca="1">IFERROR(__xludf.DUMMYFUNCTION("GOOGLETRANSLATE(C985,""ar"",""en"")"),"GLC 200 Formate Duff")</f>
        <v>GLC 200 Formate Duff</v>
      </c>
    </row>
    <row r="986" spans="1:1" ht="14.4">
      <c r="A986" s="19" t="str">
        <f ca="1">IFERROR(__xludf.DUMMYFUNCTION("GOOGLETRANSLATE(C986,""ar"",""en"")"),"AMGC LA 35 FF")</f>
        <v>AMGC LA 35 FF</v>
      </c>
    </row>
    <row r="987" spans="1:1" ht="14.4">
      <c r="A987" s="19" t="str">
        <f ca="1">IFERROR(__xludf.DUMMYFUNCTION("GOOGLETRANSLATE(C987,""ar"",""en"")"),"I 400 formatic")</f>
        <v>I 400 formatic</v>
      </c>
    </row>
    <row r="988" spans="1:1" ht="14.4">
      <c r="A988" s="19" t="str">
        <f ca="1">IFERROR(__xludf.DUMMYFUNCTION("GOOGLETRANSLATE(C988,""ar"",""en"")"),"C 200")</f>
        <v>C 200</v>
      </c>
    </row>
    <row r="989" spans="1:1" ht="14.4">
      <c r="A989" s="19" t="str">
        <f ca="1">IFERROR(__xludf.DUMMYFUNCTION("GOOGLETRANSLATE(C989,""ar"",""en"")"),"GLC 250 Formate")</f>
        <v>GLC 250 Formate</v>
      </c>
    </row>
    <row r="990" spans="1:1" ht="14.4">
      <c r="A990" s="19" t="str">
        <f ca="1">IFERROR(__xludf.DUMMYFUNCTION("GOOGLETRANSLATE(C990,""ar"",""en"")"),"AMGA 35 Format")</f>
        <v>AMGA 35 Format</v>
      </c>
    </row>
    <row r="991" spans="1:1" ht="14.4">
      <c r="A991" s="19" t="str">
        <f ca="1">IFERROR(__xludf.DUMMYFUNCTION("GOOGLETRANSLATE(C991,""ar"",""en"")"),"GLC 200")</f>
        <v>GLC 200</v>
      </c>
    </row>
    <row r="992" spans="1:1" ht="14.4">
      <c r="A992" s="19" t="str">
        <f ca="1">IFERROR(__xludf.DUMMYFUNCTION("GOOGLETRANSLATE(C992,""ar"",""en"")"),"CLA 250")</f>
        <v>CLA 250</v>
      </c>
    </row>
    <row r="993" spans="1:1" ht="14.4">
      <c r="A993" s="19" t="str">
        <f ca="1">IFERROR(__xludf.DUMMYFUNCTION("GOOGLETRANSLATE(C993,""ar"",""en"")"),"GLA 200")</f>
        <v>GLA 200</v>
      </c>
    </row>
    <row r="994" spans="1:1" ht="14.4">
      <c r="A994" s="19" t="str">
        <f ca="1">IFERROR(__xludf.DUMMYFUNCTION("GOOGLETRANSLATE(C994,""ar"",""en"")"),"Sprinter 516")</f>
        <v>Sprinter 516</v>
      </c>
    </row>
    <row r="995" spans="1:1" ht="14.4">
      <c r="A995" s="19" t="str">
        <f ca="1">IFERROR(__xludf.DUMMYFUNCTION("GOOGLETRANSLATE(C995,""ar"",""en"")"),"200 c")</f>
        <v>200 c</v>
      </c>
    </row>
    <row r="996" spans="1:1" ht="14.4">
      <c r="A996" s="19" t="str">
        <f ca="1">IFERROR(__xludf.DUMMYFUNCTION("GOOGLETRANSLATE(C996,""ar"",""en"")"),"CLA 200")</f>
        <v>CLA 200</v>
      </c>
    </row>
    <row r="997" spans="1:1" ht="14.4">
      <c r="A997" s="19" t="str">
        <f ca="1">IFERROR(__xludf.DUMMYFUNCTION("GOOGLETRANSLATE(C997,""ar"",""en"")"),"180 c")</f>
        <v>180 c</v>
      </c>
    </row>
    <row r="998" spans="1:1" ht="14.4">
      <c r="A998" s="19" t="str">
        <f ca="1">IFERROR(__xludf.DUMMYFUNCTION("GOOGLETRANSLATE(C998,""ar"",""en"")"),"In Class in 250 5 doors")</f>
        <v>In Class in 250 5 doors</v>
      </c>
    </row>
    <row r="999" spans="1:1" ht="14.4">
      <c r="A999" s="19" t="str">
        <f ca="1">IFERROR(__xludf.DUMMYFUNCTION("GOOGLETRANSLATE(C999,""ar"",""en"")"),"Veto Tuir 121")</f>
        <v>Veto Tuir 121</v>
      </c>
    </row>
    <row r="1000" spans="1:1" ht="14.4">
      <c r="A1000" s="19" t="str">
        <f ca="1">IFERROR(__xludf.DUMMYFUNCTION("GOOGLETRANSLATE(C1000,""ar"",""en"")"),"Veto Torer 121")</f>
        <v>Veto Torer 121</v>
      </c>
    </row>
    <row r="1001" spans="1:1" ht="14.4">
      <c r="A1001" s="19" t="str">
        <f ca="1">IFERROR(__xludf.DUMMYFUNCTION("GOOGLETRANSLATE(C1001,""ar"",""en"")"),"GLA 250 for Mattik")</f>
        <v>GLA 250 for Mattik</v>
      </c>
    </row>
    <row r="1002" spans="1:1" ht="14.4">
      <c r="A1002" s="19" t="str">
        <f ca="1">IFERROR(__xludf.DUMMYFUNCTION("GOOGLETRANSLATE(C1002,""ar"",""en"")"),"CLA 250 Formate")</f>
        <v>CLA 250 Formate</v>
      </c>
    </row>
    <row r="1003" spans="1:1" ht="14.4">
      <c r="A1003" s="19" t="str">
        <f ca="1">IFERROR(__xludf.DUMMYFUNCTION("GOOGLETRANSLATE(C1003,""ar"",""en"")"),"Passim")</f>
        <v>Passim</v>
      </c>
    </row>
    <row r="1004" spans="1:1" ht="14.4">
      <c r="A1004" s="19" t="str">
        <f ca="1">IFERROR(__xludf.DUMMYFUNCTION("GOOGLETRANSLATE(C1004,""ar"",""en"")"),"GLA 220 Formate 4")</f>
        <v>GLA 220 Formate 4</v>
      </c>
    </row>
    <row r="1005" spans="1:1" ht="14.4">
      <c r="A1005" s="19" t="str">
        <f ca="1">IFERROR(__xludf.DUMMYFUNCTION("GOOGLETRANSLATE(C1005,""ar"",""en"")"),"GLB 200")</f>
        <v>GLB 200</v>
      </c>
    </row>
    <row r="1006" spans="1:1" ht="14.4">
      <c r="A1006" s="19" t="str">
        <f ca="1">IFERROR(__xludf.DUMMYFUNCTION("GOOGLETRANSLATE(C1006,""ar"",""en"")"),"Sprinter 416")</f>
        <v>Sprinter 416</v>
      </c>
    </row>
    <row r="1007" spans="1:1" ht="14.4">
      <c r="A1007" s="19" t="str">
        <f ca="1">IFERROR(__xludf.DUMMYFUNCTION("GOOGLETRANSLATE(C1007,""ar"",""en"")"),"A 250")</f>
        <v>A 250</v>
      </c>
    </row>
    <row r="1008" spans="1:1" ht="14.4">
      <c r="A1008" s="19" t="str">
        <f ca="1">IFERROR(__xludf.DUMMYFUNCTION("GOOGLETRANSLATE(C1008,""ar"",""en"")"),"A 200")</f>
        <v>A 200</v>
      </c>
    </row>
    <row r="1009" spans="1:1" ht="14.4">
      <c r="A1009" s="19" t="str">
        <f ca="1">IFERROR(__xludf.DUMMYFUNCTION("GOOGLETRANSLATE(C1009,""ar"",""en"")"),"Veto Touir 121")</f>
        <v>Veto Touir 121</v>
      </c>
    </row>
    <row r="1010" spans="1:1" ht="14.4">
      <c r="A1010" s="19" t="str">
        <f ca="1">IFERROR(__xludf.DUMMYFUNCTION("GOOGLETRANSLATE(C1010,""ar"",""en"")"),"Sprinter 316")</f>
        <v>Sprinter 316</v>
      </c>
    </row>
    <row r="1011" spans="1:1" ht="14.4">
      <c r="A1011" s="19" t="str">
        <f ca="1">IFERROR(__xludf.DUMMYFUNCTION("GOOGLETRANSLATE(C1011,""ar"",""en"")"),"200")</f>
        <v>200</v>
      </c>
    </row>
    <row r="1012" spans="1:1" ht="14.4">
      <c r="A1012" s="19" t="str">
        <f ca="1">IFERROR(__xludf.DUMMYFUNCTION("GOOGLETRANSLATE(C1012,""ar"",""en"")"),"Sprinter")</f>
        <v>Sprinter</v>
      </c>
    </row>
    <row r="1013" spans="1:1" ht="14.4">
      <c r="A1013" s="19" t="str">
        <f ca="1">IFERROR(__xludf.DUMMYFUNCTION("GOOGLETRANSLATE(C1013,""ar"",""en"")"),"Sprinter 311 CI2 x 4")</f>
        <v>Sprinter 311 CI2 x 4</v>
      </c>
    </row>
    <row r="1014" spans="1:1" ht="14.4">
      <c r="A1014" s="19" t="str">
        <f ca="1">IFERROR(__xludf.DUMMYFUNCTION("GOOGLETRANSLATE(C1014,""ar"",""en"")"),"Veto 116")</f>
        <v>Veto 116</v>
      </c>
    </row>
    <row r="1015" spans="1:1" ht="14.4">
      <c r="A1015" s="19" t="str">
        <f ca="1">IFERROR(__xludf.DUMMYFUNCTION("GOOGLETRANSLATE(C1015,""ar"",""en"")"),"C does 200")</f>
        <v>C does 200</v>
      </c>
    </row>
    <row r="1016" spans="1:1" ht="14.4">
      <c r="A1016" s="19" t="str">
        <f ca="1">IFERROR(__xludf.DUMMYFUNCTION("GOOGLETRANSLATE(C1016,""ar"",""en"")"),"1845")</f>
        <v>1845</v>
      </c>
    </row>
    <row r="1017" spans="1:1" ht="14.4">
      <c r="A1017" s="19" t="str">
        <f ca="1">IFERROR(__xludf.DUMMYFUNCTION("GOOGLETRANSLATE(C1017,""ar"",""en"")"),"1842 LS")</f>
        <v>1842 LS</v>
      </c>
    </row>
    <row r="1018" spans="1:1" ht="14.4">
      <c r="A1018" s="19" t="str">
        <f ca="1">IFERROR(__xludf.DUMMYFUNCTION("GOOGLETRANSLATE(C1018,""ar"",""en"")"),"1843")</f>
        <v>1843</v>
      </c>
    </row>
    <row r="1019" spans="1:1" ht="14.4">
      <c r="A1019" s="19" t="str">
        <f ca="1">IFERROR(__xludf.DUMMYFUNCTION("GOOGLETRANSLATE(C1019,""ar"",""en"")"),"Fors")</f>
        <v>Fors</v>
      </c>
    </row>
    <row r="1020" spans="1:1" ht="14.4">
      <c r="A1020" s="19" t="str">
        <f ca="1">IFERROR(__xludf.DUMMYFUNCTION("GOOGLETRANSLATE(C1020,""ar"",""en"")"),"FJX 4W B.")</f>
        <v>FJX 4W B.</v>
      </c>
    </row>
    <row r="1021" spans="1:1" ht="14.4">
      <c r="A1021" s="19" t="str">
        <f ca="1">IFERROR(__xludf.DUMMYFUNCTION("GOOGLETRANSLATE(C1021,""ar"",""en"")"),"Rosa BI 637 J 637 J.")</f>
        <v>Rosa BI 637 J 637 J.</v>
      </c>
    </row>
    <row r="1022" spans="1:1" ht="14.4">
      <c r="A1022" s="19" t="str">
        <f ca="1">IFERROR(__xludf.DUMMYFUNCTION("GOOGLETRANSLATE(C1022,""ar"",""en"")"),"Fawzu FJX 4W")</f>
        <v>Fawzu FJX 4W</v>
      </c>
    </row>
    <row r="1023" spans="1:1" ht="14.4">
      <c r="A1023" s="19" t="str">
        <f ca="1">IFERROR(__xludf.DUMMYFUNCTION("GOOGLETRANSLATE(C1023,""ar"",""en"")"),"FM 65 FM 2 x 4")</f>
        <v>FM 65 FM 2 x 4</v>
      </c>
    </row>
    <row r="1024" spans="1:1" ht="14.4">
      <c r="A1024" s="19" t="str">
        <f ca="1">IFERROR(__xludf.DUMMYFUNCTION("GOOGLETRANSLATE(C1024,""ar"",""en"")"),"FJX 4 6.3")</f>
        <v>FJX 4 6.3</v>
      </c>
    </row>
    <row r="1025" spans="1:1" ht="14.4">
      <c r="A1025" s="19" t="str">
        <f ca="1">IFERROR(__xludf.DUMMYFUNCTION("GOOGLETRANSLATE(C1025,""ar"",""en"")"),"Rosa Diesel")</f>
        <v>Rosa Diesel</v>
      </c>
    </row>
    <row r="1026" spans="1:1" ht="14.4">
      <c r="A1026" s="19" t="str">
        <f ca="1">IFERROR(__xludf.DUMMYFUNCTION("GOOGLETRANSLATE(C1026,""ar"",""en"")"),"Fawzu FJX 4W")</f>
        <v>Fawzu FJX 4W</v>
      </c>
    </row>
    <row r="1027" spans="1:1" ht="14.4">
      <c r="A1027" s="19" t="str">
        <f ca="1">IFERROR(__xludf.DUMMYFUNCTION("GOOGLETRANSLATE(C1027,""ar"",""en"")"),"BI 63 GLM 4 x 2 2 Ba")</f>
        <v>BI 63 GLM 4 x 2 2 Ba</v>
      </c>
    </row>
    <row r="1028" spans="1:1" ht="14.4">
      <c r="A1028" s="19" t="str">
        <f ca="1">IFERROR(__xludf.DUMMYFUNCTION("GOOGLETRANSLATE(C1028,""ar"",""en"")"),"FJ X 4 H6.")</f>
        <v>FJ X 4 H6.</v>
      </c>
    </row>
    <row r="1029" spans="1:1" ht="14.4">
      <c r="A1029" s="19" t="str">
        <f ca="1">IFERROR(__xludf.DUMMYFUNCTION("GOOGLETRANSLATE(C1029,""ar"",""en"")"),"Wozu FM 618 LH")</f>
        <v>Wozu FM 618 LH</v>
      </c>
    </row>
    <row r="1030" spans="1:1" ht="14.4">
      <c r="A1030" s="19" t="str">
        <f ca="1">IFERROR(__xludf.DUMMYFUNCTION("GOOGLETRANSLATE(C1030,""ar"",""en"")"),"Wozu FGX 4W")</f>
        <v>Wozu FGX 4W</v>
      </c>
    </row>
    <row r="1031" spans="1:1" ht="14.4">
      <c r="A1031" s="19" t="str">
        <f ca="1">IFERROR(__xludf.DUMMYFUNCTION("GOOGLETRANSLATE(C1031,""ar"",""en"")"),"FK 61 FM 2 x 4")</f>
        <v>FK 61 FM 2 x 4</v>
      </c>
    </row>
    <row r="1032" spans="1:1" ht="14.4">
      <c r="A1032" s="19" t="str">
        <f ca="1">IFERROR(__xludf.DUMMYFUNCTION("GOOGLETRANSLATE(C1032,""ar"",""en"")"),"Montero Sport pushed usury")</f>
        <v>Montero Sport pushed usury</v>
      </c>
    </row>
    <row r="1033" spans="1:1" ht="14.4">
      <c r="A1033" s="19" t="str">
        <f ca="1">IFERROR(__xludf.DUMMYFUNCTION("GOOGLETRANSLATE(C1033,""ar"",""en"")"),"FAVV 1 BK 3.9 LT")</f>
        <v>FAVV 1 BK 3.9 LT</v>
      </c>
    </row>
    <row r="1034" spans="1:1" ht="14.4">
      <c r="A1034" s="19" t="str">
        <f ca="1">IFERROR(__xludf.DUMMYFUNCTION("GOOGLETRANSLATE(C1034,""ar"",""en"")"),"FI PVI 1BK KK")</f>
        <v>FI PVI 1BK KK</v>
      </c>
    </row>
    <row r="1035" spans="1:1" ht="14.4">
      <c r="A1035" s="19" t="str">
        <f ca="1">IFERROR(__xludf.DUMMYFUNCTION("GOOGLETRANSLATE(C1035,""ar"",""en"")"),"Pajero 3.8 liters of four -wheel drive")</f>
        <v>Pajero 3.8 liters of four -wheel drive</v>
      </c>
    </row>
    <row r="1036" spans="1:1" ht="14.4">
      <c r="A1036" s="19" t="str">
        <f ca="1">IFERROR(__xludf.DUMMYFUNCTION("GOOGLETRANSLATE(C1036,""ar"",""en"")"),"FI PVI 1BK KK")</f>
        <v>FI PVI 1BK KK</v>
      </c>
    </row>
    <row r="1037" spans="1:1" ht="14.4">
      <c r="A1037" s="19" t="str">
        <f ca="1">IFERROR(__xludf.DUMMYFUNCTION("GOOGLETRANSLATE(C1037,""ar"",""en"")"),"FAV 1B HH")</f>
        <v>FAV 1B HH</v>
      </c>
    </row>
    <row r="1038" spans="1:1" ht="14.4">
      <c r="A1038" s="19" t="str">
        <f ca="1">IFERROR(__xludf.DUMMYFUNCTION("GOOGLETRANSLATE(C1038,""ar"",""en"")"),"Montero Sport")</f>
        <v>Montero Sport</v>
      </c>
    </row>
    <row r="1039" spans="1:1" ht="14.4">
      <c r="A1039" s="19" t="str">
        <f ca="1">IFERROR(__xludf.DUMMYFUNCTION("GOOGLETRANSLATE(C1039,""ar"",""en"")"),"Fawzu FM 658 or not")</f>
        <v>Fawzu FM 658 or not</v>
      </c>
    </row>
    <row r="1040" spans="1:1" ht="14.4">
      <c r="A1040" s="19" t="str">
        <f ca="1">IFERROR(__xludf.DUMMYFUNCTION("GOOGLETRANSLATE(C1040,""ar"",""en"")"),"Pajero 3.5 liters of four -wheel drive")</f>
        <v>Pajero 3.5 liters of four -wheel drive</v>
      </c>
    </row>
    <row r="1041" spans="1:1" ht="14.4">
      <c r="A1041" s="19" t="str">
        <f ca="1">IFERROR(__xludf.DUMMYFUNCTION("GOOGLETRANSLATE(C1041,""ar"",""en"")"),"Fawzu FACXA")</f>
        <v>Fawzu FACXA</v>
      </c>
    </row>
    <row r="1042" spans="1:1" ht="14.4">
      <c r="A1042" s="19" t="str">
        <f ca="1">IFERROR(__xludf.DUMMYFUNCTION("GOOGLETRANSLATE(C1042,""ar"",""en"")"),"GLS 4 x 4 3.5 liters")</f>
        <v>GLS 4 x 4 3.5 liters</v>
      </c>
    </row>
    <row r="1043" spans="1:1" ht="14.4">
      <c r="A1043" s="19" t="str">
        <f ca="1">IFERROR(__xludf.DUMMYFUNCTION("GOOGLETRANSLATE(C1043,""ar"",""en"")"),"Cross Cross 1.5 liters pay a")</f>
        <v>Cross Cross 1.5 liters pay a</v>
      </c>
    </row>
    <row r="1044" spans="1:1" ht="14.4">
      <c r="A1044" s="19" t="str">
        <f ca="1">IFERROR(__xludf.DUMMYFUNCTION("GOOGLETRANSLATE(C1044,""ar"",""en"")"),"GLS4*4")</f>
        <v>GLS4*4</v>
      </c>
    </row>
    <row r="1045" spans="1:1" ht="14.4">
      <c r="A1045" s="19" t="str">
        <f ca="1">IFERROR(__xludf.DUMMYFUNCTION("GOOGLETRANSLATE(C1045,""ar"",""en"")"),"Fawzer Canter FE 84 c")</f>
        <v>Fawzer Canter FE 84 c</v>
      </c>
    </row>
    <row r="1046" spans="1:1" ht="14.4">
      <c r="A1046" s="19" t="str">
        <f ca="1">IFERROR(__xludf.DUMMYFUNCTION("GOOGLETRANSLATE(C1046,""ar"",""en"")"),"Win")</f>
        <v>Win</v>
      </c>
    </row>
    <row r="1047" spans="1:1" ht="14.4">
      <c r="A1047" s="19" t="str">
        <f ca="1">IFERROR(__xludf.DUMMYFUNCTION("GOOGLETRANSLATE(C1047,""ar"",""en"")"),"Outlander four -wheel drive")</f>
        <v>Outlander four -wheel drive</v>
      </c>
    </row>
    <row r="1048" spans="1:1" ht="14.4">
      <c r="A1048" s="19" t="str">
        <f ca="1">IFERROR(__xludf.DUMMYFUNCTION("GOOGLETRANSLATE(C1048,""ar"",""en"")"),"Fawzu Canter FI 85 C G")</f>
        <v>Fawzu Canter FI 85 C G</v>
      </c>
    </row>
    <row r="1049" spans="1:1" ht="14.4">
      <c r="A1049" s="19" t="str">
        <f ca="1">IFERROR(__xludf.DUMMYFUNCTION("GOOGLETRANSLATE(C1049,""ar"",""en"")"),"Canter FI 84 CI")</f>
        <v>Canter FI 84 CI</v>
      </c>
    </row>
    <row r="1050" spans="1:1" ht="14.4">
      <c r="A1050" s="19" t="str">
        <f ca="1">IFERROR(__xludf.DUMMYFUNCTION("GOOGLETRANSLATE(C1050,""ar"",""en"")"),"Outlander four -wheel drive 2.4 l")</f>
        <v>Outlander four -wheel drive 2.4 l</v>
      </c>
    </row>
    <row r="1051" spans="1:1" ht="14.4">
      <c r="A1051" s="19" t="str">
        <f ca="1">IFERROR(__xludf.DUMMYFUNCTION("GOOGLETRANSLATE(C1051,""ar"",""en"")"),"Canter FA9AG")</f>
        <v>Canter FA9AG</v>
      </c>
    </row>
    <row r="1052" spans="1:1" ht="14.4">
      <c r="A1052" s="19" t="str">
        <f ca="1">IFERROR(__xludf.DUMMYFUNCTION("GOOGLETRANSLATE(C1052,""ar"",""en"")"),"Canter FI 84 CG6L")</f>
        <v>Canter FI 84 CG6L</v>
      </c>
    </row>
    <row r="1053" spans="1:1" ht="14.4">
      <c r="A1053" s="19" t="str">
        <f ca="1">IFERROR(__xludf.DUMMYFUNCTION("GOOGLETRANSLATE(C1053,""ar"",""en"")"),"Estate four -wheel drive")</f>
        <v>Estate four -wheel drive</v>
      </c>
    </row>
    <row r="1054" spans="1:1" ht="14.4">
      <c r="A1054" s="19" t="str">
        <f ca="1">IFERROR(__xludf.DUMMYFUNCTION("GOOGLETRANSLATE(C1054,""ar"",""en"")"),"FA85 CG 4 x 2")</f>
        <v>FA85 CG 4 x 2</v>
      </c>
    </row>
    <row r="1055" spans="1:1" ht="14.4">
      <c r="A1055" s="19" t="str">
        <f ca="1">IFERROR(__xludf.DUMMYFUNCTION("GOOGLETRANSLATE(C1055,""ar"",""en"")"),"Canter FI 84 CG 4 x 2")</f>
        <v>Canter FI 84 CG 4 x 2</v>
      </c>
    </row>
    <row r="1056" spans="1:1" ht="14.4">
      <c r="A1056" s="19" t="str">
        <f ca="1">IFERROR(__xludf.DUMMYFUNCTION("GOOGLETRANSLATE(C1056,""ar"",""en"")"),"Canter 4*2")</f>
        <v>Canter 4*2</v>
      </c>
    </row>
    <row r="1057" spans="1:1" ht="14.4">
      <c r="A1057" s="19" t="str">
        <f ca="1">IFERROR(__xludf.DUMMYFUNCTION("GOOGLETRANSLATE(C1057,""ar"",""en"")"),"Canter FA7A C")</f>
        <v>Canter FA7A C</v>
      </c>
    </row>
    <row r="1058" spans="1:1" ht="14.4">
      <c r="A1058" s="19" t="str">
        <f ca="1">IFERROR(__xludf.DUMMYFUNCTION("GOOGLETRANSLATE(C1058,""ar"",""en"")"),"The 200 four -wheel drive diesel 2.4")</f>
        <v>The 200 four -wheel drive diesel 2.4</v>
      </c>
    </row>
    <row r="1059" spans="1:1" ht="14.4">
      <c r="A1059" s="19" t="str">
        <f ca="1">IFERROR(__xludf.DUMMYFUNCTION("GOOGLETRANSLATE(C1059,""ar"",""en"")"),"Croes Cross 1.5 liters")</f>
        <v>Croes Cross 1.5 liters</v>
      </c>
    </row>
    <row r="1060" spans="1:1" ht="14.4">
      <c r="A1060" s="19" t="str">
        <f ca="1">IFERROR(__xludf.DUMMYFUNCTION("GOOGLETRANSLATE(C1060,""ar"",""en"")"),"Fawzu Canter FE 84 c")</f>
        <v>Fawzu Canter FE 84 c</v>
      </c>
    </row>
    <row r="1061" spans="1:1" ht="14.4">
      <c r="A1061" s="19" t="str">
        <f ca="1">IFERROR(__xludf.DUMMYFUNCTION("GOOGLETRANSLATE(C1061,""ar"",""en"")"),"FI 84 CG")</f>
        <v>FI 84 CG</v>
      </c>
    </row>
    <row r="1062" spans="1:1" ht="14.4">
      <c r="A1062" s="19" t="str">
        <f ca="1">IFERROR(__xludf.DUMMYFUNCTION("GOOGLETRANSLATE(C1062,""ar"",""en"")"),"Outlander")</f>
        <v>Outlander</v>
      </c>
    </row>
    <row r="1063" spans="1:1" ht="14.4">
      <c r="A1063" s="19" t="str">
        <f ca="1">IFERROR(__xludf.DUMMYFUNCTION("GOOGLETRANSLATE(C1063,""ar"",""en"")"),"Canter FA7A")</f>
        <v>Canter FA7A</v>
      </c>
    </row>
    <row r="1064" spans="1:1" ht="14.4">
      <c r="A1064" s="19" t="str">
        <f ca="1">IFERROR(__xludf.DUMMYFUNCTION("GOOGLETRANSLATE(C1064,""ar"",""en"")"),"FA84C 4 x 2")</f>
        <v>FA84C 4 x 2</v>
      </c>
    </row>
    <row r="1065" spans="1:1" ht="14.4">
      <c r="A1065" s="19" t="str">
        <f ca="1">IFERROR(__xludf.DUMMYFUNCTION("GOOGLETRANSLATE(C1065,""ar"",""en"")"),"Canter FI 84 CG")</f>
        <v>Canter FI 84 CG</v>
      </c>
    </row>
    <row r="1066" spans="1:1" ht="14.4">
      <c r="A1066" s="19" t="str">
        <f ca="1">IFERROR(__xludf.DUMMYFUNCTION("GOOGLETRANSLATE(C1066,""ar"",""en"")"),"Cross Cross 1.5 liters pay a")</f>
        <v>Cross Cross 1.5 liters pay a</v>
      </c>
    </row>
    <row r="1067" spans="1:1" ht="14.4">
      <c r="A1067" s="19" t="str">
        <f ca="1">IFERROR(__xludf.DUMMYFUNCTION("GOOGLETRANSLATE(C1067,""ar"",""en"")"),"Croes Cross 1.5 liters pay R.")</f>
        <v>Croes Cross 1.5 liters pay R.</v>
      </c>
    </row>
    <row r="1068" spans="1:1" ht="14.4">
      <c r="A1068" s="19" t="str">
        <f ca="1">IFERROR(__xludf.DUMMYFUNCTION("GOOGLETRANSLATE(C1068,""ar"",""en"")"),"Cross Cross 1.5 liters pay a")</f>
        <v>Cross Cross 1.5 liters pay a</v>
      </c>
    </row>
    <row r="1069" spans="1:1" ht="14.4">
      <c r="A1069" s="19" t="str">
        <f ca="1">IFERROR(__xludf.DUMMYFUNCTION("GOOGLETRANSLATE(C1069,""ar"",""en"")"),"Outlander 4 x 4")</f>
        <v>Outlander 4 x 4</v>
      </c>
    </row>
    <row r="1070" spans="1:1" ht="14.4">
      <c r="A1070" s="19" t="str">
        <f ca="1">IFERROR(__xludf.DUMMYFUNCTION("GOOGLETRANSLATE(C1070,""ar"",""en"")"),"Croes Cross 1.5 liters")</f>
        <v>Croes Cross 1.5 liters</v>
      </c>
    </row>
    <row r="1071" spans="1:1" ht="14.4">
      <c r="A1071" s="19" t="str">
        <f ca="1">IFERROR(__xludf.DUMMYFUNCTION("GOOGLETRANSLATE(C1071,""ar"",""en"")"),"Fawzu Canter FI 84 C C")</f>
        <v>Fawzu Canter FI 84 C C</v>
      </c>
    </row>
    <row r="1072" spans="1:1" ht="14.4">
      <c r="A1072" s="19" t="str">
        <f ca="1">IFERROR(__xludf.DUMMYFUNCTION("GOOGLETRANSLATE(C1072,""ar"",""en"")"),"BI 637 J.")</f>
        <v>BI 637 J.</v>
      </c>
    </row>
    <row r="1073" spans="1:1" ht="14.4">
      <c r="A1073" s="19" t="str">
        <f ca="1">IFERROR(__xludf.DUMMYFUNCTION("GOOGLETRANSLATE(C1073,""ar"",""en"")"),"Canter 4*2")</f>
        <v>Canter 4*2</v>
      </c>
    </row>
    <row r="1074" spans="1:1" ht="14.4">
      <c r="A1074" s="19" t="str">
        <f ca="1">IFERROR(__xludf.DUMMYFUNCTION("GOOGLETRANSLATE(C1074,""ar"",""en"")"),"IXX four -wheel drive")</f>
        <v>IXX four -wheel drive</v>
      </c>
    </row>
    <row r="1075" spans="1:1" ht="14.4">
      <c r="A1075" s="19" t="str">
        <f ca="1">IFERROR(__xludf.DUMMYFUNCTION("GOOGLETRANSLATE(C1075,""ar"",""en"")"),"AXX 2 liters pay usury")</f>
        <v>AXX 2 liters pay usury</v>
      </c>
    </row>
    <row r="1076" spans="1:1" ht="14.4">
      <c r="A1076" s="19" t="str">
        <f ca="1">IFERROR(__xludf.DUMMYFUNCTION("GOOGLETRANSLATE(C1076,""ar"",""en"")"),"FI 84 CI")</f>
        <v>FI 84 CI</v>
      </c>
    </row>
    <row r="1077" spans="1:1" ht="14.4">
      <c r="A1077" s="19" t="str">
        <f ca="1">IFERROR(__xludf.DUMMYFUNCTION("GOOGLETRANSLATE(C1077,""ar"",""en"")"),"The 200 Betrand Busory 2.")</f>
        <v>The 200 Betrand Busory 2.</v>
      </c>
    </row>
    <row r="1078" spans="1:1" ht="14.4">
      <c r="A1078" s="19" t="str">
        <f ca="1">IFERROR(__xludf.DUMMYFUNCTION("GOOGLETRANSLATE(C1078,""ar"",""en"")"),"The 200 four -wheel drive diesel 2.4")</f>
        <v>The 200 four -wheel drive diesel 2.4</v>
      </c>
    </row>
    <row r="1079" spans="1:1" ht="14.4">
      <c r="A1079" s="19" t="str">
        <f ca="1">IFERROR(__xludf.DUMMYFUNCTION("GOOGLETRANSLATE(C1079,""ar"",""en"")"),"The 200 diesel 2.4 liters")</f>
        <v>The 200 diesel 2.4 liters</v>
      </c>
    </row>
    <row r="1080" spans="1:1" ht="14.4">
      <c r="A1080" s="19" t="str">
        <f ca="1">IFERROR(__xludf.DUMMYFUNCTION("GOOGLETRANSLATE(C1080,""ar"",""en"")"),"The 200 2.4 -liter oil p.")</f>
        <v>The 200 2.4 -liter oil p.</v>
      </c>
    </row>
    <row r="1081" spans="1:1" ht="14.4">
      <c r="A1081" s="19" t="str">
        <f ca="1">IFERROR(__xludf.DUMMYFUNCTION("GOOGLETRANSLATE(C1081,""ar"",""en"")"),"AXX 2 liter of payment mother")</f>
        <v>AXX 2 liter of payment mother</v>
      </c>
    </row>
    <row r="1082" spans="1:1" ht="14.4">
      <c r="A1082" s="19" t="str">
        <f ca="1">IFERROR(__xludf.DUMMYFUNCTION("GOOGLETRANSLATE(C1082,""ar"",""en"")"),"The 200 CAB 2.4")</f>
        <v>The 200 CAB 2.4</v>
      </c>
    </row>
    <row r="1083" spans="1:1" ht="14.4">
      <c r="A1083" s="19" t="str">
        <f ca="1">IFERROR(__xludf.DUMMYFUNCTION("GOOGLETRANSLATE(C1083,""ar"",""en"")"),"IXX in front of me")</f>
        <v>IXX in front of me</v>
      </c>
    </row>
    <row r="1084" spans="1:1" ht="14.4">
      <c r="A1084" s="19" t="str">
        <f ca="1">IFERROR(__xludf.DUMMYFUNCTION("GOOGLETRANSLATE(C1084,""ar"",""en"")"),"ISX")</f>
        <v>ISX</v>
      </c>
    </row>
    <row r="1085" spans="1:1" ht="14.4">
      <c r="A1085" s="19" t="str">
        <f ca="1">IFERROR(__xludf.DUMMYFUNCTION("GOOGLETRANSLATE(C1085,""ar"",""en"")"),"The 200 2.5 rear diesel")</f>
        <v>The 200 2.5 rear diesel</v>
      </c>
    </row>
    <row r="1086" spans="1:1" ht="14.4">
      <c r="A1086" s="19" t="str">
        <f ca="1">IFERROR(__xludf.DUMMYFUNCTION("GOOGLETRANSLATE(C1086,""ar"",""en"")"),"The 200 Back Back Gasoline 2.4")</f>
        <v>The 200 Back Back Gasoline 2.4</v>
      </c>
    </row>
    <row r="1087" spans="1:1" ht="14.4">
      <c r="A1087" s="19" t="str">
        <f ca="1">IFERROR(__xludf.DUMMYFUNCTION("GOOGLETRANSLATE(C1087,""ar"",""en"")"),"The 200 Back Home Payment 2.4")</f>
        <v>The 200 Back Home Payment 2.4</v>
      </c>
    </row>
    <row r="1088" spans="1:1" ht="14.4">
      <c r="A1088" s="19" t="str">
        <f ca="1">IFERROR(__xludf.DUMMYFUNCTION("GOOGLETRANSLATE(C1088,""ar"",""en"")"),"The 200 2.5 diesel payment")</f>
        <v>The 200 2.5 diesel payment</v>
      </c>
    </row>
    <row r="1089" spans="1:1" ht="14.4">
      <c r="A1089" s="19" t="str">
        <f ca="1">IFERROR(__xludf.DUMMYFUNCTION("GOOGLETRANSLATE(C1089,""ar"",""en"")"),"The 200 diesel 2.5 liters pay vinegar")</f>
        <v>The 200 diesel 2.5 liters pay vinegar</v>
      </c>
    </row>
    <row r="1090" spans="1:1" ht="14.4">
      <c r="A1090" s="19" t="str">
        <f ca="1">IFERROR(__xludf.DUMMYFUNCTION("GOOGLETRANSLATE(C1090,""ar"",""en"")"),"The 200 2.4 -liter oil")</f>
        <v>The 200 2.4 -liter oil</v>
      </c>
    </row>
    <row r="1091" spans="1:1" ht="14.4">
      <c r="A1091" s="19" t="str">
        <f ca="1">IFERROR(__xludf.DUMMYFUNCTION("GOOGLETRANSLATE(C1091,""ar"",""en"")"),"The 200 cub")</f>
        <v>The 200 cub</v>
      </c>
    </row>
    <row r="1092" spans="1:1" ht="14.4">
      <c r="A1092" s="19" t="str">
        <f ca="1">IFERROR(__xludf.DUMMYFUNCTION("GOOGLETRANSLATE(C1092,""ar"",""en"")"),"Expander")</f>
        <v>Expander</v>
      </c>
    </row>
    <row r="1093" spans="1:1" ht="14.4">
      <c r="A1093" s="19" t="str">
        <f ca="1">IFERROR(__xludf.DUMMYFUNCTION("GOOGLETRANSLATE(C1093,""ar"",""en"")"),"The 200 Back Back Gasoline 2.4")</f>
        <v>The 200 Back Back Gasoline 2.4</v>
      </c>
    </row>
    <row r="1094" spans="1:1" ht="14.4">
      <c r="A1094" s="19" t="str">
        <f ca="1">IFERROR(__xludf.DUMMYFUNCTION("GOOGLETRANSLATE(C1094,""ar"",""en"")"),"The 200 cub")</f>
        <v>The 200 cub</v>
      </c>
    </row>
    <row r="1095" spans="1:1" ht="14.4">
      <c r="A1095" s="19" t="str">
        <f ca="1">IFERROR(__xludf.DUMMYFUNCTION("GOOGLETRANSLATE(C1095,""ar"",""en"")"),"The 200 Back Home Payment 2.4")</f>
        <v>The 200 Back Home Payment 2.4</v>
      </c>
    </row>
    <row r="1096" spans="1:1" ht="14.4">
      <c r="A1096" s="19" t="str">
        <f ca="1">IFERROR(__xludf.DUMMYFUNCTION("GOOGLETRANSLATE(C1096,""ar"",""en"")"),"The 200 2.5 rear diesel")</f>
        <v>The 200 2.5 rear diesel</v>
      </c>
    </row>
    <row r="1097" spans="1:1" ht="14.4">
      <c r="A1097" s="19" t="str">
        <f ca="1">IFERROR(__xludf.DUMMYFUNCTION("GOOGLETRANSLATE(C1097,""ar"",""en"")"),"The 200 bush rear diesel 2.5 l")</f>
        <v>The 200 bush rear diesel 2.5 l</v>
      </c>
    </row>
    <row r="1098" spans="1:1" ht="14.4">
      <c r="A1098" s="19" t="str">
        <f ca="1">IFERROR(__xludf.DUMMYFUNCTION("GOOGLETRANSLATE(C1098,""ar"",""en"")"),"The 200 CAB 2.5")</f>
        <v>The 200 CAB 2.5</v>
      </c>
    </row>
    <row r="1099" spans="1:1" ht="14.4">
      <c r="A1099" s="19" t="str">
        <f ca="1">IFERROR(__xludf.DUMMYFUNCTION("GOOGLETRANSLATE(C1099,""ar"",""en"")"),"1.2 liter in front of me")</f>
        <v>1.2 liter in front of me</v>
      </c>
    </row>
    <row r="1100" spans="1:1" ht="14.4">
      <c r="A1100" s="19" t="str">
        <f ca="1">IFERROR(__xludf.DUMMYFUNCTION("GOOGLETRANSLATE(C1100,""ar"",""en"")"),"Spacestar 1.2 liters payment")</f>
        <v>Spacestar 1.2 liters payment</v>
      </c>
    </row>
    <row r="1101" spans="1:1" ht="14.4">
      <c r="A1101" s="19" t="str">
        <f ca="1">IFERROR(__xludf.DUMMYFUNCTION("GOOGLETRANSLATE(C1101,""ar"",""en"")"),"Horseback")</f>
        <v>Horseback</v>
      </c>
    </row>
    <row r="1102" spans="1:1" ht="14.4">
      <c r="A1102" s="19" t="str">
        <f ca="1">IFERROR(__xludf.DUMMYFUNCTION("GOOGLETRANSLATE(C1102,""ar"",""en"")"),"Spacestar")</f>
        <v>Spacestar</v>
      </c>
    </row>
    <row r="1103" spans="1:1" ht="14.4">
      <c r="A1103" s="19" t="str">
        <f ca="1">IFERROR(__xludf.DUMMYFUNCTION("GOOGLETRANSLATE(C1103,""ar"",""en"")"),"Horseback")</f>
        <v>Horseback</v>
      </c>
    </row>
    <row r="1104" spans="1:1" ht="14.4">
      <c r="A1104" s="19" t="str">
        <f ca="1">IFERROR(__xludf.DUMMYFUNCTION("GOOGLETRANSLATE(C1104,""ar"",""en"")"),"Spacestar")</f>
        <v>Spacestar</v>
      </c>
    </row>
    <row r="1105" spans="1:1" ht="14.4">
      <c r="A1105" s="19" t="str">
        <f ca="1">IFERROR(__xludf.DUMMYFUNCTION("GOOGLETRANSLATE(C1105,""ar"",""en"")"),"Spacestar")</f>
        <v>Spacestar</v>
      </c>
    </row>
    <row r="1106" spans="1:1" ht="14.4">
      <c r="A1106" s="19" t="str">
        <f ca="1">IFERROR(__xludf.DUMMYFUNCTION("GOOGLETRANSLATE(C1106,""ar"",""en"")"),"Patrol automatic pushing t")</f>
        <v>Patrol automatic pushing t</v>
      </c>
    </row>
    <row r="1107" spans="1:1" ht="14.4">
      <c r="A1107" s="19" t="str">
        <f ca="1">IFERROR(__xludf.DUMMYFUNCTION("GOOGLETRANSLATE(C1107,""ar"",""en"")"),"Patrol automatic payment")</f>
        <v>Patrol automatic payment</v>
      </c>
    </row>
    <row r="1108" spans="1:1" ht="14.4">
      <c r="A1108" s="19" t="str">
        <f ca="1">IFERROR(__xludf.DUMMYFUNCTION("GOOGLETRANSLATE(C1108,""ar"",""en"")"),"QX 80")</f>
        <v>QX 80</v>
      </c>
    </row>
    <row r="1109" spans="1:1" ht="14.4">
      <c r="A1109" s="19" t="str">
        <f ca="1">IFERROR(__xludf.DUMMYFUNCTION("GOOGLETRANSLATE(C1109,""ar"",""en"")"),"QX 80")</f>
        <v>QX 80</v>
      </c>
    </row>
    <row r="1110" spans="1:1" ht="14.4">
      <c r="A1110" s="19" t="str">
        <f ca="1">IFERROR(__xludf.DUMMYFUNCTION("GOOGLETRANSLATE(C1110,""ar"",""en"")"),"Q 50")</f>
        <v>Q 50</v>
      </c>
    </row>
    <row r="1111" spans="1:1" ht="14.4">
      <c r="A1111" s="19" t="str">
        <f ca="1">IFERROR(__xludf.DUMMYFUNCTION("GOOGLETRANSLATE(C1111,""ar"",""en"")"),"Patrol 5.6 liters four father")</f>
        <v>Patrol 5.6 liters four father</v>
      </c>
    </row>
    <row r="1112" spans="1:1" ht="14.4">
      <c r="A1112" s="19" t="str">
        <f ca="1">IFERROR(__xludf.DUMMYFUNCTION("GOOGLETRANSLATE(C1112,""ar"",""en"")"),"QX 60")</f>
        <v>QX 60</v>
      </c>
    </row>
    <row r="1113" spans="1:1" ht="14.4">
      <c r="A1113" s="19" t="str">
        <f ca="1">IFERROR(__xludf.DUMMYFUNCTION("GOOGLETRANSLATE(C1113,""ar"",""en"")"),"Q70")</f>
        <v>Q70</v>
      </c>
    </row>
    <row r="1114" spans="1:1" ht="14.4">
      <c r="A1114" s="19" t="str">
        <f ca="1">IFERROR(__xludf.DUMMYFUNCTION("GOOGLETRANSLATE(C1114,""ar"",""en"")"),"QX 55 four -wheel drive")</f>
        <v>QX 55 four -wheel drive</v>
      </c>
    </row>
    <row r="1115" spans="1:1" ht="14.4">
      <c r="A1115" s="19" t="str">
        <f ca="1">IFERROR(__xludf.DUMMYFUNCTION("GOOGLETRANSLATE(C1115,""ar"",""en"")"),"QX 70")</f>
        <v>QX 70</v>
      </c>
    </row>
    <row r="1116" spans="1:1" ht="14.4">
      <c r="A1116" s="19" t="str">
        <f ca="1">IFERROR(__xludf.DUMMYFUNCTION("GOOGLETRANSLATE(C1116,""ar"",""en"")"),"Silvian diesel is normal")</f>
        <v>Silvian diesel is normal</v>
      </c>
    </row>
    <row r="1117" spans="1:1" ht="14.4">
      <c r="A1117" s="19" t="str">
        <f ca="1">IFERROR(__xludf.DUMMYFUNCTION("GOOGLETRANSLATE(C1117,""ar"",""en"")"),"QX 50")</f>
        <v>QX 50</v>
      </c>
    </row>
    <row r="1118" spans="1:1" ht="14.4">
      <c r="A1118" s="19" t="str">
        <f ca="1">IFERROR(__xludf.DUMMYFUNCTION("GOOGLETRANSLATE(C1118,""ar"",""en"")"),"Patrol automatic pushing t")</f>
        <v>Patrol automatic pushing t</v>
      </c>
    </row>
    <row r="1119" spans="1:1" ht="14.4">
      <c r="A1119" s="19" t="str">
        <f ca="1">IFERROR(__xludf.DUMMYFUNCTION("GOOGLETRANSLATE(C1119,""ar"",""en"")"),"Patrol 4 liter four father")</f>
        <v>Patrol 4 liter four father</v>
      </c>
    </row>
    <row r="1120" spans="1:1" ht="14.4">
      <c r="A1120" s="19" t="str">
        <f ca="1">IFERROR(__xludf.DUMMYFUNCTION("GOOGLETRANSLATE(C1120,""ar"",""en"")"),"Patrol 4 liter automatic")</f>
        <v>Patrol 4 liter automatic</v>
      </c>
    </row>
    <row r="1121" spans="1:1" ht="14.4">
      <c r="A1121" s="19" t="str">
        <f ca="1">IFERROR(__xludf.DUMMYFUNCTION("GOOGLETRANSLATE(C1121,""ar"",""en"")"),"Q50 rear bush 3 liters")</f>
        <v>Q50 rear bush 3 liters</v>
      </c>
    </row>
    <row r="1122" spans="1:1" ht="14.4">
      <c r="A1122" s="19" t="str">
        <f ca="1">IFERROR(__xludf.DUMMYFUNCTION("GOOGLETRANSLATE(C1122,""ar"",""en"")"),"AR52-4*4")</f>
        <v>AR52-4*4</v>
      </c>
    </row>
    <row r="1123" spans="1:1" ht="14.4">
      <c r="A1123" s="19" t="str">
        <f ca="1">IFERROR(__xludf.DUMMYFUNCTION("GOOGLETRANSLATE(C1123,""ar"",""en"")"),"Pathfinder 3.5 liters Rait R.")</f>
        <v>Pathfinder 3.5 liters Rait R.</v>
      </c>
    </row>
    <row r="1124" spans="1:1" ht="14.4">
      <c r="A1124" s="19" t="str">
        <f ca="1">IFERROR(__xludf.DUMMYFUNCTION("GOOGLETRANSLATE(C1124,""ar"",""en"")"),"Patrol automatic")</f>
        <v>Patrol automatic</v>
      </c>
    </row>
    <row r="1125" spans="1:1" ht="14.4">
      <c r="A1125" s="19" t="str">
        <f ca="1">IFERROR(__xludf.DUMMYFUNCTION("GOOGLETRANSLATE(C1125,""ar"",""en"")"),"Patrol is automatic gasoline")</f>
        <v>Patrol is automatic gasoline</v>
      </c>
    </row>
    <row r="1126" spans="1:1" ht="14.4">
      <c r="A1126" s="19" t="str">
        <f ca="1">IFERROR(__xludf.DUMMYFUNCTION("GOOGLETRANSLATE(C1126,""ar"",""en"")"),"Pathfinder 3.5 liters pay a")</f>
        <v>Pathfinder 3.5 liters pay a</v>
      </c>
    </row>
    <row r="1127" spans="1:1" ht="14.4">
      <c r="A1127" s="19" t="str">
        <f ca="1">IFERROR(__xludf.DUMMYFUNCTION("GOOGLETRANSLATE(C1127,""ar"",""en"")"),"AR52-4*2")</f>
        <v>AR52-4*2</v>
      </c>
    </row>
    <row r="1128" spans="1:1" ht="14.4">
      <c r="A1128" s="19" t="str">
        <f ca="1">IFERROR(__xludf.DUMMYFUNCTION("GOOGLETRANSLATE(C1128,""ar"",""en"")"),"Patrol Patrol is normal payment")</f>
        <v>Patrol Patrol is normal payment</v>
      </c>
    </row>
    <row r="1129" spans="1:1" ht="14.4">
      <c r="A1129" s="19" t="str">
        <f ca="1">IFERROR(__xludf.DUMMYFUNCTION("GOOGLETRANSLATE(C1129,""ar"",""en"")"),"Patrol 4.8 liters two doors")</f>
        <v>Patrol 4.8 liters two doors</v>
      </c>
    </row>
    <row r="1130" spans="1:1" ht="14.4">
      <c r="A1130" s="19" t="str">
        <f ca="1">IFERROR(__xludf.DUMMYFUNCTION("GOOGLETRANSLATE(C1130,""ar"",""en"")"),"ACISTIRA ATOME Payment")</f>
        <v>ACISTIRA ATOME Payment</v>
      </c>
    </row>
    <row r="1131" spans="1:1" ht="14.4">
      <c r="A1131" s="19" t="str">
        <f ca="1">IFERROR(__xludf.DUMMYFUNCTION("GOOGLETRANSLATE(C1131,""ar"",""en"")"),"Patrol normal four -wheel drive")</f>
        <v>Patrol normal four -wheel drive</v>
      </c>
    </row>
    <row r="1132" spans="1:1" ht="14.4">
      <c r="A1132" s="19" t="str">
        <f ca="1">IFERROR(__xludf.DUMMYFUNCTION("GOOGLETRANSLATE(C1132,""ar"",""en"")"),"Z 370 automatic")</f>
        <v>Z 370 automatic</v>
      </c>
    </row>
    <row r="1133" spans="1:1" ht="14.4">
      <c r="A1133" s="19" t="str">
        <f ca="1">IFERROR(__xludf.DUMMYFUNCTION("GOOGLETRANSLATE(C1133,""ar"",""en"")"),"Patrol 4.8 liter normal")</f>
        <v>Patrol 4.8 liter normal</v>
      </c>
    </row>
    <row r="1134" spans="1:1" ht="14.4">
      <c r="A1134" s="19" t="str">
        <f ca="1">IFERROR(__xludf.DUMMYFUNCTION("GOOGLETRANSLATE(C1134,""ar"",""en"")"),"Patrol 4.8 liter normal 4*4")</f>
        <v>Patrol 4.8 liter normal 4*4</v>
      </c>
    </row>
    <row r="1135" spans="1:1" ht="14.4">
      <c r="A1135" s="19" t="str">
        <f ca="1">IFERROR(__xludf.DUMMYFUNCTION("GOOGLETRANSLATE(C1135,""ar"",""en"")"),"Pathfinder 3.5 liters of Atoma")</f>
        <v>Pathfinder 3.5 liters of Atoma</v>
      </c>
    </row>
    <row r="1136" spans="1:1" ht="14.4">
      <c r="A1136" s="19" t="str">
        <f ca="1">IFERROR(__xludf.DUMMYFUNCTION("GOOGLETRANSLATE(C1136,""ar"",""en"")"),"Patrol Automatic 4.8 liters")</f>
        <v>Patrol Automatic 4.8 liters</v>
      </c>
    </row>
    <row r="1137" spans="1:1" ht="14.4">
      <c r="A1137" s="19" t="str">
        <f ca="1">IFERROR(__xludf.DUMMYFUNCTION("GOOGLETRANSLATE(C1137,""ar"",""en"")"),"Patrol 4.8 liters two doors")</f>
        <v>Patrol 4.8 liters two doors</v>
      </c>
    </row>
    <row r="1138" spans="1:1" ht="14.4">
      <c r="A1138" s="19" t="str">
        <f ca="1">IFERROR(__xludf.DUMMYFUNCTION("GOOGLETRANSLATE(C1138,""ar"",""en"")"),"Patrol 4.8 liters four Abu")</f>
        <v>Patrol 4.8 liters four Abu</v>
      </c>
    </row>
    <row r="1139" spans="1:1" ht="14.4">
      <c r="A1139" s="19" t="str">
        <f ca="1">IFERROR(__xludf.DUMMYFUNCTION("GOOGLETRANSLATE(C1139,""ar"",""en"")"),"Pathfinder 3.5 liters 4*4")</f>
        <v>Pathfinder 3.5 liters 4*4</v>
      </c>
    </row>
    <row r="1140" spans="1:1" ht="14.4">
      <c r="A1140" s="19" t="str">
        <f ca="1">IFERROR(__xludf.DUMMYFUNCTION("GOOGLETRANSLATE(C1140,""ar"",""en"")"),"Pathfinder 3.5 liters of Atoma")</f>
        <v>Pathfinder 3.5 liters of Atoma</v>
      </c>
    </row>
    <row r="1141" spans="1:1" ht="14.4">
      <c r="A1141" s="19" t="str">
        <f ca="1">IFERROR(__xludf.DUMMYFUNCTION("GOOGLETRANSLATE(C1141,""ar"",""en"")"),"Patrol Papin automatic")</f>
        <v>Patrol Papin automatic</v>
      </c>
    </row>
    <row r="1142" spans="1:1" ht="14.4">
      <c r="A1142" s="19" t="str">
        <f ca="1">IFERROR(__xludf.DUMMYFUNCTION("GOOGLETRANSLATE(C1142,""ar"",""en"")"),"Orfan Diesel Diesel 2.5 LT")</f>
        <v>Orfan Diesel Diesel 2.5 LT</v>
      </c>
    </row>
    <row r="1143" spans="1:1" ht="14.4">
      <c r="A1143" s="19" t="str">
        <f ca="1">IFERROR(__xludf.DUMMYFUNCTION("GOOGLETRANSLATE(C1143,""ar"",""en"")"),"Patrol 4.8 liters automatic")</f>
        <v>Patrol 4.8 liters automatic</v>
      </c>
    </row>
    <row r="1144" spans="1:1" ht="14.4">
      <c r="A1144" s="19" t="str">
        <f ca="1">IFERROR(__xludf.DUMMYFUNCTION("GOOGLETRANSLATE(C1144,""ar"",""en"")"),"Patrol is normal two doors")</f>
        <v>Patrol is normal two doors</v>
      </c>
    </row>
    <row r="1145" spans="1:1" ht="14.4">
      <c r="A1145" s="19" t="str">
        <f ca="1">IFERROR(__xludf.DUMMYFUNCTION("GOOGLETRANSLATE(C1145,""ar"",""en"")"),"Outmatic gasoline")</f>
        <v>Outmatic gasoline</v>
      </c>
    </row>
    <row r="1146" spans="1:1" ht="14.4">
      <c r="A1146" s="19" t="str">
        <f ca="1">IFERROR(__xludf.DUMMYFUNCTION("GOOGLETRANSLATE(C1146,""ar"",""en"")"),"The 34 SR")</f>
        <v>The 34 SR</v>
      </c>
    </row>
    <row r="1147" spans="1:1" ht="14.4">
      <c r="A1147" s="19" t="str">
        <f ca="1">IFERROR(__xludf.DUMMYFUNCTION("GOOGLETRANSLATE(C1147,""ar"",""en"")"),"Extrile 4 x 4 petrol is Outo")</f>
        <v>Extrile 4 x 4 petrol is Outo</v>
      </c>
    </row>
    <row r="1148" spans="1:1" ht="14.4">
      <c r="A1148" s="19" t="str">
        <f ca="1">IFERROR(__xludf.DUMMYFUNCTION("GOOGLETRANSLATE(C1148,""ar"",""en"")"),"Maxima automatic")</f>
        <v>Maxima automatic</v>
      </c>
    </row>
    <row r="1149" spans="1:1" ht="14.4">
      <c r="A1149" s="19" t="str">
        <f ca="1">IFERROR(__xludf.DUMMYFUNCTION("GOOGLETRANSLATE(C1149,""ar"",""en"")"),"Navara diesel is normal")</f>
        <v>Navara diesel is normal</v>
      </c>
    </row>
    <row r="1150" spans="1:1" ht="14.4">
      <c r="A1150" s="19" t="str">
        <f ca="1">IFERROR(__xludf.DUMMYFUNCTION("GOOGLETRANSLATE(C1150,""ar"",""en"")"),"33 3.5 liters")</f>
        <v>33 3.5 liters</v>
      </c>
    </row>
    <row r="1151" spans="1:1" ht="14.4">
      <c r="A1151" s="19" t="str">
        <f ca="1">IFERROR(__xludf.DUMMYFUNCTION("GOOGLETRANSLATE(C1151,""ar"",""en"")"),"Silvian is a regular gasoline")</f>
        <v>Silvian is a regular gasoline</v>
      </c>
    </row>
    <row r="1152" spans="1:1" ht="14.4">
      <c r="A1152" s="19" t="str">
        <f ca="1">IFERROR(__xludf.DUMMYFUNCTION("GOOGLETRANSLATE(C1152,""ar"",""en"")"),"Patrol automatic")</f>
        <v>Patrol automatic</v>
      </c>
    </row>
    <row r="1153" spans="1:1" ht="14.4">
      <c r="A1153" s="19" t="str">
        <f ca="1">IFERROR(__xludf.DUMMYFUNCTION("GOOGLETRANSLATE(C1153,""ar"",""en"")"),"Navara Diesel Pay a Ray")</f>
        <v>Navara Diesel Pay a Ray</v>
      </c>
    </row>
    <row r="1154" spans="1:1" ht="14.4">
      <c r="A1154" s="19" t="str">
        <f ca="1">IFERROR(__xludf.DUMMYFUNCTION("GOOGLETRANSLATE(C1154,""ar"",""en"")"),"Navar")</f>
        <v>Navar</v>
      </c>
    </row>
    <row r="1155" spans="1:1" ht="14.4">
      <c r="A1155" s="19" t="str">
        <f ca="1">IFERROR(__xludf.DUMMYFUNCTION("GOOGLETRANSLATE(C1155,""ar"",""en"")"),"The 34 S -TV")</f>
        <v>The 34 S -TV</v>
      </c>
    </row>
    <row r="1156" spans="1:1" ht="14.4">
      <c r="A1156" s="19" t="str">
        <f ca="1">IFERROR(__xludf.DUMMYFUNCTION("GOOGLETRANSLATE(C1156,""ar"",""en"")"),"I 26")</f>
        <v>I 26</v>
      </c>
    </row>
    <row r="1157" spans="1:1" ht="14.4">
      <c r="A1157" s="19" t="str">
        <f ca="1">IFERROR(__xludf.DUMMYFUNCTION("GOOGLETRANSLATE(C1157,""ar"",""en"")"),"Wajn T 32 Automatic 4*4")</f>
        <v>Wajn T 32 Automatic 4*4</v>
      </c>
    </row>
    <row r="1158" spans="1:1" ht="14.4">
      <c r="A1158" s="19" t="str">
        <f ca="1">IFERROR(__xludf.DUMMYFUNCTION("GOOGLETRANSLATE(C1158,""ar"",""en"")"),"Maxima")</f>
        <v>Maxima</v>
      </c>
    </row>
    <row r="1159" spans="1:1" ht="14.4">
      <c r="A1159" s="19" t="str">
        <f ca="1">IFERROR(__xludf.DUMMYFUNCTION("GOOGLETRANSLATE(C1159,""ar"",""en"")"),"Wajn T 32")</f>
        <v>Wajn T 32</v>
      </c>
    </row>
    <row r="1160" spans="1:1" ht="14.4">
      <c r="A1160" s="19" t="str">
        <f ca="1">IFERROR(__xludf.DUMMYFUNCTION("GOOGLETRANSLATE(C1160,""ar"",""en"")"),"Extrile four -wheel drive Out")</f>
        <v>Extrile four -wheel drive Out</v>
      </c>
    </row>
    <row r="1161" spans="1:1" ht="14.4">
      <c r="A1161" s="19" t="str">
        <f ca="1">IFERROR(__xludf.DUMMYFUNCTION("GOOGLETRANSLATE(C1161,""ar"",""en"")"),"Tema Automatics")</f>
        <v>Tema Automatics</v>
      </c>
    </row>
    <row r="1162" spans="1:1" ht="14.4">
      <c r="A1162" s="19" t="str">
        <f ca="1">IFERROR(__xludf.DUMMYFUNCTION("GOOGLETRANSLATE(C1162,""ar"",""en"")"),"Etma automatic")</f>
        <v>Etma automatic</v>
      </c>
    </row>
    <row r="1163" spans="1:1" ht="14.4">
      <c r="A1163" s="19" t="str">
        <f ca="1">IFERROR(__xludf.DUMMYFUNCTION("GOOGLETRANSLATE(C1163,""ar"",""en"")"),"Etma automatic")</f>
        <v>Etma automatic</v>
      </c>
    </row>
    <row r="1164" spans="1:1" ht="14.4">
      <c r="A1164" s="19" t="str">
        <f ca="1">IFERROR(__xludf.DUMMYFUNCTION("GOOGLETRANSLATE(C1164,""ar"",""en"")"),"Extrile four -wheel drive Out")</f>
        <v>Extrile four -wheel drive Out</v>
      </c>
    </row>
    <row r="1165" spans="1:1" ht="14.4">
      <c r="A1165" s="19" t="str">
        <f ca="1">IFERROR(__xludf.DUMMYFUNCTION("GOOGLETRANSLATE(C1165,""ar"",""en"")"),"33 2.5 liters")</f>
        <v>33 2.5 liters</v>
      </c>
    </row>
    <row r="1166" spans="1:1" ht="14.4">
      <c r="A1166" s="19" t="str">
        <f ca="1">IFERROR(__xludf.DUMMYFUNCTION("GOOGLETRANSLATE(C1166,""ar"",""en"")"),"Extrile Outoma gasoline")</f>
        <v>Extrile Outoma gasoline</v>
      </c>
    </row>
    <row r="1167" spans="1:1" ht="14.4">
      <c r="A1167" s="19" t="str">
        <f ca="1">IFERROR(__xludf.DUMMYFUNCTION("GOOGLETRANSLATE(C1167,""ar"",""en"")"),"Extril I pay a front")</f>
        <v>Extril I pay a front</v>
      </c>
    </row>
    <row r="1168" spans="1:1" ht="14.4">
      <c r="A1168" s="19" t="str">
        <f ca="1">IFERROR(__xludf.DUMMYFUNCTION("GOOGLETRANSLATE(C1168,""ar"",""en"")"),"Extrile I pay a front")</f>
        <v>Extrile I pay a front</v>
      </c>
    </row>
    <row r="1169" spans="1:1" ht="14.4">
      <c r="A1169" s="19" t="str">
        <f ca="1">IFERROR(__xludf.DUMMYFUNCTION("GOOGLETRANSLATE(C1169,""ar"",""en"")"),"Normal diesel")</f>
        <v>Normal diesel</v>
      </c>
    </row>
    <row r="1170" spans="1:1" ht="14.4">
      <c r="A1170" s="19" t="str">
        <f ca="1">IFERROR(__xludf.DUMMYFUNCTION("GOOGLETRANSLATE(C1170,""ar"",""en"")"),"Extril is automatic gasoline")</f>
        <v>Extril is automatic gasoline</v>
      </c>
    </row>
    <row r="1171" spans="1:1" ht="14.4">
      <c r="A1171" s="19" t="str">
        <f ca="1">IFERROR(__xludf.DUMMYFUNCTION("GOOGLETRANSLATE(C1171,""ar"",""en"")"),"Normal gasoline")</f>
        <v>Normal gasoline</v>
      </c>
    </row>
    <row r="1172" spans="1:1" ht="14.4">
      <c r="A1172" s="19" t="str">
        <f ca="1">IFERROR(__xludf.DUMMYFUNCTION("GOOGLETRANSLATE(C1172,""ar"",""en"")"),"Orfan is a regular gasoline")</f>
        <v>Orfan is a regular gasoline</v>
      </c>
    </row>
    <row r="1173" spans="1:1" ht="14.4">
      <c r="A1173" s="19" t="str">
        <f ca="1">IFERROR(__xludf.DUMMYFUNCTION("GOOGLETRANSLATE(C1173,""ar"",""en"")"),"Orfan is normal diesel")</f>
        <v>Orfan is normal diesel</v>
      </c>
    </row>
    <row r="1174" spans="1:1" ht="14.4">
      <c r="A1174" s="19" t="str">
        <f ca="1">IFERROR(__xludf.DUMMYFUNCTION("GOOGLETRANSLATE(C1174,""ar"",""en"")"),"Automatic Automatic Payment")</f>
        <v>Automatic Automatic Payment</v>
      </c>
    </row>
    <row r="1175" spans="1:1" ht="14.4">
      <c r="A1175" s="19" t="str">
        <f ca="1">IFERROR(__xludf.DUMMYFUNCTION("GOOGLETRANSLATE(C1175,""ar"",""en"")"),"Extrile automatic payment")</f>
        <v>Extrile automatic payment</v>
      </c>
    </row>
    <row r="1176" spans="1:1" ht="14.4">
      <c r="A1176" s="19" t="str">
        <f ca="1">IFERROR(__xludf.DUMMYFUNCTION("GOOGLETRANSLATE(C1176,""ar"",""en"")"),"Extrile 4 x 4")</f>
        <v>Extrile 4 x 4</v>
      </c>
    </row>
    <row r="1177" spans="1:1" ht="14.4">
      <c r="A1177" s="19" t="str">
        <f ca="1">IFERROR(__xludf.DUMMYFUNCTION("GOOGLETRANSLATE(C1177,""ar"",""en"")"),"Navarra Normal petrol payment")</f>
        <v>Navarra Normal petrol payment</v>
      </c>
    </row>
    <row r="1178" spans="1:1" ht="14.4">
      <c r="A1178" s="19" t="str">
        <f ca="1">IFERROR(__xludf.DUMMYFUNCTION("GOOGLETRANSLATE(C1178,""ar"",""en"")"),"Automatic Extrile")</f>
        <v>Automatic Extrile</v>
      </c>
    </row>
    <row r="1179" spans="1:1" ht="14.4">
      <c r="A1179" s="19" t="str">
        <f ca="1">IFERROR(__xludf.DUMMYFUNCTION("GOOGLETRANSLATE(C1179,""ar"",""en"")"),"Kix")</f>
        <v>Kix</v>
      </c>
    </row>
    <row r="1180" spans="1:1" ht="14.4">
      <c r="A1180" s="19" t="str">
        <f ca="1">IFERROR(__xludf.DUMMYFUNCTION("GOOGLETRANSLATE(C1180,""ar"",""en"")"),"GXI")</f>
        <v>GXI</v>
      </c>
    </row>
    <row r="1181" spans="1:1" ht="14.4">
      <c r="A1181" s="19" t="str">
        <f ca="1">IFERROR(__xludf.DUMMYFUNCTION("GOOGLETRANSLATE(C1181,""ar"",""en"")"),"Kix gasoline otamic")</f>
        <v>Kix gasoline otamic</v>
      </c>
    </row>
    <row r="1182" spans="1:1" ht="14.4">
      <c r="A1182" s="19" t="str">
        <f ca="1">IFERROR(__xludf.DUMMYFUNCTION("GOOGLETRANSLATE(C1182,""ar"",""en"")"),"Sentra automatic")</f>
        <v>Sentra automatic</v>
      </c>
    </row>
    <row r="1183" spans="1:1" ht="14.4">
      <c r="A1183" s="19" t="str">
        <f ca="1">IFERROR(__xludf.DUMMYFUNCTION("GOOGLETRANSLATE(C1183,""ar"",""en"")"),"Kix automatic gasoline")</f>
        <v>Kix automatic gasoline</v>
      </c>
    </row>
    <row r="1184" spans="1:1" ht="14.4">
      <c r="A1184" s="19" t="str">
        <f ca="1">IFERROR(__xludf.DUMMYFUNCTION("GOOGLETRANSLATE(C1184,""ar"",""en"")"),"Automatic Sunni")</f>
        <v>Automatic Sunni</v>
      </c>
    </row>
    <row r="1185" spans="1:1" ht="14.4">
      <c r="A1185" s="19" t="str">
        <f ca="1">IFERROR(__xludf.DUMMYFUNCTION("GOOGLETRANSLATE(C1185,""ar"",""en"")"),"Kix automatic gasoline")</f>
        <v>Kix automatic gasoline</v>
      </c>
    </row>
    <row r="1186" spans="1:1" ht="14.4">
      <c r="A1186" s="19" t="str">
        <f ca="1">IFERROR(__xludf.DUMMYFUNCTION("GOOGLETRANSLATE(C1186,""ar"",""en"")"),"Sunni")</f>
        <v>Sunni</v>
      </c>
    </row>
    <row r="1187" spans="1:1" ht="14.4">
      <c r="A1187" s="19" t="str">
        <f ca="1">IFERROR(__xludf.DUMMYFUNCTION("GOOGLETRANSLATE(C1187,""ar"",""en"")"),"That 17")</f>
        <v>That 17</v>
      </c>
    </row>
    <row r="1188" spans="1:1" ht="14.4">
      <c r="A1188" s="19" t="str">
        <f ca="1">IFERROR(__xludf.DUMMYFUNCTION("GOOGLETRANSLATE(C1188,""ar"",""en"")"),"Sunny automatic")</f>
        <v>Sunny automatic</v>
      </c>
    </row>
    <row r="1189" spans="1:1" ht="14.4">
      <c r="A1189" s="19" t="str">
        <f ca="1">IFERROR(__xludf.DUMMYFUNCTION("GOOGLETRANSLATE(C1189,""ar"",""en"")"),"3.5 Torring")</f>
        <v>3.5 Torring</v>
      </c>
    </row>
    <row r="1190" spans="1:1" ht="14.4">
      <c r="A1190" s="19" t="str">
        <f ca="1">IFERROR(__xludf.DUMMYFUNCTION("GOOGLETRANSLATE(C1190,""ar"",""en"")"),"Pilot - Toring")</f>
        <v>Pilot - Toring</v>
      </c>
    </row>
    <row r="1191" spans="1:1" ht="14.4">
      <c r="A1191" s="19" t="str">
        <f ca="1">IFERROR(__xludf.DUMMYFUNCTION("GOOGLETRANSLATE(C1191,""ar"",""en"")"),"Pilot SE 3.5 liters")</f>
        <v>Pilot SE 3.5 liters</v>
      </c>
    </row>
    <row r="1192" spans="1:1" ht="14.4">
      <c r="A1192" s="19" t="str">
        <f ca="1">IFERROR(__xludf.DUMMYFUNCTION("GOOGLETRANSLATE(C1192,""ar"",""en"")"),"AXL 3.5")</f>
        <v>AXL 3.5</v>
      </c>
    </row>
    <row r="1193" spans="1:1" ht="14.4">
      <c r="A1193" s="19" t="str">
        <f ca="1">IFERROR(__xludf.DUMMYFUNCTION("GOOGLETRANSLATE(C1193,""ar"",""en"")"),"Pilot - iXL")</f>
        <v>Pilot - iXL</v>
      </c>
    </row>
    <row r="1194" spans="1:1" ht="14.4">
      <c r="A1194" s="19" t="str">
        <f ca="1">IFERROR(__xludf.DUMMYFUNCTION("GOOGLETRANSLATE(C1194,""ar"",""en"")"),"3.5 IXL")</f>
        <v>3.5 IXL</v>
      </c>
    </row>
    <row r="1195" spans="1:1" ht="14.4">
      <c r="A1195" s="19" t="str">
        <f ca="1">IFERROR(__xludf.DUMMYFUNCTION("GOOGLETRANSLATE(C1195,""ar"",""en"")"),"Pilot - iX")</f>
        <v>Pilot - iX</v>
      </c>
    </row>
    <row r="1196" spans="1:1" ht="14.4">
      <c r="A1196" s="19" t="str">
        <f ca="1">IFERROR(__xludf.DUMMYFUNCTION("GOOGLETRANSLATE(C1196,""ar"",""en"")"),"3.5 LX")</f>
        <v>3.5 LX</v>
      </c>
    </row>
    <row r="1197" spans="1:1" ht="14.4">
      <c r="A1197" s="19" t="str">
        <f ca="1">IFERROR(__xludf.DUMMYFUNCTION("GOOGLETRANSLATE(C1197,""ar"",""en"")"),"JEX in 2.4 L.")</f>
        <v>JEX in 2.4 L.</v>
      </c>
    </row>
    <row r="1198" spans="1:1" ht="14.4">
      <c r="A1198" s="19" t="str">
        <f ca="1">IFERROR(__xludf.DUMMYFUNCTION("GOOGLETRANSLATE(C1198,""ar"",""en"")"),"Accord 20 Sport")</f>
        <v>Accord 20 Sport</v>
      </c>
    </row>
    <row r="1199" spans="1:1" ht="14.4">
      <c r="A1199" s="19" t="str">
        <f ca="1">IFERROR(__xludf.DUMMYFUNCTION("GOOGLETRANSLATE(C1199,""ar"",""en"")"),"Torring")</f>
        <v>Torring</v>
      </c>
    </row>
    <row r="1200" spans="1:1" ht="14.4">
      <c r="A1200" s="19" t="str">
        <f ca="1">IFERROR(__xludf.DUMMYFUNCTION("GOOGLETRANSLATE(C1200,""ar"",""en"")"),"Accord iXL 1.5")</f>
        <v>Accord iXL 1.5</v>
      </c>
    </row>
    <row r="1201" spans="1:1" ht="14.4">
      <c r="A1201" s="19" t="str">
        <f ca="1">IFERROR(__xludf.DUMMYFUNCTION("GOOGLETRANSLATE(C1201,""ar"",""en"")"),"CRV - iX")</f>
        <v>CRV - iX</v>
      </c>
    </row>
    <row r="1202" spans="1:1" ht="14.4">
      <c r="A1202" s="19" t="str">
        <f ca="1">IFERROR(__xludf.DUMMYFUNCTION("GOOGLETRANSLATE(C1202,""ar"",""en"")"),"CRVAX")</f>
        <v>CRVAX</v>
      </c>
    </row>
    <row r="1203" spans="1:1" ht="14.4">
      <c r="A1203" s="19" t="str">
        <f ca="1">IFERROR(__xludf.DUMMYFUNCTION("GOOGLETRANSLATE(C1203,""ar"",""en"")"),"Accord iXLA")</f>
        <v>Accord iXLA</v>
      </c>
    </row>
    <row r="1204" spans="1:1" ht="14.4">
      <c r="A1204" s="19" t="str">
        <f ca="1">IFERROR(__xludf.DUMMYFUNCTION("GOOGLETRANSLATE(C1204,""ar"",""en"")"),"Accord iX 1.5 liters")</f>
        <v>Accord iX 1.5 liters</v>
      </c>
    </row>
    <row r="1205" spans="1:1" ht="14.4">
      <c r="A1205" s="19" t="str">
        <f ca="1">IFERROR(__xludf.DUMMYFUNCTION("GOOGLETRANSLATE(C1205,""ar"",""en"")"),"JIX 2.4 th")</f>
        <v>JIX 2.4 th</v>
      </c>
    </row>
    <row r="1206" spans="1:1" ht="14.4">
      <c r="A1206" s="19" t="str">
        <f ca="1">IFERROR(__xludf.DUMMYFUNCTION("GOOGLETRANSLATE(C1206,""ar"",""en"")"),"EX 2.4 L.")</f>
        <v>EX 2.4 L.</v>
      </c>
    </row>
    <row r="1207" spans="1:1" ht="14.4">
      <c r="A1207" s="19" t="str">
        <f ca="1">IFERROR(__xludf.DUMMYFUNCTION("GOOGLETRANSLATE(C1207,""ar"",""en"")"),"GL 1800H")</f>
        <v>GL 1800H</v>
      </c>
    </row>
    <row r="1208" spans="1:1" ht="14.4">
      <c r="A1208" s="19" t="str">
        <f ca="1">IFERROR(__xludf.DUMMYFUNCTION("GOOGLETRANSLATE(C1208,""ar"",""en"")"),"Accord LX Sport")</f>
        <v>Accord LX Sport</v>
      </c>
    </row>
    <row r="1209" spans="1:1" ht="14.4">
      <c r="A1209" s="19" t="str">
        <f ca="1">IFERROR(__xludf.DUMMYFUNCTION("GOOGLETRANSLATE(C1209,""ar"",""en"")"),"Accord Sport 1.5 th")</f>
        <v>Accord Sport 1.5 th</v>
      </c>
    </row>
    <row r="1210" spans="1:1" ht="14.4">
      <c r="A1210" s="19" t="str">
        <f ca="1">IFERROR(__xludf.DUMMYFUNCTION("GOOGLETRANSLATE(C1210,""ar"",""en"")"),"RS")</f>
        <v>RS</v>
      </c>
    </row>
    <row r="1211" spans="1:1" ht="14.4">
      <c r="A1211" s="19" t="str">
        <f ca="1">IFERROR(__xludf.DUMMYFUNCTION("GOOGLETRANSLATE(C1211,""ar"",""en"")"),"Accord LX")</f>
        <v>Accord LX</v>
      </c>
    </row>
    <row r="1212" spans="1:1" ht="14.4">
      <c r="A1212" s="19" t="str">
        <f ca="1">IFERROR(__xludf.DUMMYFUNCTION("GOOGLETRANSLATE(C1212,""ar"",""en"")"),"CR -D X")</f>
        <v>CR -D X</v>
      </c>
    </row>
    <row r="1213" spans="1:1" ht="14.4">
      <c r="A1213" s="19" t="str">
        <f ca="1">IFERROR(__xludf.DUMMYFUNCTION("GOOGLETRANSLATE(C1213,""ar"",""en"")"),"HRVIX")</f>
        <v>HRVIX</v>
      </c>
    </row>
    <row r="1214" spans="1:1" ht="14.4">
      <c r="A1214" s="19" t="str">
        <f ca="1">IFERROR(__xludf.DUMMYFUNCTION("GOOGLETRANSLATE(C1214,""ar"",""en"")"),"Cevak LX AISB")</f>
        <v>Cevak LX AISB</v>
      </c>
    </row>
    <row r="1215" spans="1:1" ht="14.4">
      <c r="A1215" s="19" t="str">
        <f ca="1">IFERROR(__xludf.DUMMYFUNCTION("GOOGLETRANSLATE(C1215,""ar"",""en"")"),"HR-in LX")</f>
        <v>HR-in LX</v>
      </c>
    </row>
    <row r="1216" spans="1:1" ht="14.4">
      <c r="A1216" s="19" t="str">
        <f ca="1">IFERROR(__xludf.DUMMYFUNCTION("GOOGLETRANSLATE(C1216,""ar"",""en"")"),"Your Cevak LXI")</f>
        <v>Your Cevak LXI</v>
      </c>
    </row>
    <row r="1217" spans="1:1" ht="14.4">
      <c r="A1217" s="19" t="str">
        <f ca="1">IFERROR(__xludf.DUMMYFUNCTION("GOOGLETRANSLATE(C1217,""ar"",""en"")"),"HRVX")</f>
        <v>HRVX</v>
      </c>
    </row>
    <row r="1218" spans="1:1" ht="14.4">
      <c r="A1218" s="19" t="str">
        <f ca="1">IFERROR(__xludf.DUMMYFUNCTION("GOOGLETRANSLATE(C1218,""ar"",""en"")"),"Civic DX")</f>
        <v>Civic DX</v>
      </c>
    </row>
    <row r="1219" spans="1:1" ht="14.4">
      <c r="A1219" s="19" t="str">
        <f ca="1">IFERROR(__xludf.DUMMYFUNCTION("GOOGLETRANSLATE(C1219,""ar"",""en"")"),"City Lux Sport")</f>
        <v>City Lux Sport</v>
      </c>
    </row>
    <row r="1220" spans="1:1" ht="14.4">
      <c r="A1220" s="19" t="str">
        <f ca="1">IFERROR(__xludf.DUMMYFUNCTION("GOOGLETRANSLATE(C1220,""ar"",""en"")"),"City de X 1.5 liters")</f>
        <v>City de X 1.5 liters</v>
      </c>
    </row>
    <row r="1221" spans="1:1" ht="14.4">
      <c r="A1221" s="19" t="str">
        <f ca="1">IFERROR(__xludf.DUMMYFUNCTION("GOOGLETRANSLATE(C1221,""ar"",""en"")"),"N750 SAG")</f>
        <v>N750 SAG</v>
      </c>
    </row>
    <row r="1222" spans="1:1" ht="14.4">
      <c r="A1222" s="19" t="str">
        <f ca="1">IFERROR(__xludf.DUMMYFUNCTION("GOOGLETRANSLATE(C1222,""ar"",""en"")"),"CRF1000D")</f>
        <v>CRF1000D</v>
      </c>
    </row>
    <row r="1223" spans="1:1" ht="14.4">
      <c r="A1223" s="19" t="str">
        <f ca="1">IFERROR(__xludf.DUMMYFUNCTION("GOOGLETRANSLATE(C1223,""ar"",""en"")"),"160 GS")</f>
        <v>160 GS</v>
      </c>
    </row>
    <row r="1224" spans="1:1" ht="14.4">
      <c r="A1224" s="19" t="str">
        <f ca="1">IFERROR(__xludf.DUMMYFUNCTION("GOOGLETRANSLATE(C1224,""ar"",""en"")"),"Univers")</f>
        <v>Univers</v>
      </c>
    </row>
    <row r="1225" spans="1:1" ht="14.4">
      <c r="A1225" s="19" t="str">
        <f ca="1">IFERROR(__xludf.DUMMYFUNCTION("GOOGLETRANSLATE(C1225,""ar"",""en"")"),"Gesais G in 80")</f>
        <v>Gesais G in 80</v>
      </c>
    </row>
    <row r="1226" spans="1:1" ht="14.4">
      <c r="A1226" s="19" t="str">
        <f ca="1">IFERROR(__xludf.DUMMYFUNCTION("GOOGLETRANSLATE(C1226,""ar"",""en"")"),"G90")</f>
        <v>G90</v>
      </c>
    </row>
    <row r="1227" spans="1:1" ht="14.4">
      <c r="A1227" s="19" t="str">
        <f ca="1">IFERROR(__xludf.DUMMYFUNCTION("GOOGLETRANSLATE(C1227,""ar"",""en"")"),"GV 80")</f>
        <v>GV 80</v>
      </c>
    </row>
    <row r="1228" spans="1:1" ht="14.4">
      <c r="A1228" s="19" t="str">
        <f ca="1">IFERROR(__xludf.DUMMYFUNCTION("GOOGLETRANSLATE(C1228,""ar"",""en"")"),"G in 70 2.5 liters")</f>
        <v>G in 70 2.5 liters</v>
      </c>
    </row>
    <row r="1229" spans="1:1" ht="14.4">
      <c r="A1229" s="19" t="str">
        <f ca="1">IFERROR(__xludf.DUMMYFUNCTION("GOOGLETRANSLATE(C1229,""ar"",""en"")"),"GV 70")</f>
        <v>GV 70</v>
      </c>
    </row>
    <row r="1230" spans="1:1" ht="14.4">
      <c r="A1230" s="19" t="str">
        <f ca="1">IFERROR(__xludf.DUMMYFUNCTION("GOOGLETRANSLATE(C1230,""ar"",""en"")"),"County busy")</f>
        <v>County busy</v>
      </c>
    </row>
    <row r="1231" spans="1:1" ht="14.4">
      <c r="A1231" s="19" t="str">
        <f ca="1">IFERROR(__xludf.DUMMYFUNCTION("GOOGLETRANSLATE(C1231,""ar"",""en"")"),"G80")</f>
        <v>G80</v>
      </c>
    </row>
    <row r="1232" spans="1:1" ht="14.4">
      <c r="A1232" s="19" t="str">
        <f ca="1">IFERROR(__xludf.DUMMYFUNCTION("GOOGLETRANSLATE(C1232,""ar"",""en"")"),"County")</f>
        <v>County</v>
      </c>
    </row>
    <row r="1233" spans="1:1" ht="14.4">
      <c r="A1233" s="19" t="str">
        <f ca="1">IFERROR(__xludf.DUMMYFUNCTION("GOOGLETRANSLATE(C1233,""ar"",""en"")"),"G70")</f>
        <v>G70</v>
      </c>
    </row>
    <row r="1234" spans="1:1" ht="14.4">
      <c r="A1234" s="19" t="str">
        <f ca="1">IFERROR(__xludf.DUMMYFUNCTION("GOOGLETRANSLATE(C1234,""ar"",""en"")"),"Gensis G70")</f>
        <v>Gensis G70</v>
      </c>
    </row>
    <row r="1235" spans="1:1" ht="14.4">
      <c r="A1235" s="19" t="str">
        <f ca="1">IFERROR(__xludf.DUMMYFUNCTION("GOOGLETRANSLATE(C1235,""ar"",""en"")"),"With")</f>
        <v>With</v>
      </c>
    </row>
    <row r="1236" spans="1:1" ht="14.4">
      <c r="A1236" s="19" t="str">
        <f ca="1">IFERROR(__xludf.DUMMYFUNCTION("GOOGLETRANSLATE(C1236,""ar"",""en"")"),"With")</f>
        <v>With</v>
      </c>
    </row>
    <row r="1237" spans="1:1" ht="14.4">
      <c r="A1237" s="19" t="str">
        <f ca="1">IFERROR(__xludf.DUMMYFUNCTION("GOOGLETRANSLATE(C1237,""ar"",""en"")"),"Voltser")</f>
        <v>Voltser</v>
      </c>
    </row>
    <row r="1238" spans="1:1" ht="14.4">
      <c r="A1238" s="19" t="str">
        <f ca="1">IFERROR(__xludf.DUMMYFUNCTION("GOOGLETRANSLATE(C1238,""ar"",""en"")"),"Santavi")</f>
        <v>Santavi</v>
      </c>
    </row>
    <row r="1239" spans="1:1" ht="14.4">
      <c r="A1239" s="19" t="str">
        <f ca="1">IFERROR(__xludf.DUMMYFUNCTION("GOOGLETRANSLATE(C1239,""ar"",""en"")"),"Tucsan 2.5 liters")</f>
        <v>Tucsan 2.5 liters</v>
      </c>
    </row>
    <row r="1240" spans="1:1" ht="14.4">
      <c r="A1240" s="19" t="str">
        <f ca="1">IFERROR(__xludf.DUMMYFUNCTION("GOOGLETRANSLATE(C1240,""ar"",""en"")"),"Tucsan 2.5 liters")</f>
        <v>Tucsan 2.5 liters</v>
      </c>
    </row>
    <row r="1241" spans="1:1" ht="14.4">
      <c r="A1241" s="19" t="str">
        <f ca="1">IFERROR(__xludf.DUMMYFUNCTION("GOOGLETRANSLATE(C1241,""ar"",""en"")"),"3.5 automatic sedan")</f>
        <v>3.5 automatic sedan</v>
      </c>
    </row>
    <row r="1242" spans="1:1" ht="14.4">
      <c r="A1242" s="19" t="str">
        <f ca="1">IFERROR(__xludf.DUMMYFUNCTION("GOOGLETRANSLATE(C1242,""ar"",""en"")"),"Uniform")</f>
        <v>Uniform</v>
      </c>
    </row>
    <row r="1243" spans="1:1" ht="14.4">
      <c r="A1243" s="19" t="str">
        <f ca="1">IFERROR(__xludf.DUMMYFUNCTION("GOOGLETRANSLATE(C1243,""ar"",""en"")"),"Staria 2.2 liters")</f>
        <v>Staria 2.2 liters</v>
      </c>
    </row>
    <row r="1244" spans="1:1" ht="14.4">
      <c r="A1244" s="19" t="str">
        <f ca="1">IFERROR(__xludf.DUMMYFUNCTION("GOOGLETRANSLATE(C1244,""ar"",""en"")"),"Staria 3.5 liters")</f>
        <v>Staria 3.5 liters</v>
      </c>
    </row>
    <row r="1245" spans="1:1" ht="14.4">
      <c r="A1245" s="19" t="str">
        <f ca="1">IFERROR(__xludf.DUMMYFUNCTION("GOOGLETRANSLATE(C1245,""ar"",""en"")"),"Santafi")</f>
        <v>Santafi</v>
      </c>
    </row>
    <row r="1246" spans="1:1" ht="14.4">
      <c r="A1246" s="19" t="str">
        <f ca="1">IFERROR(__xludf.DUMMYFUNCTION("GOOGLETRANSLATE(C1246,""ar"",""en"")"),"Santalic")</f>
        <v>Santalic</v>
      </c>
    </row>
    <row r="1247" spans="1:1" ht="14.4">
      <c r="A1247" s="19" t="str">
        <f ca="1">IFERROR(__xludf.DUMMYFUNCTION("GOOGLETRANSLATE(C1247,""ar"",""en"")"),"Uniform")</f>
        <v>Uniform</v>
      </c>
    </row>
    <row r="1248" spans="1:1" ht="14.4">
      <c r="A1248" s="19" t="str">
        <f ca="1">IFERROR(__xludf.DUMMYFUNCTION("GOOGLETRANSLATE(C1248,""ar"",""en"")"),"Centagomizer GL automatic")</f>
        <v>Centagomizer GL automatic</v>
      </c>
    </row>
    <row r="1249" spans="1:1" ht="14.4">
      <c r="A1249" s="19" t="str">
        <f ca="1">IFERROR(__xludf.DUMMYFUNCTION("GOOGLETRANSLATE(C1249,""ar"",""en"")"),"Santalic")</f>
        <v>Santalic</v>
      </c>
    </row>
    <row r="1250" spans="1:1" ht="14.4">
      <c r="A1250" s="19" t="str">
        <f ca="1">IFERROR(__xludf.DUMMYFUNCTION("GOOGLETRANSLATE(C1250,""ar"",""en"")"),"Sonata Hybrid")</f>
        <v>Sonata Hybrid</v>
      </c>
    </row>
    <row r="1251" spans="1:1" ht="14.4">
      <c r="A1251" s="19" t="str">
        <f ca="1">IFERROR(__xludf.DUMMYFUNCTION("GOOGLETRANSLATE(C1251,""ar"",""en"")"),"GL 4 x 4")</f>
        <v>GL 4 x 4</v>
      </c>
    </row>
    <row r="1252" spans="1:1" ht="14.4">
      <c r="A1252" s="19" t="str">
        <f ca="1">IFERROR(__xludf.DUMMYFUNCTION("GOOGLETRANSLATE(C1252,""ar"",""en"")"),"H1 TQ")</f>
        <v>H1 TQ</v>
      </c>
    </row>
    <row r="1253" spans="1:1" ht="14.4">
      <c r="A1253" s="19" t="str">
        <f ca="1">IFERROR(__xludf.DUMMYFUNCTION("GOOGLETRANSLATE(C1253,""ar"",""en"")"),"Santa VGLS 3.3")</f>
        <v>Santa VGLS 3.3</v>
      </c>
    </row>
    <row r="1254" spans="1:1" ht="14.4">
      <c r="A1254" s="19" t="str">
        <f ca="1">IFERROR(__xludf.DUMMYFUNCTION("GOOGLETRANSLATE(C1254,""ar"",""en"")"),"Staria")</f>
        <v>Staria</v>
      </c>
    </row>
    <row r="1255" spans="1:1" ht="14.4">
      <c r="A1255" s="19" t="str">
        <f ca="1">IFERROR(__xludf.DUMMYFUNCTION("GOOGLETRANSLATE(C1255,""ar"",""en"")"),"Tucson 1.6 liters")</f>
        <v>Tucson 1.6 liters</v>
      </c>
    </row>
    <row r="1256" spans="1:1" ht="14.4">
      <c r="A1256" s="19" t="str">
        <f ca="1">IFERROR(__xludf.DUMMYFUNCTION("GOOGLETRANSLATE(C1256,""ar"",""en"")"),"H1")</f>
        <v>H1</v>
      </c>
    </row>
    <row r="1257" spans="1:1" ht="14.4">
      <c r="A1257" s="19" t="str">
        <f ca="1">IFERROR(__xludf.DUMMYFUNCTION("GOOGLETRANSLATE(C1257,""ar"",""en"")"),"GL 4 x 2")</f>
        <v>GL 4 x 2</v>
      </c>
    </row>
    <row r="1258" spans="1:1" ht="14.4">
      <c r="A1258" s="19" t="str">
        <f ca="1">IFERROR(__xludf.DUMMYFUNCTION("GOOGLETRANSLATE(C1258,""ar"",""en"")"),"Azira GLS")</f>
        <v>Azira GLS</v>
      </c>
    </row>
    <row r="1259" spans="1:1" ht="14.4">
      <c r="A1259" s="19" t="str">
        <f ca="1">IFERROR(__xludf.DUMMYFUNCTION("GOOGLETRANSLATE(C1259,""ar"",""en"")"),"Tucson 2 liters")</f>
        <v>Tucson 2 liters</v>
      </c>
    </row>
    <row r="1260" spans="1:1" ht="14.4">
      <c r="A1260" s="19" t="str">
        <f ca="1">IFERROR(__xludf.DUMMYFUNCTION("GOOGLETRANSLATE(C1260,""ar"",""en"")"),"HD 65")</f>
        <v>HD 65</v>
      </c>
    </row>
    <row r="1261" spans="1:1" ht="14.4">
      <c r="A1261" s="19" t="str">
        <f ca="1">IFERROR(__xludf.DUMMYFUNCTION("GOOGLETRANSLATE(C1261,""ar"",""en"")"),"HD 65")</f>
        <v>HD 65</v>
      </c>
    </row>
    <row r="1262" spans="1:1" ht="14.4">
      <c r="A1262" s="19" t="str">
        <f ca="1">IFERROR(__xludf.DUMMYFUNCTION("GOOGLETRANSLATE(C1262,""ar"",""en"")"),"-")</f>
        <v>-</v>
      </c>
    </row>
    <row r="1263" spans="1:1" ht="14.4">
      <c r="A1263" s="19" t="str">
        <f ca="1">IFERROR(__xludf.DUMMYFUNCTION("GOOGLETRANSLATE(C1263,""ar"",""en"")"),"Sonata")</f>
        <v>Sonata</v>
      </c>
    </row>
    <row r="1264" spans="1:1" ht="14.4">
      <c r="A1264" s="19" t="str">
        <f ca="1">IFERROR(__xludf.DUMMYFUNCTION("GOOGLETRANSLATE(C1264,""ar"",""en"")"),"Veloster")</f>
        <v>Veloster</v>
      </c>
    </row>
    <row r="1265" spans="1:1" ht="14.4">
      <c r="A1265" s="19" t="str">
        <f ca="1">IFERROR(__xludf.DUMMYFUNCTION("GOOGLETRANSLATE(C1265,""ar"",""en"")"),"Volster 1600 cc")</f>
        <v>Volster 1600 cc</v>
      </c>
    </row>
    <row r="1266" spans="1:1" ht="14.4">
      <c r="A1266" s="19" t="str">
        <f ca="1">IFERROR(__xludf.DUMMYFUNCTION("GOOGLETRANSLATE(C1266,""ar"",""en"")"),"Sonata")</f>
        <v>Sonata</v>
      </c>
    </row>
    <row r="1267" spans="1:1" ht="14.4">
      <c r="A1267" s="19" t="str">
        <f ca="1">IFERROR(__xludf.DUMMYFUNCTION("GOOGLETRANSLATE(C1267,""ar"",""en"")"),"H -1")</f>
        <v>H -1</v>
      </c>
    </row>
    <row r="1268" spans="1:1" ht="14.4">
      <c r="A1268" s="19" t="str">
        <f ca="1">IFERROR(__xludf.DUMMYFUNCTION("GOOGLETRANSLATE(C1268,""ar"",""en"")"),"H1 normal")</f>
        <v>H1 normal</v>
      </c>
    </row>
    <row r="1269" spans="1:1" ht="14.4">
      <c r="A1269" s="19" t="str">
        <f ca="1">IFERROR(__xludf.DUMMYFUNCTION("GOOGLETRANSLATE(C1269,""ar"",""en"")"),"Konna 2 liters")</f>
        <v>Konna 2 liters</v>
      </c>
    </row>
    <row r="1270" spans="1:1" ht="14.4">
      <c r="A1270" s="19" t="str">
        <f ca="1">IFERROR(__xludf.DUMMYFUNCTION("GOOGLETRANSLATE(C1270,""ar"",""en"")"),"Elantra 2 liters")</f>
        <v>Elantra 2 liters</v>
      </c>
    </row>
    <row r="1271" spans="1:1" ht="14.4">
      <c r="A1271" s="19" t="str">
        <f ca="1">IFERROR(__xludf.DUMMYFUNCTION("GOOGLETRANSLATE(C1271,""ar"",""en"")"),"Sonata GLS 2.4")</f>
        <v>Sonata GLS 2.4</v>
      </c>
    </row>
    <row r="1272" spans="1:1" ht="14.4">
      <c r="A1272" s="19" t="str">
        <f ca="1">IFERROR(__xludf.DUMMYFUNCTION("GOOGLETRANSLATE(C1272,""ar"",""en"")"),"Creta 1.5 liters")</f>
        <v>Creta 1.5 liters</v>
      </c>
    </row>
    <row r="1273" spans="1:1" ht="14.4">
      <c r="A1273" s="19" t="str">
        <f ca="1">IFERROR(__xludf.DUMMYFUNCTION("GOOGLETRANSLATE(C1273,""ar"",""en"")"),"Universe")</f>
        <v>Universe</v>
      </c>
    </row>
    <row r="1274" spans="1:1" ht="14.4">
      <c r="A1274" s="19" t="str">
        <f ca="1">IFERROR(__xludf.DUMMYFUNCTION("GOOGLETRANSLATE(C1274,""ar"",""en"")"),"Konna 2 liters")</f>
        <v>Konna 2 liters</v>
      </c>
    </row>
    <row r="1275" spans="1:1" ht="14.4">
      <c r="A1275" s="19" t="str">
        <f ca="1">IFERROR(__xludf.DUMMYFUNCTION("GOOGLETRANSLATE(C1275,""ar"",""en"")"),"Konna Hybrid")</f>
        <v>Konna Hybrid</v>
      </c>
    </row>
    <row r="1276" spans="1:1" ht="14.4">
      <c r="A1276" s="19" t="str">
        <f ca="1">IFERROR(__xludf.DUMMYFUNCTION("GOOGLETRANSLATE(C1276,""ar"",""en"")"),"Elantra 2000 force")</f>
        <v>Elantra 2000 force</v>
      </c>
    </row>
    <row r="1277" spans="1:1" ht="14.4">
      <c r="A1277" s="19" t="str">
        <f ca="1">IFERROR(__xludf.DUMMYFUNCTION("GOOGLETRANSLATE(C1277,""ar"",""en"")"),"Elantra 1.6 liters")</f>
        <v>Elantra 1.6 liters</v>
      </c>
    </row>
    <row r="1278" spans="1:1" ht="14.4">
      <c r="A1278" s="19" t="str">
        <f ca="1">IFERROR(__xludf.DUMMYFUNCTION("GOOGLETRANSLATE(C1278,""ar"",""en"")"),"Elantra 1600 force")</f>
        <v>Elantra 1600 force</v>
      </c>
    </row>
    <row r="1279" spans="1:1" ht="14.4">
      <c r="A1279" s="19" t="str">
        <f ca="1">IFERROR(__xludf.DUMMYFUNCTION("GOOGLETRANSLATE(C1279,""ar"",""en"")"),"Creta")</f>
        <v>Creta</v>
      </c>
    </row>
    <row r="1280" spans="1:1" ht="14.4">
      <c r="A1280" s="19" t="str">
        <f ca="1">IFERROR(__xludf.DUMMYFUNCTION("GOOGLETRANSLATE(C1280,""ar"",""en"")"),"Accent 1.6 liters Utuatic")</f>
        <v>Accent 1.6 liters Utuatic</v>
      </c>
    </row>
    <row r="1281" spans="1:1" ht="14.4">
      <c r="A1281" s="19" t="str">
        <f ca="1">IFERROR(__xludf.DUMMYFUNCTION("GOOGLETRANSLATE(C1281,""ar"",""en"")"),"Elantra GL 2.0 Automat")</f>
        <v>Elantra GL 2.0 Automat</v>
      </c>
    </row>
    <row r="1282" spans="1:1" ht="14.4">
      <c r="A1282" s="19" t="str">
        <f ca="1">IFERROR(__xludf.DUMMYFUNCTION("GOOGLETRANSLATE(C1282,""ar"",""en"")"),"Accent")</f>
        <v>Accent</v>
      </c>
    </row>
    <row r="1283" spans="1:1" ht="14.4">
      <c r="A1283" s="19" t="str">
        <f ca="1">IFERROR(__xludf.DUMMYFUNCTION("GOOGLETRANSLATE(C1283,""ar"",""en"")"),"Accent")</f>
        <v>Accent</v>
      </c>
    </row>
    <row r="1284" spans="1:1" ht="14.4">
      <c r="A1284" s="19" t="str">
        <f ca="1">IFERROR(__xludf.DUMMYFUNCTION("GOOGLETRANSLATE(C1284,""ar"",""en"")"),"Grand A 10")</f>
        <v>Grand A 10</v>
      </c>
    </row>
    <row r="1285" spans="1:1" ht="14.4">
      <c r="A1285" s="19" t="str">
        <f ca="1">IFERROR(__xludf.DUMMYFUNCTION("GOOGLETRANSLATE(C1285,""ar"",""en"")"),"Accent 1400 cc")</f>
        <v>Accent 1400 cc</v>
      </c>
    </row>
    <row r="1286" spans="1:1" ht="14.4">
      <c r="A1286" s="19" t="str">
        <f ca="1">IFERROR(__xludf.DUMMYFUNCTION("GOOGLETRANSLATE(C1286,""ar"",""en"")"),"Hunter F70")</f>
        <v>Hunter F70</v>
      </c>
    </row>
    <row r="1287" spans="1:1" ht="14.4">
      <c r="A1287" s="19" t="str">
        <f ca="1">IFERROR(__xludf.DUMMYFUNCTION("GOOGLETRANSLATE(C1287,""ar"",""en"")"),"CBCD 100 -W 5")</f>
        <v>CBCD 100 -W 5</v>
      </c>
    </row>
    <row r="1288" spans="1:1" ht="14.4">
      <c r="A1288" s="19" t="str">
        <f ca="1">IFERROR(__xludf.DUMMYFUNCTION("GOOGLETRANSLATE(C1288,""ar"",""en"")"),"500 Ceres GT 1G HA")</f>
        <v>500 Ceres GT 1G HA</v>
      </c>
    </row>
    <row r="1289" spans="1:1" ht="14.4">
      <c r="A1289" s="19" t="str">
        <f ca="1">IFERROR(__xludf.DUMMYFUNCTION("GOOGLETRANSLATE(C1289,""ar"",""en"")"),"500 Siris GH8 JG J.")</f>
        <v>500 Siris GH8 JG J.</v>
      </c>
    </row>
    <row r="1290" spans="1:1" ht="14.4">
      <c r="A1290" s="19" t="str">
        <f ca="1">IFERROR(__xludf.DUMMYFUNCTION("GOOGLETRANSLATE(C1290,""ar"",""en"")"),"500 Ceres FG 8GB")</f>
        <v>500 Ceres FG 8GB</v>
      </c>
    </row>
    <row r="1291" spans="1:1" ht="14.4">
      <c r="A1291" s="19" t="str">
        <f ca="1">IFERROR(__xludf.DUMMYFUNCTION("GOOGLETRANSLATE(C1291,""ar"",""en"")"),"500 GD 8 JLSA")</f>
        <v>500 GD 8 JLSA</v>
      </c>
    </row>
    <row r="1292" spans="1:1" ht="14.4">
      <c r="A1292" s="19" t="str">
        <f ca="1">IFERROR(__xludf.DUMMYFUNCTION("GOOGLETRANSLATE(C1292,""ar"",""en"")"),"Hino 300-730 Dipllo KFT")</f>
        <v>Hino 300-730 Dipllo KFT</v>
      </c>
    </row>
    <row r="1293" spans="1:1" ht="14.4">
      <c r="A1293" s="19" t="str">
        <f ca="1">IFERROR(__xludf.DUMMYFUNCTION("GOOGLETRANSLATE(C1293,""ar"",""en"")"),"500 GD 8 JLSA")</f>
        <v>500 GD 8 JLSA</v>
      </c>
    </row>
    <row r="1294" spans="1:1" ht="14.4">
      <c r="A1294" s="19" t="str">
        <f ca="1">IFERROR(__xludf.DUMMYFUNCTION("GOOGLETRANSLATE(C1294,""ar"",""en"")"),"300-720 Dipllo KM QK")</f>
        <v>300-720 Dipllo KM QK</v>
      </c>
    </row>
    <row r="1295" spans="1:1" ht="14.4">
      <c r="A1295" s="19" t="str">
        <f ca="1">IFERROR(__xludf.DUMMYFUNCTION("GOOGLETRANSLATE(C1295,""ar"",""en"")"),"300 XZU 710 LHK")</f>
        <v>300 XZU 710 LHK</v>
      </c>
    </row>
    <row r="1296" spans="1:1" ht="14.4">
      <c r="A1296" s="19" t="str">
        <f ca="1">IFERROR(__xludf.DUMMYFUNCTION("GOOGLETRANSLATE(C1296,""ar"",""en"")"),"Heno 300 730W KMK")</f>
        <v>Heno 300 730W KMK</v>
      </c>
    </row>
    <row r="1297" spans="1:1" ht="14.4">
      <c r="A1297" s="19" t="str">
        <f ca="1">IFERROR(__xludf.DUMMYFUNCTION("GOOGLETRANSLATE(C1297,""ar"",""en"")"),"300-720 -WRL")</f>
        <v>300-720 -WRL</v>
      </c>
    </row>
    <row r="1298" spans="1:1" ht="14.4">
      <c r="A1298" s="19" t="str">
        <f ca="1">IFERROR(__xludf.DUMMYFUNCTION("GOOGLETRANSLATE(C1298,""ar"",""en"")"),"710-300 Dipllo Ki Kio")</f>
        <v>710-300 Dipllo Ki Kio</v>
      </c>
    </row>
    <row r="1299" spans="1:1" ht="14.4">
      <c r="A1299" s="19" t="str">
        <f ca="1">IFERROR(__xludf.DUMMYFUNCTION("GOOGLETRANSLATE(C1299,""ar"",""en"")"),"XSU 720 HKA")</f>
        <v>XSU 720 HKA</v>
      </c>
    </row>
    <row r="1300" spans="1:1" ht="14.4">
      <c r="A1300" s="19" t="str">
        <f ca="1">IFERROR(__xludf.DUMMYFUNCTION("GOOGLETRANSLATE(C1300,""ar"",""en"")"),"XSU 710 LHMM")</f>
        <v>XSU 710 LHMM</v>
      </c>
    </row>
    <row r="1301" spans="1:1" ht="14.4">
      <c r="A1301" s="19" t="str">
        <f ca="1">IFERROR(__xludf.DUMMYFUNCTION("GOOGLETRANSLATE(C1301,""ar"",""en"")"),"300 XZU 730 LHA")</f>
        <v>300 XZU 730 LHA</v>
      </c>
    </row>
    <row r="1302" spans="1:1" ht="14.4">
      <c r="A1302" s="19" t="str">
        <f ca="1">IFERROR(__xludf.DUMMYFUNCTION("GOOGLETRANSLATE(C1302,""ar"",""en"")"),"300-600 WWM")</f>
        <v>300-600 WWM</v>
      </c>
    </row>
    <row r="1303" spans="1:1" ht="14.4">
      <c r="A1303" s="19" t="str">
        <f ca="1">IFERROR(__xludf.DUMMYFUNCTION("GOOGLETRANSLATE(C1303,""ar"",""en"")"),"XZU 710 th")</f>
        <v>XZU 710 th</v>
      </c>
    </row>
    <row r="1304" spans="1:1" ht="14.4">
      <c r="A1304" s="19" t="str">
        <f ca="1">IFERROR(__xludf.DUMMYFUNCTION("GOOGLETRANSLATE(C1304,""ar"",""en"")"),"XZU 600 LHMA")</f>
        <v>XZU 600 LHMA</v>
      </c>
    </row>
    <row r="1305" spans="1:1" ht="14.4">
      <c r="A1305" s="19" t="str">
        <f ca="1">IFERROR(__xludf.DUMMYFUNCTION("GOOGLETRANSLATE(C1305,""ar"",""en"")"),"ARB 30 in the")</f>
        <v>ARB 30 in the</v>
      </c>
    </row>
    <row r="1306" spans="1:1" ht="14.4">
      <c r="A1306" s="19" t="str">
        <f ca="1">IFERROR(__xludf.DUMMYFUNCTION("GOOGLETRANSLATE(C1306,""ar"",""en"")"),"ERB 25 in LL")</f>
        <v>ERB 25 in LL</v>
      </c>
    </row>
    <row r="1307" spans="1:1" ht="14.4">
      <c r="A1307" s="19" t="str">
        <f ca="1">IFERROR(__xludf.DUMMYFUNCTION("GOOGLETRANSLATE(C1307,""ar"",""en"")"),"IRB 20 PVT")</f>
        <v>IRB 20 PVT</v>
      </c>
    </row>
    <row r="1308" spans="1:1" ht="14.4">
      <c r="A1308" s="19" t="str">
        <f ca="1">IFERROR(__xludf.DUMMYFUNCTION("GOOGLETRANSLATE(C1308,""ar"",""en"")"),"MR 14")</f>
        <v>MR 14</v>
      </c>
    </row>
    <row r="1309" spans="1:1" ht="14.4">
      <c r="A1309" s="19" t="str">
        <f ca="1">IFERROR(__xludf.DUMMYFUNCTION("GOOGLETRANSLATE(C1309,""ar"",""en"")"),"ERB 16 PVT")</f>
        <v>ERB 16 PVT</v>
      </c>
    </row>
    <row r="1310" spans="1:1" ht="14.4">
      <c r="A1310" s="19" t="str">
        <f ca="1">IFERROR(__xludf.DUMMYFUNCTION("GOOGLETRANSLATE(C1310,""ar"",""en"")"),"GB30 MX")</f>
        <v>GB30 MX</v>
      </c>
    </row>
    <row r="1311" spans="1:1" ht="14.4">
      <c r="A1311" s="19" t="str">
        <f ca="1">IFERROR(__xludf.DUMMYFUNCTION("GOOGLETRANSLATE(C1311,""ar"",""en"")"),"JB 30 UX")</f>
        <v>JB 30 UX</v>
      </c>
    </row>
    <row r="1312" spans="1:1" ht="14.4">
      <c r="A1312" s="19" t="str">
        <f ca="1">IFERROR(__xludf.DUMMYFUNCTION("GOOGLETRANSLATE(C1312,""ar"",""en"")"),"GB 25 UX")</f>
        <v>GB 25 UX</v>
      </c>
    </row>
    <row r="1313" spans="1:1" ht="14.4">
      <c r="A1313" s="19" t="str">
        <f ca="1">IFERROR(__xludf.DUMMYFUNCTION("GOOGLETRANSLATE(C1313,""ar"",""en"")"),"MB 20 XU")</f>
        <v>MB 20 XU</v>
      </c>
    </row>
    <row r="1314" spans="1:1" ht="14.4">
      <c r="A1314" s="19" t="str">
        <f ca="1">IFERROR(__xludf.DUMMYFUNCTION("GOOGLETRANSLATE(C1314,""ar"",""en"")"),"Cylinder")</f>
        <v>Cylinder</v>
      </c>
    </row>
    <row r="1315" spans="1:1" ht="14.4">
      <c r="A1315" s="19" t="str">
        <f ca="1">IFERROR(__xludf.DUMMYFUNCTION("GOOGLETRANSLATE(C1315,""ar"",""en"")"),"Croner BKA 250")</f>
        <v>Croner BKA 250</v>
      </c>
    </row>
    <row r="1316" spans="1:1" ht="14.4">
      <c r="A1316" s="19" t="str">
        <f ca="1">IFERROR(__xludf.DUMMYFUNCTION("GOOGLETRANSLATE(C1316,""ar"",""en"")"),"Krone BKI 250 2 x 4")</f>
        <v>Krone BKI 250 2 x 4</v>
      </c>
    </row>
    <row r="1317" spans="1:1" ht="14.4">
      <c r="A1317" s="19" t="str">
        <f ca="1">IFERROR(__xludf.DUMMYFUNCTION("GOOGLETRANSLATE(C1317,""ar"",""en"")"),"Krone KI 210")</f>
        <v>Krone KI 210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03B9-8A81-4AD8-AF77-994661C60FDD}">
  <dimension ref="A1:C184"/>
  <sheetViews>
    <sheetView tabSelected="1" workbookViewId="0">
      <selection sqref="A1:A1048576"/>
    </sheetView>
  </sheetViews>
  <sheetFormatPr defaultRowHeight="13.2"/>
  <cols>
    <col min="1" max="1" width="19.77734375" customWidth="1"/>
    <col min="2" max="2" width="30.77734375" customWidth="1"/>
    <col min="3" max="3" width="29.109375" customWidth="1"/>
  </cols>
  <sheetData>
    <row r="1" spans="1:3" ht="14.4">
      <c r="A1" s="21" t="s">
        <v>3949</v>
      </c>
      <c r="B1" s="21" t="s">
        <v>1475</v>
      </c>
      <c r="C1" s="21" t="s">
        <v>3943</v>
      </c>
    </row>
    <row r="2" spans="1:3">
      <c r="A2" t="s">
        <v>3950</v>
      </c>
      <c r="B2" t="s">
        <v>1614</v>
      </c>
      <c r="C2" s="16">
        <v>0.91666666666666674</v>
      </c>
    </row>
    <row r="3" spans="1:3">
      <c r="A3" t="s">
        <v>3951</v>
      </c>
      <c r="B3" t="s">
        <v>1614</v>
      </c>
      <c r="C3" s="16">
        <v>0.94736842105263164</v>
      </c>
    </row>
    <row r="4" spans="1:3">
      <c r="A4" t="s">
        <v>3952</v>
      </c>
      <c r="B4" t="s">
        <v>1601</v>
      </c>
      <c r="C4" s="16">
        <v>0.94736842105263164</v>
      </c>
    </row>
    <row r="5" spans="1:3">
      <c r="A5" t="s">
        <v>3953</v>
      </c>
      <c r="B5" t="s">
        <v>1601</v>
      </c>
      <c r="C5" s="16">
        <v>0.970873786407767</v>
      </c>
    </row>
    <row r="6" spans="1:3">
      <c r="A6" t="s">
        <v>1605</v>
      </c>
      <c r="B6" t="s">
        <v>1605</v>
      </c>
      <c r="C6" s="16">
        <v>1</v>
      </c>
    </row>
    <row r="7" spans="1:3">
      <c r="A7" t="s">
        <v>3954</v>
      </c>
      <c r="B7" t="s">
        <v>1600</v>
      </c>
      <c r="C7" s="16">
        <v>0.970873786407767</v>
      </c>
    </row>
    <row r="8" spans="1:3">
      <c r="A8" t="s">
        <v>1604</v>
      </c>
      <c r="B8" t="s">
        <v>1604</v>
      </c>
      <c r="C8" s="16">
        <v>1</v>
      </c>
    </row>
    <row r="9" spans="1:3">
      <c r="A9" t="s">
        <v>3955</v>
      </c>
      <c r="B9" t="s">
        <v>1599</v>
      </c>
      <c r="C9" s="16">
        <v>0.94736842105263164</v>
      </c>
    </row>
    <row r="10" spans="1:3">
      <c r="A10" t="s">
        <v>3956</v>
      </c>
      <c r="B10" t="s">
        <v>1604</v>
      </c>
      <c r="C10" s="16">
        <v>0.90222709017889746</v>
      </c>
    </row>
    <row r="11" spans="1:3">
      <c r="A11" t="s">
        <v>3957</v>
      </c>
      <c r="B11">
        <v>5</v>
      </c>
      <c r="C11" s="16">
        <v>0.93333333333333335</v>
      </c>
    </row>
    <row r="12" spans="1:3">
      <c r="A12" t="s">
        <v>3958</v>
      </c>
      <c r="B12">
        <v>6</v>
      </c>
      <c r="C12" s="16">
        <v>0.9375</v>
      </c>
    </row>
    <row r="13" spans="1:3">
      <c r="A13" t="s">
        <v>3959</v>
      </c>
      <c r="B13" t="s">
        <v>1599</v>
      </c>
      <c r="C13" s="16">
        <v>0.91666666666666674</v>
      </c>
    </row>
    <row r="14" spans="1:3">
      <c r="A14" t="s">
        <v>3960</v>
      </c>
      <c r="B14" t="s">
        <v>1598</v>
      </c>
      <c r="C14" s="16">
        <v>0.970873786407767</v>
      </c>
    </row>
    <row r="15" spans="1:3">
      <c r="A15" t="s">
        <v>1597</v>
      </c>
      <c r="B15" t="s">
        <v>1597</v>
      </c>
      <c r="C15" s="16">
        <v>1</v>
      </c>
    </row>
    <row r="16" spans="1:3">
      <c r="A16" t="s">
        <v>1602</v>
      </c>
      <c r="B16" t="s">
        <v>1602</v>
      </c>
      <c r="C16" s="16">
        <v>1</v>
      </c>
    </row>
    <row r="17" spans="1:3">
      <c r="A17" t="s">
        <v>1597</v>
      </c>
      <c r="B17" t="s">
        <v>1597</v>
      </c>
      <c r="C17" s="16">
        <v>1</v>
      </c>
    </row>
    <row r="18" spans="1:3">
      <c r="A18" t="s">
        <v>1602</v>
      </c>
      <c r="B18" t="s">
        <v>1602</v>
      </c>
      <c r="C18" s="16">
        <v>1</v>
      </c>
    </row>
    <row r="19" spans="1:3">
      <c r="A19" t="s">
        <v>3961</v>
      </c>
      <c r="B19" t="s">
        <v>1612</v>
      </c>
      <c r="C19" s="16">
        <v>0.970873786407767</v>
      </c>
    </row>
    <row r="20" spans="1:3">
      <c r="A20" t="s">
        <v>3962</v>
      </c>
      <c r="B20" t="s">
        <v>1542</v>
      </c>
      <c r="C20" s="16">
        <v>0.970873786407767</v>
      </c>
    </row>
    <row r="21" spans="1:3">
      <c r="A21" t="s">
        <v>3963</v>
      </c>
      <c r="B21" t="s">
        <v>1620</v>
      </c>
      <c r="C21" s="16">
        <v>0.92088028556287682</v>
      </c>
    </row>
    <row r="22" spans="1:3">
      <c r="A22" t="s">
        <v>3964</v>
      </c>
      <c r="B22" t="s">
        <v>1636</v>
      </c>
      <c r="C22" s="16">
        <v>0.94444444444444442</v>
      </c>
    </row>
    <row r="23" spans="1:3">
      <c r="A23" t="s">
        <v>3965</v>
      </c>
      <c r="B23">
        <v>718</v>
      </c>
      <c r="C23" s="16">
        <v>0.94736842105263164</v>
      </c>
    </row>
    <row r="24" spans="1:3">
      <c r="A24" t="s">
        <v>3966</v>
      </c>
      <c r="B24" t="s">
        <v>1511</v>
      </c>
      <c r="C24" s="16">
        <v>0.91666666666666674</v>
      </c>
    </row>
    <row r="25" spans="1:3">
      <c r="A25" t="s">
        <v>3967</v>
      </c>
      <c r="B25" t="s">
        <v>1500</v>
      </c>
      <c r="C25" s="16">
        <v>0.970873786407767</v>
      </c>
    </row>
    <row r="26" spans="1:3">
      <c r="A26" t="s">
        <v>3968</v>
      </c>
      <c r="B26" t="s">
        <v>1512</v>
      </c>
      <c r="C26" s="16">
        <v>0.91304347826086962</v>
      </c>
    </row>
    <row r="27" spans="1:3">
      <c r="A27" t="s">
        <v>3969</v>
      </c>
      <c r="B27" t="s">
        <v>1494</v>
      </c>
      <c r="C27" s="16">
        <v>0.970873786407767</v>
      </c>
    </row>
    <row r="28" spans="1:3">
      <c r="A28" t="s">
        <v>3970</v>
      </c>
      <c r="B28" t="s">
        <v>1511</v>
      </c>
      <c r="C28" s="16">
        <v>0.91666666666666674</v>
      </c>
    </row>
    <row r="29" spans="1:3">
      <c r="A29" t="s">
        <v>3971</v>
      </c>
      <c r="B29" t="s">
        <v>1510</v>
      </c>
      <c r="C29" s="16">
        <v>0.91666666666666674</v>
      </c>
    </row>
    <row r="30" spans="1:3">
      <c r="A30" t="s">
        <v>3972</v>
      </c>
      <c r="B30" t="s">
        <v>1495</v>
      </c>
      <c r="C30" s="16">
        <v>0.970873786407767</v>
      </c>
    </row>
    <row r="31" spans="1:3">
      <c r="A31" t="s">
        <v>3973</v>
      </c>
      <c r="B31" t="s">
        <v>1492</v>
      </c>
      <c r="C31" s="16">
        <v>0.970873786407767</v>
      </c>
    </row>
    <row r="32" spans="1:3">
      <c r="A32" t="s">
        <v>3974</v>
      </c>
      <c r="B32" t="s">
        <v>1511</v>
      </c>
      <c r="C32" s="16">
        <v>0.9</v>
      </c>
    </row>
    <row r="33" spans="1:3">
      <c r="A33" t="s">
        <v>1501</v>
      </c>
      <c r="B33" t="s">
        <v>1501</v>
      </c>
      <c r="C33" s="16">
        <v>1</v>
      </c>
    </row>
    <row r="34" spans="1:3">
      <c r="A34" t="s">
        <v>3975</v>
      </c>
      <c r="B34" t="s">
        <v>1485</v>
      </c>
      <c r="C34" s="16">
        <v>0.970873786407767</v>
      </c>
    </row>
    <row r="35" spans="1:3">
      <c r="A35" t="s">
        <v>3976</v>
      </c>
      <c r="B35" t="s">
        <v>1509</v>
      </c>
      <c r="C35" s="16">
        <v>0.92088028556287682</v>
      </c>
    </row>
    <row r="36" spans="1:3">
      <c r="A36" t="s">
        <v>3977</v>
      </c>
      <c r="B36" t="s">
        <v>1491</v>
      </c>
      <c r="C36" s="16">
        <v>0.970873786407767</v>
      </c>
    </row>
    <row r="37" spans="1:3">
      <c r="A37" t="s">
        <v>3978</v>
      </c>
      <c r="B37" t="s">
        <v>1507</v>
      </c>
      <c r="C37" s="16">
        <v>0.91666666666666674</v>
      </c>
    </row>
    <row r="38" spans="1:3">
      <c r="A38" t="s">
        <v>3979</v>
      </c>
      <c r="B38" t="s">
        <v>1496</v>
      </c>
      <c r="C38" s="16">
        <v>0.970873786407767</v>
      </c>
    </row>
    <row r="39" spans="1:3">
      <c r="A39" t="s">
        <v>3980</v>
      </c>
      <c r="B39" t="s">
        <v>1486</v>
      </c>
      <c r="C39" s="16">
        <v>0.970873786407767</v>
      </c>
    </row>
    <row r="40" spans="1:3">
      <c r="A40" t="s">
        <v>3981</v>
      </c>
      <c r="B40" t="s">
        <v>1481</v>
      </c>
      <c r="C40" s="16">
        <v>0.970873786407767</v>
      </c>
    </row>
    <row r="41" spans="1:3">
      <c r="A41" t="s">
        <v>3982</v>
      </c>
      <c r="B41">
        <v>5</v>
      </c>
      <c r="C41" s="16">
        <v>0.93333333333333335</v>
      </c>
    </row>
    <row r="42" spans="1:3">
      <c r="A42" t="s">
        <v>3983</v>
      </c>
      <c r="B42" t="s">
        <v>1504</v>
      </c>
      <c r="C42" s="16">
        <v>0.970873786407767</v>
      </c>
    </row>
    <row r="43" spans="1:3">
      <c r="A43" t="s">
        <v>3984</v>
      </c>
      <c r="B43" t="s">
        <v>1487</v>
      </c>
      <c r="C43" s="16">
        <v>0.970873786407767</v>
      </c>
    </row>
    <row r="44" spans="1:3">
      <c r="A44" t="s">
        <v>3985</v>
      </c>
      <c r="B44" t="s">
        <v>1506</v>
      </c>
      <c r="C44" s="16">
        <v>0.91666666666666674</v>
      </c>
    </row>
    <row r="45" spans="1:3">
      <c r="A45" t="s">
        <v>3986</v>
      </c>
      <c r="B45" t="s">
        <v>1568</v>
      </c>
      <c r="C45" s="16">
        <v>0.91993806244848353</v>
      </c>
    </row>
    <row r="46" spans="1:3">
      <c r="A46" t="s">
        <v>3987</v>
      </c>
      <c r="B46" t="s">
        <v>1498</v>
      </c>
      <c r="C46" s="16">
        <v>0.970873786407767</v>
      </c>
    </row>
    <row r="47" spans="1:3">
      <c r="A47" t="s">
        <v>3985</v>
      </c>
      <c r="B47" t="s">
        <v>1506</v>
      </c>
      <c r="C47" s="16">
        <v>0.91666666666666674</v>
      </c>
    </row>
    <row r="48" spans="1:3">
      <c r="A48" t="s">
        <v>3988</v>
      </c>
      <c r="B48" t="s">
        <v>1636</v>
      </c>
      <c r="C48" s="16">
        <v>0.91304347826086962</v>
      </c>
    </row>
    <row r="49" spans="1:3">
      <c r="A49" t="s">
        <v>3989</v>
      </c>
      <c r="B49" t="s">
        <v>1561</v>
      </c>
      <c r="C49" s="16">
        <v>0.94444444444444442</v>
      </c>
    </row>
    <row r="50" spans="1:3">
      <c r="A50" t="s">
        <v>3990</v>
      </c>
      <c r="B50">
        <v>5008</v>
      </c>
      <c r="C50" s="16">
        <v>0.90370370370370368</v>
      </c>
    </row>
    <row r="51" spans="1:3">
      <c r="A51" t="s">
        <v>3991</v>
      </c>
      <c r="B51" t="s">
        <v>1561</v>
      </c>
      <c r="C51" s="16">
        <v>0.91304347826086962</v>
      </c>
    </row>
    <row r="52" spans="1:3">
      <c r="A52" t="s">
        <v>3992</v>
      </c>
      <c r="B52">
        <v>3008</v>
      </c>
      <c r="C52" s="16">
        <v>0.90370370370370368</v>
      </c>
    </row>
    <row r="53" spans="1:3">
      <c r="A53" t="s">
        <v>3993</v>
      </c>
      <c r="B53">
        <v>5008</v>
      </c>
      <c r="C53" s="16">
        <v>0.94736842105263164</v>
      </c>
    </row>
    <row r="54" spans="1:3">
      <c r="A54" t="s">
        <v>3994</v>
      </c>
      <c r="B54">
        <v>3008</v>
      </c>
      <c r="C54" s="16">
        <v>0.94736842105263164</v>
      </c>
    </row>
    <row r="55" spans="1:3">
      <c r="A55" t="s">
        <v>3995</v>
      </c>
      <c r="B55">
        <v>3008</v>
      </c>
      <c r="C55" s="16">
        <v>0.94736842105263164</v>
      </c>
    </row>
    <row r="56" spans="1:3">
      <c r="A56" t="s">
        <v>3996</v>
      </c>
      <c r="B56">
        <v>2008</v>
      </c>
      <c r="C56" s="16">
        <v>0.90370370370370368</v>
      </c>
    </row>
    <row r="57" spans="1:3">
      <c r="A57" t="s">
        <v>3997</v>
      </c>
      <c r="B57">
        <v>2008</v>
      </c>
      <c r="C57" s="16">
        <v>0.94736842105263164</v>
      </c>
    </row>
    <row r="58" spans="1:3">
      <c r="A58" t="s">
        <v>3997</v>
      </c>
      <c r="B58">
        <v>2008</v>
      </c>
      <c r="C58" s="16">
        <v>0.94736842105263164</v>
      </c>
    </row>
    <row r="59" spans="1:3">
      <c r="A59" t="s">
        <v>3998</v>
      </c>
      <c r="B59" t="s">
        <v>1951</v>
      </c>
      <c r="C59" s="16">
        <v>1</v>
      </c>
    </row>
    <row r="60" spans="1:3">
      <c r="A60" t="s">
        <v>3999</v>
      </c>
      <c r="B60" t="s">
        <v>1951</v>
      </c>
      <c r="C60" s="16">
        <v>0.95179649453228454</v>
      </c>
    </row>
    <row r="61" spans="1:3">
      <c r="A61" t="s">
        <v>4000</v>
      </c>
      <c r="B61" t="s">
        <v>1939</v>
      </c>
      <c r="C61" s="16">
        <v>0.970873786407767</v>
      </c>
    </row>
    <row r="62" spans="1:3">
      <c r="A62" t="s">
        <v>4001</v>
      </c>
      <c r="B62" t="s">
        <v>1944</v>
      </c>
      <c r="C62" s="16">
        <v>0.970873786407767</v>
      </c>
    </row>
    <row r="63" spans="1:3">
      <c r="A63" t="s">
        <v>4002</v>
      </c>
      <c r="B63" t="s">
        <v>1942</v>
      </c>
      <c r="C63" s="16">
        <v>0.92088028556287682</v>
      </c>
    </row>
    <row r="64" spans="1:3">
      <c r="A64" t="s">
        <v>4003</v>
      </c>
      <c r="B64" t="s">
        <v>1942</v>
      </c>
      <c r="C64" s="16">
        <v>0.92088028556287682</v>
      </c>
    </row>
    <row r="65" spans="1:3">
      <c r="A65" t="s">
        <v>4004</v>
      </c>
      <c r="B65" t="s">
        <v>1942</v>
      </c>
      <c r="C65" s="16">
        <v>0.970873786407767</v>
      </c>
    </row>
    <row r="66" spans="1:3">
      <c r="A66" t="s">
        <v>4005</v>
      </c>
      <c r="B66" t="s">
        <v>1637</v>
      </c>
      <c r="C66" s="16">
        <v>0.91304347826086962</v>
      </c>
    </row>
    <row r="67" spans="1:3">
      <c r="A67" t="s">
        <v>4006</v>
      </c>
      <c r="B67" t="s">
        <v>1949</v>
      </c>
      <c r="C67" s="16">
        <v>0.970873786407767</v>
      </c>
    </row>
    <row r="68" spans="1:3">
      <c r="A68" t="s">
        <v>4007</v>
      </c>
      <c r="B68" t="s">
        <v>1948</v>
      </c>
      <c r="C68" s="16">
        <v>0.970873786407767</v>
      </c>
    </row>
    <row r="69" spans="1:3">
      <c r="A69" t="s">
        <v>4008</v>
      </c>
      <c r="B69" t="s">
        <v>1637</v>
      </c>
      <c r="C69" s="16">
        <v>0.94444444444444442</v>
      </c>
    </row>
    <row r="70" spans="1:3">
      <c r="A70" t="s">
        <v>4009</v>
      </c>
      <c r="B70" t="s">
        <v>1960</v>
      </c>
      <c r="C70" s="16">
        <v>0.970873786407767</v>
      </c>
    </row>
    <row r="71" spans="1:3">
      <c r="A71" t="s">
        <v>4010</v>
      </c>
      <c r="B71" t="s">
        <v>1656</v>
      </c>
      <c r="C71" s="16">
        <v>0.90769230769230769</v>
      </c>
    </row>
    <row r="72" spans="1:3">
      <c r="A72" t="s">
        <v>4011</v>
      </c>
      <c r="B72" t="s">
        <v>1507</v>
      </c>
      <c r="C72" s="16">
        <v>0.94736842105263164</v>
      </c>
    </row>
    <row r="73" spans="1:3">
      <c r="A73" t="s">
        <v>4012</v>
      </c>
      <c r="B73" t="s">
        <v>1506</v>
      </c>
      <c r="C73" s="16">
        <v>0.94736842105263164</v>
      </c>
    </row>
    <row r="74" spans="1:3">
      <c r="A74" t="s">
        <v>4013</v>
      </c>
      <c r="B74" t="s">
        <v>1637</v>
      </c>
      <c r="C74" s="16">
        <v>0.94444444444444442</v>
      </c>
    </row>
    <row r="75" spans="1:3">
      <c r="A75" t="s">
        <v>4014</v>
      </c>
      <c r="B75" t="s">
        <v>1654</v>
      </c>
      <c r="C75" s="16">
        <v>0.91808021455307598</v>
      </c>
    </row>
    <row r="76" spans="1:3">
      <c r="A76" t="s">
        <v>4015</v>
      </c>
      <c r="B76" t="s">
        <v>1718</v>
      </c>
      <c r="C76" s="16">
        <v>0.94736842105263164</v>
      </c>
    </row>
    <row r="77" spans="1:3">
      <c r="A77" t="s">
        <v>4016</v>
      </c>
      <c r="B77" t="s">
        <v>1717</v>
      </c>
      <c r="C77" s="16">
        <v>0.970873786407767</v>
      </c>
    </row>
    <row r="78" spans="1:3">
      <c r="A78" t="s">
        <v>4017</v>
      </c>
      <c r="B78" t="s">
        <v>2103</v>
      </c>
      <c r="C78" s="16">
        <v>0.94736842105263164</v>
      </c>
    </row>
    <row r="79" spans="1:3">
      <c r="A79" t="s">
        <v>4018</v>
      </c>
      <c r="B79">
        <v>5</v>
      </c>
      <c r="C79" s="16">
        <v>0.9</v>
      </c>
    </row>
    <row r="80" spans="1:3">
      <c r="A80" t="s">
        <v>4019</v>
      </c>
      <c r="B80" t="s">
        <v>1899</v>
      </c>
      <c r="C80" s="16">
        <v>0.91522633744855963</v>
      </c>
    </row>
    <row r="81" spans="1:3">
      <c r="A81" t="s">
        <v>4020</v>
      </c>
      <c r="B81" t="s">
        <v>1899</v>
      </c>
      <c r="C81" s="16">
        <v>1</v>
      </c>
    </row>
    <row r="82" spans="1:3">
      <c r="A82" t="s">
        <v>4021</v>
      </c>
      <c r="B82" t="s">
        <v>1903</v>
      </c>
      <c r="C82" s="16">
        <v>0.970873786407767</v>
      </c>
    </row>
    <row r="83" spans="1:3">
      <c r="A83" t="s">
        <v>4022</v>
      </c>
      <c r="B83" t="s">
        <v>1902</v>
      </c>
      <c r="C83" s="16">
        <v>1</v>
      </c>
    </row>
    <row r="84" spans="1:3">
      <c r="A84" t="s">
        <v>4023</v>
      </c>
      <c r="B84" t="s">
        <v>1901</v>
      </c>
      <c r="C84" s="16">
        <v>0.970873786407767</v>
      </c>
    </row>
    <row r="85" spans="1:3">
      <c r="A85" t="s">
        <v>4024</v>
      </c>
      <c r="B85" t="s">
        <v>1898</v>
      </c>
      <c r="C85" s="16">
        <v>0.970873786407767</v>
      </c>
    </row>
    <row r="86" spans="1:3">
      <c r="A86" t="s">
        <v>1904</v>
      </c>
      <c r="B86" t="s">
        <v>1904</v>
      </c>
      <c r="C86" s="16">
        <v>1</v>
      </c>
    </row>
    <row r="87" spans="1:3">
      <c r="A87" t="s">
        <v>4025</v>
      </c>
      <c r="B87" t="s">
        <v>1900</v>
      </c>
      <c r="C87" s="16">
        <v>0.970873786407767</v>
      </c>
    </row>
    <row r="88" spans="1:3">
      <c r="A88" t="s">
        <v>4026</v>
      </c>
      <c r="B88" t="s">
        <v>1897</v>
      </c>
      <c r="C88" s="16">
        <v>0.970873786407767</v>
      </c>
    </row>
    <row r="89" spans="1:3">
      <c r="A89" t="s">
        <v>4027</v>
      </c>
      <c r="B89">
        <v>6</v>
      </c>
      <c r="C89" s="16">
        <v>0.90476190476190477</v>
      </c>
    </row>
    <row r="90" spans="1:3">
      <c r="A90" t="s">
        <v>4028</v>
      </c>
      <c r="B90" t="s">
        <v>1713</v>
      </c>
      <c r="C90" s="16">
        <v>0.9</v>
      </c>
    </row>
    <row r="91" spans="1:3">
      <c r="A91" t="s">
        <v>1519</v>
      </c>
      <c r="B91" t="s">
        <v>1519</v>
      </c>
      <c r="C91" s="16">
        <v>1</v>
      </c>
    </row>
    <row r="92" spans="1:3">
      <c r="A92" t="s">
        <v>4029</v>
      </c>
      <c r="B92" t="s">
        <v>1523</v>
      </c>
      <c r="C92" s="16">
        <v>0.9</v>
      </c>
    </row>
    <row r="93" spans="1:3">
      <c r="A93" t="s">
        <v>4030</v>
      </c>
      <c r="B93" t="s">
        <v>1520</v>
      </c>
      <c r="C93" s="16">
        <v>0.970873786407767</v>
      </c>
    </row>
    <row r="94" spans="1:3">
      <c r="A94" t="s">
        <v>1522</v>
      </c>
      <c r="B94" t="s">
        <v>1522</v>
      </c>
      <c r="C94" s="16">
        <v>1</v>
      </c>
    </row>
    <row r="95" spans="1:3">
      <c r="A95" t="s">
        <v>1517</v>
      </c>
      <c r="B95" t="s">
        <v>1517</v>
      </c>
      <c r="C95" s="16">
        <v>1</v>
      </c>
    </row>
    <row r="96" spans="1:3">
      <c r="A96" t="s">
        <v>1521</v>
      </c>
      <c r="B96" t="s">
        <v>1521</v>
      </c>
      <c r="C96" s="16">
        <v>1</v>
      </c>
    </row>
    <row r="97" spans="1:3">
      <c r="A97" t="s">
        <v>4031</v>
      </c>
      <c r="B97" t="s">
        <v>1521</v>
      </c>
      <c r="C97" s="16">
        <v>1</v>
      </c>
    </row>
    <row r="98" spans="1:3">
      <c r="A98" t="s">
        <v>4032</v>
      </c>
      <c r="B98" t="s">
        <v>1767</v>
      </c>
      <c r="C98" s="16">
        <v>1</v>
      </c>
    </row>
    <row r="99" spans="1:3">
      <c r="A99" t="s">
        <v>4033</v>
      </c>
      <c r="B99" t="s">
        <v>1768</v>
      </c>
      <c r="C99" s="16">
        <v>1</v>
      </c>
    </row>
    <row r="100" spans="1:3">
      <c r="A100" t="s">
        <v>4032</v>
      </c>
      <c r="B100" t="s">
        <v>1767</v>
      </c>
      <c r="C100" s="16">
        <v>1</v>
      </c>
    </row>
    <row r="101" spans="1:3">
      <c r="A101" t="s">
        <v>4034</v>
      </c>
      <c r="B101" t="s">
        <v>1561</v>
      </c>
      <c r="C101" s="16">
        <v>0.94444444444444442</v>
      </c>
    </row>
    <row r="102" spans="1:3">
      <c r="A102" t="s">
        <v>4035</v>
      </c>
      <c r="B102">
        <v>6</v>
      </c>
      <c r="C102" s="16">
        <v>0.9375</v>
      </c>
    </row>
    <row r="103" spans="1:3">
      <c r="A103" t="s">
        <v>4036</v>
      </c>
      <c r="B103">
        <v>5</v>
      </c>
      <c r="C103" s="16">
        <v>0.93333333333333335</v>
      </c>
    </row>
    <row r="104" spans="1:3">
      <c r="A104" t="s">
        <v>4037</v>
      </c>
      <c r="B104" t="s">
        <v>1561</v>
      </c>
      <c r="C104" s="16">
        <v>0.94444444444444442</v>
      </c>
    </row>
    <row r="105" spans="1:3">
      <c r="A105" t="s">
        <v>4038</v>
      </c>
      <c r="B105">
        <v>5</v>
      </c>
      <c r="C105" s="16">
        <v>0.93333333333333335</v>
      </c>
    </row>
    <row r="106" spans="1:3">
      <c r="A106" t="s">
        <v>4039</v>
      </c>
      <c r="B106">
        <v>360</v>
      </c>
      <c r="C106" s="16">
        <v>0.94736842105263164</v>
      </c>
    </row>
    <row r="107" spans="1:3">
      <c r="A107" t="s">
        <v>1791</v>
      </c>
      <c r="B107" t="s">
        <v>1791</v>
      </c>
      <c r="C107" s="16">
        <v>1</v>
      </c>
    </row>
    <row r="108" spans="1:3">
      <c r="A108" t="s">
        <v>1807</v>
      </c>
      <c r="B108" t="s">
        <v>1807</v>
      </c>
      <c r="C108" s="16">
        <v>1</v>
      </c>
    </row>
    <row r="109" spans="1:3">
      <c r="A109" t="s">
        <v>1806</v>
      </c>
      <c r="B109" t="s">
        <v>1806</v>
      </c>
      <c r="C109" s="16">
        <v>1</v>
      </c>
    </row>
    <row r="110" spans="1:3">
      <c r="A110" t="s">
        <v>4040</v>
      </c>
      <c r="B110" t="s">
        <v>1805</v>
      </c>
      <c r="C110" s="16">
        <v>0.94736842105263164</v>
      </c>
    </row>
    <row r="111" spans="1:3">
      <c r="A111" t="s">
        <v>1805</v>
      </c>
      <c r="B111" t="s">
        <v>1805</v>
      </c>
      <c r="C111" s="16">
        <v>1</v>
      </c>
    </row>
    <row r="112" spans="1:3">
      <c r="A112" t="s">
        <v>4041</v>
      </c>
      <c r="B112" t="s">
        <v>1804</v>
      </c>
      <c r="C112" s="16">
        <v>0.92088028556287682</v>
      </c>
    </row>
    <row r="113" spans="1:3">
      <c r="A113" t="s">
        <v>4042</v>
      </c>
      <c r="B113" t="s">
        <v>1804</v>
      </c>
      <c r="C113" s="16">
        <v>0.970873786407767</v>
      </c>
    </row>
    <row r="114" spans="1:3">
      <c r="A114" t="s">
        <v>4043</v>
      </c>
      <c r="B114">
        <v>6</v>
      </c>
      <c r="C114" s="16">
        <v>0.9375</v>
      </c>
    </row>
    <row r="115" spans="1:3">
      <c r="A115" t="s">
        <v>4044</v>
      </c>
      <c r="B115">
        <v>2</v>
      </c>
      <c r="C115" s="16">
        <v>0.93333333333333335</v>
      </c>
    </row>
    <row r="116" spans="1:3">
      <c r="A116" t="s">
        <v>4045</v>
      </c>
      <c r="B116">
        <v>5</v>
      </c>
      <c r="C116" s="16">
        <v>0.93333333333333335</v>
      </c>
    </row>
    <row r="117" spans="1:3">
      <c r="A117" t="s">
        <v>4046</v>
      </c>
      <c r="B117">
        <v>3</v>
      </c>
      <c r="C117" s="16">
        <v>0.9375</v>
      </c>
    </row>
    <row r="118" spans="1:3">
      <c r="A118" t="s">
        <v>4047</v>
      </c>
      <c r="B118" t="s">
        <v>2114</v>
      </c>
      <c r="C118" s="16">
        <v>0.91666666666666674</v>
      </c>
    </row>
    <row r="119" spans="1:3">
      <c r="A119" t="s">
        <v>4048</v>
      </c>
      <c r="B119">
        <v>3</v>
      </c>
      <c r="C119" s="16">
        <v>0.90476190476190477</v>
      </c>
    </row>
    <row r="120" spans="1:3">
      <c r="A120" t="s">
        <v>4049</v>
      </c>
      <c r="B120" t="s">
        <v>1561</v>
      </c>
      <c r="C120" s="16">
        <v>0.91304347826086962</v>
      </c>
    </row>
    <row r="121" spans="1:3">
      <c r="A121" t="s">
        <v>4050</v>
      </c>
      <c r="B121">
        <v>2</v>
      </c>
      <c r="C121" s="16">
        <v>0.9</v>
      </c>
    </row>
    <row r="122" spans="1:3">
      <c r="A122" t="s">
        <v>4051</v>
      </c>
      <c r="B122">
        <v>2</v>
      </c>
      <c r="C122" s="16">
        <v>0.9</v>
      </c>
    </row>
    <row r="123" spans="1:3">
      <c r="A123" t="s">
        <v>4052</v>
      </c>
      <c r="B123" t="s">
        <v>1636</v>
      </c>
      <c r="C123" s="16">
        <v>0.94444444444444442</v>
      </c>
    </row>
    <row r="124" spans="1:3">
      <c r="A124" t="s">
        <v>4053</v>
      </c>
      <c r="B124" t="s">
        <v>1636</v>
      </c>
      <c r="C124" s="16">
        <v>0.94444444444444442</v>
      </c>
    </row>
    <row r="125" spans="1:3">
      <c r="A125" t="s">
        <v>4054</v>
      </c>
      <c r="B125" t="s">
        <v>1877</v>
      </c>
      <c r="C125" s="16">
        <v>0.91940353382610607</v>
      </c>
    </row>
    <row r="126" spans="1:3">
      <c r="A126" t="s">
        <v>4055</v>
      </c>
      <c r="B126" t="s">
        <v>1877</v>
      </c>
      <c r="C126" s="16">
        <v>0.91940353382610607</v>
      </c>
    </row>
    <row r="127" spans="1:3">
      <c r="A127" t="s">
        <v>4056</v>
      </c>
      <c r="B127" t="s">
        <v>1884</v>
      </c>
      <c r="C127" s="16">
        <v>0.970873786407767</v>
      </c>
    </row>
    <row r="128" spans="1:3">
      <c r="A128">
        <v>500</v>
      </c>
      <c r="B128">
        <v>500</v>
      </c>
      <c r="C128" s="16">
        <v>1</v>
      </c>
    </row>
    <row r="129" spans="1:3">
      <c r="A129" t="s">
        <v>1888</v>
      </c>
      <c r="B129" t="s">
        <v>1888</v>
      </c>
      <c r="C129" s="16">
        <v>1</v>
      </c>
    </row>
    <row r="130" spans="1:3">
      <c r="A130" t="s">
        <v>4057</v>
      </c>
      <c r="B130" t="s">
        <v>1889</v>
      </c>
      <c r="C130" s="16">
        <v>0.91819837065505971</v>
      </c>
    </row>
    <row r="131" spans="1:3">
      <c r="A131" t="s">
        <v>4058</v>
      </c>
      <c r="B131" t="s">
        <v>1890</v>
      </c>
      <c r="C131" s="16">
        <v>0.9</v>
      </c>
    </row>
    <row r="132" spans="1:3">
      <c r="A132" t="s">
        <v>4059</v>
      </c>
      <c r="B132">
        <v>5</v>
      </c>
      <c r="C132" s="16">
        <v>0.93333333333333335</v>
      </c>
    </row>
    <row r="133" spans="1:3">
      <c r="A133" t="s">
        <v>4060</v>
      </c>
      <c r="B133" t="s">
        <v>1974</v>
      </c>
      <c r="C133" s="16">
        <v>0.970873786407767</v>
      </c>
    </row>
    <row r="134" spans="1:3">
      <c r="A134">
        <v>6</v>
      </c>
      <c r="B134">
        <v>6</v>
      </c>
      <c r="C134" s="16">
        <v>1</v>
      </c>
    </row>
    <row r="135" spans="1:3">
      <c r="A135">
        <v>3</v>
      </c>
      <c r="B135">
        <v>3</v>
      </c>
      <c r="C135" s="16">
        <v>1</v>
      </c>
    </row>
    <row r="136" spans="1:3">
      <c r="A136" t="s">
        <v>4061</v>
      </c>
      <c r="B136" t="s">
        <v>1989</v>
      </c>
      <c r="C136" s="16">
        <v>0.9</v>
      </c>
    </row>
    <row r="137" spans="1:3">
      <c r="A137" t="s">
        <v>4062</v>
      </c>
      <c r="B137" t="s">
        <v>1636</v>
      </c>
      <c r="C137" s="16">
        <v>0.94444444444444442</v>
      </c>
    </row>
    <row r="138" spans="1:3">
      <c r="A138" t="s">
        <v>4063</v>
      </c>
      <c r="B138" t="s">
        <v>1636</v>
      </c>
      <c r="C138" s="16">
        <v>0.91304347826086962</v>
      </c>
    </row>
    <row r="139" spans="1:3">
      <c r="A139" t="s">
        <v>4064</v>
      </c>
      <c r="B139" t="s">
        <v>2013</v>
      </c>
      <c r="C139" s="16">
        <v>0.94736842105263164</v>
      </c>
    </row>
    <row r="140" spans="1:3">
      <c r="A140" t="s">
        <v>4065</v>
      </c>
      <c r="B140" t="s">
        <v>1636</v>
      </c>
      <c r="C140" s="16">
        <v>0.91304347826086962</v>
      </c>
    </row>
    <row r="141" spans="1:3">
      <c r="A141" t="s">
        <v>4066</v>
      </c>
      <c r="B141" t="s">
        <v>1996</v>
      </c>
      <c r="C141" s="16">
        <v>0.94736842105263164</v>
      </c>
    </row>
    <row r="142" spans="1:3">
      <c r="A142" t="s">
        <v>4067</v>
      </c>
      <c r="B142" t="s">
        <v>2001</v>
      </c>
      <c r="C142" s="16">
        <v>0.98576122672508215</v>
      </c>
    </row>
    <row r="143" spans="1:3">
      <c r="A143" t="s">
        <v>4068</v>
      </c>
      <c r="B143" t="s">
        <v>1996</v>
      </c>
      <c r="C143" s="16">
        <v>0.970873786407767</v>
      </c>
    </row>
    <row r="144" spans="1:3">
      <c r="A144" t="s">
        <v>4069</v>
      </c>
      <c r="B144" t="s">
        <v>1636</v>
      </c>
      <c r="C144" s="16">
        <v>0.94444444444444442</v>
      </c>
    </row>
    <row r="145" spans="1:3">
      <c r="A145" t="s">
        <v>4070</v>
      </c>
      <c r="B145" t="s">
        <v>2028</v>
      </c>
      <c r="C145" s="16">
        <v>0.92088028556287682</v>
      </c>
    </row>
    <row r="146" spans="1:3">
      <c r="A146" t="s">
        <v>4071</v>
      </c>
      <c r="B146">
        <v>500</v>
      </c>
      <c r="C146" s="16">
        <v>0.94444444444444442</v>
      </c>
    </row>
    <row r="147" spans="1:3">
      <c r="A147" t="s">
        <v>4072</v>
      </c>
      <c r="B147" t="s">
        <v>2008</v>
      </c>
      <c r="C147" s="16">
        <v>0.92088028556287682</v>
      </c>
    </row>
    <row r="148" spans="1:3">
      <c r="A148" t="s">
        <v>4073</v>
      </c>
      <c r="B148" t="s">
        <v>2040</v>
      </c>
      <c r="C148" s="16">
        <v>0.970873786407767</v>
      </c>
    </row>
    <row r="149" spans="1:3">
      <c r="A149" t="s">
        <v>4074</v>
      </c>
      <c r="B149" t="s">
        <v>2021</v>
      </c>
      <c r="C149" s="16">
        <v>0.92088028556287682</v>
      </c>
    </row>
    <row r="150" spans="1:3">
      <c r="A150" t="s">
        <v>4075</v>
      </c>
      <c r="B150" t="s">
        <v>2019</v>
      </c>
      <c r="C150" s="16">
        <v>0.92088028556287682</v>
      </c>
    </row>
    <row r="151" spans="1:3">
      <c r="A151" t="s">
        <v>4074</v>
      </c>
      <c r="B151" t="s">
        <v>2021</v>
      </c>
      <c r="C151" s="16">
        <v>0.92088028556287682</v>
      </c>
    </row>
    <row r="152" spans="1:3">
      <c r="A152" t="s">
        <v>4076</v>
      </c>
      <c r="B152" t="s">
        <v>2035</v>
      </c>
      <c r="C152" s="16">
        <v>0.970873786407767</v>
      </c>
    </row>
    <row r="153" spans="1:3">
      <c r="A153" t="s">
        <v>4077</v>
      </c>
      <c r="B153" t="s">
        <v>1995</v>
      </c>
      <c r="C153" s="16">
        <v>0.970873786407767</v>
      </c>
    </row>
    <row r="154" spans="1:3">
      <c r="A154" t="s">
        <v>4077</v>
      </c>
      <c r="B154" t="s">
        <v>1995</v>
      </c>
      <c r="C154" s="16">
        <v>0.970873786407767</v>
      </c>
    </row>
    <row r="155" spans="1:3">
      <c r="A155" t="s">
        <v>4078</v>
      </c>
      <c r="B155" t="s">
        <v>2020</v>
      </c>
      <c r="C155" s="16">
        <v>0.92088028556287682</v>
      </c>
    </row>
    <row r="156" spans="1:3">
      <c r="A156" t="s">
        <v>4079</v>
      </c>
      <c r="B156" t="s">
        <v>2019</v>
      </c>
      <c r="C156" s="16">
        <v>0.970873786407767</v>
      </c>
    </row>
    <row r="157" spans="1:3">
      <c r="A157" t="s">
        <v>4080</v>
      </c>
      <c r="B157" t="s">
        <v>2038</v>
      </c>
      <c r="C157" s="16">
        <v>0.970873786407767</v>
      </c>
    </row>
    <row r="158" spans="1:3">
      <c r="A158" t="s">
        <v>4081</v>
      </c>
      <c r="B158" t="s">
        <v>2051</v>
      </c>
      <c r="C158" s="16">
        <v>0.970873786407767</v>
      </c>
    </row>
    <row r="159" spans="1:3">
      <c r="A159" t="s">
        <v>4082</v>
      </c>
      <c r="B159" t="s">
        <v>2005</v>
      </c>
      <c r="C159" s="16">
        <v>0.970873786407767</v>
      </c>
    </row>
    <row r="160" spans="1:3">
      <c r="A160" t="s">
        <v>4083</v>
      </c>
      <c r="B160" t="s">
        <v>2038</v>
      </c>
      <c r="C160" s="16">
        <v>0.92088028556287682</v>
      </c>
    </row>
    <row r="161" spans="1:3">
      <c r="A161" t="s">
        <v>4084</v>
      </c>
      <c r="B161" t="s">
        <v>2018</v>
      </c>
      <c r="C161" s="16">
        <v>0.970873786407767</v>
      </c>
    </row>
    <row r="162" spans="1:3">
      <c r="A162" t="s">
        <v>4085</v>
      </c>
      <c r="B162" t="s">
        <v>2033</v>
      </c>
      <c r="C162" s="16">
        <v>0.970873786407767</v>
      </c>
    </row>
    <row r="163" spans="1:3">
      <c r="A163" t="s">
        <v>4086</v>
      </c>
      <c r="B163" t="s">
        <v>1998</v>
      </c>
      <c r="C163" s="16">
        <v>0.970873786407767</v>
      </c>
    </row>
    <row r="164" spans="1:3">
      <c r="A164" t="s">
        <v>4087</v>
      </c>
      <c r="B164" t="s">
        <v>1589</v>
      </c>
      <c r="C164" s="16">
        <v>1</v>
      </c>
    </row>
    <row r="165" spans="1:3">
      <c r="A165" t="s">
        <v>4087</v>
      </c>
      <c r="B165" t="s">
        <v>1589</v>
      </c>
      <c r="C165" s="16">
        <v>1</v>
      </c>
    </row>
    <row r="166" spans="1:3">
      <c r="A166" t="s">
        <v>4088</v>
      </c>
      <c r="B166" t="s">
        <v>1591</v>
      </c>
      <c r="C166" s="16">
        <v>1</v>
      </c>
    </row>
    <row r="167" spans="1:3">
      <c r="A167" t="s">
        <v>4089</v>
      </c>
      <c r="B167" t="s">
        <v>1594</v>
      </c>
      <c r="C167" s="16">
        <v>1</v>
      </c>
    </row>
    <row r="168" spans="1:3">
      <c r="A168" t="s">
        <v>4090</v>
      </c>
      <c r="B168" t="s">
        <v>1588</v>
      </c>
      <c r="C168" s="16">
        <v>0.97087378640776689</v>
      </c>
    </row>
    <row r="169" spans="1:3">
      <c r="A169" t="s">
        <v>4091</v>
      </c>
      <c r="B169" t="s">
        <v>1595</v>
      </c>
      <c r="C169" s="16">
        <v>1</v>
      </c>
    </row>
    <row r="170" spans="1:3">
      <c r="A170" t="s">
        <v>4092</v>
      </c>
      <c r="B170" t="s">
        <v>1593</v>
      </c>
      <c r="C170" s="16">
        <v>1</v>
      </c>
    </row>
    <row r="171" spans="1:3">
      <c r="A171" t="s">
        <v>4093</v>
      </c>
      <c r="B171" t="s">
        <v>2101</v>
      </c>
      <c r="C171" s="16">
        <v>0.91666666666666674</v>
      </c>
    </row>
    <row r="172" spans="1:3">
      <c r="A172" t="s">
        <v>4094</v>
      </c>
      <c r="B172" t="s">
        <v>2105</v>
      </c>
      <c r="C172" s="16">
        <v>0.94736842105263164</v>
      </c>
    </row>
    <row r="173" spans="1:3">
      <c r="A173" t="s">
        <v>4095</v>
      </c>
      <c r="B173" t="s">
        <v>1637</v>
      </c>
      <c r="C173" s="16">
        <v>0.91304347826086962</v>
      </c>
    </row>
    <row r="174" spans="1:3">
      <c r="A174" t="s">
        <v>4096</v>
      </c>
      <c r="B174" t="s">
        <v>1730</v>
      </c>
      <c r="C174" s="16">
        <v>1</v>
      </c>
    </row>
    <row r="175" spans="1:3">
      <c r="A175" t="s">
        <v>4097</v>
      </c>
      <c r="B175" t="s">
        <v>1731</v>
      </c>
      <c r="C175" s="16">
        <v>0.970873786407767</v>
      </c>
    </row>
    <row r="176" spans="1:3">
      <c r="A176" t="s">
        <v>4098</v>
      </c>
      <c r="B176" t="s">
        <v>1732</v>
      </c>
      <c r="C176" s="16">
        <v>0.970873786407767</v>
      </c>
    </row>
    <row r="177" spans="1:3">
      <c r="A177" t="s">
        <v>4099</v>
      </c>
      <c r="B177" t="s">
        <v>1729</v>
      </c>
      <c r="C177" s="16">
        <v>1</v>
      </c>
    </row>
    <row r="178" spans="1:3">
      <c r="A178" t="s">
        <v>4100</v>
      </c>
      <c r="B178" t="s">
        <v>1728</v>
      </c>
      <c r="C178" s="16">
        <v>1</v>
      </c>
    </row>
    <row r="179" spans="1:3">
      <c r="A179" t="s">
        <v>4101</v>
      </c>
      <c r="B179" t="s">
        <v>1728</v>
      </c>
      <c r="C179" s="16">
        <v>0.94736842105263164</v>
      </c>
    </row>
    <row r="180" spans="1:3">
      <c r="A180" t="s">
        <v>4102</v>
      </c>
      <c r="B180" t="s">
        <v>2121</v>
      </c>
      <c r="C180" s="16">
        <v>0.9</v>
      </c>
    </row>
    <row r="181" spans="1:3">
      <c r="A181" t="s">
        <v>4103</v>
      </c>
      <c r="B181">
        <v>2</v>
      </c>
      <c r="C181" s="16">
        <v>0.9</v>
      </c>
    </row>
    <row r="182" spans="1:3">
      <c r="A182" t="s">
        <v>4104</v>
      </c>
      <c r="B182">
        <v>2</v>
      </c>
      <c r="C182" s="16">
        <v>0.9</v>
      </c>
    </row>
    <row r="183" spans="1:3">
      <c r="A183" t="s">
        <v>4105</v>
      </c>
      <c r="B183">
        <v>2</v>
      </c>
      <c r="C183" s="16">
        <v>0.9</v>
      </c>
    </row>
    <row r="184" spans="1:3">
      <c r="A184" t="s">
        <v>4104</v>
      </c>
      <c r="B184">
        <v>2</v>
      </c>
      <c r="C184" s="16">
        <v>0.9</v>
      </c>
    </row>
  </sheetData>
  <autoFilter ref="A1:C184" xr:uid="{AADF03B9-8A81-4AD8-AF77-994661C60F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524F-F419-4B13-A87B-BBDB89524D8B}">
  <dimension ref="A1:G67"/>
  <sheetViews>
    <sheetView workbookViewId="0">
      <selection activeCell="C56" sqref="C56"/>
    </sheetView>
  </sheetViews>
  <sheetFormatPr defaultRowHeight="13.2"/>
  <cols>
    <col min="1" max="1" width="17.6640625" customWidth="1"/>
    <col min="2" max="2" width="17.109375" customWidth="1"/>
    <col min="3" max="3" width="23.6640625" customWidth="1"/>
    <col min="4" max="4" width="22.88671875" customWidth="1"/>
    <col min="5" max="5" width="15" customWidth="1"/>
    <col min="6" max="6" width="15.77734375" customWidth="1"/>
    <col min="7" max="7" width="18.109375" customWidth="1"/>
  </cols>
  <sheetData>
    <row r="1" spans="1:7" ht="15.6">
      <c r="A1" s="2" t="s">
        <v>1474</v>
      </c>
      <c r="B1" s="2" t="s">
        <v>3935</v>
      </c>
      <c r="C1" s="2" t="s">
        <v>3936</v>
      </c>
      <c r="D1" s="9" t="s">
        <v>3937</v>
      </c>
      <c r="E1" s="9" t="s">
        <v>3944</v>
      </c>
      <c r="F1" s="9" t="s">
        <v>3945</v>
      </c>
      <c r="G1" s="9" t="s">
        <v>3946</v>
      </c>
    </row>
    <row r="2" spans="1:7" ht="15.6">
      <c r="A2" s="4" t="s">
        <v>1476</v>
      </c>
    </row>
    <row r="3" spans="1:7" ht="15.6">
      <c r="A3" s="4" t="s">
        <v>1479</v>
      </c>
      <c r="B3" t="s">
        <v>158</v>
      </c>
      <c r="C3" t="s">
        <v>1479</v>
      </c>
    </row>
    <row r="4" spans="1:7" ht="15.6">
      <c r="A4" s="4" t="s">
        <v>1514</v>
      </c>
      <c r="B4" t="s">
        <v>1514</v>
      </c>
    </row>
    <row r="5" spans="1:7" ht="15.6">
      <c r="A5" s="4" t="s">
        <v>1516</v>
      </c>
      <c r="B5" t="s">
        <v>1516</v>
      </c>
      <c r="C5" t="s">
        <v>2823</v>
      </c>
    </row>
    <row r="6" spans="1:7" ht="15.6">
      <c r="A6" s="4" t="s">
        <v>1272</v>
      </c>
      <c r="B6" t="s">
        <v>1272</v>
      </c>
      <c r="C6" s="1" t="s">
        <v>53</v>
      </c>
    </row>
    <row r="7" spans="1:7" ht="15.6">
      <c r="A7" s="4" t="s">
        <v>1538</v>
      </c>
    </row>
    <row r="8" spans="1:7" ht="15.6">
      <c r="A8" s="4" t="s">
        <v>1546</v>
      </c>
    </row>
    <row r="9" spans="1:7" ht="15.6">
      <c r="A9" s="4" t="s">
        <v>1556</v>
      </c>
    </row>
    <row r="10" spans="1:7" ht="15.6">
      <c r="A10" s="4" t="s">
        <v>1560</v>
      </c>
      <c r="B10" t="s">
        <v>2337</v>
      </c>
    </row>
    <row r="11" spans="1:7" ht="15.6">
      <c r="A11" s="4" t="s">
        <v>1567</v>
      </c>
      <c r="B11" t="s">
        <v>3676</v>
      </c>
    </row>
    <row r="12" spans="1:7" ht="15.6">
      <c r="A12" s="4" t="s">
        <v>1572</v>
      </c>
      <c r="B12" t="s">
        <v>559</v>
      </c>
    </row>
    <row r="13" spans="1:7" ht="15.6">
      <c r="A13" s="4" t="s">
        <v>1581</v>
      </c>
      <c r="B13" t="s">
        <v>2142</v>
      </c>
      <c r="C13" t="s">
        <v>3</v>
      </c>
    </row>
    <row r="14" spans="1:7" ht="15.6">
      <c r="A14" s="4" t="s">
        <v>125</v>
      </c>
      <c r="B14" t="s">
        <v>2323</v>
      </c>
      <c r="C14" t="s">
        <v>125</v>
      </c>
      <c r="D14" t="s">
        <v>2325</v>
      </c>
    </row>
    <row r="15" spans="1:7" ht="15.6">
      <c r="A15" s="4" t="s">
        <v>1587</v>
      </c>
      <c r="B15" t="s">
        <v>121</v>
      </c>
    </row>
    <row r="16" spans="1:7" ht="15.6">
      <c r="A16" s="4" t="s">
        <v>127</v>
      </c>
      <c r="B16" s="11" t="s">
        <v>2136</v>
      </c>
      <c r="C16" s="11" t="s">
        <v>2137</v>
      </c>
    </row>
    <row r="17" spans="1:4" ht="15.6">
      <c r="A17" s="4" t="s">
        <v>7</v>
      </c>
    </row>
    <row r="18" spans="1:4" ht="15.6">
      <c r="A18" s="4" t="s">
        <v>1619</v>
      </c>
      <c r="B18" t="s">
        <v>1295</v>
      </c>
    </row>
    <row r="19" spans="1:4" ht="15.6">
      <c r="A19" s="4" t="s">
        <v>1624</v>
      </c>
      <c r="B19" s="34" t="s">
        <v>313</v>
      </c>
      <c r="C19" s="37" t="s">
        <v>174</v>
      </c>
      <c r="D19" s="37" t="s">
        <v>311</v>
      </c>
    </row>
    <row r="20" spans="1:4" ht="15.6">
      <c r="A20" s="4" t="s">
        <v>24</v>
      </c>
      <c r="B20" t="s">
        <v>24</v>
      </c>
    </row>
    <row r="21" spans="1:4" ht="15.6">
      <c r="A21" s="4" t="s">
        <v>171</v>
      </c>
      <c r="B21" t="s">
        <v>170</v>
      </c>
    </row>
    <row r="22" spans="1:4" ht="15.6">
      <c r="A22" s="4" t="s">
        <v>1635</v>
      </c>
      <c r="B22" t="s">
        <v>2138</v>
      </c>
      <c r="C22" t="s">
        <v>2749</v>
      </c>
    </row>
    <row r="23" spans="1:4" ht="15.6">
      <c r="A23" s="4" t="s">
        <v>1710</v>
      </c>
      <c r="B23" t="s">
        <v>27</v>
      </c>
    </row>
    <row r="24" spans="1:4" ht="15.6">
      <c r="A24" s="4" t="s">
        <v>1714</v>
      </c>
      <c r="B24" t="s">
        <v>256</v>
      </c>
    </row>
    <row r="25" spans="1:4" ht="15.6">
      <c r="A25" s="4" t="s">
        <v>599</v>
      </c>
      <c r="B25" t="s">
        <v>599</v>
      </c>
    </row>
    <row r="26" spans="1:4" ht="15.6">
      <c r="A26" s="4" t="s">
        <v>300</v>
      </c>
      <c r="B26" t="s">
        <v>300</v>
      </c>
    </row>
    <row r="27" spans="1:4" ht="15.6">
      <c r="A27" s="4" t="s">
        <v>1727</v>
      </c>
    </row>
    <row r="28" spans="1:4" ht="15.6">
      <c r="A28" s="4" t="s">
        <v>1733</v>
      </c>
    </row>
    <row r="29" spans="1:4" ht="15.6">
      <c r="A29" s="4" t="s">
        <v>1735</v>
      </c>
      <c r="B29" t="s">
        <v>1735</v>
      </c>
      <c r="C29" t="s">
        <v>62</v>
      </c>
    </row>
    <row r="30" spans="1:4" ht="15.6">
      <c r="A30" s="4" t="s">
        <v>1757</v>
      </c>
      <c r="B30" t="s">
        <v>2904</v>
      </c>
      <c r="C30" t="s">
        <v>2905</v>
      </c>
    </row>
    <row r="31" spans="1:4" ht="15.6">
      <c r="A31" s="4" t="s">
        <v>1766</v>
      </c>
      <c r="B31" s="34" t="s">
        <v>313</v>
      </c>
      <c r="C31" s="37" t="s">
        <v>174</v>
      </c>
      <c r="D31" s="37" t="s">
        <v>311</v>
      </c>
    </row>
    <row r="32" spans="1:4" ht="15.6">
      <c r="A32" s="4" t="s">
        <v>1771</v>
      </c>
      <c r="B32" t="s">
        <v>68</v>
      </c>
    </row>
    <row r="33" spans="1:4" ht="15.6">
      <c r="A33" s="6" t="s">
        <v>1777</v>
      </c>
      <c r="B33" t="s">
        <v>2989</v>
      </c>
    </row>
    <row r="34" spans="1:4" ht="15.6">
      <c r="A34" s="4" t="s">
        <v>904</v>
      </c>
      <c r="C34" t="s">
        <v>904</v>
      </c>
    </row>
    <row r="35" spans="1:4" ht="15.6">
      <c r="A35" s="4" t="s">
        <v>1783</v>
      </c>
      <c r="B35" t="s">
        <v>1783</v>
      </c>
      <c r="C35" t="s">
        <v>3078</v>
      </c>
    </row>
    <row r="36" spans="1:4" ht="15.6">
      <c r="A36" s="4" t="s">
        <v>323</v>
      </c>
      <c r="B36" t="s">
        <v>323</v>
      </c>
      <c r="C36" t="s">
        <v>3098</v>
      </c>
    </row>
    <row r="37" spans="1:4" ht="15.6">
      <c r="A37" s="4" t="s">
        <v>1795</v>
      </c>
      <c r="B37" t="s">
        <v>2169</v>
      </c>
      <c r="C37" t="s">
        <v>71</v>
      </c>
    </row>
    <row r="38" spans="1:4" ht="15.6">
      <c r="A38" s="4" t="s">
        <v>328</v>
      </c>
      <c r="B38" t="s">
        <v>2144</v>
      </c>
      <c r="C38" s="1" t="s">
        <v>1255</v>
      </c>
      <c r="D38" s="1" t="s">
        <v>327</v>
      </c>
    </row>
    <row r="39" spans="1:4" ht="15.6">
      <c r="A39" s="4" t="s">
        <v>925</v>
      </c>
      <c r="B39" t="s">
        <v>2145</v>
      </c>
      <c r="C39" t="s">
        <v>922</v>
      </c>
    </row>
    <row r="40" spans="1:4" ht="15.6">
      <c r="A40" s="4" t="s">
        <v>1822</v>
      </c>
      <c r="B40" t="s">
        <v>2146</v>
      </c>
      <c r="C40" t="s">
        <v>3215</v>
      </c>
    </row>
    <row r="41" spans="1:4" ht="15.6">
      <c r="A41" s="4" t="s">
        <v>1839</v>
      </c>
    </row>
    <row r="42" spans="1:4" ht="15.6">
      <c r="A42" s="4" t="s">
        <v>1841</v>
      </c>
    </row>
    <row r="43" spans="1:4" ht="15.6">
      <c r="A43" s="4" t="s">
        <v>73</v>
      </c>
      <c r="B43" t="s">
        <v>73</v>
      </c>
      <c r="C43" t="s">
        <v>2152</v>
      </c>
    </row>
    <row r="44" spans="1:4" ht="15.6">
      <c r="A44" s="4" t="s">
        <v>1872</v>
      </c>
      <c r="B44" t="s">
        <v>80</v>
      </c>
    </row>
    <row r="45" spans="1:4" ht="15.6">
      <c r="A45" s="4" t="s">
        <v>1875</v>
      </c>
      <c r="B45" t="s">
        <v>353</v>
      </c>
    </row>
    <row r="46" spans="1:4" ht="15.6">
      <c r="A46" s="4" t="s">
        <v>1883</v>
      </c>
      <c r="B46" s="1" t="s">
        <v>678</v>
      </c>
      <c r="C46" s="1" t="s">
        <v>82</v>
      </c>
    </row>
    <row r="47" spans="1:4" ht="15.6">
      <c r="A47" s="4" t="s">
        <v>1887</v>
      </c>
      <c r="B47" t="s">
        <v>369</v>
      </c>
    </row>
    <row r="48" spans="1:4" ht="15.6">
      <c r="A48" s="4" t="s">
        <v>54</v>
      </c>
      <c r="B48" t="s">
        <v>1269</v>
      </c>
    </row>
    <row r="49" spans="1:7" ht="15.6">
      <c r="A49" s="4" t="s">
        <v>439</v>
      </c>
      <c r="B49" t="s">
        <v>3429</v>
      </c>
      <c r="C49" t="s">
        <v>3433</v>
      </c>
      <c r="D49" s="1" t="s">
        <v>634</v>
      </c>
      <c r="E49" s="1" t="s">
        <v>82</v>
      </c>
      <c r="F49" s="1" t="s">
        <v>82</v>
      </c>
      <c r="G49" s="1" t="s">
        <v>101</v>
      </c>
    </row>
    <row r="50" spans="1:7" ht="15.6">
      <c r="A50" s="4" t="s">
        <v>387</v>
      </c>
      <c r="B50" t="s">
        <v>2160</v>
      </c>
      <c r="C50" t="s">
        <v>384</v>
      </c>
    </row>
    <row r="51" spans="1:7" ht="15.6">
      <c r="A51" s="4" t="s">
        <v>1923</v>
      </c>
      <c r="B51" t="s">
        <v>1274</v>
      </c>
      <c r="C51" t="s">
        <v>93</v>
      </c>
    </row>
    <row r="52" spans="1:7" ht="15.6">
      <c r="A52" s="4" t="s">
        <v>40</v>
      </c>
      <c r="B52" s="41" t="s">
        <v>27</v>
      </c>
    </row>
    <row r="53" spans="1:7" ht="15.6">
      <c r="A53" s="6" t="s">
        <v>1961</v>
      </c>
    </row>
    <row r="54" spans="1:7" ht="15.6">
      <c r="A54" s="4" t="s">
        <v>670</v>
      </c>
      <c r="B54" t="s">
        <v>670</v>
      </c>
      <c r="C54" t="s">
        <v>2161</v>
      </c>
      <c r="D54" t="s">
        <v>710</v>
      </c>
    </row>
    <row r="55" spans="1:7" ht="15.6">
      <c r="A55" s="4" t="s">
        <v>409</v>
      </c>
      <c r="B55" t="s">
        <v>409</v>
      </c>
    </row>
    <row r="56" spans="1:7" ht="15.6">
      <c r="A56" s="4" t="s">
        <v>1977</v>
      </c>
      <c r="B56" t="s">
        <v>96</v>
      </c>
    </row>
    <row r="57" spans="1:7" ht="15.6">
      <c r="A57" s="4" t="s">
        <v>1990</v>
      </c>
    </row>
    <row r="58" spans="1:7" ht="15.6">
      <c r="A58" s="4" t="s">
        <v>1993</v>
      </c>
      <c r="B58" t="s">
        <v>3629</v>
      </c>
    </row>
    <row r="59" spans="1:7" ht="15.6">
      <c r="A59" s="4" t="s">
        <v>104</v>
      </c>
      <c r="B59" t="s">
        <v>104</v>
      </c>
    </row>
    <row r="60" spans="1:7" ht="15.6">
      <c r="A60" s="4" t="s">
        <v>2074</v>
      </c>
      <c r="B60" t="s">
        <v>2162</v>
      </c>
      <c r="C60" t="s">
        <v>3616</v>
      </c>
    </row>
    <row r="61" spans="1:7" ht="15.6">
      <c r="A61" s="4" t="s">
        <v>2077</v>
      </c>
      <c r="B61" t="s">
        <v>2163</v>
      </c>
      <c r="C61" t="s">
        <v>2164</v>
      </c>
      <c r="D61" t="s">
        <v>111</v>
      </c>
    </row>
    <row r="62" spans="1:7" ht="15.6">
      <c r="A62" s="4" t="s">
        <v>120</v>
      </c>
      <c r="B62" t="s">
        <v>1277</v>
      </c>
      <c r="C62" t="s">
        <v>120</v>
      </c>
    </row>
    <row r="63" spans="1:7" ht="15.6">
      <c r="A63" s="4" t="s">
        <v>2102</v>
      </c>
      <c r="B63" s="41" t="s">
        <v>599</v>
      </c>
    </row>
    <row r="64" spans="1:7" ht="15.6">
      <c r="A64" s="4" t="s">
        <v>508</v>
      </c>
      <c r="B64" t="s">
        <v>508</v>
      </c>
      <c r="C64" t="s">
        <v>2156</v>
      </c>
    </row>
    <row r="65" spans="1:2" ht="15.6">
      <c r="A65" s="4" t="s">
        <v>2112</v>
      </c>
    </row>
    <row r="66" spans="1:2" ht="15.6">
      <c r="A66" s="4" t="s">
        <v>2117</v>
      </c>
      <c r="B66" t="s">
        <v>2157</v>
      </c>
    </row>
    <row r="67" spans="1:2">
      <c r="A67" s="10"/>
    </row>
  </sheetData>
  <autoFilter ref="A1:D66" xr:uid="{B606524F-F419-4B13-A87B-BBDB89524D8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A726-CE9B-4B69-BBA0-9486332C1705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607F-9424-4B9C-BF2D-303D5B1F8E5F}">
  <sheetPr filterMode="1"/>
  <dimension ref="A1:Q661"/>
  <sheetViews>
    <sheetView workbookViewId="0">
      <selection activeCell="B1" sqref="B1:D1048576"/>
    </sheetView>
  </sheetViews>
  <sheetFormatPr defaultRowHeight="13.2"/>
  <cols>
    <col min="1" max="1" width="17.6640625" customWidth="1"/>
    <col min="2" max="2" width="31.109375" customWidth="1"/>
    <col min="3" max="3" width="25.21875" customWidth="1"/>
    <col min="4" max="4" width="28.109375" customWidth="1"/>
    <col min="5" max="5" width="18" customWidth="1"/>
    <col min="6" max="6" width="19.5546875" customWidth="1"/>
    <col min="7" max="7" width="15.33203125" customWidth="1"/>
    <col min="10" max="10" width="23.77734375" customWidth="1"/>
    <col min="11" max="11" width="18.6640625" customWidth="1"/>
  </cols>
  <sheetData>
    <row r="1" spans="1:9" ht="16.2" thickBot="1">
      <c r="A1" s="2" t="s">
        <v>1474</v>
      </c>
      <c r="B1" s="3" t="s">
        <v>1475</v>
      </c>
      <c r="C1" s="2" t="s">
        <v>4106</v>
      </c>
      <c r="D1" s="2" t="s">
        <v>4106</v>
      </c>
      <c r="E1" s="2" t="s">
        <v>4106</v>
      </c>
      <c r="F1" s="9" t="s">
        <v>4106</v>
      </c>
      <c r="G1" s="9" t="s">
        <v>4106</v>
      </c>
      <c r="H1" s="9" t="s">
        <v>4106</v>
      </c>
      <c r="I1" s="9" t="s">
        <v>4106</v>
      </c>
    </row>
    <row r="2" spans="1:9" ht="16.2" hidden="1" thickBot="1">
      <c r="A2" s="4" t="s">
        <v>1476</v>
      </c>
      <c r="B2" s="5" t="s">
        <v>1477</v>
      </c>
    </row>
    <row r="3" spans="1:9" ht="16.2" hidden="1" thickBot="1">
      <c r="A3" s="4" t="s">
        <v>1476</v>
      </c>
      <c r="B3" s="5" t="s">
        <v>1478</v>
      </c>
    </row>
    <row r="4" spans="1:9" ht="16.2" hidden="1" thickBot="1">
      <c r="A4" s="4" t="s">
        <v>1479</v>
      </c>
      <c r="B4" s="5" t="s">
        <v>1480</v>
      </c>
    </row>
    <row r="5" spans="1:9" ht="16.2" thickBot="1">
      <c r="A5" s="4" t="s">
        <v>1479</v>
      </c>
      <c r="B5" s="5" t="s">
        <v>1481</v>
      </c>
      <c r="C5" s="18" t="s">
        <v>1054</v>
      </c>
    </row>
    <row r="6" spans="1:9" ht="16.2" hidden="1" thickBot="1">
      <c r="A6" s="4" t="s">
        <v>1479</v>
      </c>
      <c r="B6" s="5" t="s">
        <v>1482</v>
      </c>
    </row>
    <row r="7" spans="1:9" ht="16.2" hidden="1" thickBot="1">
      <c r="A7" s="4" t="s">
        <v>1479</v>
      </c>
      <c r="B7" s="5" t="s">
        <v>1483</v>
      </c>
    </row>
    <row r="8" spans="1:9" ht="16.2" hidden="1" thickBot="1">
      <c r="A8" s="4" t="s">
        <v>1479</v>
      </c>
      <c r="B8" s="5" t="s">
        <v>1484</v>
      </c>
    </row>
    <row r="9" spans="1:9" ht="16.2" thickBot="1">
      <c r="A9" s="4" t="s">
        <v>1479</v>
      </c>
      <c r="B9" s="5" t="s">
        <v>1485</v>
      </c>
      <c r="C9" s="18" t="s">
        <v>159</v>
      </c>
    </row>
    <row r="10" spans="1:9" ht="16.2" thickBot="1">
      <c r="A10" s="4" t="s">
        <v>1479</v>
      </c>
      <c r="B10" s="5" t="s">
        <v>1486</v>
      </c>
      <c r="C10" s="18" t="s">
        <v>1055</v>
      </c>
      <c r="D10" s="18" t="s">
        <v>164</v>
      </c>
    </row>
    <row r="11" spans="1:9" ht="16.2" thickBot="1">
      <c r="A11" s="4" t="s">
        <v>1479</v>
      </c>
      <c r="B11" s="5" t="s">
        <v>1487</v>
      </c>
      <c r="C11" s="18" t="s">
        <v>842</v>
      </c>
    </row>
    <row r="12" spans="1:9" ht="16.2" thickBot="1">
      <c r="A12" s="4" t="s">
        <v>1479</v>
      </c>
      <c r="B12" s="5" t="s">
        <v>1488</v>
      </c>
      <c r="C12" s="18" t="s">
        <v>1056</v>
      </c>
    </row>
    <row r="13" spans="1:9" ht="16.2" hidden="1" thickBot="1">
      <c r="A13" s="4" t="s">
        <v>1479</v>
      </c>
      <c r="B13" s="5" t="s">
        <v>1489</v>
      </c>
    </row>
    <row r="14" spans="1:9" ht="16.2" hidden="1" thickBot="1">
      <c r="A14" s="4" t="s">
        <v>1479</v>
      </c>
      <c r="B14" s="5" t="s">
        <v>1490</v>
      </c>
    </row>
    <row r="15" spans="1:9" ht="16.2" thickBot="1">
      <c r="A15" s="4" t="s">
        <v>1479</v>
      </c>
      <c r="B15" s="5" t="s">
        <v>1491</v>
      </c>
      <c r="C15" s="18" t="s">
        <v>160</v>
      </c>
    </row>
    <row r="16" spans="1:9" ht="16.2" thickBot="1">
      <c r="A16" s="4" t="s">
        <v>1479</v>
      </c>
      <c r="B16" s="5" t="s">
        <v>1492</v>
      </c>
      <c r="C16" s="18" t="s">
        <v>161</v>
      </c>
    </row>
    <row r="17" spans="1:4" ht="16.2" hidden="1" thickBot="1">
      <c r="A17" s="4" t="s">
        <v>1479</v>
      </c>
      <c r="B17" s="5" t="s">
        <v>1493</v>
      </c>
    </row>
    <row r="18" spans="1:4" ht="16.2" thickBot="1">
      <c r="A18" s="4" t="s">
        <v>1479</v>
      </c>
      <c r="B18" s="5" t="s">
        <v>1494</v>
      </c>
      <c r="C18" s="18" t="s">
        <v>162</v>
      </c>
    </row>
    <row r="19" spans="1:4" ht="16.2" thickBot="1">
      <c r="A19" s="4" t="s">
        <v>1479</v>
      </c>
      <c r="B19" s="5" t="s">
        <v>1495</v>
      </c>
      <c r="C19" s="18" t="s">
        <v>163</v>
      </c>
    </row>
    <row r="20" spans="1:4" ht="16.2" thickBot="1">
      <c r="A20" s="4" t="s">
        <v>1479</v>
      </c>
      <c r="B20" s="5" t="s">
        <v>1496</v>
      </c>
      <c r="C20" s="18" t="s">
        <v>1302</v>
      </c>
    </row>
    <row r="21" spans="1:4" ht="16.2" hidden="1" thickBot="1">
      <c r="A21" s="4" t="s">
        <v>1479</v>
      </c>
      <c r="B21" s="5" t="s">
        <v>1497</v>
      </c>
    </row>
    <row r="22" spans="1:4" ht="16.2" thickBot="1">
      <c r="A22" s="4" t="s">
        <v>1479</v>
      </c>
      <c r="B22" s="5" t="s">
        <v>1498</v>
      </c>
      <c r="C22" s="18" t="s">
        <v>843</v>
      </c>
    </row>
    <row r="23" spans="1:4" ht="16.2" hidden="1" thickBot="1">
      <c r="A23" s="4" t="s">
        <v>1479</v>
      </c>
      <c r="B23" s="5" t="s">
        <v>1499</v>
      </c>
    </row>
    <row r="24" spans="1:4" ht="16.2" thickBot="1">
      <c r="A24" s="4" t="s">
        <v>1479</v>
      </c>
      <c r="B24" s="5" t="s">
        <v>1500</v>
      </c>
      <c r="C24" s="18" t="s">
        <v>1061</v>
      </c>
    </row>
    <row r="25" spans="1:4" ht="16.2" thickBot="1">
      <c r="A25" s="4" t="s">
        <v>1479</v>
      </c>
      <c r="B25" s="5" t="s">
        <v>1501</v>
      </c>
      <c r="C25" s="18" t="s">
        <v>1062</v>
      </c>
    </row>
    <row r="26" spans="1:4" ht="16.2" hidden="1" thickBot="1">
      <c r="A26" s="4" t="s">
        <v>1479</v>
      </c>
      <c r="B26" s="5" t="s">
        <v>1502</v>
      </c>
    </row>
    <row r="27" spans="1:4" ht="16.2" thickBot="1">
      <c r="A27" s="4" t="s">
        <v>1479</v>
      </c>
      <c r="B27" s="5" t="s">
        <v>1503</v>
      </c>
      <c r="C27" s="18" t="s">
        <v>846</v>
      </c>
    </row>
    <row r="28" spans="1:4" ht="16.2" thickBot="1">
      <c r="A28" s="4" t="s">
        <v>1479</v>
      </c>
      <c r="B28" s="5" t="s">
        <v>1504</v>
      </c>
      <c r="C28" s="18" t="s">
        <v>847</v>
      </c>
    </row>
    <row r="29" spans="1:4" ht="16.2" thickBot="1">
      <c r="A29" s="4" t="s">
        <v>1479</v>
      </c>
      <c r="B29" s="5" t="s">
        <v>1505</v>
      </c>
      <c r="C29" s="18" t="s">
        <v>848</v>
      </c>
    </row>
    <row r="30" spans="1:4" ht="16.2" thickBot="1">
      <c r="A30" s="4" t="s">
        <v>1479</v>
      </c>
      <c r="B30" s="5" t="s">
        <v>1506</v>
      </c>
      <c r="C30" s="18" t="s">
        <v>577</v>
      </c>
      <c r="D30" s="18" t="s">
        <v>844</v>
      </c>
    </row>
    <row r="31" spans="1:4" ht="16.2" thickBot="1">
      <c r="A31" s="4" t="s">
        <v>1479</v>
      </c>
      <c r="B31" s="5" t="s">
        <v>1507</v>
      </c>
      <c r="C31" s="18" t="s">
        <v>169</v>
      </c>
    </row>
    <row r="32" spans="1:4" ht="16.2" thickBot="1">
      <c r="A32" s="4" t="s">
        <v>1479</v>
      </c>
      <c r="B32" s="5" t="s">
        <v>1508</v>
      </c>
      <c r="C32" s="18" t="s">
        <v>165</v>
      </c>
      <c r="D32" s="18" t="s">
        <v>1057</v>
      </c>
    </row>
    <row r="33" spans="1:5" ht="16.2" thickBot="1">
      <c r="A33" s="4" t="s">
        <v>1479</v>
      </c>
      <c r="B33" s="5" t="s">
        <v>1509</v>
      </c>
      <c r="C33" s="18" t="s">
        <v>166</v>
      </c>
    </row>
    <row r="34" spans="1:5" ht="16.2" thickBot="1">
      <c r="A34" s="4" t="s">
        <v>1479</v>
      </c>
      <c r="B34" s="5" t="s">
        <v>1510</v>
      </c>
      <c r="C34" s="18" t="s">
        <v>579</v>
      </c>
    </row>
    <row r="35" spans="1:5" ht="16.2" thickBot="1">
      <c r="A35" s="4" t="s">
        <v>1479</v>
      </c>
      <c r="B35" s="5" t="s">
        <v>1511</v>
      </c>
      <c r="C35" s="18" t="s">
        <v>1060</v>
      </c>
      <c r="D35" s="18" t="s">
        <v>845</v>
      </c>
      <c r="E35" s="18" t="s">
        <v>1059</v>
      </c>
    </row>
    <row r="36" spans="1:5" ht="16.2" thickBot="1">
      <c r="A36" s="4" t="s">
        <v>1479</v>
      </c>
      <c r="B36" s="5" t="s">
        <v>1512</v>
      </c>
      <c r="C36" s="18" t="s">
        <v>581</v>
      </c>
    </row>
    <row r="37" spans="1:5" ht="16.2" thickBot="1">
      <c r="A37" s="4" t="s">
        <v>1479</v>
      </c>
      <c r="B37" s="5" t="s">
        <v>1513</v>
      </c>
      <c r="C37" s="18" t="s">
        <v>1304</v>
      </c>
      <c r="D37" s="18" t="s">
        <v>849</v>
      </c>
    </row>
    <row r="38" spans="1:5" ht="16.2" hidden="1" thickBot="1">
      <c r="A38" s="4" t="s">
        <v>1514</v>
      </c>
      <c r="B38" s="5" t="s">
        <v>1515</v>
      </c>
    </row>
    <row r="39" spans="1:5" ht="16.2" hidden="1" thickBot="1">
      <c r="A39" s="4" t="s">
        <v>1516</v>
      </c>
      <c r="B39" s="5" t="s">
        <v>1517</v>
      </c>
    </row>
    <row r="40" spans="1:5" ht="16.2" hidden="1" thickBot="1">
      <c r="A40" s="4" t="s">
        <v>1516</v>
      </c>
      <c r="B40" s="5" t="s">
        <v>1518</v>
      </c>
    </row>
    <row r="41" spans="1:5" ht="16.2" hidden="1" thickBot="1">
      <c r="A41" s="4" t="s">
        <v>1516</v>
      </c>
      <c r="B41" s="5" t="s">
        <v>1519</v>
      </c>
    </row>
    <row r="42" spans="1:5" ht="16.2" hidden="1" thickBot="1">
      <c r="A42" s="4" t="s">
        <v>1516</v>
      </c>
      <c r="B42" s="5" t="s">
        <v>1520</v>
      </c>
    </row>
    <row r="43" spans="1:5" ht="16.2" hidden="1" thickBot="1">
      <c r="A43" s="4" t="s">
        <v>1516</v>
      </c>
      <c r="B43" s="5" t="s">
        <v>1521</v>
      </c>
    </row>
    <row r="44" spans="1:5" ht="16.2" hidden="1" thickBot="1">
      <c r="A44" s="4" t="s">
        <v>1516</v>
      </c>
      <c r="B44" s="5" t="s">
        <v>1522</v>
      </c>
    </row>
    <row r="45" spans="1:5" ht="16.2" hidden="1" thickBot="1">
      <c r="A45" s="4" t="s">
        <v>1516</v>
      </c>
      <c r="B45" s="5" t="s">
        <v>1523</v>
      </c>
    </row>
    <row r="46" spans="1:5" ht="16.2" hidden="1" thickBot="1">
      <c r="A46" s="4" t="s">
        <v>1272</v>
      </c>
      <c r="B46" s="5" t="s">
        <v>1524</v>
      </c>
    </row>
    <row r="47" spans="1:5" ht="16.2" hidden="1" thickBot="1">
      <c r="A47" s="4" t="s">
        <v>1272</v>
      </c>
      <c r="B47" s="5" t="s">
        <v>1525</v>
      </c>
    </row>
    <row r="48" spans="1:5" ht="16.2" hidden="1" thickBot="1">
      <c r="A48" s="4" t="s">
        <v>1272</v>
      </c>
      <c r="B48" s="5" t="s">
        <v>266</v>
      </c>
    </row>
    <row r="49" spans="1:2" ht="16.2" hidden="1" thickBot="1">
      <c r="A49" s="4" t="s">
        <v>1272</v>
      </c>
      <c r="B49" s="5" t="s">
        <v>1526</v>
      </c>
    </row>
    <row r="50" spans="1:2" ht="16.2" hidden="1" thickBot="1">
      <c r="A50" s="4" t="s">
        <v>1272</v>
      </c>
      <c r="B50" s="5" t="s">
        <v>1527</v>
      </c>
    </row>
    <row r="51" spans="1:2" ht="16.2" hidden="1" thickBot="1">
      <c r="A51" s="4" t="s">
        <v>1272</v>
      </c>
      <c r="B51" s="5" t="s">
        <v>1528</v>
      </c>
    </row>
    <row r="52" spans="1:2" ht="16.2" hidden="1" thickBot="1">
      <c r="A52" s="4" t="s">
        <v>1272</v>
      </c>
      <c r="B52" s="5" t="s">
        <v>1529</v>
      </c>
    </row>
    <row r="53" spans="1:2" ht="16.2" hidden="1" thickBot="1">
      <c r="A53" s="4" t="s">
        <v>1272</v>
      </c>
      <c r="B53" s="5" t="s">
        <v>1530</v>
      </c>
    </row>
    <row r="54" spans="1:2" ht="16.2" hidden="1" thickBot="1">
      <c r="A54" s="4" t="s">
        <v>1272</v>
      </c>
      <c r="B54" s="5" t="s">
        <v>1531</v>
      </c>
    </row>
    <row r="55" spans="1:2" ht="16.2" hidden="1" thickBot="1">
      <c r="A55" s="4" t="s">
        <v>1272</v>
      </c>
      <c r="B55" s="5" t="s">
        <v>1532</v>
      </c>
    </row>
    <row r="56" spans="1:2" ht="16.2" hidden="1" thickBot="1">
      <c r="A56" s="4" t="s">
        <v>1272</v>
      </c>
      <c r="B56" s="5" t="s">
        <v>1533</v>
      </c>
    </row>
    <row r="57" spans="1:2" ht="16.2" hidden="1" thickBot="1">
      <c r="A57" s="4" t="s">
        <v>1272</v>
      </c>
      <c r="B57" s="5" t="s">
        <v>1534</v>
      </c>
    </row>
    <row r="58" spans="1:2" ht="16.2" hidden="1" thickBot="1">
      <c r="A58" s="4" t="s">
        <v>1272</v>
      </c>
      <c r="B58" s="5" t="s">
        <v>1535</v>
      </c>
    </row>
    <row r="59" spans="1:2" ht="16.2" hidden="1" thickBot="1">
      <c r="A59" s="4" t="s">
        <v>1272</v>
      </c>
      <c r="B59" s="5" t="s">
        <v>1536</v>
      </c>
    </row>
    <row r="60" spans="1:2" ht="16.2" hidden="1" thickBot="1">
      <c r="A60" s="4" t="s">
        <v>1272</v>
      </c>
      <c r="B60" s="5" t="s">
        <v>1537</v>
      </c>
    </row>
    <row r="61" spans="1:2" ht="16.2" hidden="1" thickBot="1">
      <c r="A61" s="4" t="s">
        <v>1538</v>
      </c>
      <c r="B61" s="5" t="s">
        <v>1539</v>
      </c>
    </row>
    <row r="62" spans="1:2" ht="16.2" hidden="1" thickBot="1">
      <c r="A62" s="4" t="s">
        <v>1538</v>
      </c>
      <c r="B62" s="5" t="s">
        <v>1540</v>
      </c>
    </row>
    <row r="63" spans="1:2" ht="16.2" hidden="1" thickBot="1">
      <c r="A63" s="4" t="s">
        <v>1538</v>
      </c>
      <c r="B63" s="5" t="s">
        <v>1541</v>
      </c>
    </row>
    <row r="64" spans="1:2" ht="16.2" hidden="1" thickBot="1">
      <c r="A64" s="4" t="s">
        <v>1538</v>
      </c>
      <c r="B64" s="5" t="s">
        <v>1542</v>
      </c>
    </row>
    <row r="65" spans="1:2" ht="16.2" hidden="1" thickBot="1">
      <c r="A65" s="4" t="s">
        <v>1538</v>
      </c>
      <c r="B65" s="5" t="s">
        <v>1543</v>
      </c>
    </row>
    <row r="66" spans="1:2" ht="16.2" hidden="1" thickBot="1">
      <c r="A66" s="4" t="s">
        <v>1538</v>
      </c>
      <c r="B66" s="5" t="s">
        <v>1544</v>
      </c>
    </row>
    <row r="67" spans="1:2" ht="16.2" hidden="1" thickBot="1">
      <c r="A67" s="4" t="s">
        <v>1538</v>
      </c>
      <c r="B67" s="5" t="s">
        <v>1545</v>
      </c>
    </row>
    <row r="68" spans="1:2" ht="16.2" hidden="1" thickBot="1">
      <c r="A68" s="4" t="s">
        <v>1546</v>
      </c>
      <c r="B68" s="5" t="s">
        <v>1547</v>
      </c>
    </row>
    <row r="69" spans="1:2" ht="16.2" hidden="1" thickBot="1">
      <c r="A69" s="4" t="s">
        <v>1546</v>
      </c>
      <c r="B69" s="5" t="s">
        <v>1548</v>
      </c>
    </row>
    <row r="70" spans="1:2" ht="16.2" hidden="1" thickBot="1">
      <c r="A70" s="4" t="s">
        <v>1546</v>
      </c>
      <c r="B70" s="5" t="s">
        <v>1549</v>
      </c>
    </row>
    <row r="71" spans="1:2" ht="16.2" hidden="1" thickBot="1">
      <c r="A71" s="4" t="s">
        <v>1546</v>
      </c>
      <c r="B71" s="5" t="s">
        <v>1550</v>
      </c>
    </row>
    <row r="72" spans="1:2" ht="16.2" hidden="1" thickBot="1">
      <c r="A72" s="4" t="s">
        <v>1546</v>
      </c>
      <c r="B72" s="5" t="s">
        <v>1551</v>
      </c>
    </row>
    <row r="73" spans="1:2" ht="16.2" hidden="1" thickBot="1">
      <c r="A73" s="4" t="s">
        <v>1546</v>
      </c>
      <c r="B73" s="5" t="s">
        <v>1552</v>
      </c>
    </row>
    <row r="74" spans="1:2" ht="16.2" hidden="1" thickBot="1">
      <c r="A74" s="4" t="s">
        <v>1546</v>
      </c>
      <c r="B74" s="5" t="s">
        <v>1553</v>
      </c>
    </row>
    <row r="75" spans="1:2" ht="16.2" hidden="1" thickBot="1">
      <c r="A75" s="4" t="s">
        <v>1546</v>
      </c>
      <c r="B75" s="5" t="s">
        <v>1554</v>
      </c>
    </row>
    <row r="76" spans="1:2" ht="16.2" hidden="1" thickBot="1">
      <c r="A76" s="4" t="s">
        <v>1546</v>
      </c>
      <c r="B76" s="5" t="s">
        <v>1555</v>
      </c>
    </row>
    <row r="77" spans="1:2" ht="16.2" hidden="1" thickBot="1">
      <c r="A77" s="4" t="s">
        <v>1556</v>
      </c>
      <c r="B77" s="5" t="s">
        <v>1557</v>
      </c>
    </row>
    <row r="78" spans="1:2" ht="16.2" hidden="1" thickBot="1">
      <c r="A78" s="4" t="s">
        <v>1556</v>
      </c>
      <c r="B78" s="5" t="s">
        <v>1558</v>
      </c>
    </row>
    <row r="79" spans="1:2" ht="16.2" hidden="1" thickBot="1">
      <c r="A79" s="4" t="s">
        <v>1556</v>
      </c>
      <c r="B79" s="5" t="s">
        <v>1559</v>
      </c>
    </row>
    <row r="80" spans="1:2" ht="16.2" hidden="1" thickBot="1">
      <c r="A80" s="4" t="s">
        <v>1560</v>
      </c>
      <c r="B80" s="5">
        <v>5</v>
      </c>
    </row>
    <row r="81" spans="1:3" ht="16.2" hidden="1" thickBot="1">
      <c r="A81" s="4" t="s">
        <v>1560</v>
      </c>
      <c r="B81" s="5">
        <v>6</v>
      </c>
    </row>
    <row r="82" spans="1:3" ht="16.2" hidden="1" thickBot="1">
      <c r="A82" s="4" t="s">
        <v>1560</v>
      </c>
      <c r="B82" s="5">
        <v>360</v>
      </c>
    </row>
    <row r="83" spans="1:3" ht="16.2" hidden="1" thickBot="1">
      <c r="A83" s="4" t="s">
        <v>1560</v>
      </c>
      <c r="B83" s="5" t="s">
        <v>1561</v>
      </c>
    </row>
    <row r="84" spans="1:3" ht="16.2" hidden="1" thickBot="1">
      <c r="A84" s="4" t="s">
        <v>1560</v>
      </c>
      <c r="B84" s="5" t="s">
        <v>1562</v>
      </c>
    </row>
    <row r="85" spans="1:3" ht="16.2" hidden="1" thickBot="1">
      <c r="A85" s="4" t="s">
        <v>1560</v>
      </c>
      <c r="B85" s="5" t="s">
        <v>1563</v>
      </c>
    </row>
    <row r="86" spans="1:3" ht="16.2" hidden="1" thickBot="1">
      <c r="A86" s="4" t="s">
        <v>1560</v>
      </c>
      <c r="B86" s="5" t="s">
        <v>1564</v>
      </c>
    </row>
    <row r="87" spans="1:3" ht="16.2" hidden="1" thickBot="1">
      <c r="A87" s="4" t="s">
        <v>1560</v>
      </c>
      <c r="B87" s="5" t="s">
        <v>1565</v>
      </c>
    </row>
    <row r="88" spans="1:3" ht="16.2" hidden="1" thickBot="1">
      <c r="A88" s="4" t="s">
        <v>1560</v>
      </c>
      <c r="B88" s="5" t="s">
        <v>1566</v>
      </c>
    </row>
    <row r="89" spans="1:3" ht="16.2" hidden="1" thickBot="1">
      <c r="A89" s="4" t="s">
        <v>1567</v>
      </c>
      <c r="B89" s="5" t="s">
        <v>1568</v>
      </c>
    </row>
    <row r="90" spans="1:3" ht="16.2" hidden="1" thickBot="1">
      <c r="A90" s="4" t="s">
        <v>1567</v>
      </c>
      <c r="B90" s="5" t="s">
        <v>1569</v>
      </c>
    </row>
    <row r="91" spans="1:3" ht="16.2" hidden="1" thickBot="1">
      <c r="A91" s="4" t="s">
        <v>1567</v>
      </c>
      <c r="B91" s="5" t="s">
        <v>1570</v>
      </c>
    </row>
    <row r="92" spans="1:3" ht="16.2" hidden="1" thickBot="1">
      <c r="A92" s="4" t="s">
        <v>1567</v>
      </c>
      <c r="B92" s="5" t="s">
        <v>1571</v>
      </c>
    </row>
    <row r="93" spans="1:3" ht="16.2" hidden="1" thickBot="1">
      <c r="A93" s="4" t="s">
        <v>1572</v>
      </c>
      <c r="B93" s="5" t="s">
        <v>1573</v>
      </c>
    </row>
    <row r="94" spans="1:3" ht="16.2" thickBot="1">
      <c r="A94" s="4" t="s">
        <v>1572</v>
      </c>
      <c r="B94" s="5" t="s">
        <v>1574</v>
      </c>
      <c r="C94" s="1" t="s">
        <v>560</v>
      </c>
    </row>
    <row r="95" spans="1:3" ht="16.2" thickBot="1">
      <c r="A95" s="4" t="s">
        <v>1572</v>
      </c>
      <c r="B95" s="5" t="s">
        <v>1575</v>
      </c>
      <c r="C95" s="1" t="s">
        <v>1031</v>
      </c>
    </row>
    <row r="96" spans="1:3" ht="16.2" hidden="1" thickBot="1">
      <c r="A96" s="4" t="s">
        <v>1572</v>
      </c>
      <c r="B96" s="5" t="s">
        <v>1576</v>
      </c>
    </row>
    <row r="97" spans="1:3" ht="16.2" hidden="1" thickBot="1">
      <c r="A97" s="4" t="s">
        <v>1572</v>
      </c>
      <c r="B97" s="5" t="s">
        <v>1577</v>
      </c>
    </row>
    <row r="98" spans="1:3" ht="16.2" thickBot="1">
      <c r="A98" s="4" t="s">
        <v>1572</v>
      </c>
      <c r="B98" s="5" t="s">
        <v>1578</v>
      </c>
      <c r="C98" s="25" t="s">
        <v>561</v>
      </c>
    </row>
    <row r="99" spans="1:3" ht="16.2" thickBot="1">
      <c r="A99" s="4" t="s">
        <v>1572</v>
      </c>
      <c r="B99" s="5" t="s">
        <v>1579</v>
      </c>
      <c r="C99" s="25" t="s">
        <v>561</v>
      </c>
    </row>
    <row r="100" spans="1:3" ht="16.2" thickBot="1">
      <c r="A100" s="4" t="s">
        <v>1572</v>
      </c>
      <c r="B100" s="5" t="s">
        <v>1580</v>
      </c>
      <c r="C100" s="25" t="s">
        <v>561</v>
      </c>
    </row>
    <row r="101" spans="1:3" ht="16.2" hidden="1" thickBot="1">
      <c r="A101" s="4" t="s">
        <v>1581</v>
      </c>
      <c r="B101" s="5" t="s">
        <v>1582</v>
      </c>
    </row>
    <row r="102" spans="1:3" ht="16.2" hidden="1" thickBot="1">
      <c r="A102" s="4" t="s">
        <v>125</v>
      </c>
      <c r="B102" s="5" t="s">
        <v>1583</v>
      </c>
    </row>
    <row r="103" spans="1:3" ht="16.2" hidden="1" thickBot="1">
      <c r="A103" s="4" t="s">
        <v>125</v>
      </c>
      <c r="B103" s="5" t="s">
        <v>1584</v>
      </c>
    </row>
    <row r="104" spans="1:3" ht="16.2" hidden="1" thickBot="1">
      <c r="A104" s="4" t="s">
        <v>125</v>
      </c>
      <c r="B104" s="5" t="s">
        <v>1585</v>
      </c>
    </row>
    <row r="105" spans="1:3" ht="16.2" hidden="1" thickBot="1">
      <c r="A105" s="4" t="s">
        <v>125</v>
      </c>
      <c r="B105" s="5" t="s">
        <v>1586</v>
      </c>
    </row>
    <row r="106" spans="1:3" ht="16.2" hidden="1" thickBot="1">
      <c r="A106" s="4" t="s">
        <v>1587</v>
      </c>
      <c r="B106" s="5" t="s">
        <v>1588</v>
      </c>
    </row>
    <row r="107" spans="1:3" ht="16.2" hidden="1" thickBot="1">
      <c r="A107" s="4" t="s">
        <v>1587</v>
      </c>
      <c r="B107" s="5" t="s">
        <v>1589</v>
      </c>
    </row>
    <row r="108" spans="1:3" ht="16.2" hidden="1" thickBot="1">
      <c r="A108" s="4" t="s">
        <v>1587</v>
      </c>
      <c r="B108" s="5" t="s">
        <v>1590</v>
      </c>
    </row>
    <row r="109" spans="1:3" ht="16.2" hidden="1" thickBot="1">
      <c r="A109" s="4" t="s">
        <v>1587</v>
      </c>
      <c r="B109" s="5" t="s">
        <v>1591</v>
      </c>
    </row>
    <row r="110" spans="1:3" ht="16.2" hidden="1" thickBot="1">
      <c r="A110" s="4" t="s">
        <v>1587</v>
      </c>
      <c r="B110" s="5" t="s">
        <v>1592</v>
      </c>
    </row>
    <row r="111" spans="1:3" ht="16.2" hidden="1" thickBot="1">
      <c r="A111" s="4" t="s">
        <v>1587</v>
      </c>
      <c r="B111" s="5" t="s">
        <v>1593</v>
      </c>
    </row>
    <row r="112" spans="1:3" ht="16.2" hidden="1" thickBot="1">
      <c r="A112" s="4" t="s">
        <v>1587</v>
      </c>
      <c r="B112" s="5" t="s">
        <v>1594</v>
      </c>
    </row>
    <row r="113" spans="1:10" ht="16.2" hidden="1" thickBot="1">
      <c r="A113" s="4" t="s">
        <v>1587</v>
      </c>
      <c r="B113" s="5" t="s">
        <v>1595</v>
      </c>
    </row>
    <row r="114" spans="1:10" ht="16.2" thickBot="1">
      <c r="A114" s="4" t="s">
        <v>127</v>
      </c>
      <c r="B114" s="5" t="s">
        <v>1596</v>
      </c>
      <c r="C114" s="18" t="s">
        <v>133</v>
      </c>
      <c r="J114" s="24" t="s">
        <v>129</v>
      </c>
    </row>
    <row r="115" spans="1:10" ht="16.2" thickBot="1">
      <c r="A115" s="4" t="s">
        <v>127</v>
      </c>
      <c r="B115" s="5" t="s">
        <v>1597</v>
      </c>
      <c r="C115" s="18" t="s">
        <v>1040</v>
      </c>
      <c r="D115" s="18" t="s">
        <v>134</v>
      </c>
      <c r="J115" s="24" t="s">
        <v>128</v>
      </c>
    </row>
    <row r="116" spans="1:10" ht="16.2" thickBot="1">
      <c r="A116" s="4" t="s">
        <v>127</v>
      </c>
      <c r="B116" s="5" t="s">
        <v>1598</v>
      </c>
      <c r="C116" s="18" t="s">
        <v>131</v>
      </c>
      <c r="D116" s="18" t="s">
        <v>1039</v>
      </c>
    </row>
    <row r="117" spans="1:10" ht="16.2" thickBot="1">
      <c r="A117" s="4" t="s">
        <v>127</v>
      </c>
      <c r="B117" s="5" t="s">
        <v>1599</v>
      </c>
      <c r="C117" s="18" t="s">
        <v>563</v>
      </c>
      <c r="D117" s="18" t="s">
        <v>132</v>
      </c>
      <c r="E117" s="18" t="s">
        <v>817</v>
      </c>
    </row>
    <row r="118" spans="1:10" ht="16.2" thickBot="1">
      <c r="A118" s="4" t="s">
        <v>127</v>
      </c>
      <c r="B118" s="5" t="s">
        <v>1600</v>
      </c>
      <c r="C118" s="18" t="s">
        <v>564</v>
      </c>
    </row>
    <row r="119" spans="1:10" ht="16.2" thickBot="1">
      <c r="A119" s="4" t="s">
        <v>127</v>
      </c>
      <c r="B119" s="5" t="s">
        <v>1601</v>
      </c>
      <c r="C119" s="18" t="s">
        <v>135</v>
      </c>
      <c r="D119" s="18" t="s">
        <v>818</v>
      </c>
    </row>
    <row r="120" spans="1:10" ht="16.2" thickBot="1">
      <c r="A120" s="4" t="s">
        <v>127</v>
      </c>
      <c r="B120" s="5" t="s">
        <v>1602</v>
      </c>
      <c r="C120" s="18" t="s">
        <v>1042</v>
      </c>
      <c r="D120" s="18" t="s">
        <v>819</v>
      </c>
    </row>
    <row r="121" spans="1:10" ht="16.2" thickBot="1">
      <c r="A121" s="4" t="s">
        <v>127</v>
      </c>
      <c r="B121" s="5" t="s">
        <v>1603</v>
      </c>
      <c r="C121" s="18" t="s">
        <v>137</v>
      </c>
    </row>
    <row r="122" spans="1:10" ht="16.2" thickBot="1">
      <c r="A122" s="4" t="s">
        <v>127</v>
      </c>
      <c r="B122" s="5" t="s">
        <v>1604</v>
      </c>
      <c r="C122" s="18" t="s">
        <v>1041</v>
      </c>
      <c r="D122" s="18" t="s">
        <v>139</v>
      </c>
      <c r="E122" s="18" t="s">
        <v>138</v>
      </c>
    </row>
    <row r="123" spans="1:10" ht="16.2" thickBot="1">
      <c r="A123" s="4" t="s">
        <v>127</v>
      </c>
      <c r="B123" s="5" t="s">
        <v>1605</v>
      </c>
      <c r="C123" s="18" t="s">
        <v>565</v>
      </c>
    </row>
    <row r="124" spans="1:10" ht="16.2" hidden="1" thickBot="1">
      <c r="A124" s="4" t="s">
        <v>127</v>
      </c>
      <c r="B124" s="5" t="s">
        <v>1606</v>
      </c>
    </row>
    <row r="125" spans="1:10" ht="16.2" hidden="1" thickBot="1">
      <c r="A125" s="4" t="s">
        <v>127</v>
      </c>
      <c r="B125" s="5" t="s">
        <v>1607</v>
      </c>
    </row>
    <row r="126" spans="1:10" ht="16.2" hidden="1" thickBot="1">
      <c r="A126" s="4" t="s">
        <v>127</v>
      </c>
      <c r="B126" s="5" t="s">
        <v>1608</v>
      </c>
    </row>
    <row r="127" spans="1:10" ht="16.2" thickBot="1">
      <c r="A127" s="4" t="s">
        <v>127</v>
      </c>
      <c r="B127" s="5" t="s">
        <v>1542</v>
      </c>
      <c r="C127" s="18" t="s">
        <v>130</v>
      </c>
    </row>
    <row r="128" spans="1:10" ht="16.2" hidden="1" thickBot="1">
      <c r="A128" s="4" t="s">
        <v>127</v>
      </c>
      <c r="B128" s="5" t="s">
        <v>1609</v>
      </c>
    </row>
    <row r="129" spans="1:3" ht="16.2" hidden="1" thickBot="1">
      <c r="A129" s="4" t="s">
        <v>127</v>
      </c>
      <c r="B129" s="5" t="s">
        <v>1610</v>
      </c>
    </row>
    <row r="130" spans="1:3" ht="16.2" hidden="1" thickBot="1">
      <c r="A130" s="4" t="s">
        <v>127</v>
      </c>
      <c r="B130" s="5" t="s">
        <v>1611</v>
      </c>
    </row>
    <row r="131" spans="1:3" ht="16.2" thickBot="1">
      <c r="A131" s="4" t="s">
        <v>127</v>
      </c>
      <c r="B131" s="5" t="s">
        <v>1612</v>
      </c>
      <c r="C131" s="18" t="s">
        <v>816</v>
      </c>
    </row>
    <row r="132" spans="1:3" ht="16.2" hidden="1" thickBot="1">
      <c r="A132" s="4" t="s">
        <v>127</v>
      </c>
      <c r="B132" s="5" t="s">
        <v>1613</v>
      </c>
    </row>
    <row r="133" spans="1:3" ht="16.2" hidden="1" thickBot="1">
      <c r="A133" s="4" t="s">
        <v>7</v>
      </c>
      <c r="B133" s="5" t="s">
        <v>1614</v>
      </c>
    </row>
    <row r="134" spans="1:3" ht="16.2" hidden="1" thickBot="1">
      <c r="A134" s="4" t="s">
        <v>7</v>
      </c>
      <c r="B134" s="5" t="s">
        <v>1615</v>
      </c>
    </row>
    <row r="135" spans="1:3" ht="16.2" hidden="1" thickBot="1">
      <c r="A135" s="4" t="s">
        <v>7</v>
      </c>
      <c r="B135" s="5" t="s">
        <v>1616</v>
      </c>
    </row>
    <row r="136" spans="1:3" ht="16.2" hidden="1" thickBot="1">
      <c r="A136" s="4" t="s">
        <v>7</v>
      </c>
      <c r="B136" s="5" t="s">
        <v>1617</v>
      </c>
    </row>
    <row r="137" spans="1:3" ht="16.2" hidden="1" thickBot="1">
      <c r="A137" s="4" t="s">
        <v>7</v>
      </c>
      <c r="B137" s="5" t="s">
        <v>1618</v>
      </c>
    </row>
    <row r="138" spans="1:3" ht="16.2" thickBot="1">
      <c r="A138" s="4" t="s">
        <v>1619</v>
      </c>
      <c r="B138" s="5" t="s">
        <v>1620</v>
      </c>
      <c r="C138" s="18" t="s">
        <v>1296</v>
      </c>
    </row>
    <row r="139" spans="1:3" ht="16.2" hidden="1" thickBot="1">
      <c r="A139" s="4" t="s">
        <v>1619</v>
      </c>
      <c r="B139" s="5" t="s">
        <v>1621</v>
      </c>
    </row>
    <row r="140" spans="1:3" ht="16.2" hidden="1" thickBot="1">
      <c r="A140" s="4" t="s">
        <v>1619</v>
      </c>
      <c r="B140" s="5" t="s">
        <v>1622</v>
      </c>
    </row>
    <row r="141" spans="1:3" ht="16.2" hidden="1" thickBot="1">
      <c r="A141" s="4" t="s">
        <v>1619</v>
      </c>
      <c r="B141" s="5" t="s">
        <v>1623</v>
      </c>
    </row>
    <row r="142" spans="1:3" ht="16.2" hidden="1" thickBot="1">
      <c r="A142" s="4" t="s">
        <v>1619</v>
      </c>
      <c r="B142" s="5" t="s">
        <v>1512</v>
      </c>
    </row>
    <row r="143" spans="1:3" ht="16.2" hidden="1" thickBot="1">
      <c r="A143" s="4" t="s">
        <v>1624</v>
      </c>
      <c r="B143" s="5" t="s">
        <v>1625</v>
      </c>
    </row>
    <row r="144" spans="1:3" ht="16.2" hidden="1" thickBot="1">
      <c r="A144" s="4" t="s">
        <v>1624</v>
      </c>
      <c r="B144" s="5" t="s">
        <v>1626</v>
      </c>
    </row>
    <row r="145" spans="1:11" ht="16.2" hidden="1" thickBot="1">
      <c r="A145" s="4" t="s">
        <v>1624</v>
      </c>
      <c r="B145" s="5" t="s">
        <v>1627</v>
      </c>
    </row>
    <row r="146" spans="1:11" ht="16.2" hidden="1" thickBot="1">
      <c r="A146" s="4" t="s">
        <v>1624</v>
      </c>
      <c r="B146" s="5" t="s">
        <v>1628</v>
      </c>
    </row>
    <row r="147" spans="1:11" ht="16.2" thickBot="1">
      <c r="A147" s="4" t="s">
        <v>24</v>
      </c>
      <c r="B147" s="5">
        <v>718</v>
      </c>
      <c r="C147" s="18" t="s">
        <v>837</v>
      </c>
      <c r="D147" s="18" t="s">
        <v>832</v>
      </c>
      <c r="E147" s="23" t="s">
        <v>26</v>
      </c>
      <c r="J147" s="24" t="s">
        <v>1299</v>
      </c>
      <c r="K147" s="24" t="s">
        <v>1298</v>
      </c>
    </row>
    <row r="148" spans="1:11" ht="16.2" thickBot="1">
      <c r="A148" s="4" t="s">
        <v>24</v>
      </c>
      <c r="B148" s="5" t="s">
        <v>1629</v>
      </c>
      <c r="C148" s="18" t="s">
        <v>1300</v>
      </c>
      <c r="D148" s="18" t="s">
        <v>1049</v>
      </c>
      <c r="E148" s="18" t="s">
        <v>154</v>
      </c>
      <c r="F148" s="18" t="s">
        <v>1050</v>
      </c>
      <c r="G148" s="18" t="s">
        <v>836</v>
      </c>
      <c r="H148" s="18" t="s">
        <v>153</v>
      </c>
      <c r="I148" s="18" t="s">
        <v>25</v>
      </c>
      <c r="J148" s="24" t="s">
        <v>151</v>
      </c>
      <c r="K148" s="24" t="s">
        <v>1297</v>
      </c>
    </row>
    <row r="149" spans="1:11" ht="16.2" hidden="1" thickBot="1">
      <c r="A149" s="4" t="s">
        <v>24</v>
      </c>
      <c r="B149" s="5" t="s">
        <v>1630</v>
      </c>
      <c r="J149" s="24" t="s">
        <v>574</v>
      </c>
    </row>
    <row r="150" spans="1:11" ht="16.2" thickBot="1">
      <c r="A150" s="4" t="s">
        <v>24</v>
      </c>
      <c r="B150" s="5" t="s">
        <v>1631</v>
      </c>
      <c r="C150" s="18" t="s">
        <v>1051</v>
      </c>
      <c r="D150" s="18" t="s">
        <v>155</v>
      </c>
      <c r="E150" s="18" t="s">
        <v>839</v>
      </c>
      <c r="F150" s="18" t="s">
        <v>838</v>
      </c>
      <c r="G150" s="18" t="s">
        <v>156</v>
      </c>
      <c r="J150" s="24" t="s">
        <v>152</v>
      </c>
    </row>
    <row r="151" spans="1:11" ht="16.2" thickBot="1">
      <c r="A151" s="4" t="s">
        <v>24</v>
      </c>
      <c r="B151" s="5" t="s">
        <v>1632</v>
      </c>
      <c r="C151" s="18" t="s">
        <v>1301</v>
      </c>
      <c r="D151" s="18" t="s">
        <v>840</v>
      </c>
      <c r="E151" s="18" t="s">
        <v>157</v>
      </c>
    </row>
    <row r="152" spans="1:11" ht="16.2" thickBot="1">
      <c r="A152" s="4" t="s">
        <v>24</v>
      </c>
      <c r="B152" s="5" t="s">
        <v>1633</v>
      </c>
      <c r="C152" s="18" t="s">
        <v>834</v>
      </c>
      <c r="D152" s="18" t="s">
        <v>835</v>
      </c>
      <c r="E152" s="18" t="s">
        <v>833</v>
      </c>
    </row>
    <row r="153" spans="1:11" ht="16.2" hidden="1" thickBot="1">
      <c r="A153" s="4" t="s">
        <v>171</v>
      </c>
      <c r="B153" s="5">
        <v>2008</v>
      </c>
    </row>
    <row r="154" spans="1:11" ht="16.2" hidden="1" thickBot="1">
      <c r="A154" s="4" t="s">
        <v>171</v>
      </c>
      <c r="B154" s="5">
        <v>3008</v>
      </c>
    </row>
    <row r="155" spans="1:11" ht="16.2" hidden="1" thickBot="1">
      <c r="A155" s="4" t="s">
        <v>171</v>
      </c>
      <c r="B155" s="5">
        <v>5008</v>
      </c>
    </row>
    <row r="156" spans="1:11" ht="16.2" hidden="1" thickBot="1">
      <c r="A156" s="4" t="s">
        <v>171</v>
      </c>
      <c r="B156" s="5" t="s">
        <v>1634</v>
      </c>
    </row>
    <row r="157" spans="1:11" ht="16.2" hidden="1" thickBot="1">
      <c r="A157" s="4" t="s">
        <v>1635</v>
      </c>
      <c r="B157" s="5">
        <v>3</v>
      </c>
    </row>
    <row r="158" spans="1:11" ht="16.2" hidden="1" thickBot="1">
      <c r="A158" s="4" t="s">
        <v>1635</v>
      </c>
      <c r="B158" s="5" t="s">
        <v>1636</v>
      </c>
    </row>
    <row r="159" spans="1:11" ht="16.2" hidden="1" thickBot="1">
      <c r="A159" s="4" t="s">
        <v>1635</v>
      </c>
      <c r="B159" s="5" t="s">
        <v>1637</v>
      </c>
    </row>
    <row r="160" spans="1:11" ht="16.2" hidden="1" thickBot="1">
      <c r="A160" s="4" t="s">
        <v>1635</v>
      </c>
      <c r="B160" s="5" t="s">
        <v>1638</v>
      </c>
    </row>
    <row r="161" spans="1:2" ht="16.2" hidden="1" thickBot="1">
      <c r="A161" s="4" t="s">
        <v>27</v>
      </c>
      <c r="B161" s="5" t="s">
        <v>1639</v>
      </c>
    </row>
    <row r="162" spans="1:2" ht="16.2" hidden="1" thickBot="1">
      <c r="A162" s="4" t="s">
        <v>27</v>
      </c>
      <c r="B162" s="5" t="s">
        <v>1640</v>
      </c>
    </row>
    <row r="163" spans="1:2" ht="16.2" hidden="1" thickBot="1">
      <c r="A163" s="4" t="s">
        <v>27</v>
      </c>
      <c r="B163" s="5" t="s">
        <v>1641</v>
      </c>
    </row>
    <row r="164" spans="1:2" ht="16.2" hidden="1" thickBot="1">
      <c r="A164" s="4" t="s">
        <v>27</v>
      </c>
      <c r="B164" s="5" t="s">
        <v>1642</v>
      </c>
    </row>
    <row r="165" spans="1:2" ht="16.2" hidden="1" thickBot="1">
      <c r="A165" s="4" t="s">
        <v>27</v>
      </c>
      <c r="B165" s="5" t="s">
        <v>1643</v>
      </c>
    </row>
    <row r="166" spans="1:2" ht="16.2" hidden="1" thickBot="1">
      <c r="A166" s="4" t="s">
        <v>27</v>
      </c>
      <c r="B166" s="5" t="s">
        <v>1644</v>
      </c>
    </row>
    <row r="167" spans="1:2" ht="16.2" hidden="1" thickBot="1">
      <c r="A167" s="4" t="s">
        <v>27</v>
      </c>
      <c r="B167" s="5" t="s">
        <v>1645</v>
      </c>
    </row>
    <row r="168" spans="1:2" ht="16.2" hidden="1" thickBot="1">
      <c r="A168" s="4" t="s">
        <v>27</v>
      </c>
      <c r="B168" s="5" t="s">
        <v>1646</v>
      </c>
    </row>
    <row r="169" spans="1:2" ht="16.2" hidden="1" thickBot="1">
      <c r="A169" s="4" t="s">
        <v>27</v>
      </c>
      <c r="B169" s="5" t="s">
        <v>1647</v>
      </c>
    </row>
    <row r="170" spans="1:2" ht="16.2" hidden="1" thickBot="1">
      <c r="A170" s="4" t="s">
        <v>27</v>
      </c>
      <c r="B170" s="5" t="s">
        <v>1648</v>
      </c>
    </row>
    <row r="171" spans="1:2" ht="16.2" hidden="1" thickBot="1">
      <c r="A171" s="4" t="s">
        <v>27</v>
      </c>
      <c r="B171" s="5" t="s">
        <v>1649</v>
      </c>
    </row>
    <row r="172" spans="1:2" ht="16.2" hidden="1" thickBot="1">
      <c r="A172" s="4" t="s">
        <v>27</v>
      </c>
      <c r="B172" s="5" t="s">
        <v>1650</v>
      </c>
    </row>
    <row r="173" spans="1:2" ht="16.2" hidden="1" thickBot="1">
      <c r="A173" s="4" t="s">
        <v>27</v>
      </c>
      <c r="B173" s="5" t="s">
        <v>1651</v>
      </c>
    </row>
    <row r="174" spans="1:2" ht="16.2" hidden="1" thickBot="1">
      <c r="A174" s="4" t="s">
        <v>27</v>
      </c>
      <c r="B174" s="5" t="s">
        <v>1652</v>
      </c>
    </row>
    <row r="175" spans="1:2" ht="16.2" hidden="1" thickBot="1">
      <c r="A175" s="4" t="s">
        <v>27</v>
      </c>
      <c r="B175" s="5" t="s">
        <v>1653</v>
      </c>
    </row>
    <row r="176" spans="1:2" ht="16.2" hidden="1" thickBot="1">
      <c r="A176" s="4" t="s">
        <v>27</v>
      </c>
      <c r="B176" s="5" t="s">
        <v>1654</v>
      </c>
    </row>
    <row r="177" spans="1:3" ht="16.2" hidden="1" thickBot="1">
      <c r="A177" s="4" t="s">
        <v>27</v>
      </c>
      <c r="B177" s="5" t="s">
        <v>1655</v>
      </c>
    </row>
    <row r="178" spans="1:3" ht="16.2" hidden="1" thickBot="1">
      <c r="A178" s="4" t="s">
        <v>27</v>
      </c>
      <c r="B178" s="5" t="s">
        <v>1656</v>
      </c>
    </row>
    <row r="179" spans="1:3" ht="16.2" hidden="1" thickBot="1">
      <c r="A179" s="4" t="s">
        <v>27</v>
      </c>
      <c r="B179" s="5" t="s">
        <v>1657</v>
      </c>
    </row>
    <row r="180" spans="1:3" ht="16.2" hidden="1" thickBot="1">
      <c r="A180" s="4" t="s">
        <v>27</v>
      </c>
      <c r="B180" s="5" t="s">
        <v>1658</v>
      </c>
    </row>
    <row r="181" spans="1:3" ht="16.2" hidden="1" thickBot="1">
      <c r="A181" s="4" t="s">
        <v>27</v>
      </c>
      <c r="B181" s="5" t="s">
        <v>1659</v>
      </c>
    </row>
    <row r="182" spans="1:3" ht="16.2" hidden="1" thickBot="1">
      <c r="A182" s="4" t="s">
        <v>27</v>
      </c>
      <c r="B182" s="5" t="s">
        <v>1660</v>
      </c>
    </row>
    <row r="183" spans="1:3" ht="16.2" hidden="1" thickBot="1">
      <c r="A183" s="4" t="s">
        <v>27</v>
      </c>
      <c r="B183" s="5" t="s">
        <v>1661</v>
      </c>
    </row>
    <row r="184" spans="1:3" ht="16.2" hidden="1" thickBot="1">
      <c r="A184" s="4" t="s">
        <v>27</v>
      </c>
      <c r="B184" s="5" t="s">
        <v>1662</v>
      </c>
    </row>
    <row r="185" spans="1:3" ht="16.2" hidden="1" thickBot="1">
      <c r="A185" s="4" t="s">
        <v>27</v>
      </c>
      <c r="B185" s="5" t="s">
        <v>1663</v>
      </c>
    </row>
    <row r="186" spans="1:3" ht="16.2" hidden="1" thickBot="1">
      <c r="A186" s="4" t="s">
        <v>27</v>
      </c>
      <c r="B186" s="5" t="s">
        <v>1664</v>
      </c>
    </row>
    <row r="187" spans="1:3" ht="16.2" hidden="1" thickBot="1">
      <c r="A187" s="4" t="s">
        <v>27</v>
      </c>
      <c r="B187" s="5" t="s">
        <v>866</v>
      </c>
    </row>
    <row r="188" spans="1:3" ht="16.2" hidden="1" thickBot="1">
      <c r="A188" s="4" t="s">
        <v>27</v>
      </c>
      <c r="B188" s="5" t="s">
        <v>1665</v>
      </c>
    </row>
    <row r="189" spans="1:3" ht="16.2" hidden="1" thickBot="1">
      <c r="A189" s="4" t="s">
        <v>27</v>
      </c>
      <c r="B189" s="5" t="s">
        <v>1666</v>
      </c>
    </row>
    <row r="190" spans="1:3" ht="16.2" hidden="1" thickBot="1">
      <c r="A190" s="4" t="s">
        <v>27</v>
      </c>
      <c r="B190" s="5" t="s">
        <v>1667</v>
      </c>
    </row>
    <row r="191" spans="1:3" ht="16.2" hidden="1" thickBot="1">
      <c r="A191" s="4" t="s">
        <v>27</v>
      </c>
      <c r="B191" s="5" t="s">
        <v>1668</v>
      </c>
    </row>
    <row r="192" spans="1:3" ht="16.2" thickBot="1">
      <c r="A192" s="4" t="s">
        <v>27</v>
      </c>
      <c r="B192" s="5" t="s">
        <v>1669</v>
      </c>
      <c r="C192" s="25" t="s">
        <v>185</v>
      </c>
    </row>
    <row r="193" spans="1:3" ht="16.2" thickBot="1">
      <c r="A193" s="4" t="s">
        <v>27</v>
      </c>
      <c r="B193" s="5" t="s">
        <v>1670</v>
      </c>
      <c r="C193" s="34" t="s">
        <v>4109</v>
      </c>
    </row>
    <row r="194" spans="1:3" ht="16.2" thickBot="1">
      <c r="A194" s="4" t="s">
        <v>27</v>
      </c>
      <c r="B194" s="5" t="s">
        <v>1671</v>
      </c>
      <c r="C194" s="25" t="s">
        <v>184</v>
      </c>
    </row>
    <row r="195" spans="1:3" ht="16.2" thickBot="1">
      <c r="A195" s="4" t="s">
        <v>27</v>
      </c>
      <c r="B195" s="5" t="s">
        <v>1672</v>
      </c>
      <c r="C195" s="39" t="s">
        <v>4109</v>
      </c>
    </row>
    <row r="196" spans="1:3" ht="16.2" thickBot="1">
      <c r="A196" s="4" t="s">
        <v>27</v>
      </c>
      <c r="B196" s="5" t="s">
        <v>1673</v>
      </c>
      <c r="C196" s="33" t="s">
        <v>4109</v>
      </c>
    </row>
    <row r="197" spans="1:3" ht="16.2" thickBot="1">
      <c r="A197" s="4" t="s">
        <v>27</v>
      </c>
      <c r="B197" s="5" t="s">
        <v>1674</v>
      </c>
      <c r="C197" s="25" t="s">
        <v>186</v>
      </c>
    </row>
    <row r="198" spans="1:3" ht="16.2" thickBot="1">
      <c r="A198" s="4" t="s">
        <v>27</v>
      </c>
      <c r="B198" s="5" t="s">
        <v>1675</v>
      </c>
      <c r="C198" s="25" t="s">
        <v>4109</v>
      </c>
    </row>
    <row r="199" spans="1:3" ht="16.2" thickBot="1">
      <c r="A199" s="4" t="s">
        <v>27</v>
      </c>
      <c r="B199" s="5" t="s">
        <v>1676</v>
      </c>
      <c r="C199" s="25" t="s">
        <v>4109</v>
      </c>
    </row>
    <row r="200" spans="1:3" ht="16.2" hidden="1" thickBot="1">
      <c r="A200" s="4" t="s">
        <v>27</v>
      </c>
      <c r="B200" s="5" t="s">
        <v>1677</v>
      </c>
    </row>
    <row r="201" spans="1:3" ht="16.2" hidden="1" thickBot="1">
      <c r="A201" s="4" t="s">
        <v>27</v>
      </c>
      <c r="B201" s="5" t="s">
        <v>1678</v>
      </c>
    </row>
    <row r="202" spans="1:3" ht="16.2" hidden="1" thickBot="1">
      <c r="A202" s="4" t="s">
        <v>27</v>
      </c>
      <c r="B202" s="5" t="s">
        <v>1679</v>
      </c>
    </row>
    <row r="203" spans="1:3" ht="16.2" hidden="1" thickBot="1">
      <c r="A203" s="4" t="s">
        <v>27</v>
      </c>
      <c r="B203" s="5" t="s">
        <v>1680</v>
      </c>
    </row>
    <row r="204" spans="1:3" ht="16.2" hidden="1" thickBot="1">
      <c r="A204" s="4" t="s">
        <v>27</v>
      </c>
      <c r="B204" s="5" t="s">
        <v>1681</v>
      </c>
    </row>
    <row r="205" spans="1:3" ht="16.2" hidden="1" thickBot="1">
      <c r="A205" s="4" t="s">
        <v>27</v>
      </c>
      <c r="B205" s="5" t="s">
        <v>1682</v>
      </c>
    </row>
    <row r="206" spans="1:3" ht="16.2" hidden="1" thickBot="1">
      <c r="A206" s="4" t="s">
        <v>27</v>
      </c>
      <c r="B206" s="5" t="s">
        <v>1683</v>
      </c>
    </row>
    <row r="207" spans="1:3" ht="16.2" hidden="1" thickBot="1">
      <c r="A207" s="4" t="s">
        <v>27</v>
      </c>
      <c r="B207" s="5" t="s">
        <v>1684</v>
      </c>
    </row>
    <row r="208" spans="1:3" ht="16.2" hidden="1" thickBot="1">
      <c r="A208" s="4" t="s">
        <v>27</v>
      </c>
      <c r="B208" s="5" t="s">
        <v>1685</v>
      </c>
    </row>
    <row r="209" spans="1:2" ht="16.2" hidden="1" thickBot="1">
      <c r="A209" s="4" t="s">
        <v>27</v>
      </c>
      <c r="B209" s="5" t="s">
        <v>1686</v>
      </c>
    </row>
    <row r="210" spans="1:2" ht="16.2" hidden="1" thickBot="1">
      <c r="A210" s="4" t="s">
        <v>27</v>
      </c>
      <c r="B210" s="5" t="s">
        <v>1687</v>
      </c>
    </row>
    <row r="211" spans="1:2" ht="16.2" hidden="1" thickBot="1">
      <c r="A211" s="4" t="s">
        <v>27</v>
      </c>
      <c r="B211" s="5" t="s">
        <v>1688</v>
      </c>
    </row>
    <row r="212" spans="1:2" ht="16.2" hidden="1" thickBot="1">
      <c r="A212" s="4" t="s">
        <v>27</v>
      </c>
      <c r="B212" s="5" t="s">
        <v>1689</v>
      </c>
    </row>
    <row r="213" spans="1:2" ht="16.2" hidden="1" thickBot="1">
      <c r="A213" s="4" t="s">
        <v>27</v>
      </c>
      <c r="B213" s="5" t="s">
        <v>1690</v>
      </c>
    </row>
    <row r="214" spans="1:2" ht="16.2" hidden="1" thickBot="1">
      <c r="A214" s="4" t="s">
        <v>27</v>
      </c>
      <c r="B214" s="5" t="s">
        <v>1691</v>
      </c>
    </row>
    <row r="215" spans="1:2" ht="16.2" hidden="1" thickBot="1">
      <c r="A215" s="4" t="s">
        <v>27</v>
      </c>
      <c r="B215" s="5" t="s">
        <v>1692</v>
      </c>
    </row>
    <row r="216" spans="1:2" ht="16.2" hidden="1" thickBot="1">
      <c r="A216" s="4" t="s">
        <v>27</v>
      </c>
      <c r="B216" s="5" t="s">
        <v>1693</v>
      </c>
    </row>
    <row r="217" spans="1:2" ht="16.2" hidden="1" thickBot="1">
      <c r="A217" s="4" t="s">
        <v>27</v>
      </c>
      <c r="B217" s="5" t="s">
        <v>1694</v>
      </c>
    </row>
    <row r="218" spans="1:2" ht="16.2" hidden="1" thickBot="1">
      <c r="A218" s="4" t="s">
        <v>27</v>
      </c>
      <c r="B218" s="5" t="s">
        <v>1695</v>
      </c>
    </row>
    <row r="219" spans="1:2" ht="31.8" hidden="1" thickBot="1">
      <c r="A219" s="4" t="s">
        <v>27</v>
      </c>
      <c r="B219" s="5" t="s">
        <v>1696</v>
      </c>
    </row>
    <row r="220" spans="1:2" ht="31.8" hidden="1" thickBot="1">
      <c r="A220" s="4" t="s">
        <v>27</v>
      </c>
      <c r="B220" s="5" t="s">
        <v>1697</v>
      </c>
    </row>
    <row r="221" spans="1:2" ht="31.8" hidden="1" thickBot="1">
      <c r="A221" s="4" t="s">
        <v>27</v>
      </c>
      <c r="B221" s="5" t="s">
        <v>1698</v>
      </c>
    </row>
    <row r="222" spans="1:2" ht="31.8" hidden="1" thickBot="1">
      <c r="A222" s="4" t="s">
        <v>27</v>
      </c>
      <c r="B222" s="5" t="s">
        <v>1699</v>
      </c>
    </row>
    <row r="223" spans="1:2" ht="16.2" hidden="1" thickBot="1">
      <c r="A223" s="4" t="s">
        <v>27</v>
      </c>
      <c r="B223" s="5" t="s">
        <v>1700</v>
      </c>
    </row>
    <row r="224" spans="1:2" ht="31.8" hidden="1" thickBot="1">
      <c r="A224" s="4" t="s">
        <v>27</v>
      </c>
      <c r="B224" s="5" t="s">
        <v>1701</v>
      </c>
    </row>
    <row r="225" spans="1:2" ht="31.8" hidden="1" thickBot="1">
      <c r="A225" s="4" t="s">
        <v>27</v>
      </c>
      <c r="B225" s="5" t="s">
        <v>1702</v>
      </c>
    </row>
    <row r="226" spans="1:2" ht="31.8" hidden="1" thickBot="1">
      <c r="A226" s="4" t="s">
        <v>27</v>
      </c>
      <c r="B226" s="5" t="s">
        <v>1703</v>
      </c>
    </row>
    <row r="227" spans="1:2" ht="31.8" hidden="1" thickBot="1">
      <c r="A227" s="4" t="s">
        <v>27</v>
      </c>
      <c r="B227" s="5" t="s">
        <v>1704</v>
      </c>
    </row>
    <row r="228" spans="1:2" ht="16.2" hidden="1" thickBot="1">
      <c r="A228" s="4" t="s">
        <v>27</v>
      </c>
      <c r="B228" s="5" t="s">
        <v>1705</v>
      </c>
    </row>
    <row r="229" spans="1:2" ht="31.8" hidden="1" thickBot="1">
      <c r="A229" s="4" t="s">
        <v>27</v>
      </c>
      <c r="B229" s="5" t="s">
        <v>1706</v>
      </c>
    </row>
    <row r="230" spans="1:2" ht="31.8" hidden="1" thickBot="1">
      <c r="A230" s="4" t="s">
        <v>27</v>
      </c>
      <c r="B230" s="5" t="s">
        <v>1707</v>
      </c>
    </row>
    <row r="231" spans="1:2" ht="16.2" hidden="1" thickBot="1">
      <c r="A231" s="4" t="s">
        <v>27</v>
      </c>
      <c r="B231" s="5" t="s">
        <v>1708</v>
      </c>
    </row>
    <row r="232" spans="1:2" ht="31.8" hidden="1" thickBot="1">
      <c r="A232" s="4" t="s">
        <v>27</v>
      </c>
      <c r="B232" s="5" t="s">
        <v>1709</v>
      </c>
    </row>
    <row r="233" spans="1:2" ht="16.2" hidden="1" thickBot="1">
      <c r="A233" s="4" t="s">
        <v>27</v>
      </c>
      <c r="B233" s="5" t="s">
        <v>48</v>
      </c>
    </row>
    <row r="234" spans="1:2" ht="16.2" hidden="1" thickBot="1">
      <c r="A234" s="4" t="s">
        <v>1710</v>
      </c>
      <c r="B234" s="5" t="s">
        <v>1711</v>
      </c>
    </row>
    <row r="235" spans="1:2" ht="16.2" hidden="1" thickBot="1">
      <c r="A235" s="4" t="s">
        <v>1710</v>
      </c>
      <c r="B235" s="5" t="s">
        <v>1712</v>
      </c>
    </row>
    <row r="236" spans="1:2" ht="16.2" hidden="1" thickBot="1">
      <c r="A236" s="4" t="s">
        <v>1710</v>
      </c>
      <c r="B236" s="5" t="s">
        <v>1713</v>
      </c>
    </row>
    <row r="237" spans="1:2" ht="16.2" hidden="1" thickBot="1">
      <c r="A237" s="4" t="s">
        <v>1714</v>
      </c>
      <c r="B237" s="5" t="s">
        <v>1715</v>
      </c>
    </row>
    <row r="238" spans="1:2" ht="16.2" hidden="1" thickBot="1">
      <c r="A238" s="4" t="s">
        <v>1714</v>
      </c>
      <c r="B238" s="5" t="s">
        <v>1716</v>
      </c>
    </row>
    <row r="239" spans="1:2" ht="16.2" hidden="1" thickBot="1">
      <c r="A239" s="4" t="s">
        <v>1714</v>
      </c>
      <c r="B239" s="5" t="s">
        <v>1717</v>
      </c>
    </row>
    <row r="240" spans="1:2" ht="16.2" hidden="1" thickBot="1">
      <c r="A240" s="4" t="s">
        <v>1714</v>
      </c>
      <c r="B240" s="5" t="s">
        <v>1718</v>
      </c>
    </row>
    <row r="241" spans="1:2" ht="16.2" hidden="1" thickBot="1">
      <c r="A241" s="4" t="s">
        <v>599</v>
      </c>
      <c r="B241" s="5" t="s">
        <v>1719</v>
      </c>
    </row>
    <row r="242" spans="1:2" ht="16.2" hidden="1" thickBot="1">
      <c r="A242" s="4" t="s">
        <v>300</v>
      </c>
      <c r="B242" s="5" t="s">
        <v>1720</v>
      </c>
    </row>
    <row r="243" spans="1:2" ht="16.2" hidden="1" thickBot="1">
      <c r="A243" s="4" t="s">
        <v>300</v>
      </c>
      <c r="B243" s="5" t="s">
        <v>1721</v>
      </c>
    </row>
    <row r="244" spans="1:2" ht="16.2" hidden="1" thickBot="1">
      <c r="A244" s="4" t="s">
        <v>300</v>
      </c>
      <c r="B244" s="5" t="s">
        <v>1722</v>
      </c>
    </row>
    <row r="245" spans="1:2" ht="16.2" hidden="1" thickBot="1">
      <c r="A245" s="4" t="s">
        <v>300</v>
      </c>
      <c r="B245" s="5" t="s">
        <v>1723</v>
      </c>
    </row>
    <row r="246" spans="1:2" ht="16.2" hidden="1" thickBot="1">
      <c r="A246" s="4" t="s">
        <v>300</v>
      </c>
      <c r="B246" s="5" t="s">
        <v>1724</v>
      </c>
    </row>
    <row r="247" spans="1:2" ht="16.2" hidden="1" thickBot="1">
      <c r="A247" s="4" t="s">
        <v>300</v>
      </c>
      <c r="B247" s="5" t="s">
        <v>1725</v>
      </c>
    </row>
    <row r="248" spans="1:2" ht="16.2" hidden="1" thickBot="1">
      <c r="A248" s="4" t="s">
        <v>300</v>
      </c>
      <c r="B248" s="5" t="s">
        <v>1726</v>
      </c>
    </row>
    <row r="249" spans="1:2" ht="16.2" hidden="1" thickBot="1">
      <c r="A249" s="4" t="s">
        <v>300</v>
      </c>
      <c r="B249" s="5" t="s">
        <v>1111</v>
      </c>
    </row>
    <row r="250" spans="1:2" ht="16.2" hidden="1" thickBot="1">
      <c r="A250" s="4" t="s">
        <v>1727</v>
      </c>
      <c r="B250" s="5" t="s">
        <v>1728</v>
      </c>
    </row>
    <row r="251" spans="1:2" ht="16.2" hidden="1" thickBot="1">
      <c r="A251" s="4" t="s">
        <v>1727</v>
      </c>
      <c r="B251" s="5" t="s">
        <v>1729</v>
      </c>
    </row>
    <row r="252" spans="1:2" ht="16.2" hidden="1" thickBot="1">
      <c r="A252" s="4" t="s">
        <v>1727</v>
      </c>
      <c r="B252" s="5" t="s">
        <v>1730</v>
      </c>
    </row>
    <row r="253" spans="1:2" ht="16.2" hidden="1" thickBot="1">
      <c r="A253" s="4" t="s">
        <v>1727</v>
      </c>
      <c r="B253" s="5" t="s">
        <v>1731</v>
      </c>
    </row>
    <row r="254" spans="1:2" ht="16.2" hidden="1" thickBot="1">
      <c r="A254" s="4" t="s">
        <v>1727</v>
      </c>
      <c r="B254" s="5" t="s">
        <v>1732</v>
      </c>
    </row>
    <row r="255" spans="1:2" ht="16.2" hidden="1" thickBot="1">
      <c r="A255" s="4" t="s">
        <v>1733</v>
      </c>
      <c r="B255" s="5" t="s">
        <v>1734</v>
      </c>
    </row>
    <row r="256" spans="1:2" ht="16.2" hidden="1" thickBot="1">
      <c r="A256" s="4" t="s">
        <v>1735</v>
      </c>
      <c r="B256" s="5" t="s">
        <v>1736</v>
      </c>
    </row>
    <row r="257" spans="1:2" ht="16.2" hidden="1" thickBot="1">
      <c r="A257" s="4" t="s">
        <v>1735</v>
      </c>
      <c r="B257" s="5" t="s">
        <v>1737</v>
      </c>
    </row>
    <row r="258" spans="1:2" ht="16.2" hidden="1" thickBot="1">
      <c r="A258" s="4" t="s">
        <v>1735</v>
      </c>
      <c r="B258" s="5" t="s">
        <v>1738</v>
      </c>
    </row>
    <row r="259" spans="1:2" ht="16.2" hidden="1" thickBot="1">
      <c r="A259" s="4" t="s">
        <v>1735</v>
      </c>
      <c r="B259" s="5" t="s">
        <v>1739</v>
      </c>
    </row>
    <row r="260" spans="1:2" ht="16.2" hidden="1" thickBot="1">
      <c r="A260" s="4" t="s">
        <v>1735</v>
      </c>
      <c r="B260" s="5" t="s">
        <v>1740</v>
      </c>
    </row>
    <row r="261" spans="1:2" ht="16.2" hidden="1" thickBot="1">
      <c r="A261" s="4" t="s">
        <v>1735</v>
      </c>
      <c r="B261" s="5" t="s">
        <v>1741</v>
      </c>
    </row>
    <row r="262" spans="1:2" ht="16.2" hidden="1" thickBot="1">
      <c r="A262" s="4" t="s">
        <v>1735</v>
      </c>
      <c r="B262" s="5" t="s">
        <v>1742</v>
      </c>
    </row>
    <row r="263" spans="1:2" ht="16.2" hidden="1" thickBot="1">
      <c r="A263" s="4" t="s">
        <v>1735</v>
      </c>
      <c r="B263" s="5" t="s">
        <v>1743</v>
      </c>
    </row>
    <row r="264" spans="1:2" ht="16.2" hidden="1" thickBot="1">
      <c r="A264" s="4" t="s">
        <v>1735</v>
      </c>
      <c r="B264" s="5" t="s">
        <v>1744</v>
      </c>
    </row>
    <row r="265" spans="1:2" ht="16.2" hidden="1" thickBot="1">
      <c r="A265" s="4" t="s">
        <v>1735</v>
      </c>
      <c r="B265" s="5" t="s">
        <v>1745</v>
      </c>
    </row>
    <row r="266" spans="1:2" ht="16.2" hidden="1" thickBot="1">
      <c r="A266" s="4" t="s">
        <v>1735</v>
      </c>
      <c r="B266" s="5" t="s">
        <v>1746</v>
      </c>
    </row>
    <row r="267" spans="1:2" ht="31.8" hidden="1" thickBot="1">
      <c r="A267" s="4" t="s">
        <v>1735</v>
      </c>
      <c r="B267" s="5" t="s">
        <v>1747</v>
      </c>
    </row>
    <row r="268" spans="1:2" ht="16.2" hidden="1" thickBot="1">
      <c r="A268" s="4" t="s">
        <v>1735</v>
      </c>
      <c r="B268" s="5" t="s">
        <v>1748</v>
      </c>
    </row>
    <row r="269" spans="1:2" ht="16.2" hidden="1" thickBot="1">
      <c r="A269" s="4" t="s">
        <v>1735</v>
      </c>
      <c r="B269" s="5" t="s">
        <v>1749</v>
      </c>
    </row>
    <row r="270" spans="1:2" ht="16.2" hidden="1" thickBot="1">
      <c r="A270" s="4" t="s">
        <v>1735</v>
      </c>
      <c r="B270" s="5" t="s">
        <v>1750</v>
      </c>
    </row>
    <row r="271" spans="1:2" ht="31.8" hidden="1" thickBot="1">
      <c r="A271" s="4" t="s">
        <v>1735</v>
      </c>
      <c r="B271" s="5" t="s">
        <v>1751</v>
      </c>
    </row>
    <row r="272" spans="1:2" ht="16.2" hidden="1" thickBot="1">
      <c r="A272" s="4" t="s">
        <v>1735</v>
      </c>
      <c r="B272" s="5" t="s">
        <v>1752</v>
      </c>
    </row>
    <row r="273" spans="1:2" ht="31.8" hidden="1" thickBot="1">
      <c r="A273" s="4" t="s">
        <v>1735</v>
      </c>
      <c r="B273" s="5" t="s">
        <v>1753</v>
      </c>
    </row>
    <row r="274" spans="1:2" ht="16.2" hidden="1" thickBot="1">
      <c r="A274" s="4" t="s">
        <v>1735</v>
      </c>
      <c r="B274" s="5" t="s">
        <v>1754</v>
      </c>
    </row>
    <row r="275" spans="1:2" ht="16.2" hidden="1" thickBot="1">
      <c r="A275" s="4" t="s">
        <v>1735</v>
      </c>
      <c r="B275" s="5" t="s">
        <v>1755</v>
      </c>
    </row>
    <row r="276" spans="1:2" ht="16.2" hidden="1" thickBot="1">
      <c r="A276" s="4" t="s">
        <v>1735</v>
      </c>
      <c r="B276" s="5" t="s">
        <v>1756</v>
      </c>
    </row>
    <row r="277" spans="1:2" ht="16.2" hidden="1" thickBot="1">
      <c r="A277" s="4" t="s">
        <v>1757</v>
      </c>
      <c r="B277" s="5" t="s">
        <v>1758</v>
      </c>
    </row>
    <row r="278" spans="1:2" ht="16.2" hidden="1" thickBot="1">
      <c r="A278" s="4" t="s">
        <v>1757</v>
      </c>
      <c r="B278" s="5" t="s">
        <v>1759</v>
      </c>
    </row>
    <row r="279" spans="1:2" ht="16.2" hidden="1" thickBot="1">
      <c r="A279" s="4" t="s">
        <v>1757</v>
      </c>
      <c r="B279" s="5" t="s">
        <v>1760</v>
      </c>
    </row>
    <row r="280" spans="1:2" ht="16.2" hidden="1" thickBot="1">
      <c r="A280" s="4" t="s">
        <v>1757</v>
      </c>
      <c r="B280" s="5" t="s">
        <v>1761</v>
      </c>
    </row>
    <row r="281" spans="1:2" ht="16.2" hidden="1" thickBot="1">
      <c r="A281" s="4" t="s">
        <v>1757</v>
      </c>
      <c r="B281" s="5" t="s">
        <v>1762</v>
      </c>
    </row>
    <row r="282" spans="1:2" ht="16.2" hidden="1" thickBot="1">
      <c r="A282" s="4" t="s">
        <v>1757</v>
      </c>
      <c r="B282" s="5" t="s">
        <v>1763</v>
      </c>
    </row>
    <row r="283" spans="1:2" ht="16.2" hidden="1" thickBot="1">
      <c r="A283" s="4" t="s">
        <v>1757</v>
      </c>
      <c r="B283" s="5" t="s">
        <v>1764</v>
      </c>
    </row>
    <row r="284" spans="1:2" ht="16.2" hidden="1" thickBot="1">
      <c r="A284" s="4" t="s">
        <v>1757</v>
      </c>
      <c r="B284" s="5" t="s">
        <v>1765</v>
      </c>
    </row>
    <row r="285" spans="1:2" ht="16.2" hidden="1" thickBot="1">
      <c r="A285" s="4" t="s">
        <v>1766</v>
      </c>
      <c r="B285" s="5" t="s">
        <v>1767</v>
      </c>
    </row>
    <row r="286" spans="1:2" ht="16.2" hidden="1" thickBot="1">
      <c r="A286" s="4" t="s">
        <v>1766</v>
      </c>
      <c r="B286" s="5" t="s">
        <v>1768</v>
      </c>
    </row>
    <row r="287" spans="1:2" ht="16.2" hidden="1" thickBot="1">
      <c r="A287" s="4" t="s">
        <v>1766</v>
      </c>
      <c r="B287" s="5" t="s">
        <v>637</v>
      </c>
    </row>
    <row r="288" spans="1:2" ht="16.2" hidden="1" thickBot="1">
      <c r="A288" s="4" t="s">
        <v>68</v>
      </c>
      <c r="B288" s="5" t="s">
        <v>1769</v>
      </c>
    </row>
    <row r="289" spans="1:2" ht="16.2" hidden="1" thickBot="1">
      <c r="A289" s="4" t="s">
        <v>68</v>
      </c>
      <c r="B289" s="5" t="s">
        <v>1770</v>
      </c>
    </row>
    <row r="290" spans="1:2" ht="16.2" hidden="1" thickBot="1">
      <c r="A290" s="4" t="s">
        <v>1771</v>
      </c>
      <c r="B290" s="5" t="s">
        <v>1772</v>
      </c>
    </row>
    <row r="291" spans="1:2" ht="16.2" hidden="1" thickBot="1">
      <c r="A291" s="4" t="s">
        <v>1771</v>
      </c>
      <c r="B291" s="5" t="s">
        <v>1773</v>
      </c>
    </row>
    <row r="292" spans="1:2" ht="16.2" hidden="1" thickBot="1">
      <c r="A292" s="4" t="s">
        <v>1771</v>
      </c>
      <c r="B292" s="5" t="s">
        <v>903</v>
      </c>
    </row>
    <row r="293" spans="1:2" ht="16.2" hidden="1" thickBot="1">
      <c r="A293" s="4" t="s">
        <v>1771</v>
      </c>
      <c r="B293" s="5" t="s">
        <v>1774</v>
      </c>
    </row>
    <row r="294" spans="1:2" ht="16.2" hidden="1" thickBot="1">
      <c r="A294" s="4" t="s">
        <v>1771</v>
      </c>
      <c r="B294" s="5" t="s">
        <v>1775</v>
      </c>
    </row>
    <row r="295" spans="1:2" ht="16.2" hidden="1" thickBot="1">
      <c r="A295" s="4" t="s">
        <v>1771</v>
      </c>
      <c r="B295" s="5" t="s">
        <v>1116</v>
      </c>
    </row>
    <row r="296" spans="1:2" ht="16.2" hidden="1" thickBot="1">
      <c r="A296" s="4" t="s">
        <v>1771</v>
      </c>
      <c r="B296" s="5" t="s">
        <v>1776</v>
      </c>
    </row>
    <row r="297" spans="1:2" ht="16.2" hidden="1" thickBot="1">
      <c r="A297" s="6" t="s">
        <v>1777</v>
      </c>
      <c r="B297" s="5" t="s">
        <v>1778</v>
      </c>
    </row>
    <row r="298" spans="1:2" ht="16.2" hidden="1" thickBot="1">
      <c r="A298" s="4" t="s">
        <v>904</v>
      </c>
      <c r="B298" s="5" t="s">
        <v>1779</v>
      </c>
    </row>
    <row r="299" spans="1:2" ht="16.2" hidden="1" thickBot="1">
      <c r="A299" s="4" t="s">
        <v>904</v>
      </c>
      <c r="B299" s="5" t="s">
        <v>1780</v>
      </c>
    </row>
    <row r="300" spans="1:2" ht="16.2" hidden="1" thickBot="1">
      <c r="A300" s="4" t="s">
        <v>904</v>
      </c>
      <c r="B300" s="5" t="s">
        <v>1781</v>
      </c>
    </row>
    <row r="301" spans="1:2" ht="16.2" hidden="1" thickBot="1">
      <c r="A301" s="4" t="s">
        <v>904</v>
      </c>
      <c r="B301" s="5" t="s">
        <v>1782</v>
      </c>
    </row>
    <row r="302" spans="1:2" ht="16.2" hidden="1" thickBot="1">
      <c r="A302" s="4" t="s">
        <v>1783</v>
      </c>
      <c r="B302" s="5" t="s">
        <v>1784</v>
      </c>
    </row>
    <row r="303" spans="1:2" ht="16.2" hidden="1" thickBot="1">
      <c r="A303" s="4" t="s">
        <v>1783</v>
      </c>
      <c r="B303" s="5" t="s">
        <v>1785</v>
      </c>
    </row>
    <row r="304" spans="1:2" ht="16.2" hidden="1" thickBot="1">
      <c r="A304" s="4" t="s">
        <v>1783</v>
      </c>
      <c r="B304" s="5" t="s">
        <v>1786</v>
      </c>
    </row>
    <row r="305" spans="1:2" ht="16.2" hidden="1" thickBot="1">
      <c r="A305" s="4" t="s">
        <v>1783</v>
      </c>
      <c r="B305" s="5" t="s">
        <v>1787</v>
      </c>
    </row>
    <row r="306" spans="1:2" ht="16.2" hidden="1" thickBot="1">
      <c r="A306" s="4" t="s">
        <v>1783</v>
      </c>
      <c r="B306" s="5" t="s">
        <v>1788</v>
      </c>
    </row>
    <row r="307" spans="1:2" ht="16.2" hidden="1" thickBot="1">
      <c r="A307" s="4" t="s">
        <v>323</v>
      </c>
      <c r="B307" s="5" t="s">
        <v>1789</v>
      </c>
    </row>
    <row r="308" spans="1:2" ht="16.2" hidden="1" thickBot="1">
      <c r="A308" s="4" t="s">
        <v>323</v>
      </c>
      <c r="B308" s="5" t="s">
        <v>1790</v>
      </c>
    </row>
    <row r="309" spans="1:2" ht="16.2" hidden="1" thickBot="1">
      <c r="A309" s="4" t="s">
        <v>323</v>
      </c>
      <c r="B309" s="5" t="s">
        <v>1791</v>
      </c>
    </row>
    <row r="310" spans="1:2" ht="16.2" hidden="1" thickBot="1">
      <c r="A310" s="4" t="s">
        <v>323</v>
      </c>
      <c r="B310" s="5" t="s">
        <v>1792</v>
      </c>
    </row>
    <row r="311" spans="1:2" ht="16.2" hidden="1" thickBot="1">
      <c r="A311" s="4" t="s">
        <v>323</v>
      </c>
      <c r="B311" s="5" t="s">
        <v>1793</v>
      </c>
    </row>
    <row r="312" spans="1:2" ht="16.2" hidden="1" thickBot="1">
      <c r="A312" s="4" t="s">
        <v>323</v>
      </c>
      <c r="B312" s="5" t="s">
        <v>1794</v>
      </c>
    </row>
    <row r="313" spans="1:2" ht="16.2" hidden="1" thickBot="1">
      <c r="A313" s="4" t="s">
        <v>1795</v>
      </c>
      <c r="B313" s="5" t="s">
        <v>1796</v>
      </c>
    </row>
    <row r="314" spans="1:2" ht="16.2" hidden="1" thickBot="1">
      <c r="A314" s="4" t="s">
        <v>1795</v>
      </c>
      <c r="B314" s="5" t="s">
        <v>1797</v>
      </c>
    </row>
    <row r="315" spans="1:2" ht="16.2" hidden="1" thickBot="1">
      <c r="A315" s="4" t="s">
        <v>1795</v>
      </c>
      <c r="B315" s="5" t="s">
        <v>1798</v>
      </c>
    </row>
    <row r="316" spans="1:2" ht="16.2" hidden="1" thickBot="1">
      <c r="A316" s="4" t="s">
        <v>1795</v>
      </c>
      <c r="B316" s="5" t="s">
        <v>1799</v>
      </c>
    </row>
    <row r="317" spans="1:2" ht="16.2" hidden="1" thickBot="1">
      <c r="A317" s="4" t="s">
        <v>1795</v>
      </c>
      <c r="B317" s="5" t="s">
        <v>1800</v>
      </c>
    </row>
    <row r="318" spans="1:2" ht="16.2" hidden="1" thickBot="1">
      <c r="A318" s="4" t="s">
        <v>1795</v>
      </c>
      <c r="B318" s="5" t="s">
        <v>1801</v>
      </c>
    </row>
    <row r="319" spans="1:2" ht="16.2" hidden="1" thickBot="1">
      <c r="A319" s="4" t="s">
        <v>1795</v>
      </c>
      <c r="B319" s="5" t="s">
        <v>1802</v>
      </c>
    </row>
    <row r="320" spans="1:2" ht="16.2" hidden="1" thickBot="1">
      <c r="A320" s="4" t="s">
        <v>1795</v>
      </c>
      <c r="B320" s="5" t="s">
        <v>1803</v>
      </c>
    </row>
    <row r="321" spans="1:2" ht="16.2" hidden="1" thickBot="1">
      <c r="A321" s="4" t="s">
        <v>328</v>
      </c>
      <c r="B321" s="5" t="s">
        <v>1804</v>
      </c>
    </row>
    <row r="322" spans="1:2" ht="16.2" hidden="1" thickBot="1">
      <c r="A322" s="4" t="s">
        <v>328</v>
      </c>
      <c r="B322" s="5" t="s">
        <v>1805</v>
      </c>
    </row>
    <row r="323" spans="1:2" ht="16.2" hidden="1" thickBot="1">
      <c r="A323" s="4" t="s">
        <v>328</v>
      </c>
      <c r="B323" s="5" t="s">
        <v>1806</v>
      </c>
    </row>
    <row r="324" spans="1:2" ht="16.2" hidden="1" thickBot="1">
      <c r="A324" s="4" t="s">
        <v>328</v>
      </c>
      <c r="B324" s="5" t="s">
        <v>1807</v>
      </c>
    </row>
    <row r="325" spans="1:2" ht="16.2" hidden="1" thickBot="1">
      <c r="A325" s="4" t="s">
        <v>328</v>
      </c>
      <c r="B325" s="5" t="s">
        <v>1808</v>
      </c>
    </row>
    <row r="326" spans="1:2" ht="16.2" hidden="1" thickBot="1">
      <c r="A326" s="4" t="s">
        <v>328</v>
      </c>
      <c r="B326" s="5" t="s">
        <v>1809</v>
      </c>
    </row>
    <row r="327" spans="1:2" ht="16.2" hidden="1" thickBot="1">
      <c r="A327" s="4" t="s">
        <v>328</v>
      </c>
      <c r="B327" s="5" t="s">
        <v>1810</v>
      </c>
    </row>
    <row r="328" spans="1:2" ht="16.2" hidden="1" thickBot="1">
      <c r="A328" s="4" t="s">
        <v>328</v>
      </c>
      <c r="B328" s="5" t="s">
        <v>1811</v>
      </c>
    </row>
    <row r="329" spans="1:2" ht="16.2" hidden="1" thickBot="1">
      <c r="A329" s="4" t="s">
        <v>925</v>
      </c>
      <c r="B329" s="5" t="s">
        <v>1812</v>
      </c>
    </row>
    <row r="330" spans="1:2" ht="16.2" hidden="1" thickBot="1">
      <c r="A330" s="4" t="s">
        <v>925</v>
      </c>
      <c r="B330" s="5" t="s">
        <v>1813</v>
      </c>
    </row>
    <row r="331" spans="1:2" ht="16.2" hidden="1" thickBot="1">
      <c r="A331" s="4" t="s">
        <v>925</v>
      </c>
      <c r="B331" s="5" t="s">
        <v>1814</v>
      </c>
    </row>
    <row r="332" spans="1:2" ht="16.2" hidden="1" thickBot="1">
      <c r="A332" s="4" t="s">
        <v>925</v>
      </c>
      <c r="B332" s="5" t="s">
        <v>1815</v>
      </c>
    </row>
    <row r="333" spans="1:2" ht="16.2" hidden="1" thickBot="1">
      <c r="A333" s="4" t="s">
        <v>925</v>
      </c>
      <c r="B333" s="5" t="s">
        <v>1816</v>
      </c>
    </row>
    <row r="334" spans="1:2" ht="16.2" hidden="1" thickBot="1">
      <c r="A334" s="4" t="s">
        <v>925</v>
      </c>
      <c r="B334" s="5" t="s">
        <v>1817</v>
      </c>
    </row>
    <row r="335" spans="1:2" ht="16.2" hidden="1" thickBot="1">
      <c r="A335" s="4" t="s">
        <v>925</v>
      </c>
      <c r="B335" s="5" t="s">
        <v>1818</v>
      </c>
    </row>
    <row r="336" spans="1:2" ht="16.2" hidden="1" thickBot="1">
      <c r="A336" s="4" t="s">
        <v>925</v>
      </c>
      <c r="B336" s="5" t="s">
        <v>1819</v>
      </c>
    </row>
    <row r="337" spans="1:2" ht="16.2" hidden="1" thickBot="1">
      <c r="A337" s="4" t="s">
        <v>925</v>
      </c>
      <c r="B337" s="5" t="s">
        <v>926</v>
      </c>
    </row>
    <row r="338" spans="1:2" ht="16.2" hidden="1" thickBot="1">
      <c r="A338" s="4" t="s">
        <v>925</v>
      </c>
      <c r="B338" s="5" t="s">
        <v>1820</v>
      </c>
    </row>
    <row r="339" spans="1:2" ht="16.2" hidden="1" thickBot="1">
      <c r="A339" s="4" t="s">
        <v>925</v>
      </c>
      <c r="B339" s="5" t="s">
        <v>1821</v>
      </c>
    </row>
    <row r="340" spans="1:2" ht="16.2" hidden="1" thickBot="1">
      <c r="A340" s="4" t="s">
        <v>1822</v>
      </c>
      <c r="B340" s="5" t="s">
        <v>1823</v>
      </c>
    </row>
    <row r="341" spans="1:2" ht="16.2" hidden="1" thickBot="1">
      <c r="A341" s="4" t="s">
        <v>1822</v>
      </c>
      <c r="B341" s="5" t="s">
        <v>1824</v>
      </c>
    </row>
    <row r="342" spans="1:2" ht="16.2" hidden="1" thickBot="1">
      <c r="A342" s="4" t="s">
        <v>1822</v>
      </c>
      <c r="B342" s="5" t="s">
        <v>1825</v>
      </c>
    </row>
    <row r="343" spans="1:2" ht="16.2" hidden="1" thickBot="1">
      <c r="A343" s="4" t="s">
        <v>1822</v>
      </c>
      <c r="B343" s="5" t="s">
        <v>1826</v>
      </c>
    </row>
    <row r="344" spans="1:2" ht="16.2" hidden="1" thickBot="1">
      <c r="A344" s="4" t="s">
        <v>1822</v>
      </c>
      <c r="B344" s="5" t="s">
        <v>1827</v>
      </c>
    </row>
    <row r="345" spans="1:2" ht="16.2" hidden="1" thickBot="1">
      <c r="A345" s="4" t="s">
        <v>1822</v>
      </c>
      <c r="B345" s="5" t="s">
        <v>1828</v>
      </c>
    </row>
    <row r="346" spans="1:2" ht="16.2" hidden="1" thickBot="1">
      <c r="A346" s="4" t="s">
        <v>1822</v>
      </c>
      <c r="B346" s="5" t="s">
        <v>1829</v>
      </c>
    </row>
    <row r="347" spans="1:2" ht="16.2" hidden="1" thickBot="1">
      <c r="A347" s="4" t="s">
        <v>1822</v>
      </c>
      <c r="B347" s="5" t="s">
        <v>1830</v>
      </c>
    </row>
    <row r="348" spans="1:2" ht="16.2" hidden="1" thickBot="1">
      <c r="A348" s="4" t="s">
        <v>1822</v>
      </c>
      <c r="B348" s="5" t="s">
        <v>1831</v>
      </c>
    </row>
    <row r="349" spans="1:2" ht="16.2" hidden="1" thickBot="1">
      <c r="A349" s="4" t="s">
        <v>1822</v>
      </c>
      <c r="B349" s="5" t="s">
        <v>1832</v>
      </c>
    </row>
    <row r="350" spans="1:2" ht="16.2" hidden="1" thickBot="1">
      <c r="A350" s="4" t="s">
        <v>1822</v>
      </c>
      <c r="B350" s="5" t="s">
        <v>1833</v>
      </c>
    </row>
    <row r="351" spans="1:2" ht="16.2" hidden="1" thickBot="1">
      <c r="A351" s="4" t="s">
        <v>1822</v>
      </c>
      <c r="B351" s="5" t="s">
        <v>1834</v>
      </c>
    </row>
    <row r="352" spans="1:2" ht="16.2" hidden="1" thickBot="1">
      <c r="A352" s="4" t="s">
        <v>1822</v>
      </c>
      <c r="B352" s="5" t="s">
        <v>1835</v>
      </c>
    </row>
    <row r="353" spans="1:2" ht="16.2" hidden="1" thickBot="1">
      <c r="A353" s="4" t="s">
        <v>1822</v>
      </c>
      <c r="B353" s="5" t="s">
        <v>1361</v>
      </c>
    </row>
    <row r="354" spans="1:2" ht="16.2" hidden="1" thickBot="1">
      <c r="A354" s="4" t="s">
        <v>1822</v>
      </c>
      <c r="B354" s="5" t="s">
        <v>287</v>
      </c>
    </row>
    <row r="355" spans="1:2" ht="16.2" hidden="1" thickBot="1">
      <c r="A355" s="4" t="s">
        <v>1822</v>
      </c>
      <c r="B355" s="5" t="s">
        <v>1836</v>
      </c>
    </row>
    <row r="356" spans="1:2" ht="16.2" hidden="1" thickBot="1">
      <c r="A356" s="4" t="s">
        <v>1822</v>
      </c>
      <c r="B356" s="5" t="s">
        <v>1837</v>
      </c>
    </row>
    <row r="357" spans="1:2" ht="16.2" hidden="1" thickBot="1">
      <c r="A357" s="4" t="s">
        <v>1822</v>
      </c>
      <c r="B357" s="5" t="s">
        <v>1838</v>
      </c>
    </row>
    <row r="358" spans="1:2" ht="16.2" hidden="1" thickBot="1">
      <c r="A358" s="4" t="s">
        <v>1822</v>
      </c>
      <c r="B358" s="5" t="s">
        <v>623</v>
      </c>
    </row>
    <row r="359" spans="1:2" ht="16.2" hidden="1" thickBot="1">
      <c r="A359" s="4" t="s">
        <v>1839</v>
      </c>
      <c r="B359" s="5" t="s">
        <v>1840</v>
      </c>
    </row>
    <row r="360" spans="1:2" ht="16.2" hidden="1" thickBot="1">
      <c r="A360" s="4" t="s">
        <v>1841</v>
      </c>
      <c r="B360" s="5" t="s">
        <v>1842</v>
      </c>
    </row>
    <row r="361" spans="1:2" ht="16.2" hidden="1" thickBot="1">
      <c r="A361" s="4" t="s">
        <v>1841</v>
      </c>
      <c r="B361" s="5" t="s">
        <v>1843</v>
      </c>
    </row>
    <row r="362" spans="1:2" ht="16.2" hidden="1" thickBot="1">
      <c r="A362" s="4" t="s">
        <v>73</v>
      </c>
      <c r="B362" s="5" t="s">
        <v>1844</v>
      </c>
    </row>
    <row r="363" spans="1:2" ht="16.2" hidden="1" thickBot="1">
      <c r="A363" s="4" t="s">
        <v>73</v>
      </c>
      <c r="B363" s="5" t="s">
        <v>1845</v>
      </c>
    </row>
    <row r="364" spans="1:2" ht="16.2" hidden="1" thickBot="1">
      <c r="A364" s="4" t="s">
        <v>73</v>
      </c>
      <c r="B364" s="5" t="s">
        <v>1846</v>
      </c>
    </row>
    <row r="365" spans="1:2" ht="16.2" hidden="1" thickBot="1">
      <c r="A365" s="4" t="s">
        <v>73</v>
      </c>
      <c r="B365" s="5" t="s">
        <v>1847</v>
      </c>
    </row>
    <row r="366" spans="1:2" ht="16.2" hidden="1" thickBot="1">
      <c r="A366" s="4" t="s">
        <v>73</v>
      </c>
      <c r="B366" s="5" t="s">
        <v>1848</v>
      </c>
    </row>
    <row r="367" spans="1:2" ht="16.2" hidden="1" thickBot="1">
      <c r="A367" s="4" t="s">
        <v>73</v>
      </c>
      <c r="B367" s="5" t="s">
        <v>1849</v>
      </c>
    </row>
    <row r="368" spans="1:2" ht="16.2" hidden="1" thickBot="1">
      <c r="A368" s="4" t="s">
        <v>73</v>
      </c>
      <c r="B368" s="5" t="s">
        <v>1850</v>
      </c>
    </row>
    <row r="369" spans="1:2" ht="16.2" hidden="1" thickBot="1">
      <c r="A369" s="4" t="s">
        <v>73</v>
      </c>
      <c r="B369" s="5" t="s">
        <v>1851</v>
      </c>
    </row>
    <row r="370" spans="1:2" ht="16.2" hidden="1" thickBot="1">
      <c r="A370" s="4" t="s">
        <v>73</v>
      </c>
      <c r="B370" s="5" t="s">
        <v>1852</v>
      </c>
    </row>
    <row r="371" spans="1:2" ht="16.2" hidden="1" thickBot="1">
      <c r="A371" s="4" t="s">
        <v>73</v>
      </c>
      <c r="B371" s="5" t="s">
        <v>1853</v>
      </c>
    </row>
    <row r="372" spans="1:2" ht="16.2" hidden="1" thickBot="1">
      <c r="A372" s="4" t="s">
        <v>73</v>
      </c>
      <c r="B372" s="5" t="s">
        <v>1854</v>
      </c>
    </row>
    <row r="373" spans="1:2" ht="16.2" hidden="1" thickBot="1">
      <c r="A373" s="4" t="s">
        <v>73</v>
      </c>
      <c r="B373" s="5" t="s">
        <v>932</v>
      </c>
    </row>
    <row r="374" spans="1:2" ht="16.2" hidden="1" thickBot="1">
      <c r="A374" s="4" t="s">
        <v>73</v>
      </c>
      <c r="B374" s="5" t="s">
        <v>1855</v>
      </c>
    </row>
    <row r="375" spans="1:2" ht="16.2" hidden="1" thickBot="1">
      <c r="A375" s="4" t="s">
        <v>73</v>
      </c>
      <c r="B375" s="5" t="s">
        <v>1856</v>
      </c>
    </row>
    <row r="376" spans="1:2" ht="16.2" hidden="1" thickBot="1">
      <c r="A376" s="4" t="s">
        <v>73</v>
      </c>
      <c r="B376" s="5" t="s">
        <v>74</v>
      </c>
    </row>
    <row r="377" spans="1:2" ht="16.2" hidden="1" thickBot="1">
      <c r="A377" s="4" t="s">
        <v>73</v>
      </c>
      <c r="B377" s="5" t="s">
        <v>1857</v>
      </c>
    </row>
    <row r="378" spans="1:2" ht="16.2" hidden="1" thickBot="1">
      <c r="A378" s="4" t="s">
        <v>73</v>
      </c>
      <c r="B378" s="5" t="s">
        <v>1858</v>
      </c>
    </row>
    <row r="379" spans="1:2" ht="16.2" hidden="1" thickBot="1">
      <c r="A379" s="4" t="s">
        <v>73</v>
      </c>
      <c r="B379" s="5" t="s">
        <v>1859</v>
      </c>
    </row>
    <row r="380" spans="1:2" ht="16.2" hidden="1" thickBot="1">
      <c r="A380" s="4" t="s">
        <v>73</v>
      </c>
      <c r="B380" s="5" t="s">
        <v>1860</v>
      </c>
    </row>
    <row r="381" spans="1:2" ht="16.2" hidden="1" thickBot="1">
      <c r="A381" s="4" t="s">
        <v>73</v>
      </c>
      <c r="B381" s="5" t="s">
        <v>1861</v>
      </c>
    </row>
    <row r="382" spans="1:2" ht="16.2" hidden="1" thickBot="1">
      <c r="A382" s="4" t="s">
        <v>73</v>
      </c>
      <c r="B382" s="5" t="s">
        <v>1862</v>
      </c>
    </row>
    <row r="383" spans="1:2" ht="16.2" hidden="1" thickBot="1">
      <c r="A383" s="4" t="s">
        <v>73</v>
      </c>
      <c r="B383" s="5" t="s">
        <v>1863</v>
      </c>
    </row>
    <row r="384" spans="1:2" ht="16.2" hidden="1" thickBot="1">
      <c r="A384" s="4" t="s">
        <v>73</v>
      </c>
      <c r="B384" s="5" t="s">
        <v>1864</v>
      </c>
    </row>
    <row r="385" spans="1:2" ht="16.2" hidden="1" thickBot="1">
      <c r="A385" s="4" t="s">
        <v>73</v>
      </c>
      <c r="B385" s="5" t="s">
        <v>1865</v>
      </c>
    </row>
    <row r="386" spans="1:2" ht="16.2" hidden="1" thickBot="1">
      <c r="A386" s="4" t="s">
        <v>73</v>
      </c>
      <c r="B386" s="5" t="s">
        <v>1866</v>
      </c>
    </row>
    <row r="387" spans="1:2" ht="16.2" hidden="1" thickBot="1">
      <c r="A387" s="4" t="s">
        <v>73</v>
      </c>
      <c r="B387" s="5" t="s">
        <v>1867</v>
      </c>
    </row>
    <row r="388" spans="1:2" ht="31.8" hidden="1" thickBot="1">
      <c r="A388" s="4" t="s">
        <v>73</v>
      </c>
      <c r="B388" s="5" t="s">
        <v>1868</v>
      </c>
    </row>
    <row r="389" spans="1:2" ht="16.2" hidden="1" thickBot="1">
      <c r="A389" s="4" t="s">
        <v>73</v>
      </c>
      <c r="B389" s="5" t="s">
        <v>1869</v>
      </c>
    </row>
    <row r="390" spans="1:2" ht="16.2" hidden="1" thickBot="1">
      <c r="A390" s="4" t="s">
        <v>73</v>
      </c>
      <c r="B390" s="5" t="s">
        <v>1870</v>
      </c>
    </row>
    <row r="391" spans="1:2" ht="16.2" hidden="1" thickBot="1">
      <c r="A391" s="4" t="s">
        <v>73</v>
      </c>
      <c r="B391" s="5" t="s">
        <v>1871</v>
      </c>
    </row>
    <row r="392" spans="1:2" ht="16.2" hidden="1" thickBot="1">
      <c r="A392" s="4" t="s">
        <v>1872</v>
      </c>
      <c r="B392" s="5" t="s">
        <v>1873</v>
      </c>
    </row>
    <row r="393" spans="1:2" ht="16.2" hidden="1" thickBot="1">
      <c r="A393" s="4" t="s">
        <v>1872</v>
      </c>
      <c r="B393" s="5" t="s">
        <v>1874</v>
      </c>
    </row>
    <row r="394" spans="1:2" ht="16.2" hidden="1" thickBot="1">
      <c r="A394" s="4" t="s">
        <v>1875</v>
      </c>
      <c r="B394" s="5" t="s">
        <v>1876</v>
      </c>
    </row>
    <row r="395" spans="1:2" ht="16.2" hidden="1" thickBot="1">
      <c r="A395" s="4" t="s">
        <v>1875</v>
      </c>
      <c r="B395" s="5" t="s">
        <v>1877</v>
      </c>
    </row>
    <row r="396" spans="1:2" ht="16.2" hidden="1" thickBot="1">
      <c r="A396" s="4" t="s">
        <v>1875</v>
      </c>
      <c r="B396" s="5" t="s">
        <v>1878</v>
      </c>
    </row>
    <row r="397" spans="1:2" ht="16.2" hidden="1" thickBot="1">
      <c r="A397" s="4" t="s">
        <v>1875</v>
      </c>
      <c r="B397" s="5" t="s">
        <v>1879</v>
      </c>
    </row>
    <row r="398" spans="1:2" ht="16.2" hidden="1" thickBot="1">
      <c r="A398" s="4" t="s">
        <v>1875</v>
      </c>
      <c r="B398" s="5" t="s">
        <v>1880</v>
      </c>
    </row>
    <row r="399" spans="1:2" ht="16.2" hidden="1" thickBot="1">
      <c r="A399" s="4" t="s">
        <v>1875</v>
      </c>
      <c r="B399" s="5" t="s">
        <v>1155</v>
      </c>
    </row>
    <row r="400" spans="1:2" ht="16.2" hidden="1" thickBot="1">
      <c r="A400" s="4" t="s">
        <v>1875</v>
      </c>
      <c r="B400" s="5" t="s">
        <v>367</v>
      </c>
    </row>
    <row r="401" spans="1:2" ht="16.2" hidden="1" thickBot="1">
      <c r="A401" s="4" t="s">
        <v>1875</v>
      </c>
      <c r="B401" s="5" t="s">
        <v>1881</v>
      </c>
    </row>
    <row r="402" spans="1:2" ht="16.2" hidden="1" thickBot="1">
      <c r="A402" s="4" t="s">
        <v>1875</v>
      </c>
      <c r="B402" s="5" t="s">
        <v>1882</v>
      </c>
    </row>
    <row r="403" spans="1:2" ht="16.2" hidden="1" thickBot="1">
      <c r="A403" s="4" t="s">
        <v>1883</v>
      </c>
      <c r="B403" s="5">
        <v>500</v>
      </c>
    </row>
    <row r="404" spans="1:2" ht="16.2" hidden="1" thickBot="1">
      <c r="A404" s="4" t="s">
        <v>1883</v>
      </c>
      <c r="B404" s="5" t="s">
        <v>1884</v>
      </c>
    </row>
    <row r="405" spans="1:2" ht="16.2" hidden="1" thickBot="1">
      <c r="A405" s="4" t="s">
        <v>1883</v>
      </c>
      <c r="B405" s="5" t="s">
        <v>1282</v>
      </c>
    </row>
    <row r="406" spans="1:2" ht="16.2" hidden="1" thickBot="1">
      <c r="A406" s="4" t="s">
        <v>1883</v>
      </c>
      <c r="B406" s="5" t="s">
        <v>1885</v>
      </c>
    </row>
    <row r="407" spans="1:2" ht="16.2" hidden="1" thickBot="1">
      <c r="A407" s="4" t="s">
        <v>1883</v>
      </c>
      <c r="B407" s="5" t="s">
        <v>1886</v>
      </c>
    </row>
    <row r="408" spans="1:2" ht="16.2" hidden="1" thickBot="1">
      <c r="A408" s="4" t="s">
        <v>1887</v>
      </c>
      <c r="B408" s="5" t="s">
        <v>1888</v>
      </c>
    </row>
    <row r="409" spans="1:2" ht="16.2" hidden="1" thickBot="1">
      <c r="A409" s="4" t="s">
        <v>1887</v>
      </c>
      <c r="B409" s="5" t="s">
        <v>1889</v>
      </c>
    </row>
    <row r="410" spans="1:2" ht="16.2" hidden="1" thickBot="1">
      <c r="A410" s="4" t="s">
        <v>1887</v>
      </c>
      <c r="B410" s="5" t="s">
        <v>1890</v>
      </c>
    </row>
    <row r="411" spans="1:2" ht="16.2" hidden="1" thickBot="1">
      <c r="A411" s="4" t="s">
        <v>1887</v>
      </c>
      <c r="B411" s="5" t="s">
        <v>1891</v>
      </c>
    </row>
    <row r="412" spans="1:2" ht="16.2" hidden="1" thickBot="1">
      <c r="A412" s="4" t="s">
        <v>1887</v>
      </c>
      <c r="B412" s="5" t="s">
        <v>1892</v>
      </c>
    </row>
    <row r="413" spans="1:2" ht="16.2" hidden="1" thickBot="1">
      <c r="A413" s="4" t="s">
        <v>1887</v>
      </c>
      <c r="B413" s="5" t="s">
        <v>1893</v>
      </c>
    </row>
    <row r="414" spans="1:2" ht="16.2" hidden="1" thickBot="1">
      <c r="A414" s="4" t="s">
        <v>1887</v>
      </c>
      <c r="B414" s="5" t="s">
        <v>1894</v>
      </c>
    </row>
    <row r="415" spans="1:2" ht="16.2" hidden="1" thickBot="1">
      <c r="A415" s="4" t="s">
        <v>1887</v>
      </c>
      <c r="B415" s="5" t="s">
        <v>1895</v>
      </c>
    </row>
    <row r="416" spans="1:2" ht="16.2" hidden="1" thickBot="1">
      <c r="A416" s="4" t="s">
        <v>1887</v>
      </c>
      <c r="B416" s="5" t="s">
        <v>1896</v>
      </c>
    </row>
    <row r="417" spans="1:10" ht="16.2" hidden="1" thickBot="1">
      <c r="A417" s="4" t="s">
        <v>54</v>
      </c>
      <c r="B417" s="5" t="s">
        <v>1897</v>
      </c>
    </row>
    <row r="418" spans="1:10" ht="16.2" hidden="1" thickBot="1">
      <c r="A418" s="4" t="s">
        <v>54</v>
      </c>
      <c r="B418" s="5" t="s">
        <v>1898</v>
      </c>
    </row>
    <row r="419" spans="1:10" ht="16.2" hidden="1" thickBot="1">
      <c r="A419" s="4" t="s">
        <v>54</v>
      </c>
      <c r="B419" s="5" t="s">
        <v>1899</v>
      </c>
    </row>
    <row r="420" spans="1:10" ht="16.2" hidden="1" thickBot="1">
      <c r="A420" s="4" t="s">
        <v>54</v>
      </c>
      <c r="B420" s="5" t="s">
        <v>1900</v>
      </c>
    </row>
    <row r="421" spans="1:10" ht="16.2" hidden="1" thickBot="1">
      <c r="A421" s="4" t="s">
        <v>54</v>
      </c>
      <c r="B421" s="5" t="s">
        <v>1901</v>
      </c>
    </row>
    <row r="422" spans="1:10" ht="16.2" hidden="1" thickBot="1">
      <c r="A422" s="4" t="s">
        <v>54</v>
      </c>
      <c r="B422" s="5" t="s">
        <v>1902</v>
      </c>
    </row>
    <row r="423" spans="1:10" ht="16.2" hidden="1" thickBot="1">
      <c r="A423" s="4" t="s">
        <v>54</v>
      </c>
      <c r="B423" s="5" t="s">
        <v>1903</v>
      </c>
    </row>
    <row r="424" spans="1:10" ht="16.2" hidden="1" thickBot="1">
      <c r="A424" s="4" t="s">
        <v>54</v>
      </c>
      <c r="B424" s="5" t="s">
        <v>1904</v>
      </c>
    </row>
    <row r="425" spans="1:10" ht="16.2" hidden="1" thickBot="1">
      <c r="A425" s="4" t="s">
        <v>439</v>
      </c>
      <c r="B425" s="5" t="s">
        <v>1905</v>
      </c>
    </row>
    <row r="426" spans="1:10" ht="16.2" hidden="1" thickBot="1">
      <c r="A426" s="4" t="s">
        <v>439</v>
      </c>
      <c r="B426" s="5" t="s">
        <v>1906</v>
      </c>
    </row>
    <row r="427" spans="1:10" ht="16.2" hidden="1" thickBot="1">
      <c r="A427" s="4" t="s">
        <v>439</v>
      </c>
      <c r="B427" s="5" t="s">
        <v>1907</v>
      </c>
    </row>
    <row r="428" spans="1:10" ht="16.2" hidden="1" thickBot="1">
      <c r="A428" s="4" t="s">
        <v>439</v>
      </c>
      <c r="B428" s="5" t="s">
        <v>1908</v>
      </c>
    </row>
    <row r="429" spans="1:10" ht="16.2" thickBot="1">
      <c r="A429" s="4" t="s">
        <v>387</v>
      </c>
      <c r="B429" s="5" t="s">
        <v>1909</v>
      </c>
      <c r="C429" s="18" t="s">
        <v>702</v>
      </c>
      <c r="D429" s="18" t="s">
        <v>700</v>
      </c>
      <c r="E429" s="18" t="s">
        <v>701</v>
      </c>
      <c r="J429" s="24" t="s">
        <v>1408</v>
      </c>
    </row>
    <row r="430" spans="1:10" ht="18.600000000000001" thickBot="1">
      <c r="A430" s="4" t="s">
        <v>387</v>
      </c>
      <c r="B430" s="5" t="s">
        <v>1910</v>
      </c>
      <c r="C430" s="26" t="s">
        <v>392</v>
      </c>
      <c r="J430" s="24" t="s">
        <v>1409</v>
      </c>
    </row>
    <row r="431" spans="1:10" ht="16.2" thickBot="1">
      <c r="A431" s="4" t="s">
        <v>387</v>
      </c>
      <c r="B431" s="5" t="s">
        <v>1911</v>
      </c>
      <c r="C431" s="18" t="s">
        <v>698</v>
      </c>
      <c r="D431" s="18" t="s">
        <v>389</v>
      </c>
      <c r="J431" s="24" t="s">
        <v>1182</v>
      </c>
    </row>
    <row r="432" spans="1:10" ht="16.2" thickBot="1">
      <c r="A432" s="4" t="s">
        <v>387</v>
      </c>
      <c r="B432" s="5" t="s">
        <v>1912</v>
      </c>
      <c r="C432" s="18" t="s">
        <v>957</v>
      </c>
      <c r="J432" s="24" t="s">
        <v>1410</v>
      </c>
    </row>
    <row r="433" spans="1:11" ht="16.2" thickBot="1">
      <c r="A433" s="4" t="s">
        <v>387</v>
      </c>
      <c r="B433" s="5" t="s">
        <v>1913</v>
      </c>
      <c r="C433" s="18" t="s">
        <v>1176</v>
      </c>
      <c r="D433" s="18" t="s">
        <v>386</v>
      </c>
      <c r="J433" s="24" t="s">
        <v>1411</v>
      </c>
    </row>
    <row r="434" spans="1:11" ht="16.2" thickBot="1">
      <c r="A434" s="4" t="s">
        <v>387</v>
      </c>
      <c r="B434" s="5" t="s">
        <v>1914</v>
      </c>
      <c r="C434" s="18" t="s">
        <v>388</v>
      </c>
      <c r="D434" s="18" t="s">
        <v>1401</v>
      </c>
      <c r="J434" s="28" t="s">
        <v>1402</v>
      </c>
    </row>
    <row r="435" spans="1:11" ht="16.2" hidden="1" thickBot="1">
      <c r="A435" s="4" t="s">
        <v>387</v>
      </c>
      <c r="B435" s="5" t="s">
        <v>1915</v>
      </c>
      <c r="J435" s="28" t="s">
        <v>960</v>
      </c>
    </row>
    <row r="436" spans="1:11" ht="18" thickBot="1">
      <c r="A436" s="4" t="s">
        <v>387</v>
      </c>
      <c r="B436" s="5" t="s">
        <v>959</v>
      </c>
      <c r="C436" s="18" t="s">
        <v>1400</v>
      </c>
      <c r="D436" s="18" t="s">
        <v>959</v>
      </c>
      <c r="J436" s="24" t="s">
        <v>700</v>
      </c>
      <c r="K436" s="29" t="s">
        <v>4109</v>
      </c>
    </row>
    <row r="437" spans="1:11" ht="18" hidden="1" thickBot="1">
      <c r="A437" s="4" t="s">
        <v>387</v>
      </c>
      <c r="B437" s="5" t="s">
        <v>1916</v>
      </c>
      <c r="J437" s="24" t="s">
        <v>701</v>
      </c>
      <c r="K437" s="29" t="s">
        <v>4109</v>
      </c>
    </row>
    <row r="438" spans="1:11" ht="16.2" thickBot="1">
      <c r="A438" s="4" t="s">
        <v>387</v>
      </c>
      <c r="B438" s="5" t="s">
        <v>390</v>
      </c>
      <c r="C438" s="18" t="s">
        <v>390</v>
      </c>
    </row>
    <row r="439" spans="1:11" ht="16.2" thickBot="1">
      <c r="A439" s="4" t="s">
        <v>387</v>
      </c>
      <c r="B439" s="5" t="s">
        <v>1917</v>
      </c>
      <c r="C439" s="18" t="s">
        <v>1177</v>
      </c>
      <c r="D439" s="18" t="s">
        <v>391</v>
      </c>
    </row>
    <row r="440" spans="1:11" ht="16.2" thickBot="1">
      <c r="A440" s="4" t="s">
        <v>387</v>
      </c>
      <c r="B440" s="5" t="s">
        <v>1918</v>
      </c>
      <c r="C440" s="18" t="s">
        <v>1403</v>
      </c>
      <c r="D440" s="18" t="s">
        <v>1178</v>
      </c>
      <c r="E440" s="18" t="s">
        <v>1404</v>
      </c>
      <c r="F440" s="18" t="s">
        <v>1179</v>
      </c>
      <c r="G440" s="18" t="s">
        <v>1180</v>
      </c>
    </row>
    <row r="441" spans="1:11" ht="16.2" thickBot="1">
      <c r="A441" s="4" t="s">
        <v>387</v>
      </c>
      <c r="B441" s="5" t="s">
        <v>961</v>
      </c>
      <c r="C441" s="18" t="s">
        <v>1406</v>
      </c>
      <c r="D441" s="18" t="s">
        <v>961</v>
      </c>
      <c r="E441" s="18" t="s">
        <v>1405</v>
      </c>
    </row>
    <row r="442" spans="1:11" ht="21.6" thickBot="1">
      <c r="A442" s="4" t="s">
        <v>387</v>
      </c>
      <c r="B442" s="5" t="s">
        <v>1919</v>
      </c>
      <c r="C442" s="27" t="s">
        <v>4109</v>
      </c>
    </row>
    <row r="443" spans="1:11" ht="21.6" thickBot="1">
      <c r="A443" s="4" t="s">
        <v>387</v>
      </c>
      <c r="B443" s="5" t="s">
        <v>1920</v>
      </c>
      <c r="C443" s="27" t="s">
        <v>4109</v>
      </c>
    </row>
    <row r="444" spans="1:11" ht="16.2" thickBot="1">
      <c r="A444" s="4" t="s">
        <v>387</v>
      </c>
      <c r="B444" s="5" t="s">
        <v>1921</v>
      </c>
      <c r="C444" s="18" t="s">
        <v>1407</v>
      </c>
      <c r="D444" s="18" t="s">
        <v>393</v>
      </c>
    </row>
    <row r="445" spans="1:11" ht="16.2" thickBot="1">
      <c r="A445" s="4" t="s">
        <v>387</v>
      </c>
      <c r="B445" s="5" t="s">
        <v>394</v>
      </c>
      <c r="C445" s="18" t="s">
        <v>394</v>
      </c>
    </row>
    <row r="446" spans="1:11" ht="16.2" hidden="1" thickBot="1">
      <c r="A446" s="4" t="s">
        <v>387</v>
      </c>
      <c r="B446" s="5" t="s">
        <v>1922</v>
      </c>
    </row>
    <row r="447" spans="1:11" ht="16.2" hidden="1" thickBot="1">
      <c r="A447" s="4" t="s">
        <v>1923</v>
      </c>
      <c r="B447" s="5" t="s">
        <v>1924</v>
      </c>
      <c r="J447" s="23" t="s">
        <v>1413</v>
      </c>
    </row>
    <row r="448" spans="1:11" ht="16.2" thickBot="1">
      <c r="A448" s="4" t="s">
        <v>1923</v>
      </c>
      <c r="B448" s="5" t="s">
        <v>1925</v>
      </c>
      <c r="C448" s="18" t="s">
        <v>963</v>
      </c>
      <c r="D448" s="18" t="s">
        <v>398</v>
      </c>
      <c r="J448" s="23" t="s">
        <v>967</v>
      </c>
    </row>
    <row r="449" spans="1:10" ht="18.600000000000001" thickBot="1">
      <c r="A449" s="4" t="s">
        <v>1923</v>
      </c>
      <c r="B449" s="5" t="s">
        <v>1926</v>
      </c>
      <c r="C449" s="30" t="s">
        <v>4109</v>
      </c>
      <c r="J449" s="23" t="s">
        <v>1414</v>
      </c>
    </row>
    <row r="450" spans="1:10" ht="18" thickBot="1">
      <c r="A450" s="4" t="s">
        <v>1923</v>
      </c>
      <c r="B450" s="5" t="s">
        <v>1927</v>
      </c>
      <c r="C450" s="35" t="s">
        <v>4109</v>
      </c>
      <c r="J450" s="23" t="s">
        <v>966</v>
      </c>
    </row>
    <row r="451" spans="1:10" ht="18" thickBot="1">
      <c r="A451" s="4" t="s">
        <v>1923</v>
      </c>
      <c r="B451" s="5" t="s">
        <v>1928</v>
      </c>
      <c r="C451" s="35" t="s">
        <v>4109</v>
      </c>
      <c r="J451" s="23" t="s">
        <v>1184</v>
      </c>
    </row>
    <row r="452" spans="1:10" ht="18" thickBot="1">
      <c r="A452" s="4" t="s">
        <v>1923</v>
      </c>
      <c r="B452" s="5" t="s">
        <v>1929</v>
      </c>
      <c r="C452" s="35" t="s">
        <v>4109</v>
      </c>
      <c r="J452" s="23" t="s">
        <v>1183</v>
      </c>
    </row>
    <row r="453" spans="1:10" ht="16.2" thickBot="1">
      <c r="A453" s="4" t="s">
        <v>1923</v>
      </c>
      <c r="B453" s="5" t="s">
        <v>1930</v>
      </c>
      <c r="C453" s="18" t="s">
        <v>401</v>
      </c>
      <c r="D453" s="18" t="s">
        <v>400</v>
      </c>
      <c r="E453" s="18" t="s">
        <v>399</v>
      </c>
      <c r="F453" s="18" t="s">
        <v>964</v>
      </c>
    </row>
    <row r="454" spans="1:10" ht="18" thickBot="1">
      <c r="A454" s="4" t="s">
        <v>1923</v>
      </c>
      <c r="B454" s="5" t="s">
        <v>1931</v>
      </c>
      <c r="C454" s="31" t="s">
        <v>4109</v>
      </c>
      <c r="J454" s="32" t="s">
        <v>707</v>
      </c>
    </row>
    <row r="455" spans="1:10" ht="18" thickBot="1">
      <c r="A455" s="4" t="s">
        <v>1923</v>
      </c>
      <c r="B455" s="5" t="s">
        <v>1932</v>
      </c>
      <c r="C455" s="31" t="s">
        <v>4109</v>
      </c>
      <c r="J455" s="32" t="s">
        <v>1412</v>
      </c>
    </row>
    <row r="456" spans="1:10" ht="18" thickBot="1">
      <c r="A456" s="4" t="s">
        <v>1923</v>
      </c>
      <c r="B456" s="5" t="s">
        <v>1933</v>
      </c>
      <c r="C456" s="31" t="s">
        <v>4109</v>
      </c>
      <c r="J456" s="32" t="s">
        <v>965</v>
      </c>
    </row>
    <row r="457" spans="1:10" ht="16.2" thickBot="1">
      <c r="A457" s="4" t="s">
        <v>1923</v>
      </c>
      <c r="B457" s="5" t="s">
        <v>1934</v>
      </c>
      <c r="C457" s="32" t="s">
        <v>708</v>
      </c>
    </row>
    <row r="458" spans="1:10" ht="16.2" thickBot="1">
      <c r="A458" s="4" t="s">
        <v>1923</v>
      </c>
      <c r="B458" s="5" t="s">
        <v>1935</v>
      </c>
      <c r="C458" s="32" t="s">
        <v>95</v>
      </c>
      <c r="D458" s="32" t="s">
        <v>403</v>
      </c>
      <c r="J458" s="33" t="s">
        <v>406</v>
      </c>
    </row>
    <row r="459" spans="1:10" ht="16.2" hidden="1" thickBot="1">
      <c r="A459" s="4" t="s">
        <v>1923</v>
      </c>
      <c r="B459" s="5" t="s">
        <v>1936</v>
      </c>
      <c r="J459" s="33" t="s">
        <v>405</v>
      </c>
    </row>
    <row r="460" spans="1:10" ht="16.2" hidden="1" thickBot="1">
      <c r="A460" s="4" t="s">
        <v>40</v>
      </c>
      <c r="B460" s="5" t="s">
        <v>1937</v>
      </c>
    </row>
    <row r="461" spans="1:10" ht="16.2" hidden="1" thickBot="1">
      <c r="A461" s="4" t="s">
        <v>40</v>
      </c>
      <c r="B461" s="5" t="s">
        <v>1938</v>
      </c>
    </row>
    <row r="462" spans="1:10" ht="16.2" hidden="1" thickBot="1">
      <c r="A462" s="4" t="s">
        <v>40</v>
      </c>
      <c r="B462" s="5" t="s">
        <v>1939</v>
      </c>
    </row>
    <row r="463" spans="1:10" ht="16.2" hidden="1" thickBot="1">
      <c r="A463" s="4" t="s">
        <v>40</v>
      </c>
      <c r="B463" s="5" t="s">
        <v>1940</v>
      </c>
    </row>
    <row r="464" spans="1:10" ht="16.2" hidden="1" thickBot="1">
      <c r="A464" s="4" t="s">
        <v>40</v>
      </c>
      <c r="B464" s="5" t="s">
        <v>1941</v>
      </c>
    </row>
    <row r="465" spans="1:2" ht="16.2" hidden="1" thickBot="1">
      <c r="A465" s="4" t="s">
        <v>40</v>
      </c>
      <c r="B465" s="5" t="s">
        <v>1942</v>
      </c>
    </row>
    <row r="466" spans="1:2" ht="16.2" hidden="1" thickBot="1">
      <c r="A466" s="4" t="s">
        <v>40</v>
      </c>
      <c r="B466" s="5" t="s">
        <v>1943</v>
      </c>
    </row>
    <row r="467" spans="1:2" ht="16.2" hidden="1" thickBot="1">
      <c r="A467" s="4" t="s">
        <v>40</v>
      </c>
      <c r="B467" s="5" t="s">
        <v>1944</v>
      </c>
    </row>
    <row r="468" spans="1:2" ht="16.2" hidden="1" thickBot="1">
      <c r="A468" s="4" t="s">
        <v>40</v>
      </c>
      <c r="B468" s="5" t="s">
        <v>1945</v>
      </c>
    </row>
    <row r="469" spans="1:2" ht="16.2" hidden="1" thickBot="1">
      <c r="A469" s="4" t="s">
        <v>40</v>
      </c>
      <c r="B469" s="5" t="s">
        <v>1946</v>
      </c>
    </row>
    <row r="470" spans="1:2" ht="16.2" hidden="1" thickBot="1">
      <c r="A470" s="4" t="s">
        <v>40</v>
      </c>
      <c r="B470" s="5" t="s">
        <v>1947</v>
      </c>
    </row>
    <row r="471" spans="1:2" ht="16.2" hidden="1" thickBot="1">
      <c r="A471" s="4" t="s">
        <v>40</v>
      </c>
      <c r="B471" s="5" t="s">
        <v>1948</v>
      </c>
    </row>
    <row r="472" spans="1:2" ht="16.2" hidden="1" thickBot="1">
      <c r="A472" s="4" t="s">
        <v>40</v>
      </c>
      <c r="B472" s="5" t="s">
        <v>1949</v>
      </c>
    </row>
    <row r="473" spans="1:2" ht="16.2" hidden="1" thickBot="1">
      <c r="A473" s="4" t="s">
        <v>40</v>
      </c>
      <c r="B473" s="5" t="s">
        <v>1950</v>
      </c>
    </row>
    <row r="474" spans="1:2" ht="16.2" hidden="1" thickBot="1">
      <c r="A474" s="4" t="s">
        <v>40</v>
      </c>
      <c r="B474" s="5" t="s">
        <v>1951</v>
      </c>
    </row>
    <row r="475" spans="1:2" ht="16.2" hidden="1" thickBot="1">
      <c r="A475" s="4" t="s">
        <v>40</v>
      </c>
      <c r="B475" s="5" t="s">
        <v>1952</v>
      </c>
    </row>
    <row r="476" spans="1:2" ht="16.2" hidden="1" thickBot="1">
      <c r="A476" s="4" t="s">
        <v>40</v>
      </c>
      <c r="B476" s="5" t="s">
        <v>1953</v>
      </c>
    </row>
    <row r="477" spans="1:2" ht="16.2" hidden="1" thickBot="1">
      <c r="A477" s="4" t="s">
        <v>40</v>
      </c>
      <c r="B477" s="5" t="s">
        <v>1954</v>
      </c>
    </row>
    <row r="478" spans="1:2" ht="16.2" hidden="1" thickBot="1">
      <c r="A478" s="4" t="s">
        <v>40</v>
      </c>
      <c r="B478" s="5" t="s">
        <v>1955</v>
      </c>
    </row>
    <row r="479" spans="1:2" ht="16.2" hidden="1" thickBot="1">
      <c r="A479" s="4" t="s">
        <v>40</v>
      </c>
      <c r="B479" s="5" t="s">
        <v>1956</v>
      </c>
    </row>
    <row r="480" spans="1:2" ht="16.2" hidden="1" thickBot="1">
      <c r="A480" s="4" t="s">
        <v>40</v>
      </c>
      <c r="B480" s="5" t="s">
        <v>1957</v>
      </c>
    </row>
    <row r="481" spans="1:2" ht="16.2" hidden="1" thickBot="1">
      <c r="A481" s="4" t="s">
        <v>40</v>
      </c>
      <c r="B481" s="5" t="s">
        <v>1958</v>
      </c>
    </row>
    <row r="482" spans="1:2" ht="16.2" hidden="1" thickBot="1">
      <c r="A482" s="4" t="s">
        <v>40</v>
      </c>
      <c r="B482" s="5" t="s">
        <v>1959</v>
      </c>
    </row>
    <row r="483" spans="1:2" ht="16.2" hidden="1" thickBot="1">
      <c r="A483" s="4" t="s">
        <v>40</v>
      </c>
      <c r="B483" s="5" t="s">
        <v>1960</v>
      </c>
    </row>
    <row r="484" spans="1:2" ht="16.2" hidden="1" thickBot="1">
      <c r="A484" s="6" t="s">
        <v>1961</v>
      </c>
      <c r="B484" s="5" t="s">
        <v>1962</v>
      </c>
    </row>
    <row r="485" spans="1:2" ht="16.2" hidden="1" thickBot="1">
      <c r="A485" s="4" t="s">
        <v>670</v>
      </c>
      <c r="B485" s="5" t="s">
        <v>1963</v>
      </c>
    </row>
    <row r="486" spans="1:2" ht="16.2" hidden="1" thickBot="1">
      <c r="A486" s="4" t="s">
        <v>670</v>
      </c>
      <c r="B486" s="5" t="s">
        <v>1964</v>
      </c>
    </row>
    <row r="487" spans="1:2" ht="16.2" hidden="1" thickBot="1">
      <c r="A487" s="4" t="s">
        <v>670</v>
      </c>
      <c r="B487" s="5" t="s">
        <v>1965</v>
      </c>
    </row>
    <row r="488" spans="1:2" ht="16.2" hidden="1" thickBot="1">
      <c r="A488" s="4" t="s">
        <v>670</v>
      </c>
      <c r="B488" s="5" t="s">
        <v>1966</v>
      </c>
    </row>
    <row r="489" spans="1:2" ht="16.2" hidden="1" thickBot="1">
      <c r="A489" s="4" t="s">
        <v>670</v>
      </c>
      <c r="B489" s="5" t="s">
        <v>1967</v>
      </c>
    </row>
    <row r="490" spans="1:2" ht="16.2" hidden="1" thickBot="1">
      <c r="A490" s="4" t="s">
        <v>670</v>
      </c>
      <c r="B490" s="5" t="s">
        <v>1151</v>
      </c>
    </row>
    <row r="491" spans="1:2" ht="16.2" hidden="1" thickBot="1">
      <c r="A491" s="4" t="s">
        <v>409</v>
      </c>
      <c r="B491" s="5">
        <v>2</v>
      </c>
    </row>
    <row r="492" spans="1:2" ht="16.2" hidden="1" thickBot="1">
      <c r="A492" s="4" t="s">
        <v>409</v>
      </c>
      <c r="B492" s="5">
        <v>6</v>
      </c>
    </row>
    <row r="493" spans="1:2" ht="16.2" hidden="1" thickBot="1">
      <c r="A493" s="4" t="s">
        <v>409</v>
      </c>
      <c r="B493" s="5" t="s">
        <v>1968</v>
      </c>
    </row>
    <row r="494" spans="1:2" ht="16.2" hidden="1" thickBot="1">
      <c r="A494" s="4" t="s">
        <v>409</v>
      </c>
      <c r="B494" s="5" t="s">
        <v>1969</v>
      </c>
    </row>
    <row r="495" spans="1:2" ht="16.2" hidden="1" thickBot="1">
      <c r="A495" s="4" t="s">
        <v>409</v>
      </c>
      <c r="B495" s="5" t="s">
        <v>1970</v>
      </c>
    </row>
    <row r="496" spans="1:2" ht="16.2" hidden="1" thickBot="1">
      <c r="A496" s="4" t="s">
        <v>409</v>
      </c>
      <c r="B496" s="5" t="s">
        <v>1971</v>
      </c>
    </row>
    <row r="497" spans="1:2" ht="16.2" hidden="1" thickBot="1">
      <c r="A497" s="4" t="s">
        <v>409</v>
      </c>
      <c r="B497" s="5" t="s">
        <v>1972</v>
      </c>
    </row>
    <row r="498" spans="1:2" ht="16.2" hidden="1" thickBot="1">
      <c r="A498" s="4" t="s">
        <v>409</v>
      </c>
      <c r="B498" s="5" t="s">
        <v>1973</v>
      </c>
    </row>
    <row r="499" spans="1:2" ht="16.2" hidden="1" thickBot="1">
      <c r="A499" s="4" t="s">
        <v>409</v>
      </c>
      <c r="B499" s="5" t="s">
        <v>1974</v>
      </c>
    </row>
    <row r="500" spans="1:2" ht="16.2" hidden="1" thickBot="1">
      <c r="A500" s="4" t="s">
        <v>409</v>
      </c>
      <c r="B500" s="5" t="s">
        <v>1975</v>
      </c>
    </row>
    <row r="501" spans="1:2" ht="16.2" hidden="1" thickBot="1">
      <c r="A501" s="4" t="s">
        <v>409</v>
      </c>
      <c r="B501" s="5" t="s">
        <v>1976</v>
      </c>
    </row>
    <row r="502" spans="1:2" ht="16.2" hidden="1" thickBot="1">
      <c r="A502" s="4" t="s">
        <v>1977</v>
      </c>
      <c r="B502" s="5" t="s">
        <v>1978</v>
      </c>
    </row>
    <row r="503" spans="1:2" ht="16.2" hidden="1" thickBot="1">
      <c r="A503" s="4" t="s">
        <v>1977</v>
      </c>
      <c r="B503" s="5" t="s">
        <v>1979</v>
      </c>
    </row>
    <row r="504" spans="1:2" ht="16.2" hidden="1" thickBot="1">
      <c r="A504" s="4" t="s">
        <v>1977</v>
      </c>
      <c r="B504" s="5" t="s">
        <v>1980</v>
      </c>
    </row>
    <row r="505" spans="1:2" ht="16.2" hidden="1" thickBot="1">
      <c r="A505" s="4" t="s">
        <v>1977</v>
      </c>
      <c r="B505" s="5" t="s">
        <v>1981</v>
      </c>
    </row>
    <row r="506" spans="1:2" ht="16.2" hidden="1" thickBot="1">
      <c r="A506" s="4" t="s">
        <v>1977</v>
      </c>
      <c r="B506" s="5" t="s">
        <v>1982</v>
      </c>
    </row>
    <row r="507" spans="1:2" ht="16.2" hidden="1" thickBot="1">
      <c r="A507" s="4" t="s">
        <v>1977</v>
      </c>
      <c r="B507" s="5" t="s">
        <v>1983</v>
      </c>
    </row>
    <row r="508" spans="1:2" ht="16.2" hidden="1" thickBot="1">
      <c r="A508" s="4" t="s">
        <v>1977</v>
      </c>
      <c r="B508" s="5" t="s">
        <v>1984</v>
      </c>
    </row>
    <row r="509" spans="1:2" ht="16.2" hidden="1" thickBot="1">
      <c r="A509" s="4" t="s">
        <v>1977</v>
      </c>
      <c r="B509" s="5" t="s">
        <v>1985</v>
      </c>
    </row>
    <row r="510" spans="1:2" ht="16.2" hidden="1" thickBot="1">
      <c r="A510" s="4" t="s">
        <v>1977</v>
      </c>
      <c r="B510" s="5" t="s">
        <v>1986</v>
      </c>
    </row>
    <row r="511" spans="1:2" ht="16.2" hidden="1" thickBot="1">
      <c r="A511" s="4" t="s">
        <v>1977</v>
      </c>
      <c r="B511" s="5" t="s">
        <v>1987</v>
      </c>
    </row>
    <row r="512" spans="1:2" ht="16.2" hidden="1" thickBot="1">
      <c r="A512" s="4" t="s">
        <v>1977</v>
      </c>
      <c r="B512" s="5" t="s">
        <v>1988</v>
      </c>
    </row>
    <row r="513" spans="1:2" ht="16.2" hidden="1" thickBot="1">
      <c r="A513" s="4" t="s">
        <v>1977</v>
      </c>
      <c r="B513" s="5" t="s">
        <v>1989</v>
      </c>
    </row>
    <row r="514" spans="1:2" ht="16.2" hidden="1" thickBot="1">
      <c r="A514" s="4" t="s">
        <v>1990</v>
      </c>
      <c r="B514" s="5" t="s">
        <v>1991</v>
      </c>
    </row>
    <row r="515" spans="1:2" ht="16.2" hidden="1" thickBot="1">
      <c r="A515" s="4" t="s">
        <v>1990</v>
      </c>
      <c r="B515" s="5" t="s">
        <v>1992</v>
      </c>
    </row>
    <row r="516" spans="1:2" ht="16.2" hidden="1" thickBot="1">
      <c r="A516" s="4" t="s">
        <v>1993</v>
      </c>
      <c r="B516" s="5" t="s">
        <v>1994</v>
      </c>
    </row>
    <row r="517" spans="1:2" ht="16.2" hidden="1" thickBot="1">
      <c r="A517" s="4" t="s">
        <v>104</v>
      </c>
      <c r="B517" s="5" t="s">
        <v>1995</v>
      </c>
    </row>
    <row r="518" spans="1:2" ht="16.2" hidden="1" thickBot="1">
      <c r="A518" s="4" t="s">
        <v>104</v>
      </c>
      <c r="B518" s="5" t="s">
        <v>1996</v>
      </c>
    </row>
    <row r="519" spans="1:2" ht="16.2" hidden="1" thickBot="1">
      <c r="A519" s="4" t="s">
        <v>104</v>
      </c>
      <c r="B519" s="5" t="s">
        <v>1997</v>
      </c>
    </row>
    <row r="520" spans="1:2" ht="16.2" hidden="1" thickBot="1">
      <c r="A520" s="4" t="s">
        <v>104</v>
      </c>
      <c r="B520" s="5" t="s">
        <v>1998</v>
      </c>
    </row>
    <row r="521" spans="1:2" ht="16.2" hidden="1" thickBot="1">
      <c r="A521" s="4" t="s">
        <v>104</v>
      </c>
      <c r="B521" s="5" t="s">
        <v>1999</v>
      </c>
    </row>
    <row r="522" spans="1:2" ht="16.2" hidden="1" thickBot="1">
      <c r="A522" s="4" t="s">
        <v>104</v>
      </c>
      <c r="B522" s="5" t="s">
        <v>2000</v>
      </c>
    </row>
    <row r="523" spans="1:2" ht="16.2" hidden="1" thickBot="1">
      <c r="A523" s="4" t="s">
        <v>104</v>
      </c>
      <c r="B523" s="5" t="s">
        <v>2001</v>
      </c>
    </row>
    <row r="524" spans="1:2" ht="16.2" hidden="1" thickBot="1">
      <c r="A524" s="4" t="s">
        <v>104</v>
      </c>
      <c r="B524" s="5" t="s">
        <v>2002</v>
      </c>
    </row>
    <row r="525" spans="1:2" ht="16.2" hidden="1" thickBot="1">
      <c r="A525" s="4" t="s">
        <v>104</v>
      </c>
      <c r="B525" s="5" t="s">
        <v>2003</v>
      </c>
    </row>
    <row r="526" spans="1:2" ht="16.2" hidden="1" thickBot="1">
      <c r="A526" s="4" t="s">
        <v>104</v>
      </c>
      <c r="B526" s="5" t="s">
        <v>2004</v>
      </c>
    </row>
    <row r="527" spans="1:2" ht="16.2" hidden="1" thickBot="1">
      <c r="A527" s="4" t="s">
        <v>104</v>
      </c>
      <c r="B527" s="5" t="s">
        <v>2005</v>
      </c>
    </row>
    <row r="528" spans="1:2" ht="16.2" hidden="1" thickBot="1">
      <c r="A528" s="4" t="s">
        <v>104</v>
      </c>
      <c r="B528" s="5" t="s">
        <v>2006</v>
      </c>
    </row>
    <row r="529" spans="1:2" ht="16.2" hidden="1" thickBot="1">
      <c r="A529" s="4" t="s">
        <v>104</v>
      </c>
      <c r="B529" s="5" t="s">
        <v>2007</v>
      </c>
    </row>
    <row r="530" spans="1:2" ht="16.2" hidden="1" thickBot="1">
      <c r="A530" s="4" t="s">
        <v>104</v>
      </c>
      <c r="B530" s="5" t="s">
        <v>2008</v>
      </c>
    </row>
    <row r="531" spans="1:2" ht="16.2" hidden="1" thickBot="1">
      <c r="A531" s="4" t="s">
        <v>104</v>
      </c>
      <c r="B531" s="5" t="s">
        <v>2009</v>
      </c>
    </row>
    <row r="532" spans="1:2" ht="16.2" hidden="1" thickBot="1">
      <c r="A532" s="4" t="s">
        <v>104</v>
      </c>
      <c r="B532" s="5" t="s">
        <v>2010</v>
      </c>
    </row>
    <row r="533" spans="1:2" ht="16.2" hidden="1" thickBot="1">
      <c r="A533" s="4" t="s">
        <v>104</v>
      </c>
      <c r="B533" s="5" t="s">
        <v>2011</v>
      </c>
    </row>
    <row r="534" spans="1:2" ht="16.2" hidden="1" thickBot="1">
      <c r="A534" s="4" t="s">
        <v>104</v>
      </c>
      <c r="B534" s="5" t="s">
        <v>2012</v>
      </c>
    </row>
    <row r="535" spans="1:2" ht="16.2" hidden="1" thickBot="1">
      <c r="A535" s="4" t="s">
        <v>104</v>
      </c>
      <c r="B535" s="5" t="s">
        <v>2013</v>
      </c>
    </row>
    <row r="536" spans="1:2" ht="16.2" hidden="1" thickBot="1">
      <c r="A536" s="4" t="s">
        <v>104</v>
      </c>
      <c r="B536" s="5" t="s">
        <v>2014</v>
      </c>
    </row>
    <row r="537" spans="1:2" ht="16.2" hidden="1" thickBot="1">
      <c r="A537" s="4" t="s">
        <v>104</v>
      </c>
      <c r="B537" s="5" t="s">
        <v>2015</v>
      </c>
    </row>
    <row r="538" spans="1:2" ht="16.2" hidden="1" thickBot="1">
      <c r="A538" s="4" t="s">
        <v>104</v>
      </c>
      <c r="B538" s="5" t="s">
        <v>2016</v>
      </c>
    </row>
    <row r="539" spans="1:2" ht="16.2" hidden="1" thickBot="1">
      <c r="A539" s="4" t="s">
        <v>104</v>
      </c>
      <c r="B539" s="5" t="s">
        <v>2017</v>
      </c>
    </row>
    <row r="540" spans="1:2" ht="16.2" hidden="1" thickBot="1">
      <c r="A540" s="4" t="s">
        <v>104</v>
      </c>
      <c r="B540" s="5" t="s">
        <v>2018</v>
      </c>
    </row>
    <row r="541" spans="1:2" ht="16.2" hidden="1" thickBot="1">
      <c r="A541" s="4" t="s">
        <v>104</v>
      </c>
      <c r="B541" s="5" t="s">
        <v>2019</v>
      </c>
    </row>
    <row r="542" spans="1:2" ht="16.2" hidden="1" thickBot="1">
      <c r="A542" s="4" t="s">
        <v>104</v>
      </c>
      <c r="B542" s="5" t="s">
        <v>2020</v>
      </c>
    </row>
    <row r="543" spans="1:2" ht="16.2" hidden="1" thickBot="1">
      <c r="A543" s="4" t="s">
        <v>104</v>
      </c>
      <c r="B543" s="5" t="s">
        <v>2021</v>
      </c>
    </row>
    <row r="544" spans="1:2" ht="16.2" hidden="1" thickBot="1">
      <c r="A544" s="4" t="s">
        <v>104</v>
      </c>
      <c r="B544" s="5" t="s">
        <v>2022</v>
      </c>
    </row>
    <row r="545" spans="1:2" ht="16.2" hidden="1" thickBot="1">
      <c r="A545" s="4" t="s">
        <v>104</v>
      </c>
      <c r="B545" s="5" t="s">
        <v>2023</v>
      </c>
    </row>
    <row r="546" spans="1:2" ht="16.2" hidden="1" thickBot="1">
      <c r="A546" s="4" t="s">
        <v>104</v>
      </c>
      <c r="B546" s="5" t="s">
        <v>2024</v>
      </c>
    </row>
    <row r="547" spans="1:2" ht="16.2" hidden="1" thickBot="1">
      <c r="A547" s="4" t="s">
        <v>104</v>
      </c>
      <c r="B547" s="5" t="s">
        <v>2025</v>
      </c>
    </row>
    <row r="548" spans="1:2" ht="16.2" hidden="1" thickBot="1">
      <c r="A548" s="4" t="s">
        <v>104</v>
      </c>
      <c r="B548" s="5" t="s">
        <v>2026</v>
      </c>
    </row>
    <row r="549" spans="1:2" ht="16.2" hidden="1" thickBot="1">
      <c r="A549" s="4" t="s">
        <v>104</v>
      </c>
      <c r="B549" s="5" t="s">
        <v>2027</v>
      </c>
    </row>
    <row r="550" spans="1:2" ht="16.2" hidden="1" thickBot="1">
      <c r="A550" s="4" t="s">
        <v>104</v>
      </c>
      <c r="B550" s="5" t="s">
        <v>2028</v>
      </c>
    </row>
    <row r="551" spans="1:2" ht="16.2" hidden="1" thickBot="1">
      <c r="A551" s="4" t="s">
        <v>104</v>
      </c>
      <c r="B551" s="5" t="s">
        <v>2029</v>
      </c>
    </row>
    <row r="552" spans="1:2" ht="16.2" hidden="1" thickBot="1">
      <c r="A552" s="4" t="s">
        <v>104</v>
      </c>
      <c r="B552" s="5" t="s">
        <v>2030</v>
      </c>
    </row>
    <row r="553" spans="1:2" ht="16.2" hidden="1" thickBot="1">
      <c r="A553" s="4" t="s">
        <v>104</v>
      </c>
      <c r="B553" s="5" t="s">
        <v>2031</v>
      </c>
    </row>
    <row r="554" spans="1:2" ht="16.2" hidden="1" thickBot="1">
      <c r="A554" s="4" t="s">
        <v>104</v>
      </c>
      <c r="B554" s="5" t="s">
        <v>2032</v>
      </c>
    </row>
    <row r="555" spans="1:2" ht="16.2" hidden="1" thickBot="1">
      <c r="A555" s="4" t="s">
        <v>104</v>
      </c>
      <c r="B555" s="5" t="s">
        <v>2033</v>
      </c>
    </row>
    <row r="556" spans="1:2" ht="16.2" hidden="1" thickBot="1">
      <c r="A556" s="4" t="s">
        <v>104</v>
      </c>
      <c r="B556" s="5" t="s">
        <v>2034</v>
      </c>
    </row>
    <row r="557" spans="1:2" ht="16.2" hidden="1" thickBot="1">
      <c r="A557" s="4" t="s">
        <v>104</v>
      </c>
      <c r="B557" s="5" t="s">
        <v>2035</v>
      </c>
    </row>
    <row r="558" spans="1:2" ht="16.2" hidden="1" thickBot="1">
      <c r="A558" s="4" t="s">
        <v>104</v>
      </c>
      <c r="B558" s="5" t="s">
        <v>2036</v>
      </c>
    </row>
    <row r="559" spans="1:2" ht="16.2" hidden="1" thickBot="1">
      <c r="A559" s="4" t="s">
        <v>104</v>
      </c>
      <c r="B559" s="5" t="s">
        <v>2037</v>
      </c>
    </row>
    <row r="560" spans="1:2" ht="16.2" hidden="1" thickBot="1">
      <c r="A560" s="4" t="s">
        <v>104</v>
      </c>
      <c r="B560" s="5" t="s">
        <v>2038</v>
      </c>
    </row>
    <row r="561" spans="1:2" ht="16.2" hidden="1" thickBot="1">
      <c r="A561" s="4" t="s">
        <v>104</v>
      </c>
      <c r="B561" s="5" t="s">
        <v>2039</v>
      </c>
    </row>
    <row r="562" spans="1:2" ht="16.2" hidden="1" thickBot="1">
      <c r="A562" s="4" t="s">
        <v>104</v>
      </c>
      <c r="B562" s="5" t="s">
        <v>2040</v>
      </c>
    </row>
    <row r="563" spans="1:2" ht="16.2" hidden="1" thickBot="1">
      <c r="A563" s="4" t="s">
        <v>104</v>
      </c>
      <c r="B563" s="5" t="s">
        <v>2041</v>
      </c>
    </row>
    <row r="564" spans="1:2" ht="16.2" hidden="1" thickBot="1">
      <c r="A564" s="4" t="s">
        <v>104</v>
      </c>
      <c r="B564" s="5" t="s">
        <v>2042</v>
      </c>
    </row>
    <row r="565" spans="1:2" ht="16.2" hidden="1" thickBot="1">
      <c r="A565" s="4" t="s">
        <v>104</v>
      </c>
      <c r="B565" s="5" t="s">
        <v>2043</v>
      </c>
    </row>
    <row r="566" spans="1:2" ht="16.2" hidden="1" thickBot="1">
      <c r="A566" s="4" t="s">
        <v>104</v>
      </c>
      <c r="B566" s="5" t="s">
        <v>2044</v>
      </c>
    </row>
    <row r="567" spans="1:2" ht="16.2" hidden="1" thickBot="1">
      <c r="A567" s="4" t="s">
        <v>104</v>
      </c>
      <c r="B567" s="5" t="s">
        <v>2045</v>
      </c>
    </row>
    <row r="568" spans="1:2" ht="16.2" hidden="1" thickBot="1">
      <c r="A568" s="4" t="s">
        <v>104</v>
      </c>
      <c r="B568" s="5" t="s">
        <v>2046</v>
      </c>
    </row>
    <row r="569" spans="1:2" ht="16.2" hidden="1" thickBot="1">
      <c r="A569" s="4" t="s">
        <v>104</v>
      </c>
      <c r="B569" s="5" t="s">
        <v>2047</v>
      </c>
    </row>
    <row r="570" spans="1:2" ht="16.2" hidden="1" thickBot="1">
      <c r="A570" s="4" t="s">
        <v>104</v>
      </c>
      <c r="B570" s="5" t="s">
        <v>2048</v>
      </c>
    </row>
    <row r="571" spans="1:2" ht="16.2" hidden="1" thickBot="1">
      <c r="A571" s="4" t="s">
        <v>104</v>
      </c>
      <c r="B571" s="5" t="s">
        <v>2049</v>
      </c>
    </row>
    <row r="572" spans="1:2" ht="16.2" hidden="1" thickBot="1">
      <c r="A572" s="4" t="s">
        <v>104</v>
      </c>
      <c r="B572" s="5" t="s">
        <v>2050</v>
      </c>
    </row>
    <row r="573" spans="1:2" ht="16.2" hidden="1" thickBot="1">
      <c r="A573" s="4" t="s">
        <v>104</v>
      </c>
      <c r="B573" s="5" t="s">
        <v>2051</v>
      </c>
    </row>
    <row r="574" spans="1:2" ht="16.2" hidden="1" thickBot="1">
      <c r="A574" s="4" t="s">
        <v>104</v>
      </c>
      <c r="B574" s="5" t="s">
        <v>2052</v>
      </c>
    </row>
    <row r="575" spans="1:2" ht="16.2" hidden="1" thickBot="1">
      <c r="A575" s="4" t="s">
        <v>104</v>
      </c>
      <c r="B575" s="5" t="s">
        <v>2053</v>
      </c>
    </row>
    <row r="576" spans="1:2" ht="16.2" hidden="1" thickBot="1">
      <c r="A576" s="4" t="s">
        <v>104</v>
      </c>
      <c r="B576" s="5" t="s">
        <v>2054</v>
      </c>
    </row>
    <row r="577" spans="1:2" ht="16.2" hidden="1" thickBot="1">
      <c r="A577" s="4" t="s">
        <v>104</v>
      </c>
      <c r="B577" s="5" t="s">
        <v>2055</v>
      </c>
    </row>
    <row r="578" spans="1:2" ht="16.2" hidden="1" thickBot="1">
      <c r="A578" s="4" t="s">
        <v>104</v>
      </c>
      <c r="B578" s="5" t="s">
        <v>2056</v>
      </c>
    </row>
    <row r="579" spans="1:2" ht="16.2" hidden="1" thickBot="1">
      <c r="A579" s="4" t="s">
        <v>104</v>
      </c>
      <c r="B579" s="5" t="s">
        <v>2057</v>
      </c>
    </row>
    <row r="580" spans="1:2" ht="16.2" hidden="1" thickBot="1">
      <c r="A580" s="4" t="s">
        <v>104</v>
      </c>
      <c r="B580" s="5" t="s">
        <v>2058</v>
      </c>
    </row>
    <row r="581" spans="1:2" ht="16.2" hidden="1" thickBot="1">
      <c r="A581" s="4" t="s">
        <v>104</v>
      </c>
      <c r="B581" s="5" t="s">
        <v>2059</v>
      </c>
    </row>
    <row r="582" spans="1:2" ht="16.2" hidden="1" thickBot="1">
      <c r="A582" s="4" t="s">
        <v>104</v>
      </c>
      <c r="B582" s="5" t="s">
        <v>2060</v>
      </c>
    </row>
    <row r="583" spans="1:2" ht="16.2" hidden="1" thickBot="1">
      <c r="A583" s="4" t="s">
        <v>104</v>
      </c>
      <c r="B583" s="5" t="s">
        <v>2061</v>
      </c>
    </row>
    <row r="584" spans="1:2" ht="16.2" hidden="1" thickBot="1">
      <c r="A584" s="4" t="s">
        <v>104</v>
      </c>
      <c r="B584" s="5" t="s">
        <v>2062</v>
      </c>
    </row>
    <row r="585" spans="1:2" ht="16.2" hidden="1" thickBot="1">
      <c r="A585" s="4" t="s">
        <v>104</v>
      </c>
      <c r="B585" s="5" t="s">
        <v>2063</v>
      </c>
    </row>
    <row r="586" spans="1:2" ht="16.2" hidden="1" thickBot="1">
      <c r="A586" s="4" t="s">
        <v>104</v>
      </c>
      <c r="B586" s="5" t="s">
        <v>2064</v>
      </c>
    </row>
    <row r="587" spans="1:2" ht="16.2" hidden="1" thickBot="1">
      <c r="A587" s="4" t="s">
        <v>104</v>
      </c>
      <c r="B587" s="5" t="s">
        <v>2065</v>
      </c>
    </row>
    <row r="588" spans="1:2" ht="16.2" hidden="1" thickBot="1">
      <c r="A588" s="4" t="s">
        <v>104</v>
      </c>
      <c r="B588" s="5" t="s">
        <v>2066</v>
      </c>
    </row>
    <row r="589" spans="1:2" ht="16.2" hidden="1" thickBot="1">
      <c r="A589" s="4" t="s">
        <v>104</v>
      </c>
      <c r="B589" s="5" t="s">
        <v>2067</v>
      </c>
    </row>
    <row r="590" spans="1:2" ht="16.2" hidden="1" thickBot="1">
      <c r="A590" s="4" t="s">
        <v>104</v>
      </c>
      <c r="B590" s="5" t="s">
        <v>2068</v>
      </c>
    </row>
    <row r="591" spans="1:2" ht="16.2" hidden="1" thickBot="1">
      <c r="A591" s="4" t="s">
        <v>104</v>
      </c>
      <c r="B591" s="5" t="s">
        <v>2069</v>
      </c>
    </row>
    <row r="592" spans="1:2" ht="16.2" hidden="1" thickBot="1">
      <c r="A592" s="4" t="s">
        <v>104</v>
      </c>
      <c r="B592" s="5" t="s">
        <v>2070</v>
      </c>
    </row>
    <row r="593" spans="1:17" ht="16.2" hidden="1" thickBot="1">
      <c r="A593" s="4" t="s">
        <v>104</v>
      </c>
      <c r="B593" s="5" t="s">
        <v>2071</v>
      </c>
    </row>
    <row r="594" spans="1:17" ht="16.2" hidden="1" thickBot="1">
      <c r="A594" s="4" t="s">
        <v>104</v>
      </c>
      <c r="B594" s="5" t="s">
        <v>2072</v>
      </c>
    </row>
    <row r="595" spans="1:17" ht="16.2" hidden="1" thickBot="1">
      <c r="A595" s="4" t="s">
        <v>104</v>
      </c>
      <c r="B595" s="5" t="s">
        <v>2073</v>
      </c>
    </row>
    <row r="596" spans="1:17" ht="16.2" hidden="1" thickBot="1">
      <c r="A596" s="4" t="s">
        <v>2074</v>
      </c>
      <c r="B596" s="5" t="s">
        <v>2075</v>
      </c>
    </row>
    <row r="597" spans="1:17" ht="16.2" hidden="1" thickBot="1">
      <c r="A597" s="4" t="s">
        <v>2074</v>
      </c>
      <c r="B597" s="5" t="s">
        <v>2076</v>
      </c>
    </row>
    <row r="598" spans="1:17" ht="16.2" thickBot="1">
      <c r="A598" s="4" t="s">
        <v>2077</v>
      </c>
      <c r="B598" s="5" t="s">
        <v>2078</v>
      </c>
      <c r="C598" s="18" t="s">
        <v>1205</v>
      </c>
    </row>
    <row r="599" spans="1:17" ht="16.2" thickBot="1">
      <c r="A599" s="4" t="s">
        <v>2077</v>
      </c>
      <c r="B599" s="5" t="s">
        <v>2079</v>
      </c>
      <c r="C599" s="18" t="s">
        <v>997</v>
      </c>
      <c r="D599" s="18" t="s">
        <v>1441</v>
      </c>
      <c r="E599" s="18" t="s">
        <v>996</v>
      </c>
      <c r="F599" s="18" t="s">
        <v>1207</v>
      </c>
      <c r="G599" s="18" t="s">
        <v>1206</v>
      </c>
      <c r="H599" s="18" t="s">
        <v>478</v>
      </c>
    </row>
    <row r="600" spans="1:17" ht="16.2" thickBot="1">
      <c r="A600" s="4" t="s">
        <v>2077</v>
      </c>
      <c r="B600" s="5" t="s">
        <v>2080</v>
      </c>
      <c r="C600" s="24" t="s">
        <v>1447</v>
      </c>
      <c r="D600" s="24" t="s">
        <v>1445</v>
      </c>
      <c r="E600" s="24" t="s">
        <v>1211</v>
      </c>
      <c r="F600" s="24" t="s">
        <v>1000</v>
      </c>
      <c r="G600" s="24" t="s">
        <v>999</v>
      </c>
      <c r="H600" s="24" t="s">
        <v>1446</v>
      </c>
      <c r="I600" s="24" t="s">
        <v>1209</v>
      </c>
      <c r="J600" s="24" t="s">
        <v>1444</v>
      </c>
      <c r="K600" s="24" t="s">
        <v>1210</v>
      </c>
      <c r="L600" s="24" t="s">
        <v>1001</v>
      </c>
      <c r="M600" s="24" t="s">
        <v>998</v>
      </c>
      <c r="N600" s="24" t="s">
        <v>1208</v>
      </c>
      <c r="O600" s="24" t="s">
        <v>1443</v>
      </c>
      <c r="P600" s="24" t="s">
        <v>1442</v>
      </c>
      <c r="Q600" s="24" t="s">
        <v>1212</v>
      </c>
    </row>
    <row r="601" spans="1:17" ht="16.2" thickBot="1">
      <c r="A601" s="4" t="s">
        <v>2077</v>
      </c>
      <c r="B601" s="5" t="s">
        <v>2081</v>
      </c>
      <c r="C601" s="24" t="s">
        <v>482</v>
      </c>
      <c r="D601" s="24" t="s">
        <v>479</v>
      </c>
      <c r="E601" s="24" t="s">
        <v>481</v>
      </c>
      <c r="F601" s="24" t="s">
        <v>480</v>
      </c>
    </row>
    <row r="602" spans="1:17" ht="16.2" hidden="1" thickBot="1">
      <c r="A602" s="4" t="s">
        <v>2077</v>
      </c>
      <c r="B602" s="5" t="s">
        <v>2082</v>
      </c>
    </row>
    <row r="603" spans="1:17" ht="16.2" thickBot="1">
      <c r="A603" s="4" t="s">
        <v>2077</v>
      </c>
      <c r="B603" s="5" t="s">
        <v>2083</v>
      </c>
      <c r="C603" s="1" t="s">
        <v>761</v>
      </c>
      <c r="D603" s="1" t="s">
        <v>483</v>
      </c>
    </row>
    <row r="604" spans="1:17" ht="16.2" thickBot="1">
      <c r="A604" s="4" t="s">
        <v>2077</v>
      </c>
      <c r="B604" s="5" t="s">
        <v>2084</v>
      </c>
      <c r="C604" s="18" t="s">
        <v>1003</v>
      </c>
      <c r="D604" s="18" t="s">
        <v>1214</v>
      </c>
      <c r="E604" s="18" t="s">
        <v>755</v>
      </c>
    </row>
    <row r="605" spans="1:17" ht="16.2" thickBot="1">
      <c r="A605" s="4" t="s">
        <v>2077</v>
      </c>
      <c r="B605" s="5" t="s">
        <v>474</v>
      </c>
      <c r="C605" s="18" t="s">
        <v>1439</v>
      </c>
      <c r="D605" s="18" t="s">
        <v>474</v>
      </c>
    </row>
    <row r="606" spans="1:17" ht="16.2" thickBot="1">
      <c r="A606" s="4" t="s">
        <v>2077</v>
      </c>
      <c r="B606" s="5" t="s">
        <v>754</v>
      </c>
      <c r="C606" s="18" t="s">
        <v>1213</v>
      </c>
      <c r="D606" s="18" t="s">
        <v>1448</v>
      </c>
      <c r="E606" s="18" t="s">
        <v>1002</v>
      </c>
      <c r="F606" s="18" t="s">
        <v>754</v>
      </c>
      <c r="G606" s="18" t="s">
        <v>475</v>
      </c>
    </row>
    <row r="607" spans="1:17" ht="16.2" thickBot="1">
      <c r="A607" s="4" t="s">
        <v>2077</v>
      </c>
      <c r="B607" s="5" t="s">
        <v>112</v>
      </c>
      <c r="C607" s="18" t="s">
        <v>757</v>
      </c>
      <c r="D607" s="18" t="s">
        <v>756</v>
      </c>
    </row>
    <row r="608" spans="1:17" ht="16.2" thickBot="1">
      <c r="A608" s="4" t="s">
        <v>2077</v>
      </c>
      <c r="B608" s="5" t="s">
        <v>2085</v>
      </c>
      <c r="C608" s="18" t="s">
        <v>1004</v>
      </c>
      <c r="D608" s="18" t="s">
        <v>759</v>
      </c>
    </row>
    <row r="609" spans="1:15" ht="16.2" thickBot="1">
      <c r="A609" s="4" t="s">
        <v>2077</v>
      </c>
      <c r="B609" s="5" t="s">
        <v>2086</v>
      </c>
      <c r="C609" s="18" t="s">
        <v>1440</v>
      </c>
      <c r="D609" s="18" t="s">
        <v>1204</v>
      </c>
      <c r="E609" s="18" t="s">
        <v>476</v>
      </c>
    </row>
    <row r="610" spans="1:15" ht="16.2" thickBot="1">
      <c r="A610" s="4" t="s">
        <v>2077</v>
      </c>
      <c r="B610" s="5" t="s">
        <v>2087</v>
      </c>
      <c r="C610" s="18" t="s">
        <v>1215</v>
      </c>
      <c r="D610" s="18" t="s">
        <v>1218</v>
      </c>
      <c r="E610" s="18" t="s">
        <v>118</v>
      </c>
      <c r="F610" s="18" t="s">
        <v>1438</v>
      </c>
      <c r="G610" s="18" t="s">
        <v>119</v>
      </c>
      <c r="H610" s="18" t="s">
        <v>1435</v>
      </c>
      <c r="I610" s="18" t="s">
        <v>994</v>
      </c>
      <c r="J610" s="18" t="s">
        <v>1437</v>
      </c>
      <c r="K610" s="18" t="s">
        <v>1216</v>
      </c>
      <c r="L610" s="18" t="s">
        <v>1436</v>
      </c>
      <c r="M610" s="18" t="s">
        <v>760</v>
      </c>
      <c r="N610" s="18" t="s">
        <v>1217</v>
      </c>
      <c r="O610" s="18" t="s">
        <v>995</v>
      </c>
    </row>
    <row r="611" spans="1:15" ht="16.2" hidden="1" thickBot="1">
      <c r="A611" s="4" t="s">
        <v>2077</v>
      </c>
      <c r="B611" s="5" t="s">
        <v>2088</v>
      </c>
    </row>
    <row r="612" spans="1:15" ht="16.2" hidden="1" thickBot="1">
      <c r="A612" s="4" t="s">
        <v>120</v>
      </c>
      <c r="B612" s="5" t="s">
        <v>2089</v>
      </c>
    </row>
    <row r="613" spans="1:15" ht="16.2" hidden="1" thickBot="1">
      <c r="A613" s="4" t="s">
        <v>120</v>
      </c>
      <c r="B613" s="5" t="s">
        <v>2090</v>
      </c>
    </row>
    <row r="614" spans="1:15" ht="16.2" hidden="1" thickBot="1">
      <c r="A614" s="4" t="s">
        <v>120</v>
      </c>
      <c r="B614" s="5" t="s">
        <v>2091</v>
      </c>
    </row>
    <row r="615" spans="1:15" ht="16.2" hidden="1" thickBot="1">
      <c r="A615" s="4" t="s">
        <v>120</v>
      </c>
      <c r="B615" s="5" t="s">
        <v>2092</v>
      </c>
    </row>
    <row r="616" spans="1:15" ht="16.2" hidden="1" thickBot="1">
      <c r="A616" s="4" t="s">
        <v>120</v>
      </c>
      <c r="B616" s="5" t="s">
        <v>2093</v>
      </c>
    </row>
    <row r="617" spans="1:15" ht="16.2" hidden="1" thickBot="1">
      <c r="A617" s="4" t="s">
        <v>120</v>
      </c>
      <c r="B617" s="5" t="s">
        <v>2094</v>
      </c>
    </row>
    <row r="618" spans="1:15" ht="16.2" hidden="1" thickBot="1">
      <c r="A618" s="4" t="s">
        <v>120</v>
      </c>
      <c r="B618" s="5" t="s">
        <v>2095</v>
      </c>
    </row>
    <row r="619" spans="1:15" ht="16.2" hidden="1" thickBot="1">
      <c r="A619" s="4" t="s">
        <v>120</v>
      </c>
      <c r="B619" s="5" t="s">
        <v>2096</v>
      </c>
    </row>
    <row r="620" spans="1:15" ht="16.2" hidden="1" thickBot="1">
      <c r="A620" s="4" t="s">
        <v>120</v>
      </c>
      <c r="B620" s="5" t="s">
        <v>2097</v>
      </c>
    </row>
    <row r="621" spans="1:15" ht="16.2" hidden="1" thickBot="1">
      <c r="A621" s="4" t="s">
        <v>120</v>
      </c>
      <c r="B621" s="5" t="s">
        <v>2098</v>
      </c>
    </row>
    <row r="622" spans="1:15" ht="16.2" hidden="1" thickBot="1">
      <c r="A622" s="4" t="s">
        <v>120</v>
      </c>
      <c r="B622" s="5" t="s">
        <v>2099</v>
      </c>
    </row>
    <row r="623" spans="1:15" ht="16.2" hidden="1" thickBot="1">
      <c r="A623" s="4" t="s">
        <v>120</v>
      </c>
      <c r="B623" s="5" t="s">
        <v>2100</v>
      </c>
    </row>
    <row r="624" spans="1:15" ht="16.2" hidden="1" thickBot="1">
      <c r="A624" s="4" t="s">
        <v>120</v>
      </c>
      <c r="B624" s="5" t="s">
        <v>2063</v>
      </c>
    </row>
    <row r="625" spans="1:2" ht="16.2" hidden="1" thickBot="1">
      <c r="A625" s="4" t="s">
        <v>120</v>
      </c>
      <c r="B625" s="5" t="s">
        <v>2101</v>
      </c>
    </row>
    <row r="626" spans="1:2" ht="16.2" hidden="1" thickBot="1">
      <c r="A626" s="4" t="s">
        <v>120</v>
      </c>
      <c r="B626" s="5" t="s">
        <v>490</v>
      </c>
    </row>
    <row r="627" spans="1:2" ht="16.2" hidden="1" thickBot="1">
      <c r="A627" s="4" t="s">
        <v>120</v>
      </c>
      <c r="B627" s="5" t="s">
        <v>507</v>
      </c>
    </row>
    <row r="628" spans="1:2" ht="16.2" hidden="1" thickBot="1">
      <c r="A628" s="4" t="s">
        <v>2102</v>
      </c>
      <c r="B628" s="5" t="s">
        <v>2103</v>
      </c>
    </row>
    <row r="629" spans="1:2" ht="16.2" hidden="1" thickBot="1">
      <c r="A629" s="4" t="s">
        <v>2102</v>
      </c>
      <c r="B629" s="5" t="s">
        <v>2104</v>
      </c>
    </row>
    <row r="630" spans="1:2" ht="16.2" hidden="1" thickBot="1">
      <c r="A630" s="4" t="s">
        <v>508</v>
      </c>
      <c r="B630" s="5" t="s">
        <v>2105</v>
      </c>
    </row>
    <row r="631" spans="1:2" ht="16.2" hidden="1" thickBot="1">
      <c r="A631" s="4" t="s">
        <v>508</v>
      </c>
      <c r="B631" s="5" t="s">
        <v>2106</v>
      </c>
    </row>
    <row r="632" spans="1:2" ht="16.2" hidden="1" thickBot="1">
      <c r="A632" s="4" t="s">
        <v>508</v>
      </c>
      <c r="B632" s="5" t="s">
        <v>2107</v>
      </c>
    </row>
    <row r="633" spans="1:2" ht="16.2" hidden="1" thickBot="1">
      <c r="A633" s="4" t="s">
        <v>508</v>
      </c>
      <c r="B633" s="5" t="s">
        <v>2108</v>
      </c>
    </row>
    <row r="634" spans="1:2" ht="16.2" hidden="1" thickBot="1">
      <c r="A634" s="4" t="s">
        <v>508</v>
      </c>
      <c r="B634" s="5" t="s">
        <v>2109</v>
      </c>
    </row>
    <row r="635" spans="1:2" ht="16.2" hidden="1" thickBot="1">
      <c r="A635" s="4" t="s">
        <v>508</v>
      </c>
      <c r="B635" s="5" t="s">
        <v>2110</v>
      </c>
    </row>
    <row r="636" spans="1:2" ht="16.2" hidden="1" thickBot="1">
      <c r="A636" s="4" t="s">
        <v>508</v>
      </c>
      <c r="B636" s="5" t="s">
        <v>2111</v>
      </c>
    </row>
    <row r="637" spans="1:2" ht="16.2" hidden="1" thickBot="1">
      <c r="A637" s="4" t="s">
        <v>2112</v>
      </c>
      <c r="B637" s="5" t="s">
        <v>2113</v>
      </c>
    </row>
    <row r="638" spans="1:2" ht="16.2" hidden="1" thickBot="1">
      <c r="A638" s="4" t="s">
        <v>2112</v>
      </c>
      <c r="B638" s="5" t="s">
        <v>2114</v>
      </c>
    </row>
    <row r="639" spans="1:2" ht="16.2" hidden="1" thickBot="1">
      <c r="A639" s="4" t="s">
        <v>2112</v>
      </c>
      <c r="B639" s="5" t="s">
        <v>2115</v>
      </c>
    </row>
    <row r="640" spans="1:2" ht="16.2" hidden="1" thickBot="1">
      <c r="A640" s="4" t="s">
        <v>2112</v>
      </c>
      <c r="B640" s="5" t="s">
        <v>2116</v>
      </c>
    </row>
    <row r="641" spans="1:2" ht="16.2" hidden="1" thickBot="1">
      <c r="A641" s="4" t="s">
        <v>2117</v>
      </c>
      <c r="B641" s="5" t="s">
        <v>2118</v>
      </c>
    </row>
    <row r="642" spans="1:2" ht="16.2" hidden="1" thickBot="1">
      <c r="A642" s="4" t="s">
        <v>2117</v>
      </c>
      <c r="B642" s="5" t="s">
        <v>2119</v>
      </c>
    </row>
    <row r="643" spans="1:2" ht="16.2" hidden="1" thickBot="1">
      <c r="A643" s="4" t="s">
        <v>2117</v>
      </c>
      <c r="B643" s="5" t="s">
        <v>2120</v>
      </c>
    </row>
    <row r="644" spans="1:2" ht="16.2" hidden="1" thickBot="1">
      <c r="A644" s="4" t="s">
        <v>2117</v>
      </c>
      <c r="B644" s="5" t="s">
        <v>2121</v>
      </c>
    </row>
    <row r="645" spans="1:2" ht="16.2" hidden="1" thickBot="1">
      <c r="A645" s="4" t="s">
        <v>2117</v>
      </c>
      <c r="B645" s="5" t="s">
        <v>2122</v>
      </c>
    </row>
    <row r="646" spans="1:2" ht="16.2" hidden="1" thickBot="1">
      <c r="A646" s="4" t="s">
        <v>2117</v>
      </c>
      <c r="B646" s="5" t="s">
        <v>2123</v>
      </c>
    </row>
    <row r="647" spans="1:2" ht="16.2" hidden="1" thickBot="1">
      <c r="A647" s="4" t="s">
        <v>2117</v>
      </c>
      <c r="B647" s="5" t="s">
        <v>2124</v>
      </c>
    </row>
    <row r="648" spans="1:2" ht="16.2" hidden="1" thickBot="1">
      <c r="A648" s="4" t="s">
        <v>2117</v>
      </c>
      <c r="B648" s="5" t="s">
        <v>2125</v>
      </c>
    </row>
    <row r="649" spans="1:2" ht="16.2" hidden="1" thickBot="1">
      <c r="A649" s="4" t="s">
        <v>2117</v>
      </c>
      <c r="B649" s="5" t="s">
        <v>2126</v>
      </c>
    </row>
    <row r="650" spans="1:2" ht="16.2" hidden="1" thickBot="1">
      <c r="A650" s="4" t="s">
        <v>2117</v>
      </c>
      <c r="B650" s="5" t="s">
        <v>2127</v>
      </c>
    </row>
    <row r="651" spans="1:2" ht="16.2" hidden="1" thickBot="1">
      <c r="A651" s="4" t="s">
        <v>2117</v>
      </c>
      <c r="B651" s="5" t="s">
        <v>2128</v>
      </c>
    </row>
    <row r="652" spans="1:2" ht="16.2" hidden="1" thickBot="1">
      <c r="A652" s="4" t="s">
        <v>2117</v>
      </c>
      <c r="B652" s="5" t="s">
        <v>2129</v>
      </c>
    </row>
    <row r="653" spans="1:2" ht="16.2" hidden="1" thickBot="1">
      <c r="A653" s="4" t="s">
        <v>2117</v>
      </c>
      <c r="B653" s="5" t="s">
        <v>1467</v>
      </c>
    </row>
    <row r="654" spans="1:2" ht="16.2" hidden="1" thickBot="1">
      <c r="A654" s="4" t="s">
        <v>2117</v>
      </c>
      <c r="B654" s="5" t="s">
        <v>2130</v>
      </c>
    </row>
    <row r="655" spans="1:2" ht="16.2" hidden="1" thickBot="1">
      <c r="A655" s="4" t="s">
        <v>2117</v>
      </c>
      <c r="B655" s="5" t="s">
        <v>2131</v>
      </c>
    </row>
    <row r="656" spans="1:2" ht="16.2" hidden="1" thickBot="1">
      <c r="A656" s="4" t="s">
        <v>2117</v>
      </c>
      <c r="B656" s="5" t="s">
        <v>2132</v>
      </c>
    </row>
    <row r="657" spans="1:2" ht="16.2" hidden="1" thickBot="1">
      <c r="A657" s="4" t="s">
        <v>2117</v>
      </c>
      <c r="B657" s="5" t="s">
        <v>2133</v>
      </c>
    </row>
    <row r="658" spans="1:2" ht="16.2" hidden="1" thickBot="1">
      <c r="A658" s="4" t="s">
        <v>2117</v>
      </c>
      <c r="B658" s="5" t="s">
        <v>2134</v>
      </c>
    </row>
    <row r="659" spans="1:2" ht="16.2" hidden="1" thickBot="1">
      <c r="A659" s="4" t="s">
        <v>2117</v>
      </c>
      <c r="B659" s="5" t="s">
        <v>2135</v>
      </c>
    </row>
    <row r="660" spans="1:2" ht="16.2" hidden="1" thickBot="1">
      <c r="A660" s="4" t="s">
        <v>2117</v>
      </c>
      <c r="B660" s="5" t="s">
        <v>798</v>
      </c>
    </row>
    <row r="661" spans="1:2" ht="16.2" hidden="1" thickBot="1">
      <c r="A661" s="4" t="s">
        <v>2117</v>
      </c>
      <c r="B661" s="5" t="s">
        <v>802</v>
      </c>
    </row>
  </sheetData>
  <autoFilter ref="A1:I661" xr:uid="{F74D607F-9424-4B9C-BF2D-303D5B1F8E5F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9DCF-5244-4579-90C9-DA8E63F9A99D}">
  <dimension ref="A1:A661"/>
  <sheetViews>
    <sheetView workbookViewId="0">
      <selection activeCell="I14" sqref="I14"/>
    </sheetView>
  </sheetViews>
  <sheetFormatPr defaultRowHeight="13.2"/>
  <cols>
    <col min="1" max="1" width="24.21875" customWidth="1"/>
  </cols>
  <sheetData>
    <row r="1" spans="1:1" ht="16.2" thickBot="1">
      <c r="A1" s="20" t="s">
        <v>1475</v>
      </c>
    </row>
    <row r="2" spans="1:1" ht="16.2" thickBot="1">
      <c r="A2" s="5" t="s">
        <v>1477</v>
      </c>
    </row>
    <row r="3" spans="1:1" ht="16.2" thickBot="1">
      <c r="A3" s="5" t="s">
        <v>1478</v>
      </c>
    </row>
    <row r="4" spans="1:1" ht="16.2" thickBot="1">
      <c r="A4" s="5" t="s">
        <v>1480</v>
      </c>
    </row>
    <row r="5" spans="1:1" ht="16.2" thickBot="1">
      <c r="A5" s="5" t="s">
        <v>1481</v>
      </c>
    </row>
    <row r="6" spans="1:1" ht="16.2" thickBot="1">
      <c r="A6" s="5" t="s">
        <v>1482</v>
      </c>
    </row>
    <row r="7" spans="1:1" ht="16.2" thickBot="1">
      <c r="A7" s="5" t="s">
        <v>1483</v>
      </c>
    </row>
    <row r="8" spans="1:1" ht="16.2" thickBot="1">
      <c r="A8" s="5" t="s">
        <v>1484</v>
      </c>
    </row>
    <row r="9" spans="1:1" ht="16.2" thickBot="1">
      <c r="A9" s="5" t="s">
        <v>1485</v>
      </c>
    </row>
    <row r="10" spans="1:1" ht="16.2" thickBot="1">
      <c r="A10" s="5" t="s">
        <v>1486</v>
      </c>
    </row>
    <row r="11" spans="1:1" ht="16.2" thickBot="1">
      <c r="A11" s="5" t="s">
        <v>1487</v>
      </c>
    </row>
    <row r="12" spans="1:1" ht="16.2" thickBot="1">
      <c r="A12" s="5" t="s">
        <v>1488</v>
      </c>
    </row>
    <row r="13" spans="1:1" ht="16.2" thickBot="1">
      <c r="A13" s="5" t="s">
        <v>1489</v>
      </c>
    </row>
    <row r="14" spans="1:1" ht="16.2" thickBot="1">
      <c r="A14" s="5" t="s">
        <v>1490</v>
      </c>
    </row>
    <row r="15" spans="1:1" ht="16.2" thickBot="1">
      <c r="A15" s="5" t="s">
        <v>1491</v>
      </c>
    </row>
    <row r="16" spans="1:1" ht="16.2" thickBot="1">
      <c r="A16" s="5" t="s">
        <v>1492</v>
      </c>
    </row>
    <row r="17" spans="1:1" ht="16.2" thickBot="1">
      <c r="A17" s="5" t="s">
        <v>1493</v>
      </c>
    </row>
    <row r="18" spans="1:1" ht="16.2" thickBot="1">
      <c r="A18" s="5" t="s">
        <v>1494</v>
      </c>
    </row>
    <row r="19" spans="1:1" ht="16.2" thickBot="1">
      <c r="A19" s="5" t="s">
        <v>1495</v>
      </c>
    </row>
    <row r="20" spans="1:1" ht="16.2" thickBot="1">
      <c r="A20" s="5" t="s">
        <v>1496</v>
      </c>
    </row>
    <row r="21" spans="1:1" ht="16.2" thickBot="1">
      <c r="A21" s="5" t="s">
        <v>1497</v>
      </c>
    </row>
    <row r="22" spans="1:1" ht="16.2" thickBot="1">
      <c r="A22" s="5" t="s">
        <v>1498</v>
      </c>
    </row>
    <row r="23" spans="1:1" ht="16.2" thickBot="1">
      <c r="A23" s="5" t="s">
        <v>1499</v>
      </c>
    </row>
    <row r="24" spans="1:1" ht="16.2" thickBot="1">
      <c r="A24" s="5" t="s">
        <v>1500</v>
      </c>
    </row>
    <row r="25" spans="1:1" ht="16.2" thickBot="1">
      <c r="A25" s="5" t="s">
        <v>1501</v>
      </c>
    </row>
    <row r="26" spans="1:1" ht="16.2" thickBot="1">
      <c r="A26" s="5" t="s">
        <v>1502</v>
      </c>
    </row>
    <row r="27" spans="1:1" ht="16.2" thickBot="1">
      <c r="A27" s="5" t="s">
        <v>1503</v>
      </c>
    </row>
    <row r="28" spans="1:1" ht="16.2" thickBot="1">
      <c r="A28" s="5" t="s">
        <v>1504</v>
      </c>
    </row>
    <row r="29" spans="1:1" ht="16.2" thickBot="1">
      <c r="A29" s="5" t="s">
        <v>1505</v>
      </c>
    </row>
    <row r="30" spans="1:1" ht="16.2" thickBot="1">
      <c r="A30" s="5" t="s">
        <v>1506</v>
      </c>
    </row>
    <row r="31" spans="1:1" ht="16.2" thickBot="1">
      <c r="A31" s="5" t="s">
        <v>1507</v>
      </c>
    </row>
    <row r="32" spans="1:1" ht="16.2" thickBot="1">
      <c r="A32" s="5" t="s">
        <v>1508</v>
      </c>
    </row>
    <row r="33" spans="1:1" ht="16.2" thickBot="1">
      <c r="A33" s="5" t="s">
        <v>1509</v>
      </c>
    </row>
    <row r="34" spans="1:1" ht="16.2" thickBot="1">
      <c r="A34" s="5" t="s">
        <v>1510</v>
      </c>
    </row>
    <row r="35" spans="1:1" ht="16.2" thickBot="1">
      <c r="A35" s="5" t="s">
        <v>1511</v>
      </c>
    </row>
    <row r="36" spans="1:1" ht="16.2" thickBot="1">
      <c r="A36" s="5" t="s">
        <v>1512</v>
      </c>
    </row>
    <row r="37" spans="1:1" ht="16.2" thickBot="1">
      <c r="A37" s="5" t="s">
        <v>1513</v>
      </c>
    </row>
    <row r="38" spans="1:1" ht="16.2" thickBot="1">
      <c r="A38" s="5" t="s">
        <v>1515</v>
      </c>
    </row>
    <row r="39" spans="1:1" ht="16.2" thickBot="1">
      <c r="A39" s="5" t="s">
        <v>1517</v>
      </c>
    </row>
    <row r="40" spans="1:1" ht="16.2" thickBot="1">
      <c r="A40" s="5" t="s">
        <v>1518</v>
      </c>
    </row>
    <row r="41" spans="1:1" ht="16.2" thickBot="1">
      <c r="A41" s="5" t="s">
        <v>1519</v>
      </c>
    </row>
    <row r="42" spans="1:1" ht="16.2" thickBot="1">
      <c r="A42" s="5" t="s">
        <v>1520</v>
      </c>
    </row>
    <row r="43" spans="1:1" ht="16.2" thickBot="1">
      <c r="A43" s="5" t="s">
        <v>1521</v>
      </c>
    </row>
    <row r="44" spans="1:1" ht="16.2" thickBot="1">
      <c r="A44" s="5" t="s">
        <v>1522</v>
      </c>
    </row>
    <row r="45" spans="1:1" ht="16.2" thickBot="1">
      <c r="A45" s="5" t="s">
        <v>1523</v>
      </c>
    </row>
    <row r="46" spans="1:1" ht="16.2" thickBot="1">
      <c r="A46" s="5" t="s">
        <v>1524</v>
      </c>
    </row>
    <row r="47" spans="1:1" ht="16.2" thickBot="1">
      <c r="A47" s="5" t="s">
        <v>1525</v>
      </c>
    </row>
    <row r="48" spans="1:1" ht="16.2" thickBot="1">
      <c r="A48" s="5" t="s">
        <v>266</v>
      </c>
    </row>
    <row r="49" spans="1:1" ht="16.2" thickBot="1">
      <c r="A49" s="5" t="s">
        <v>1526</v>
      </c>
    </row>
    <row r="50" spans="1:1" ht="16.2" thickBot="1">
      <c r="A50" s="5" t="s">
        <v>1527</v>
      </c>
    </row>
    <row r="51" spans="1:1" ht="16.2" thickBot="1">
      <c r="A51" s="5" t="s">
        <v>1528</v>
      </c>
    </row>
    <row r="52" spans="1:1" ht="31.8" thickBot="1">
      <c r="A52" s="5" t="s">
        <v>1529</v>
      </c>
    </row>
    <row r="53" spans="1:1" ht="16.2" thickBot="1">
      <c r="A53" s="5" t="s">
        <v>1530</v>
      </c>
    </row>
    <row r="54" spans="1:1" ht="16.2" thickBot="1">
      <c r="A54" s="5" t="s">
        <v>1531</v>
      </c>
    </row>
    <row r="55" spans="1:1" ht="16.2" thickBot="1">
      <c r="A55" s="5" t="s">
        <v>1532</v>
      </c>
    </row>
    <row r="56" spans="1:1" ht="16.2" thickBot="1">
      <c r="A56" s="5" t="s">
        <v>1533</v>
      </c>
    </row>
    <row r="57" spans="1:1" ht="16.2" thickBot="1">
      <c r="A57" s="5" t="s">
        <v>1534</v>
      </c>
    </row>
    <row r="58" spans="1:1" ht="16.2" thickBot="1">
      <c r="A58" s="5" t="s">
        <v>1535</v>
      </c>
    </row>
    <row r="59" spans="1:1" ht="16.2" thickBot="1">
      <c r="A59" s="5" t="s">
        <v>1536</v>
      </c>
    </row>
    <row r="60" spans="1:1" ht="16.2" thickBot="1">
      <c r="A60" s="5" t="s">
        <v>1537</v>
      </c>
    </row>
    <row r="61" spans="1:1" ht="16.2" thickBot="1">
      <c r="A61" s="5" t="s">
        <v>1539</v>
      </c>
    </row>
    <row r="62" spans="1:1" ht="16.2" thickBot="1">
      <c r="A62" s="5" t="s">
        <v>1540</v>
      </c>
    </row>
    <row r="63" spans="1:1" ht="16.2" thickBot="1">
      <c r="A63" s="5" t="s">
        <v>1541</v>
      </c>
    </row>
    <row r="64" spans="1:1" ht="16.2" thickBot="1">
      <c r="A64" s="5" t="s">
        <v>1542</v>
      </c>
    </row>
    <row r="65" spans="1:1" ht="16.2" thickBot="1">
      <c r="A65" s="5" t="s">
        <v>1543</v>
      </c>
    </row>
    <row r="66" spans="1:1" ht="16.2" thickBot="1">
      <c r="A66" s="5" t="s">
        <v>1544</v>
      </c>
    </row>
    <row r="67" spans="1:1" ht="16.2" thickBot="1">
      <c r="A67" s="5" t="s">
        <v>1545</v>
      </c>
    </row>
    <row r="68" spans="1:1" ht="16.2" thickBot="1">
      <c r="A68" s="5" t="s">
        <v>1547</v>
      </c>
    </row>
    <row r="69" spans="1:1" ht="16.2" thickBot="1">
      <c r="A69" s="5" t="s">
        <v>1548</v>
      </c>
    </row>
    <row r="70" spans="1:1" ht="16.2" thickBot="1">
      <c r="A70" s="5" t="s">
        <v>1549</v>
      </c>
    </row>
    <row r="71" spans="1:1" ht="16.2" thickBot="1">
      <c r="A71" s="5" t="s">
        <v>1550</v>
      </c>
    </row>
    <row r="72" spans="1:1" ht="16.2" thickBot="1">
      <c r="A72" s="5" t="s">
        <v>1551</v>
      </c>
    </row>
    <row r="73" spans="1:1" ht="16.2" thickBot="1">
      <c r="A73" s="5" t="s">
        <v>1552</v>
      </c>
    </row>
    <row r="74" spans="1:1" ht="16.2" thickBot="1">
      <c r="A74" s="5" t="s">
        <v>1553</v>
      </c>
    </row>
    <row r="75" spans="1:1" ht="16.2" thickBot="1">
      <c r="A75" s="5" t="s">
        <v>1554</v>
      </c>
    </row>
    <row r="76" spans="1:1" ht="16.2" thickBot="1">
      <c r="A76" s="5" t="s">
        <v>1555</v>
      </c>
    </row>
    <row r="77" spans="1:1" ht="16.2" thickBot="1">
      <c r="A77" s="5" t="s">
        <v>1557</v>
      </c>
    </row>
    <row r="78" spans="1:1" ht="16.2" thickBot="1">
      <c r="A78" s="5" t="s">
        <v>1558</v>
      </c>
    </row>
    <row r="79" spans="1:1" ht="16.2" thickBot="1">
      <c r="A79" s="5" t="s">
        <v>1559</v>
      </c>
    </row>
    <row r="80" spans="1:1" ht="16.2" thickBot="1">
      <c r="A80" s="5">
        <v>5</v>
      </c>
    </row>
    <row r="81" spans="1:1" ht="16.2" thickBot="1">
      <c r="A81" s="5">
        <v>6</v>
      </c>
    </row>
    <row r="82" spans="1:1" ht="16.2" thickBot="1">
      <c r="A82" s="5">
        <v>360</v>
      </c>
    </row>
    <row r="83" spans="1:1" ht="16.2" thickBot="1">
      <c r="A83" s="5" t="s">
        <v>1561</v>
      </c>
    </row>
    <row r="84" spans="1:1" ht="16.2" thickBot="1">
      <c r="A84" s="5" t="s">
        <v>1562</v>
      </c>
    </row>
    <row r="85" spans="1:1" ht="16.2" thickBot="1">
      <c r="A85" s="5" t="s">
        <v>1563</v>
      </c>
    </row>
    <row r="86" spans="1:1" ht="16.2" thickBot="1">
      <c r="A86" s="5" t="s">
        <v>1564</v>
      </c>
    </row>
    <row r="87" spans="1:1" ht="16.2" thickBot="1">
      <c r="A87" s="5" t="s">
        <v>1565</v>
      </c>
    </row>
    <row r="88" spans="1:1" ht="16.2" thickBot="1">
      <c r="A88" s="5" t="s">
        <v>1566</v>
      </c>
    </row>
    <row r="89" spans="1:1" ht="16.2" thickBot="1">
      <c r="A89" s="5" t="s">
        <v>1568</v>
      </c>
    </row>
    <row r="90" spans="1:1" ht="16.2" thickBot="1">
      <c r="A90" s="5" t="s">
        <v>1569</v>
      </c>
    </row>
    <row r="91" spans="1:1" ht="16.2" thickBot="1">
      <c r="A91" s="5" t="s">
        <v>1570</v>
      </c>
    </row>
    <row r="92" spans="1:1" ht="16.2" thickBot="1">
      <c r="A92" s="5" t="s">
        <v>1571</v>
      </c>
    </row>
    <row r="93" spans="1:1" ht="16.2" thickBot="1">
      <c r="A93" s="5" t="s">
        <v>1573</v>
      </c>
    </row>
    <row r="94" spans="1:1" ht="16.2" thickBot="1">
      <c r="A94" s="5" t="s">
        <v>1574</v>
      </c>
    </row>
    <row r="95" spans="1:1" ht="16.2" thickBot="1">
      <c r="A95" s="5" t="s">
        <v>1575</v>
      </c>
    </row>
    <row r="96" spans="1:1" ht="16.2" thickBot="1">
      <c r="A96" s="5" t="s">
        <v>1576</v>
      </c>
    </row>
    <row r="97" spans="1:1" ht="16.2" thickBot="1">
      <c r="A97" s="5" t="s">
        <v>1577</v>
      </c>
    </row>
    <row r="98" spans="1:1" ht="16.2" thickBot="1">
      <c r="A98" s="5" t="s">
        <v>1578</v>
      </c>
    </row>
    <row r="99" spans="1:1" ht="16.2" thickBot="1">
      <c r="A99" s="5" t="s">
        <v>1579</v>
      </c>
    </row>
    <row r="100" spans="1:1" ht="16.2" thickBot="1">
      <c r="A100" s="5" t="s">
        <v>1580</v>
      </c>
    </row>
    <row r="101" spans="1:1" ht="16.2" thickBot="1">
      <c r="A101" s="5" t="s">
        <v>1582</v>
      </c>
    </row>
    <row r="102" spans="1:1" ht="16.2" thickBot="1">
      <c r="A102" s="5" t="s">
        <v>1583</v>
      </c>
    </row>
    <row r="103" spans="1:1" ht="16.2" thickBot="1">
      <c r="A103" s="5" t="s">
        <v>1584</v>
      </c>
    </row>
    <row r="104" spans="1:1" ht="16.2" thickBot="1">
      <c r="A104" s="5" t="s">
        <v>1585</v>
      </c>
    </row>
    <row r="105" spans="1:1" ht="16.2" thickBot="1">
      <c r="A105" s="5" t="s">
        <v>1586</v>
      </c>
    </row>
    <row r="106" spans="1:1" ht="16.2" thickBot="1">
      <c r="A106" s="5" t="s">
        <v>1588</v>
      </c>
    </row>
    <row r="107" spans="1:1" ht="16.2" thickBot="1">
      <c r="A107" s="5" t="s">
        <v>1589</v>
      </c>
    </row>
    <row r="108" spans="1:1" ht="16.2" thickBot="1">
      <c r="A108" s="5" t="s">
        <v>1590</v>
      </c>
    </row>
    <row r="109" spans="1:1" ht="16.2" thickBot="1">
      <c r="A109" s="5" t="s">
        <v>1591</v>
      </c>
    </row>
    <row r="110" spans="1:1" ht="16.2" thickBot="1">
      <c r="A110" s="5" t="s">
        <v>1592</v>
      </c>
    </row>
    <row r="111" spans="1:1" ht="16.2" thickBot="1">
      <c r="A111" s="5" t="s">
        <v>1593</v>
      </c>
    </row>
    <row r="112" spans="1:1" ht="16.2" thickBot="1">
      <c r="A112" s="5" t="s">
        <v>1594</v>
      </c>
    </row>
    <row r="113" spans="1:1" ht="16.2" thickBot="1">
      <c r="A113" s="5" t="s">
        <v>1595</v>
      </c>
    </row>
    <row r="114" spans="1:1" ht="16.2" thickBot="1">
      <c r="A114" s="5" t="s">
        <v>1596</v>
      </c>
    </row>
    <row r="115" spans="1:1" ht="16.2" thickBot="1">
      <c r="A115" s="5" t="s">
        <v>1597</v>
      </c>
    </row>
    <row r="116" spans="1:1" ht="16.2" thickBot="1">
      <c r="A116" s="5" t="s">
        <v>1598</v>
      </c>
    </row>
    <row r="117" spans="1:1" ht="16.2" thickBot="1">
      <c r="A117" s="5" t="s">
        <v>1599</v>
      </c>
    </row>
    <row r="118" spans="1:1" ht="16.2" thickBot="1">
      <c r="A118" s="5" t="s">
        <v>1600</v>
      </c>
    </row>
    <row r="119" spans="1:1" ht="16.2" thickBot="1">
      <c r="A119" s="5" t="s">
        <v>1601</v>
      </c>
    </row>
    <row r="120" spans="1:1" ht="16.2" thickBot="1">
      <c r="A120" s="5" t="s">
        <v>1602</v>
      </c>
    </row>
    <row r="121" spans="1:1" ht="16.2" thickBot="1">
      <c r="A121" s="5" t="s">
        <v>1603</v>
      </c>
    </row>
    <row r="122" spans="1:1" ht="16.2" thickBot="1">
      <c r="A122" s="5" t="s">
        <v>1604</v>
      </c>
    </row>
    <row r="123" spans="1:1" ht="16.2" thickBot="1">
      <c r="A123" s="5" t="s">
        <v>1605</v>
      </c>
    </row>
    <row r="124" spans="1:1" ht="16.2" thickBot="1">
      <c r="A124" s="5" t="s">
        <v>1606</v>
      </c>
    </row>
    <row r="125" spans="1:1" ht="16.2" thickBot="1">
      <c r="A125" s="5" t="s">
        <v>1607</v>
      </c>
    </row>
    <row r="126" spans="1:1" ht="16.2" thickBot="1">
      <c r="A126" s="5" t="s">
        <v>1608</v>
      </c>
    </row>
    <row r="127" spans="1:1" ht="16.2" thickBot="1">
      <c r="A127" s="5" t="s">
        <v>1542</v>
      </c>
    </row>
    <row r="128" spans="1:1" ht="16.2" thickBot="1">
      <c r="A128" s="5" t="s">
        <v>1609</v>
      </c>
    </row>
    <row r="129" spans="1:1" ht="16.2" thickBot="1">
      <c r="A129" s="5" t="s">
        <v>1610</v>
      </c>
    </row>
    <row r="130" spans="1:1" ht="16.2" thickBot="1">
      <c r="A130" s="5" t="s">
        <v>1611</v>
      </c>
    </row>
    <row r="131" spans="1:1" ht="16.2" thickBot="1">
      <c r="A131" s="5" t="s">
        <v>1612</v>
      </c>
    </row>
    <row r="132" spans="1:1" ht="16.2" thickBot="1">
      <c r="A132" s="5" t="s">
        <v>1613</v>
      </c>
    </row>
    <row r="133" spans="1:1" ht="16.2" thickBot="1">
      <c r="A133" s="5" t="s">
        <v>1614</v>
      </c>
    </row>
    <row r="134" spans="1:1" ht="16.2" thickBot="1">
      <c r="A134" s="5" t="s">
        <v>1615</v>
      </c>
    </row>
    <row r="135" spans="1:1" ht="16.2" thickBot="1">
      <c r="A135" s="5" t="s">
        <v>1616</v>
      </c>
    </row>
    <row r="136" spans="1:1" ht="16.2" thickBot="1">
      <c r="A136" s="5" t="s">
        <v>1617</v>
      </c>
    </row>
    <row r="137" spans="1:1" ht="16.2" thickBot="1">
      <c r="A137" s="5" t="s">
        <v>1618</v>
      </c>
    </row>
    <row r="138" spans="1:1" ht="16.2" thickBot="1">
      <c r="A138" s="5" t="s">
        <v>1620</v>
      </c>
    </row>
    <row r="139" spans="1:1" ht="16.2" thickBot="1">
      <c r="A139" s="5" t="s">
        <v>1621</v>
      </c>
    </row>
    <row r="140" spans="1:1" ht="16.2" thickBot="1">
      <c r="A140" s="5" t="s">
        <v>1622</v>
      </c>
    </row>
    <row r="141" spans="1:1" ht="16.2" thickBot="1">
      <c r="A141" s="5" t="s">
        <v>1623</v>
      </c>
    </row>
    <row r="142" spans="1:1" ht="16.2" thickBot="1">
      <c r="A142" s="5" t="s">
        <v>1512</v>
      </c>
    </row>
    <row r="143" spans="1:1" ht="16.2" thickBot="1">
      <c r="A143" s="5" t="s">
        <v>1625</v>
      </c>
    </row>
    <row r="144" spans="1:1" ht="16.2" thickBot="1">
      <c r="A144" s="5" t="s">
        <v>1626</v>
      </c>
    </row>
    <row r="145" spans="1:1" ht="31.8" thickBot="1">
      <c r="A145" s="5" t="s">
        <v>1627</v>
      </c>
    </row>
    <row r="146" spans="1:1" ht="16.2" thickBot="1">
      <c r="A146" s="5" t="s">
        <v>1628</v>
      </c>
    </row>
    <row r="147" spans="1:1" ht="16.2" thickBot="1">
      <c r="A147" s="5">
        <v>718</v>
      </c>
    </row>
    <row r="148" spans="1:1" ht="16.2" thickBot="1">
      <c r="A148" s="5" t="s">
        <v>1629</v>
      </c>
    </row>
    <row r="149" spans="1:1" ht="16.2" thickBot="1">
      <c r="A149" s="5" t="s">
        <v>1630</v>
      </c>
    </row>
    <row r="150" spans="1:1" ht="16.2" thickBot="1">
      <c r="A150" s="5" t="s">
        <v>1631</v>
      </c>
    </row>
    <row r="151" spans="1:1" ht="16.2" thickBot="1">
      <c r="A151" s="5" t="s">
        <v>1632</v>
      </c>
    </row>
    <row r="152" spans="1:1" ht="16.2" thickBot="1">
      <c r="A152" s="5" t="s">
        <v>1633</v>
      </c>
    </row>
    <row r="153" spans="1:1" ht="16.2" thickBot="1">
      <c r="A153" s="5">
        <v>2008</v>
      </c>
    </row>
    <row r="154" spans="1:1" ht="16.2" thickBot="1">
      <c r="A154" s="5">
        <v>3008</v>
      </c>
    </row>
    <row r="155" spans="1:1" ht="16.2" thickBot="1">
      <c r="A155" s="5">
        <v>5008</v>
      </c>
    </row>
    <row r="156" spans="1:1" ht="16.2" thickBot="1">
      <c r="A156" s="5" t="s">
        <v>1634</v>
      </c>
    </row>
    <row r="157" spans="1:1" ht="16.2" thickBot="1">
      <c r="A157" s="5">
        <v>3</v>
      </c>
    </row>
    <row r="158" spans="1:1" ht="16.2" thickBot="1">
      <c r="A158" s="5" t="s">
        <v>1636</v>
      </c>
    </row>
    <row r="159" spans="1:1" ht="16.2" thickBot="1">
      <c r="A159" s="5" t="s">
        <v>1637</v>
      </c>
    </row>
    <row r="160" spans="1:1" ht="16.2" thickBot="1">
      <c r="A160" s="5" t="s">
        <v>1638</v>
      </c>
    </row>
    <row r="161" spans="1:1" ht="16.2" thickBot="1">
      <c r="A161" s="5" t="s">
        <v>1639</v>
      </c>
    </row>
    <row r="162" spans="1:1" ht="16.2" thickBot="1">
      <c r="A162" s="5" t="s">
        <v>1640</v>
      </c>
    </row>
    <row r="163" spans="1:1" ht="16.2" thickBot="1">
      <c r="A163" s="5" t="s">
        <v>1641</v>
      </c>
    </row>
    <row r="164" spans="1:1" ht="16.2" thickBot="1">
      <c r="A164" s="5" t="s">
        <v>1642</v>
      </c>
    </row>
    <row r="165" spans="1:1" ht="16.2" thickBot="1">
      <c r="A165" s="5" t="s">
        <v>1643</v>
      </c>
    </row>
    <row r="166" spans="1:1" ht="16.2" thickBot="1">
      <c r="A166" s="5" t="s">
        <v>1644</v>
      </c>
    </row>
    <row r="167" spans="1:1" ht="16.2" thickBot="1">
      <c r="A167" s="5" t="s">
        <v>1645</v>
      </c>
    </row>
    <row r="168" spans="1:1" ht="16.2" thickBot="1">
      <c r="A168" s="5" t="s">
        <v>1646</v>
      </c>
    </row>
    <row r="169" spans="1:1" ht="16.2" thickBot="1">
      <c r="A169" s="5" t="s">
        <v>1647</v>
      </c>
    </row>
    <row r="170" spans="1:1" ht="31.8" thickBot="1">
      <c r="A170" s="5" t="s">
        <v>1648</v>
      </c>
    </row>
    <row r="171" spans="1:1" ht="16.2" thickBot="1">
      <c r="A171" s="5" t="s">
        <v>1649</v>
      </c>
    </row>
    <row r="172" spans="1:1" ht="31.8" thickBot="1">
      <c r="A172" s="5" t="s">
        <v>1650</v>
      </c>
    </row>
    <row r="173" spans="1:1" ht="31.8" thickBot="1">
      <c r="A173" s="5" t="s">
        <v>1651</v>
      </c>
    </row>
    <row r="174" spans="1:1" ht="31.8" thickBot="1">
      <c r="A174" s="5" t="s">
        <v>1652</v>
      </c>
    </row>
    <row r="175" spans="1:1" ht="16.2" thickBot="1">
      <c r="A175" s="5" t="s">
        <v>1653</v>
      </c>
    </row>
    <row r="176" spans="1:1" ht="16.2" thickBot="1">
      <c r="A176" s="5" t="s">
        <v>1654</v>
      </c>
    </row>
    <row r="177" spans="1:1" ht="16.2" thickBot="1">
      <c r="A177" s="5" t="s">
        <v>1655</v>
      </c>
    </row>
    <row r="178" spans="1:1" ht="16.2" thickBot="1">
      <c r="A178" s="5" t="s">
        <v>1656</v>
      </c>
    </row>
    <row r="179" spans="1:1" ht="16.2" thickBot="1">
      <c r="A179" s="5" t="s">
        <v>1657</v>
      </c>
    </row>
    <row r="180" spans="1:1" ht="16.2" thickBot="1">
      <c r="A180" s="5" t="s">
        <v>1658</v>
      </c>
    </row>
    <row r="181" spans="1:1" ht="16.2" thickBot="1">
      <c r="A181" s="5" t="s">
        <v>1659</v>
      </c>
    </row>
    <row r="182" spans="1:1" ht="16.2" thickBot="1">
      <c r="A182" s="5" t="s">
        <v>1660</v>
      </c>
    </row>
    <row r="183" spans="1:1" ht="16.2" thickBot="1">
      <c r="A183" s="5" t="s">
        <v>1661</v>
      </c>
    </row>
    <row r="184" spans="1:1" ht="16.2" thickBot="1">
      <c r="A184" s="5" t="s">
        <v>1662</v>
      </c>
    </row>
    <row r="185" spans="1:1" ht="16.2" thickBot="1">
      <c r="A185" s="5" t="s">
        <v>1663</v>
      </c>
    </row>
    <row r="186" spans="1:1" ht="16.2" thickBot="1">
      <c r="A186" s="5" t="s">
        <v>1664</v>
      </c>
    </row>
    <row r="187" spans="1:1" ht="16.2" thickBot="1">
      <c r="A187" s="5" t="s">
        <v>866</v>
      </c>
    </row>
    <row r="188" spans="1:1" ht="16.2" thickBot="1">
      <c r="A188" s="5" t="s">
        <v>1665</v>
      </c>
    </row>
    <row r="189" spans="1:1" ht="16.2" thickBot="1">
      <c r="A189" s="5" t="s">
        <v>1666</v>
      </c>
    </row>
    <row r="190" spans="1:1" ht="16.2" thickBot="1">
      <c r="A190" s="5" t="s">
        <v>1667</v>
      </c>
    </row>
    <row r="191" spans="1:1" ht="16.2" thickBot="1">
      <c r="A191" s="5" t="s">
        <v>1668</v>
      </c>
    </row>
    <row r="192" spans="1:1" ht="16.2" thickBot="1">
      <c r="A192" s="5" t="s">
        <v>1669</v>
      </c>
    </row>
    <row r="193" spans="1:1" ht="16.2" thickBot="1">
      <c r="A193" s="5" t="s">
        <v>1670</v>
      </c>
    </row>
    <row r="194" spans="1:1" ht="16.2" thickBot="1">
      <c r="A194" s="5" t="s">
        <v>1671</v>
      </c>
    </row>
    <row r="195" spans="1:1" ht="16.2" thickBot="1">
      <c r="A195" s="5" t="s">
        <v>1672</v>
      </c>
    </row>
    <row r="196" spans="1:1" ht="16.2" thickBot="1">
      <c r="A196" s="5" t="s">
        <v>1673</v>
      </c>
    </row>
    <row r="197" spans="1:1" ht="16.2" thickBot="1">
      <c r="A197" s="5" t="s">
        <v>1674</v>
      </c>
    </row>
    <row r="198" spans="1:1" ht="31.8" thickBot="1">
      <c r="A198" s="5" t="s">
        <v>1675</v>
      </c>
    </row>
    <row r="199" spans="1:1" ht="16.2" thickBot="1">
      <c r="A199" s="5" t="s">
        <v>1676</v>
      </c>
    </row>
    <row r="200" spans="1:1" ht="16.2" thickBot="1">
      <c r="A200" s="5" t="s">
        <v>1677</v>
      </c>
    </row>
    <row r="201" spans="1:1" ht="16.2" thickBot="1">
      <c r="A201" s="5" t="s">
        <v>1678</v>
      </c>
    </row>
    <row r="202" spans="1:1" ht="16.2" thickBot="1">
      <c r="A202" s="5" t="s">
        <v>1679</v>
      </c>
    </row>
    <row r="203" spans="1:1" ht="16.2" thickBot="1">
      <c r="A203" s="5" t="s">
        <v>1680</v>
      </c>
    </row>
    <row r="204" spans="1:1" ht="16.2" thickBot="1">
      <c r="A204" s="5" t="s">
        <v>1681</v>
      </c>
    </row>
    <row r="205" spans="1:1" ht="16.2" thickBot="1">
      <c r="A205" s="5" t="s">
        <v>1682</v>
      </c>
    </row>
    <row r="206" spans="1:1" ht="16.2" thickBot="1">
      <c r="A206" s="5" t="s">
        <v>1683</v>
      </c>
    </row>
    <row r="207" spans="1:1" ht="16.2" thickBot="1">
      <c r="A207" s="5" t="s">
        <v>1684</v>
      </c>
    </row>
    <row r="208" spans="1:1" ht="31.8" thickBot="1">
      <c r="A208" s="5" t="s">
        <v>1685</v>
      </c>
    </row>
    <row r="209" spans="1:1" ht="16.2" thickBot="1">
      <c r="A209" s="5" t="s">
        <v>1686</v>
      </c>
    </row>
    <row r="210" spans="1:1" ht="16.2" thickBot="1">
      <c r="A210" s="5" t="s">
        <v>1687</v>
      </c>
    </row>
    <row r="211" spans="1:1" ht="31.8" thickBot="1">
      <c r="A211" s="5" t="s">
        <v>1688</v>
      </c>
    </row>
    <row r="212" spans="1:1" ht="31.8" thickBot="1">
      <c r="A212" s="5" t="s">
        <v>1689</v>
      </c>
    </row>
    <row r="213" spans="1:1" ht="16.2" thickBot="1">
      <c r="A213" s="5" t="s">
        <v>1690</v>
      </c>
    </row>
    <row r="214" spans="1:1" ht="16.2" thickBot="1">
      <c r="A214" s="5" t="s">
        <v>1691</v>
      </c>
    </row>
    <row r="215" spans="1:1" ht="16.2" thickBot="1">
      <c r="A215" s="5" t="s">
        <v>1692</v>
      </c>
    </row>
    <row r="216" spans="1:1" ht="16.2" thickBot="1">
      <c r="A216" s="5" t="s">
        <v>1693</v>
      </c>
    </row>
    <row r="217" spans="1:1" ht="16.2" thickBot="1">
      <c r="A217" s="5" t="s">
        <v>1694</v>
      </c>
    </row>
    <row r="218" spans="1:1" ht="16.2" thickBot="1">
      <c r="A218" s="5" t="s">
        <v>1695</v>
      </c>
    </row>
    <row r="219" spans="1:1" ht="31.8" thickBot="1">
      <c r="A219" s="5" t="s">
        <v>1696</v>
      </c>
    </row>
    <row r="220" spans="1:1" ht="31.8" thickBot="1">
      <c r="A220" s="5" t="s">
        <v>1697</v>
      </c>
    </row>
    <row r="221" spans="1:1" ht="31.8" thickBot="1">
      <c r="A221" s="5" t="s">
        <v>1698</v>
      </c>
    </row>
    <row r="222" spans="1:1" ht="31.8" thickBot="1">
      <c r="A222" s="5" t="s">
        <v>1699</v>
      </c>
    </row>
    <row r="223" spans="1:1" ht="31.8" thickBot="1">
      <c r="A223" s="5" t="s">
        <v>1700</v>
      </c>
    </row>
    <row r="224" spans="1:1" ht="31.8" thickBot="1">
      <c r="A224" s="5" t="s">
        <v>1701</v>
      </c>
    </row>
    <row r="225" spans="1:1" ht="31.8" thickBot="1">
      <c r="A225" s="5" t="s">
        <v>1702</v>
      </c>
    </row>
    <row r="226" spans="1:1" ht="31.8" thickBot="1">
      <c r="A226" s="5" t="s">
        <v>1703</v>
      </c>
    </row>
    <row r="227" spans="1:1" ht="31.8" thickBot="1">
      <c r="A227" s="5" t="s">
        <v>1704</v>
      </c>
    </row>
    <row r="228" spans="1:1" ht="31.8" thickBot="1">
      <c r="A228" s="5" t="s">
        <v>1705</v>
      </c>
    </row>
    <row r="229" spans="1:1" ht="31.8" thickBot="1">
      <c r="A229" s="5" t="s">
        <v>1706</v>
      </c>
    </row>
    <row r="230" spans="1:1" ht="31.8" thickBot="1">
      <c r="A230" s="5" t="s">
        <v>1707</v>
      </c>
    </row>
    <row r="231" spans="1:1" ht="31.8" thickBot="1">
      <c r="A231" s="5" t="s">
        <v>1708</v>
      </c>
    </row>
    <row r="232" spans="1:1" ht="31.8" thickBot="1">
      <c r="A232" s="5" t="s">
        <v>1709</v>
      </c>
    </row>
    <row r="233" spans="1:1" ht="16.2" thickBot="1">
      <c r="A233" s="5" t="s">
        <v>48</v>
      </c>
    </row>
    <row r="234" spans="1:1" ht="16.2" thickBot="1">
      <c r="A234" s="5" t="s">
        <v>1711</v>
      </c>
    </row>
    <row r="235" spans="1:1" ht="16.2" thickBot="1">
      <c r="A235" s="5" t="s">
        <v>1712</v>
      </c>
    </row>
    <row r="236" spans="1:1" ht="16.2" thickBot="1">
      <c r="A236" s="5" t="s">
        <v>1713</v>
      </c>
    </row>
    <row r="237" spans="1:1" ht="16.2" thickBot="1">
      <c r="A237" s="5" t="s">
        <v>1715</v>
      </c>
    </row>
    <row r="238" spans="1:1" ht="16.2" thickBot="1">
      <c r="A238" s="5" t="s">
        <v>1716</v>
      </c>
    </row>
    <row r="239" spans="1:1" ht="16.2" thickBot="1">
      <c r="A239" s="5" t="s">
        <v>1717</v>
      </c>
    </row>
    <row r="240" spans="1:1" ht="16.2" thickBot="1">
      <c r="A240" s="5" t="s">
        <v>1718</v>
      </c>
    </row>
    <row r="241" spans="1:1" ht="16.2" thickBot="1">
      <c r="A241" s="5" t="s">
        <v>1719</v>
      </c>
    </row>
    <row r="242" spans="1:1" ht="16.2" thickBot="1">
      <c r="A242" s="5" t="s">
        <v>1720</v>
      </c>
    </row>
    <row r="243" spans="1:1" ht="16.2" thickBot="1">
      <c r="A243" s="5" t="s">
        <v>1721</v>
      </c>
    </row>
    <row r="244" spans="1:1" ht="16.2" thickBot="1">
      <c r="A244" s="5" t="s">
        <v>1722</v>
      </c>
    </row>
    <row r="245" spans="1:1" ht="16.2" thickBot="1">
      <c r="A245" s="5" t="s">
        <v>1723</v>
      </c>
    </row>
    <row r="246" spans="1:1" ht="16.2" thickBot="1">
      <c r="A246" s="5" t="s">
        <v>1724</v>
      </c>
    </row>
    <row r="247" spans="1:1" ht="16.2" thickBot="1">
      <c r="A247" s="5" t="s">
        <v>1725</v>
      </c>
    </row>
    <row r="248" spans="1:1" ht="16.2" thickBot="1">
      <c r="A248" s="5" t="s">
        <v>1726</v>
      </c>
    </row>
    <row r="249" spans="1:1" ht="16.2" thickBot="1">
      <c r="A249" s="5" t="s">
        <v>1111</v>
      </c>
    </row>
    <row r="250" spans="1:1" ht="16.2" thickBot="1">
      <c r="A250" s="5" t="s">
        <v>1728</v>
      </c>
    </row>
    <row r="251" spans="1:1" ht="16.2" thickBot="1">
      <c r="A251" s="5" t="s">
        <v>1729</v>
      </c>
    </row>
    <row r="252" spans="1:1" ht="16.2" thickBot="1">
      <c r="A252" s="5" t="s">
        <v>1730</v>
      </c>
    </row>
    <row r="253" spans="1:1" ht="16.2" thickBot="1">
      <c r="A253" s="5" t="s">
        <v>1731</v>
      </c>
    </row>
    <row r="254" spans="1:1" ht="16.2" thickBot="1">
      <c r="A254" s="5" t="s">
        <v>1732</v>
      </c>
    </row>
    <row r="255" spans="1:1" ht="16.2" thickBot="1">
      <c r="A255" s="5" t="s">
        <v>1734</v>
      </c>
    </row>
    <row r="256" spans="1:1" ht="16.2" thickBot="1">
      <c r="A256" s="5" t="s">
        <v>1736</v>
      </c>
    </row>
    <row r="257" spans="1:1" ht="16.2" thickBot="1">
      <c r="A257" s="5" t="s">
        <v>1737</v>
      </c>
    </row>
    <row r="258" spans="1:1" ht="16.2" thickBot="1">
      <c r="A258" s="5" t="s">
        <v>1738</v>
      </c>
    </row>
    <row r="259" spans="1:1" ht="16.2" thickBot="1">
      <c r="A259" s="5" t="s">
        <v>1739</v>
      </c>
    </row>
    <row r="260" spans="1:1" ht="31.8" thickBot="1">
      <c r="A260" s="5" t="s">
        <v>1740</v>
      </c>
    </row>
    <row r="261" spans="1:1" ht="16.2" thickBot="1">
      <c r="A261" s="5" t="s">
        <v>1741</v>
      </c>
    </row>
    <row r="262" spans="1:1" ht="16.2" thickBot="1">
      <c r="A262" s="5" t="s">
        <v>1742</v>
      </c>
    </row>
    <row r="263" spans="1:1" ht="16.2" thickBot="1">
      <c r="A263" s="5" t="s">
        <v>1743</v>
      </c>
    </row>
    <row r="264" spans="1:1" ht="16.2" thickBot="1">
      <c r="A264" s="5" t="s">
        <v>1744</v>
      </c>
    </row>
    <row r="265" spans="1:1" ht="16.2" thickBot="1">
      <c r="A265" s="5" t="s">
        <v>1745</v>
      </c>
    </row>
    <row r="266" spans="1:1" ht="16.2" thickBot="1">
      <c r="A266" s="5" t="s">
        <v>1746</v>
      </c>
    </row>
    <row r="267" spans="1:1" ht="31.8" thickBot="1">
      <c r="A267" s="5" t="s">
        <v>1747</v>
      </c>
    </row>
    <row r="268" spans="1:1" ht="31.8" thickBot="1">
      <c r="A268" s="5" t="s">
        <v>1748</v>
      </c>
    </row>
    <row r="269" spans="1:1" ht="31.8" thickBot="1">
      <c r="A269" s="5" t="s">
        <v>1749</v>
      </c>
    </row>
    <row r="270" spans="1:1" ht="31.8" thickBot="1">
      <c r="A270" s="5" t="s">
        <v>1750</v>
      </c>
    </row>
    <row r="271" spans="1:1" ht="31.8" thickBot="1">
      <c r="A271" s="5" t="s">
        <v>1751</v>
      </c>
    </row>
    <row r="272" spans="1:1" ht="16.2" thickBot="1">
      <c r="A272" s="5" t="s">
        <v>1752</v>
      </c>
    </row>
    <row r="273" spans="1:1" ht="31.8" thickBot="1">
      <c r="A273" s="5" t="s">
        <v>1753</v>
      </c>
    </row>
    <row r="274" spans="1:1" ht="31.8" thickBot="1">
      <c r="A274" s="5" t="s">
        <v>1754</v>
      </c>
    </row>
    <row r="275" spans="1:1" ht="31.8" thickBot="1">
      <c r="A275" s="5" t="s">
        <v>1755</v>
      </c>
    </row>
    <row r="276" spans="1:1" ht="31.8" thickBot="1">
      <c r="A276" s="5" t="s">
        <v>1756</v>
      </c>
    </row>
    <row r="277" spans="1:1" ht="16.2" thickBot="1">
      <c r="A277" s="5" t="s">
        <v>1758</v>
      </c>
    </row>
    <row r="278" spans="1:1" ht="16.2" thickBot="1">
      <c r="A278" s="5" t="s">
        <v>1759</v>
      </c>
    </row>
    <row r="279" spans="1:1" ht="16.2" thickBot="1">
      <c r="A279" s="5" t="s">
        <v>1760</v>
      </c>
    </row>
    <row r="280" spans="1:1" ht="16.2" thickBot="1">
      <c r="A280" s="5" t="s">
        <v>1761</v>
      </c>
    </row>
    <row r="281" spans="1:1" ht="16.2" thickBot="1">
      <c r="A281" s="5" t="s">
        <v>1762</v>
      </c>
    </row>
    <row r="282" spans="1:1" ht="16.2" thickBot="1">
      <c r="A282" s="5" t="s">
        <v>1763</v>
      </c>
    </row>
    <row r="283" spans="1:1" ht="16.2" thickBot="1">
      <c r="A283" s="5" t="s">
        <v>1764</v>
      </c>
    </row>
    <row r="284" spans="1:1" ht="16.2" thickBot="1">
      <c r="A284" s="5" t="s">
        <v>1765</v>
      </c>
    </row>
    <row r="285" spans="1:1" ht="16.2" thickBot="1">
      <c r="A285" s="5" t="s">
        <v>1767</v>
      </c>
    </row>
    <row r="286" spans="1:1" ht="16.2" thickBot="1">
      <c r="A286" s="5" t="s">
        <v>1768</v>
      </c>
    </row>
    <row r="287" spans="1:1" ht="16.2" thickBot="1">
      <c r="A287" s="5" t="s">
        <v>637</v>
      </c>
    </row>
    <row r="288" spans="1:1" ht="16.2" thickBot="1">
      <c r="A288" s="5" t="s">
        <v>1769</v>
      </c>
    </row>
    <row r="289" spans="1:1" ht="16.2" thickBot="1">
      <c r="A289" s="5" t="s">
        <v>1770</v>
      </c>
    </row>
    <row r="290" spans="1:1" ht="16.2" thickBot="1">
      <c r="A290" s="5" t="s">
        <v>1772</v>
      </c>
    </row>
    <row r="291" spans="1:1" ht="16.2" thickBot="1">
      <c r="A291" s="5" t="s">
        <v>1773</v>
      </c>
    </row>
    <row r="292" spans="1:1" ht="16.2" thickBot="1">
      <c r="A292" s="5" t="s">
        <v>903</v>
      </c>
    </row>
    <row r="293" spans="1:1" ht="16.2" thickBot="1">
      <c r="A293" s="5" t="s">
        <v>1774</v>
      </c>
    </row>
    <row r="294" spans="1:1" ht="16.2" thickBot="1">
      <c r="A294" s="5" t="s">
        <v>1775</v>
      </c>
    </row>
    <row r="295" spans="1:1" ht="16.2" thickBot="1">
      <c r="A295" s="5" t="s">
        <v>1116</v>
      </c>
    </row>
    <row r="296" spans="1:1" ht="16.2" thickBot="1">
      <c r="A296" s="5" t="s">
        <v>1776</v>
      </c>
    </row>
    <row r="297" spans="1:1" ht="16.2" thickBot="1">
      <c r="A297" s="5" t="s">
        <v>1778</v>
      </c>
    </row>
    <row r="298" spans="1:1" ht="16.2" thickBot="1">
      <c r="A298" s="5" t="s">
        <v>1779</v>
      </c>
    </row>
    <row r="299" spans="1:1" ht="16.2" thickBot="1">
      <c r="A299" s="5" t="s">
        <v>1780</v>
      </c>
    </row>
    <row r="300" spans="1:1" ht="16.2" thickBot="1">
      <c r="A300" s="5" t="s">
        <v>1781</v>
      </c>
    </row>
    <row r="301" spans="1:1" ht="16.2" thickBot="1">
      <c r="A301" s="5" t="s">
        <v>1782</v>
      </c>
    </row>
    <row r="302" spans="1:1" ht="16.2" thickBot="1">
      <c r="A302" s="5" t="s">
        <v>1784</v>
      </c>
    </row>
    <row r="303" spans="1:1" ht="16.2" thickBot="1">
      <c r="A303" s="5" t="s">
        <v>1785</v>
      </c>
    </row>
    <row r="304" spans="1:1" ht="16.2" thickBot="1">
      <c r="A304" s="5" t="s">
        <v>1786</v>
      </c>
    </row>
    <row r="305" spans="1:1" ht="16.2" thickBot="1">
      <c r="A305" s="5" t="s">
        <v>1787</v>
      </c>
    </row>
    <row r="306" spans="1:1" ht="16.2" thickBot="1">
      <c r="A306" s="5" t="s">
        <v>1788</v>
      </c>
    </row>
    <row r="307" spans="1:1" ht="16.2" thickBot="1">
      <c r="A307" s="5" t="s">
        <v>1789</v>
      </c>
    </row>
    <row r="308" spans="1:1" ht="16.2" thickBot="1">
      <c r="A308" s="5" t="s">
        <v>1790</v>
      </c>
    </row>
    <row r="309" spans="1:1" ht="16.2" thickBot="1">
      <c r="A309" s="5" t="s">
        <v>1791</v>
      </c>
    </row>
    <row r="310" spans="1:1" ht="16.2" thickBot="1">
      <c r="A310" s="5" t="s">
        <v>1792</v>
      </c>
    </row>
    <row r="311" spans="1:1" ht="16.2" thickBot="1">
      <c r="A311" s="5" t="s">
        <v>1793</v>
      </c>
    </row>
    <row r="312" spans="1:1" ht="16.2" thickBot="1">
      <c r="A312" s="5" t="s">
        <v>1794</v>
      </c>
    </row>
    <row r="313" spans="1:1" ht="16.2" thickBot="1">
      <c r="A313" s="5" t="s">
        <v>1796</v>
      </c>
    </row>
    <row r="314" spans="1:1" ht="16.2" thickBot="1">
      <c r="A314" s="5" t="s">
        <v>1797</v>
      </c>
    </row>
    <row r="315" spans="1:1" ht="16.2" thickBot="1">
      <c r="A315" s="5" t="s">
        <v>1798</v>
      </c>
    </row>
    <row r="316" spans="1:1" ht="16.2" thickBot="1">
      <c r="A316" s="5" t="s">
        <v>1799</v>
      </c>
    </row>
    <row r="317" spans="1:1" ht="16.2" thickBot="1">
      <c r="A317" s="5" t="s">
        <v>1800</v>
      </c>
    </row>
    <row r="318" spans="1:1" ht="16.2" thickBot="1">
      <c r="A318" s="5" t="s">
        <v>1801</v>
      </c>
    </row>
    <row r="319" spans="1:1" ht="16.2" thickBot="1">
      <c r="A319" s="5" t="s">
        <v>1802</v>
      </c>
    </row>
    <row r="320" spans="1:1" ht="16.2" thickBot="1">
      <c r="A320" s="5" t="s">
        <v>1803</v>
      </c>
    </row>
    <row r="321" spans="1:1" ht="16.2" thickBot="1">
      <c r="A321" s="5" t="s">
        <v>1804</v>
      </c>
    </row>
    <row r="322" spans="1:1" ht="16.2" thickBot="1">
      <c r="A322" s="5" t="s">
        <v>1805</v>
      </c>
    </row>
    <row r="323" spans="1:1" ht="16.2" thickBot="1">
      <c r="A323" s="5" t="s">
        <v>1806</v>
      </c>
    </row>
    <row r="324" spans="1:1" ht="16.2" thickBot="1">
      <c r="A324" s="5" t="s">
        <v>1807</v>
      </c>
    </row>
    <row r="325" spans="1:1" ht="16.2" thickBot="1">
      <c r="A325" s="5" t="s">
        <v>1808</v>
      </c>
    </row>
    <row r="326" spans="1:1" ht="16.2" thickBot="1">
      <c r="A326" s="5" t="s">
        <v>1809</v>
      </c>
    </row>
    <row r="327" spans="1:1" ht="16.2" thickBot="1">
      <c r="A327" s="5" t="s">
        <v>1810</v>
      </c>
    </row>
    <row r="328" spans="1:1" ht="16.2" thickBot="1">
      <c r="A328" s="5" t="s">
        <v>1811</v>
      </c>
    </row>
    <row r="329" spans="1:1" ht="16.2" thickBot="1">
      <c r="A329" s="5" t="s">
        <v>1812</v>
      </c>
    </row>
    <row r="330" spans="1:1" ht="16.2" thickBot="1">
      <c r="A330" s="5" t="s">
        <v>1813</v>
      </c>
    </row>
    <row r="331" spans="1:1" ht="16.2" thickBot="1">
      <c r="A331" s="5" t="s">
        <v>1814</v>
      </c>
    </row>
    <row r="332" spans="1:1" ht="16.2" thickBot="1">
      <c r="A332" s="5" t="s">
        <v>1815</v>
      </c>
    </row>
    <row r="333" spans="1:1" ht="16.2" thickBot="1">
      <c r="A333" s="5" t="s">
        <v>1816</v>
      </c>
    </row>
    <row r="334" spans="1:1" ht="16.2" thickBot="1">
      <c r="A334" s="5" t="s">
        <v>1817</v>
      </c>
    </row>
    <row r="335" spans="1:1" ht="16.2" thickBot="1">
      <c r="A335" s="5" t="s">
        <v>1818</v>
      </c>
    </row>
    <row r="336" spans="1:1" ht="16.2" thickBot="1">
      <c r="A336" s="5" t="s">
        <v>1819</v>
      </c>
    </row>
    <row r="337" spans="1:1" ht="16.2" thickBot="1">
      <c r="A337" s="5" t="s">
        <v>926</v>
      </c>
    </row>
    <row r="338" spans="1:1" ht="16.2" thickBot="1">
      <c r="A338" s="5" t="s">
        <v>1820</v>
      </c>
    </row>
    <row r="339" spans="1:1" ht="16.2" thickBot="1">
      <c r="A339" s="5" t="s">
        <v>1821</v>
      </c>
    </row>
    <row r="340" spans="1:1" ht="16.2" thickBot="1">
      <c r="A340" s="5" t="s">
        <v>1823</v>
      </c>
    </row>
    <row r="341" spans="1:1" ht="16.2" thickBot="1">
      <c r="A341" s="5" t="s">
        <v>1824</v>
      </c>
    </row>
    <row r="342" spans="1:1" ht="16.2" thickBot="1">
      <c r="A342" s="5" t="s">
        <v>1825</v>
      </c>
    </row>
    <row r="343" spans="1:1" ht="16.2" thickBot="1">
      <c r="A343" s="5" t="s">
        <v>1826</v>
      </c>
    </row>
    <row r="344" spans="1:1" ht="16.2" thickBot="1">
      <c r="A344" s="5" t="s">
        <v>1827</v>
      </c>
    </row>
    <row r="345" spans="1:1" ht="16.2" thickBot="1">
      <c r="A345" s="5" t="s">
        <v>1828</v>
      </c>
    </row>
    <row r="346" spans="1:1" ht="16.2" thickBot="1">
      <c r="A346" s="5" t="s">
        <v>1829</v>
      </c>
    </row>
    <row r="347" spans="1:1" ht="16.2" thickBot="1">
      <c r="A347" s="5" t="s">
        <v>1830</v>
      </c>
    </row>
    <row r="348" spans="1:1" ht="16.2" thickBot="1">
      <c r="A348" s="5" t="s">
        <v>1831</v>
      </c>
    </row>
    <row r="349" spans="1:1" ht="16.2" thickBot="1">
      <c r="A349" s="5" t="s">
        <v>1832</v>
      </c>
    </row>
    <row r="350" spans="1:1" ht="16.2" thickBot="1">
      <c r="A350" s="5" t="s">
        <v>1833</v>
      </c>
    </row>
    <row r="351" spans="1:1" ht="16.2" thickBot="1">
      <c r="A351" s="5" t="s">
        <v>1834</v>
      </c>
    </row>
    <row r="352" spans="1:1" ht="16.2" thickBot="1">
      <c r="A352" s="5" t="s">
        <v>1835</v>
      </c>
    </row>
    <row r="353" spans="1:1" ht="16.2" thickBot="1">
      <c r="A353" s="5" t="s">
        <v>1361</v>
      </c>
    </row>
    <row r="354" spans="1:1" ht="16.2" thickBot="1">
      <c r="A354" s="5" t="s">
        <v>287</v>
      </c>
    </row>
    <row r="355" spans="1:1" ht="16.2" thickBot="1">
      <c r="A355" s="5" t="s">
        <v>1836</v>
      </c>
    </row>
    <row r="356" spans="1:1" ht="16.2" thickBot="1">
      <c r="A356" s="5" t="s">
        <v>1837</v>
      </c>
    </row>
    <row r="357" spans="1:1" ht="16.2" thickBot="1">
      <c r="A357" s="5" t="s">
        <v>1838</v>
      </c>
    </row>
    <row r="358" spans="1:1" ht="16.2" thickBot="1">
      <c r="A358" s="5" t="s">
        <v>623</v>
      </c>
    </row>
    <row r="359" spans="1:1" ht="16.2" thickBot="1">
      <c r="A359" s="5" t="s">
        <v>1840</v>
      </c>
    </row>
    <row r="360" spans="1:1" ht="16.2" thickBot="1">
      <c r="A360" s="5" t="s">
        <v>1842</v>
      </c>
    </row>
    <row r="361" spans="1:1" ht="16.2" thickBot="1">
      <c r="A361" s="5" t="s">
        <v>1843</v>
      </c>
    </row>
    <row r="362" spans="1:1" ht="16.2" thickBot="1">
      <c r="A362" s="5" t="s">
        <v>1844</v>
      </c>
    </row>
    <row r="363" spans="1:1" ht="16.2" thickBot="1">
      <c r="A363" s="5" t="s">
        <v>1845</v>
      </c>
    </row>
    <row r="364" spans="1:1" ht="16.2" thickBot="1">
      <c r="A364" s="5" t="s">
        <v>1846</v>
      </c>
    </row>
    <row r="365" spans="1:1" ht="16.2" thickBot="1">
      <c r="A365" s="5" t="s">
        <v>1847</v>
      </c>
    </row>
    <row r="366" spans="1:1" ht="16.2" thickBot="1">
      <c r="A366" s="5" t="s">
        <v>1848</v>
      </c>
    </row>
    <row r="367" spans="1:1" ht="16.2" thickBot="1">
      <c r="A367" s="5" t="s">
        <v>1849</v>
      </c>
    </row>
    <row r="368" spans="1:1" ht="16.2" thickBot="1">
      <c r="A368" s="5" t="s">
        <v>1850</v>
      </c>
    </row>
    <row r="369" spans="1:1" ht="16.2" thickBot="1">
      <c r="A369" s="5" t="s">
        <v>1851</v>
      </c>
    </row>
    <row r="370" spans="1:1" ht="16.2" thickBot="1">
      <c r="A370" s="5" t="s">
        <v>1852</v>
      </c>
    </row>
    <row r="371" spans="1:1" ht="16.2" thickBot="1">
      <c r="A371" s="5" t="s">
        <v>1853</v>
      </c>
    </row>
    <row r="372" spans="1:1" ht="16.2" thickBot="1">
      <c r="A372" s="5" t="s">
        <v>1854</v>
      </c>
    </row>
    <row r="373" spans="1:1" ht="16.2" thickBot="1">
      <c r="A373" s="5" t="s">
        <v>932</v>
      </c>
    </row>
    <row r="374" spans="1:1" ht="16.2" thickBot="1">
      <c r="A374" s="5" t="s">
        <v>1855</v>
      </c>
    </row>
    <row r="375" spans="1:1" ht="16.2" thickBot="1">
      <c r="A375" s="5" t="s">
        <v>1856</v>
      </c>
    </row>
    <row r="376" spans="1:1" ht="16.2" thickBot="1">
      <c r="A376" s="5" t="s">
        <v>74</v>
      </c>
    </row>
    <row r="377" spans="1:1" ht="16.2" thickBot="1">
      <c r="A377" s="5" t="s">
        <v>1857</v>
      </c>
    </row>
    <row r="378" spans="1:1" ht="16.2" thickBot="1">
      <c r="A378" s="5" t="s">
        <v>1858</v>
      </c>
    </row>
    <row r="379" spans="1:1" ht="16.2" thickBot="1">
      <c r="A379" s="5" t="s">
        <v>1859</v>
      </c>
    </row>
    <row r="380" spans="1:1" ht="16.2" thickBot="1">
      <c r="A380" s="5" t="s">
        <v>1860</v>
      </c>
    </row>
    <row r="381" spans="1:1" ht="16.2" thickBot="1">
      <c r="A381" s="5" t="s">
        <v>1861</v>
      </c>
    </row>
    <row r="382" spans="1:1" ht="16.2" thickBot="1">
      <c r="A382" s="5" t="s">
        <v>1862</v>
      </c>
    </row>
    <row r="383" spans="1:1" ht="16.2" thickBot="1">
      <c r="A383" s="5" t="s">
        <v>1863</v>
      </c>
    </row>
    <row r="384" spans="1:1" ht="16.2" thickBot="1">
      <c r="A384" s="5" t="s">
        <v>1864</v>
      </c>
    </row>
    <row r="385" spans="1:1" ht="16.2" thickBot="1">
      <c r="A385" s="5" t="s">
        <v>1865</v>
      </c>
    </row>
    <row r="386" spans="1:1" ht="16.2" thickBot="1">
      <c r="A386" s="5" t="s">
        <v>1866</v>
      </c>
    </row>
    <row r="387" spans="1:1" ht="16.2" thickBot="1">
      <c r="A387" s="5" t="s">
        <v>1867</v>
      </c>
    </row>
    <row r="388" spans="1:1" ht="31.8" thickBot="1">
      <c r="A388" s="5" t="s">
        <v>1868</v>
      </c>
    </row>
    <row r="389" spans="1:1" ht="16.2" thickBot="1">
      <c r="A389" s="5" t="s">
        <v>1869</v>
      </c>
    </row>
    <row r="390" spans="1:1" ht="16.2" thickBot="1">
      <c r="A390" s="5" t="s">
        <v>1870</v>
      </c>
    </row>
    <row r="391" spans="1:1" ht="16.2" thickBot="1">
      <c r="A391" s="5" t="s">
        <v>1871</v>
      </c>
    </row>
    <row r="392" spans="1:1" ht="16.2" thickBot="1">
      <c r="A392" s="5" t="s">
        <v>1873</v>
      </c>
    </row>
    <row r="393" spans="1:1" ht="16.2" thickBot="1">
      <c r="A393" s="5" t="s">
        <v>1874</v>
      </c>
    </row>
    <row r="394" spans="1:1" ht="16.2" thickBot="1">
      <c r="A394" s="5" t="s">
        <v>1876</v>
      </c>
    </row>
    <row r="395" spans="1:1" ht="16.2" thickBot="1">
      <c r="A395" s="5" t="s">
        <v>1877</v>
      </c>
    </row>
    <row r="396" spans="1:1" ht="16.2" thickBot="1">
      <c r="A396" s="5" t="s">
        <v>1878</v>
      </c>
    </row>
    <row r="397" spans="1:1" ht="16.2" thickBot="1">
      <c r="A397" s="5" t="s">
        <v>1879</v>
      </c>
    </row>
    <row r="398" spans="1:1" ht="16.2" thickBot="1">
      <c r="A398" s="5" t="s">
        <v>1880</v>
      </c>
    </row>
    <row r="399" spans="1:1" ht="16.2" thickBot="1">
      <c r="A399" s="5" t="s">
        <v>1155</v>
      </c>
    </row>
    <row r="400" spans="1:1" ht="16.2" thickBot="1">
      <c r="A400" s="5" t="s">
        <v>367</v>
      </c>
    </row>
    <row r="401" spans="1:1" ht="16.2" thickBot="1">
      <c r="A401" s="5" t="s">
        <v>1881</v>
      </c>
    </row>
    <row r="402" spans="1:1" ht="16.2" thickBot="1">
      <c r="A402" s="5" t="s">
        <v>1882</v>
      </c>
    </row>
    <row r="403" spans="1:1" ht="16.2" thickBot="1">
      <c r="A403" s="5">
        <v>500</v>
      </c>
    </row>
    <row r="404" spans="1:1" ht="16.2" thickBot="1">
      <c r="A404" s="5" t="s">
        <v>1884</v>
      </c>
    </row>
    <row r="405" spans="1:1" ht="16.2" thickBot="1">
      <c r="A405" s="5" t="s">
        <v>1282</v>
      </c>
    </row>
    <row r="406" spans="1:1" ht="16.2" thickBot="1">
      <c r="A406" s="5" t="s">
        <v>1885</v>
      </c>
    </row>
    <row r="407" spans="1:1" ht="16.2" thickBot="1">
      <c r="A407" s="5" t="s">
        <v>1886</v>
      </c>
    </row>
    <row r="408" spans="1:1" ht="16.2" thickBot="1">
      <c r="A408" s="5" t="s">
        <v>1888</v>
      </c>
    </row>
    <row r="409" spans="1:1" ht="16.2" thickBot="1">
      <c r="A409" s="5" t="s">
        <v>1889</v>
      </c>
    </row>
    <row r="410" spans="1:1" ht="16.2" thickBot="1">
      <c r="A410" s="5" t="s">
        <v>1890</v>
      </c>
    </row>
    <row r="411" spans="1:1" ht="16.2" thickBot="1">
      <c r="A411" s="5" t="s">
        <v>1891</v>
      </c>
    </row>
    <row r="412" spans="1:1" ht="16.2" thickBot="1">
      <c r="A412" s="5" t="s">
        <v>1892</v>
      </c>
    </row>
    <row r="413" spans="1:1" ht="16.2" thickBot="1">
      <c r="A413" s="5" t="s">
        <v>1893</v>
      </c>
    </row>
    <row r="414" spans="1:1" ht="16.2" thickBot="1">
      <c r="A414" s="5" t="s">
        <v>1894</v>
      </c>
    </row>
    <row r="415" spans="1:1" ht="16.2" thickBot="1">
      <c r="A415" s="5" t="s">
        <v>1895</v>
      </c>
    </row>
    <row r="416" spans="1:1" ht="16.2" thickBot="1">
      <c r="A416" s="5" t="s">
        <v>1896</v>
      </c>
    </row>
    <row r="417" spans="1:1" ht="16.2" thickBot="1">
      <c r="A417" s="5" t="s">
        <v>1897</v>
      </c>
    </row>
    <row r="418" spans="1:1" ht="16.2" thickBot="1">
      <c r="A418" s="5" t="s">
        <v>1898</v>
      </c>
    </row>
    <row r="419" spans="1:1" ht="16.2" thickBot="1">
      <c r="A419" s="5" t="s">
        <v>1899</v>
      </c>
    </row>
    <row r="420" spans="1:1" ht="16.2" thickBot="1">
      <c r="A420" s="5" t="s">
        <v>1900</v>
      </c>
    </row>
    <row r="421" spans="1:1" ht="16.2" thickBot="1">
      <c r="A421" s="5" t="s">
        <v>1901</v>
      </c>
    </row>
    <row r="422" spans="1:1" ht="16.2" thickBot="1">
      <c r="A422" s="5" t="s">
        <v>1902</v>
      </c>
    </row>
    <row r="423" spans="1:1" ht="16.2" thickBot="1">
      <c r="A423" s="5" t="s">
        <v>1903</v>
      </c>
    </row>
    <row r="424" spans="1:1" ht="16.2" thickBot="1">
      <c r="A424" s="5" t="s">
        <v>1904</v>
      </c>
    </row>
    <row r="425" spans="1:1" ht="16.2" thickBot="1">
      <c r="A425" s="5" t="s">
        <v>1905</v>
      </c>
    </row>
    <row r="426" spans="1:1" ht="16.2" thickBot="1">
      <c r="A426" s="5" t="s">
        <v>1906</v>
      </c>
    </row>
    <row r="427" spans="1:1" ht="16.2" thickBot="1">
      <c r="A427" s="5" t="s">
        <v>1907</v>
      </c>
    </row>
    <row r="428" spans="1:1" ht="16.2" thickBot="1">
      <c r="A428" s="5" t="s">
        <v>1908</v>
      </c>
    </row>
    <row r="429" spans="1:1" ht="16.2" thickBot="1">
      <c r="A429" s="5" t="s">
        <v>1909</v>
      </c>
    </row>
    <row r="430" spans="1:1" ht="16.2" thickBot="1">
      <c r="A430" s="5" t="s">
        <v>1910</v>
      </c>
    </row>
    <row r="431" spans="1:1" ht="16.2" thickBot="1">
      <c r="A431" s="5" t="s">
        <v>1911</v>
      </c>
    </row>
    <row r="432" spans="1:1" ht="16.2" thickBot="1">
      <c r="A432" s="5" t="s">
        <v>1912</v>
      </c>
    </row>
    <row r="433" spans="1:1" ht="16.2" thickBot="1">
      <c r="A433" s="5" t="s">
        <v>1913</v>
      </c>
    </row>
    <row r="434" spans="1:1" ht="16.2" thickBot="1">
      <c r="A434" s="5" t="s">
        <v>1914</v>
      </c>
    </row>
    <row r="435" spans="1:1" ht="16.2" thickBot="1">
      <c r="A435" s="5" t="s">
        <v>1915</v>
      </c>
    </row>
    <row r="436" spans="1:1" ht="16.2" thickBot="1">
      <c r="A436" s="5" t="s">
        <v>959</v>
      </c>
    </row>
    <row r="437" spans="1:1" ht="16.2" thickBot="1">
      <c r="A437" s="5" t="s">
        <v>1916</v>
      </c>
    </row>
    <row r="438" spans="1:1" ht="16.2" thickBot="1">
      <c r="A438" s="5" t="s">
        <v>390</v>
      </c>
    </row>
    <row r="439" spans="1:1" ht="16.2" thickBot="1">
      <c r="A439" s="5" t="s">
        <v>1917</v>
      </c>
    </row>
    <row r="440" spans="1:1" ht="16.2" thickBot="1">
      <c r="A440" s="5" t="s">
        <v>1918</v>
      </c>
    </row>
    <row r="441" spans="1:1" ht="16.2" thickBot="1">
      <c r="A441" s="5" t="s">
        <v>961</v>
      </c>
    </row>
    <row r="442" spans="1:1" ht="16.2" thickBot="1">
      <c r="A442" s="5" t="s">
        <v>1919</v>
      </c>
    </row>
    <row r="443" spans="1:1" ht="16.2" thickBot="1">
      <c r="A443" s="5" t="s">
        <v>1920</v>
      </c>
    </row>
    <row r="444" spans="1:1" ht="16.2" thickBot="1">
      <c r="A444" s="5" t="s">
        <v>1921</v>
      </c>
    </row>
    <row r="445" spans="1:1" ht="16.2" thickBot="1">
      <c r="A445" s="5" t="s">
        <v>394</v>
      </c>
    </row>
    <row r="446" spans="1:1" ht="16.2" thickBot="1">
      <c r="A446" s="5" t="s">
        <v>1922</v>
      </c>
    </row>
    <row r="447" spans="1:1" ht="31.8" thickBot="1">
      <c r="A447" s="5" t="s">
        <v>1924</v>
      </c>
    </row>
    <row r="448" spans="1:1" ht="16.2" thickBot="1">
      <c r="A448" s="5" t="s">
        <v>1925</v>
      </c>
    </row>
    <row r="449" spans="1:1" ht="16.2" thickBot="1">
      <c r="A449" s="5" t="s">
        <v>1926</v>
      </c>
    </row>
    <row r="450" spans="1:1" ht="16.2" thickBot="1">
      <c r="A450" s="5" t="s">
        <v>1927</v>
      </c>
    </row>
    <row r="451" spans="1:1" ht="16.2" thickBot="1">
      <c r="A451" s="5" t="s">
        <v>1928</v>
      </c>
    </row>
    <row r="452" spans="1:1" ht="16.2" thickBot="1">
      <c r="A452" s="5" t="s">
        <v>1929</v>
      </c>
    </row>
    <row r="453" spans="1:1" ht="16.2" thickBot="1">
      <c r="A453" s="5" t="s">
        <v>1930</v>
      </c>
    </row>
    <row r="454" spans="1:1" ht="16.2" thickBot="1">
      <c r="A454" s="5" t="s">
        <v>1931</v>
      </c>
    </row>
    <row r="455" spans="1:1" ht="16.2" thickBot="1">
      <c r="A455" s="5" t="s">
        <v>1932</v>
      </c>
    </row>
    <row r="456" spans="1:1" ht="16.2" thickBot="1">
      <c r="A456" s="5" t="s">
        <v>1933</v>
      </c>
    </row>
    <row r="457" spans="1:1" ht="16.2" thickBot="1">
      <c r="A457" s="5" t="s">
        <v>1934</v>
      </c>
    </row>
    <row r="458" spans="1:1" ht="31.8" thickBot="1">
      <c r="A458" s="5" t="s">
        <v>1935</v>
      </c>
    </row>
    <row r="459" spans="1:1" ht="31.8" thickBot="1">
      <c r="A459" s="5" t="s">
        <v>1936</v>
      </c>
    </row>
    <row r="460" spans="1:1" ht="16.2" thickBot="1">
      <c r="A460" s="5" t="s">
        <v>1937</v>
      </c>
    </row>
    <row r="461" spans="1:1" ht="16.2" thickBot="1">
      <c r="A461" s="5" t="s">
        <v>1938</v>
      </c>
    </row>
    <row r="462" spans="1:1" ht="16.2" thickBot="1">
      <c r="A462" s="5" t="s">
        <v>1939</v>
      </c>
    </row>
    <row r="463" spans="1:1" ht="16.2" thickBot="1">
      <c r="A463" s="5" t="s">
        <v>1940</v>
      </c>
    </row>
    <row r="464" spans="1:1" ht="16.2" thickBot="1">
      <c r="A464" s="5" t="s">
        <v>1941</v>
      </c>
    </row>
    <row r="465" spans="1:1" ht="16.2" thickBot="1">
      <c r="A465" s="5" t="s">
        <v>1942</v>
      </c>
    </row>
    <row r="466" spans="1:1" ht="16.2" thickBot="1">
      <c r="A466" s="5" t="s">
        <v>1943</v>
      </c>
    </row>
    <row r="467" spans="1:1" ht="16.2" thickBot="1">
      <c r="A467" s="5" t="s">
        <v>1944</v>
      </c>
    </row>
    <row r="468" spans="1:1" ht="16.2" thickBot="1">
      <c r="A468" s="5" t="s">
        <v>1945</v>
      </c>
    </row>
    <row r="469" spans="1:1" ht="16.2" thickBot="1">
      <c r="A469" s="5" t="s">
        <v>1946</v>
      </c>
    </row>
    <row r="470" spans="1:1" ht="16.2" thickBot="1">
      <c r="A470" s="5" t="s">
        <v>1947</v>
      </c>
    </row>
    <row r="471" spans="1:1" ht="16.2" thickBot="1">
      <c r="A471" s="5" t="s">
        <v>1948</v>
      </c>
    </row>
    <row r="472" spans="1:1" ht="16.2" thickBot="1">
      <c r="A472" s="5" t="s">
        <v>1949</v>
      </c>
    </row>
    <row r="473" spans="1:1" ht="16.2" thickBot="1">
      <c r="A473" s="5" t="s">
        <v>1950</v>
      </c>
    </row>
    <row r="474" spans="1:1" ht="16.2" thickBot="1">
      <c r="A474" s="5" t="s">
        <v>1951</v>
      </c>
    </row>
    <row r="475" spans="1:1" ht="16.2" thickBot="1">
      <c r="A475" s="5" t="s">
        <v>1952</v>
      </c>
    </row>
    <row r="476" spans="1:1" ht="16.2" thickBot="1">
      <c r="A476" s="5" t="s">
        <v>1953</v>
      </c>
    </row>
    <row r="477" spans="1:1" ht="16.2" thickBot="1">
      <c r="A477" s="5" t="s">
        <v>1954</v>
      </c>
    </row>
    <row r="478" spans="1:1" ht="16.2" thickBot="1">
      <c r="A478" s="5" t="s">
        <v>1955</v>
      </c>
    </row>
    <row r="479" spans="1:1" ht="16.2" thickBot="1">
      <c r="A479" s="5" t="s">
        <v>1956</v>
      </c>
    </row>
    <row r="480" spans="1:1" ht="16.2" thickBot="1">
      <c r="A480" s="5" t="s">
        <v>1957</v>
      </c>
    </row>
    <row r="481" spans="1:1" ht="16.2" thickBot="1">
      <c r="A481" s="5" t="s">
        <v>1958</v>
      </c>
    </row>
    <row r="482" spans="1:1" ht="16.2" thickBot="1">
      <c r="A482" s="5" t="s">
        <v>1959</v>
      </c>
    </row>
    <row r="483" spans="1:1" ht="16.2" thickBot="1">
      <c r="A483" s="5" t="s">
        <v>1960</v>
      </c>
    </row>
    <row r="484" spans="1:1" ht="16.2" thickBot="1">
      <c r="A484" s="5" t="s">
        <v>1962</v>
      </c>
    </row>
    <row r="485" spans="1:1" ht="16.2" thickBot="1">
      <c r="A485" s="5" t="s">
        <v>1963</v>
      </c>
    </row>
    <row r="486" spans="1:1" ht="16.2" thickBot="1">
      <c r="A486" s="5" t="s">
        <v>1964</v>
      </c>
    </row>
    <row r="487" spans="1:1" ht="16.2" thickBot="1">
      <c r="A487" s="5" t="s">
        <v>1965</v>
      </c>
    </row>
    <row r="488" spans="1:1" ht="16.2" thickBot="1">
      <c r="A488" s="5" t="s">
        <v>1966</v>
      </c>
    </row>
    <row r="489" spans="1:1" ht="16.2" thickBot="1">
      <c r="A489" s="5" t="s">
        <v>1967</v>
      </c>
    </row>
    <row r="490" spans="1:1" ht="16.2" thickBot="1">
      <c r="A490" s="5" t="s">
        <v>1151</v>
      </c>
    </row>
    <row r="491" spans="1:1" ht="16.2" thickBot="1">
      <c r="A491" s="5">
        <v>2</v>
      </c>
    </row>
    <row r="492" spans="1:1" ht="16.2" thickBot="1">
      <c r="A492" s="5">
        <v>6</v>
      </c>
    </row>
    <row r="493" spans="1:1" ht="16.2" thickBot="1">
      <c r="A493" s="5" t="s">
        <v>1968</v>
      </c>
    </row>
    <row r="494" spans="1:1" ht="16.2" thickBot="1">
      <c r="A494" s="5" t="s">
        <v>1969</v>
      </c>
    </row>
    <row r="495" spans="1:1" ht="16.2" thickBot="1">
      <c r="A495" s="5" t="s">
        <v>1970</v>
      </c>
    </row>
    <row r="496" spans="1:1" ht="16.2" thickBot="1">
      <c r="A496" s="5" t="s">
        <v>1971</v>
      </c>
    </row>
    <row r="497" spans="1:1" ht="16.2" thickBot="1">
      <c r="A497" s="5" t="s">
        <v>1972</v>
      </c>
    </row>
    <row r="498" spans="1:1" ht="16.2" thickBot="1">
      <c r="A498" s="5" t="s">
        <v>1973</v>
      </c>
    </row>
    <row r="499" spans="1:1" ht="16.2" thickBot="1">
      <c r="A499" s="5" t="s">
        <v>1974</v>
      </c>
    </row>
    <row r="500" spans="1:1" ht="16.2" thickBot="1">
      <c r="A500" s="5" t="s">
        <v>1975</v>
      </c>
    </row>
    <row r="501" spans="1:1" ht="16.2" thickBot="1">
      <c r="A501" s="5" t="s">
        <v>1976</v>
      </c>
    </row>
    <row r="502" spans="1:1" ht="16.2" thickBot="1">
      <c r="A502" s="5" t="s">
        <v>1978</v>
      </c>
    </row>
    <row r="503" spans="1:1" ht="16.2" thickBot="1">
      <c r="A503" s="5" t="s">
        <v>1979</v>
      </c>
    </row>
    <row r="504" spans="1:1" ht="16.2" thickBot="1">
      <c r="A504" s="5" t="s">
        <v>1980</v>
      </c>
    </row>
    <row r="505" spans="1:1" ht="16.2" thickBot="1">
      <c r="A505" s="5" t="s">
        <v>1981</v>
      </c>
    </row>
    <row r="506" spans="1:1" ht="16.2" thickBot="1">
      <c r="A506" s="5" t="s">
        <v>1982</v>
      </c>
    </row>
    <row r="507" spans="1:1" ht="16.2" thickBot="1">
      <c r="A507" s="5" t="s">
        <v>1983</v>
      </c>
    </row>
    <row r="508" spans="1:1" ht="16.2" thickBot="1">
      <c r="A508" s="5" t="s">
        <v>1984</v>
      </c>
    </row>
    <row r="509" spans="1:1" ht="16.2" thickBot="1">
      <c r="A509" s="5" t="s">
        <v>1985</v>
      </c>
    </row>
    <row r="510" spans="1:1" ht="16.2" thickBot="1">
      <c r="A510" s="5" t="s">
        <v>1986</v>
      </c>
    </row>
    <row r="511" spans="1:1" ht="16.2" thickBot="1">
      <c r="A511" s="5" t="s">
        <v>1987</v>
      </c>
    </row>
    <row r="512" spans="1:1" ht="31.8" thickBot="1">
      <c r="A512" s="5" t="s">
        <v>1988</v>
      </c>
    </row>
    <row r="513" spans="1:1" ht="16.2" thickBot="1">
      <c r="A513" s="5" t="s">
        <v>1989</v>
      </c>
    </row>
    <row r="514" spans="1:1" ht="16.2" thickBot="1">
      <c r="A514" s="5" t="s">
        <v>1991</v>
      </c>
    </row>
    <row r="515" spans="1:1" ht="16.2" thickBot="1">
      <c r="A515" s="5" t="s">
        <v>1992</v>
      </c>
    </row>
    <row r="516" spans="1:1" ht="16.2" thickBot="1">
      <c r="A516" s="5" t="s">
        <v>1994</v>
      </c>
    </row>
    <row r="517" spans="1:1" ht="16.2" thickBot="1">
      <c r="A517" s="5" t="s">
        <v>1995</v>
      </c>
    </row>
    <row r="518" spans="1:1" ht="16.2" thickBot="1">
      <c r="A518" s="5" t="s">
        <v>1996</v>
      </c>
    </row>
    <row r="519" spans="1:1" ht="16.2" thickBot="1">
      <c r="A519" s="5" t="s">
        <v>1997</v>
      </c>
    </row>
    <row r="520" spans="1:1" ht="16.2" thickBot="1">
      <c r="A520" s="5" t="s">
        <v>1998</v>
      </c>
    </row>
    <row r="521" spans="1:1" ht="16.2" thickBot="1">
      <c r="A521" s="5" t="s">
        <v>1999</v>
      </c>
    </row>
    <row r="522" spans="1:1" ht="16.2" thickBot="1">
      <c r="A522" s="5" t="s">
        <v>2000</v>
      </c>
    </row>
    <row r="523" spans="1:1" ht="16.2" thickBot="1">
      <c r="A523" s="5" t="s">
        <v>2001</v>
      </c>
    </row>
    <row r="524" spans="1:1" ht="16.2" thickBot="1">
      <c r="A524" s="5" t="s">
        <v>2002</v>
      </c>
    </row>
    <row r="525" spans="1:1" ht="16.2" thickBot="1">
      <c r="A525" s="5" t="s">
        <v>2003</v>
      </c>
    </row>
    <row r="526" spans="1:1" ht="16.2" thickBot="1">
      <c r="A526" s="5" t="s">
        <v>2004</v>
      </c>
    </row>
    <row r="527" spans="1:1" ht="16.2" thickBot="1">
      <c r="A527" s="5" t="s">
        <v>2005</v>
      </c>
    </row>
    <row r="528" spans="1:1" ht="16.2" thickBot="1">
      <c r="A528" s="5" t="s">
        <v>2006</v>
      </c>
    </row>
    <row r="529" spans="1:1" ht="16.2" thickBot="1">
      <c r="A529" s="5" t="s">
        <v>2007</v>
      </c>
    </row>
    <row r="530" spans="1:1" ht="16.2" thickBot="1">
      <c r="A530" s="5" t="s">
        <v>2008</v>
      </c>
    </row>
    <row r="531" spans="1:1" ht="16.2" thickBot="1">
      <c r="A531" s="5" t="s">
        <v>2009</v>
      </c>
    </row>
    <row r="532" spans="1:1" ht="16.2" thickBot="1">
      <c r="A532" s="5" t="s">
        <v>2010</v>
      </c>
    </row>
    <row r="533" spans="1:1" ht="16.2" thickBot="1">
      <c r="A533" s="5" t="s">
        <v>2011</v>
      </c>
    </row>
    <row r="534" spans="1:1" ht="16.2" thickBot="1">
      <c r="A534" s="5" t="s">
        <v>2012</v>
      </c>
    </row>
    <row r="535" spans="1:1" ht="16.2" thickBot="1">
      <c r="A535" s="5" t="s">
        <v>2013</v>
      </c>
    </row>
    <row r="536" spans="1:1" ht="16.2" thickBot="1">
      <c r="A536" s="5" t="s">
        <v>2014</v>
      </c>
    </row>
    <row r="537" spans="1:1" ht="16.2" thickBot="1">
      <c r="A537" s="5" t="s">
        <v>2015</v>
      </c>
    </row>
    <row r="538" spans="1:1" ht="16.2" thickBot="1">
      <c r="A538" s="5" t="s">
        <v>2016</v>
      </c>
    </row>
    <row r="539" spans="1:1" ht="16.2" thickBot="1">
      <c r="A539" s="5" t="s">
        <v>2017</v>
      </c>
    </row>
    <row r="540" spans="1:1" ht="16.2" thickBot="1">
      <c r="A540" s="5" t="s">
        <v>2018</v>
      </c>
    </row>
    <row r="541" spans="1:1" ht="16.2" thickBot="1">
      <c r="A541" s="5" t="s">
        <v>2019</v>
      </c>
    </row>
    <row r="542" spans="1:1" ht="16.2" thickBot="1">
      <c r="A542" s="5" t="s">
        <v>2020</v>
      </c>
    </row>
    <row r="543" spans="1:1" ht="16.2" thickBot="1">
      <c r="A543" s="5" t="s">
        <v>2021</v>
      </c>
    </row>
    <row r="544" spans="1:1" ht="16.2" thickBot="1">
      <c r="A544" s="5" t="s">
        <v>2022</v>
      </c>
    </row>
    <row r="545" spans="1:1" ht="16.2" thickBot="1">
      <c r="A545" s="5" t="s">
        <v>2023</v>
      </c>
    </row>
    <row r="546" spans="1:1" ht="16.2" thickBot="1">
      <c r="A546" s="5" t="s">
        <v>2024</v>
      </c>
    </row>
    <row r="547" spans="1:1" ht="16.2" thickBot="1">
      <c r="A547" s="5" t="s">
        <v>2025</v>
      </c>
    </row>
    <row r="548" spans="1:1" ht="16.2" thickBot="1">
      <c r="A548" s="5" t="s">
        <v>2026</v>
      </c>
    </row>
    <row r="549" spans="1:1" ht="16.2" thickBot="1">
      <c r="A549" s="5" t="s">
        <v>2027</v>
      </c>
    </row>
    <row r="550" spans="1:1" ht="16.2" thickBot="1">
      <c r="A550" s="5" t="s">
        <v>2028</v>
      </c>
    </row>
    <row r="551" spans="1:1" ht="16.2" thickBot="1">
      <c r="A551" s="5" t="s">
        <v>2029</v>
      </c>
    </row>
    <row r="552" spans="1:1" ht="16.2" thickBot="1">
      <c r="A552" s="5" t="s">
        <v>2030</v>
      </c>
    </row>
    <row r="553" spans="1:1" ht="16.2" thickBot="1">
      <c r="A553" s="5" t="s">
        <v>2031</v>
      </c>
    </row>
    <row r="554" spans="1:1" ht="16.2" thickBot="1">
      <c r="A554" s="5" t="s">
        <v>2032</v>
      </c>
    </row>
    <row r="555" spans="1:1" ht="16.2" thickBot="1">
      <c r="A555" s="5" t="s">
        <v>2033</v>
      </c>
    </row>
    <row r="556" spans="1:1" ht="16.2" thickBot="1">
      <c r="A556" s="5" t="s">
        <v>2034</v>
      </c>
    </row>
    <row r="557" spans="1:1" ht="16.2" thickBot="1">
      <c r="A557" s="5" t="s">
        <v>2035</v>
      </c>
    </row>
    <row r="558" spans="1:1" ht="16.2" thickBot="1">
      <c r="A558" s="5" t="s">
        <v>2036</v>
      </c>
    </row>
    <row r="559" spans="1:1" ht="16.2" thickBot="1">
      <c r="A559" s="5" t="s">
        <v>2037</v>
      </c>
    </row>
    <row r="560" spans="1:1" ht="16.2" thickBot="1">
      <c r="A560" s="5" t="s">
        <v>2038</v>
      </c>
    </row>
    <row r="561" spans="1:1" ht="16.2" thickBot="1">
      <c r="A561" s="5" t="s">
        <v>2039</v>
      </c>
    </row>
    <row r="562" spans="1:1" ht="16.2" thickBot="1">
      <c r="A562" s="5" t="s">
        <v>2040</v>
      </c>
    </row>
    <row r="563" spans="1:1" ht="16.2" thickBot="1">
      <c r="A563" s="5" t="s">
        <v>2041</v>
      </c>
    </row>
    <row r="564" spans="1:1" ht="16.2" thickBot="1">
      <c r="A564" s="5" t="s">
        <v>2042</v>
      </c>
    </row>
    <row r="565" spans="1:1" ht="16.2" thickBot="1">
      <c r="A565" s="5" t="s">
        <v>2043</v>
      </c>
    </row>
    <row r="566" spans="1:1" ht="16.2" thickBot="1">
      <c r="A566" s="5" t="s">
        <v>2044</v>
      </c>
    </row>
    <row r="567" spans="1:1" ht="16.2" thickBot="1">
      <c r="A567" s="5" t="s">
        <v>2045</v>
      </c>
    </row>
    <row r="568" spans="1:1" ht="16.2" thickBot="1">
      <c r="A568" s="5" t="s">
        <v>2046</v>
      </c>
    </row>
    <row r="569" spans="1:1" ht="16.2" thickBot="1">
      <c r="A569" s="5" t="s">
        <v>2047</v>
      </c>
    </row>
    <row r="570" spans="1:1" ht="16.2" thickBot="1">
      <c r="A570" s="5" t="s">
        <v>2048</v>
      </c>
    </row>
    <row r="571" spans="1:1" ht="16.2" thickBot="1">
      <c r="A571" s="5" t="s">
        <v>2049</v>
      </c>
    </row>
    <row r="572" spans="1:1" ht="16.2" thickBot="1">
      <c r="A572" s="5" t="s">
        <v>2050</v>
      </c>
    </row>
    <row r="573" spans="1:1" ht="16.2" thickBot="1">
      <c r="A573" s="5" t="s">
        <v>2051</v>
      </c>
    </row>
    <row r="574" spans="1:1" ht="16.2" thickBot="1">
      <c r="A574" s="5" t="s">
        <v>2052</v>
      </c>
    </row>
    <row r="575" spans="1:1" ht="16.2" thickBot="1">
      <c r="A575" s="5" t="s">
        <v>2053</v>
      </c>
    </row>
    <row r="576" spans="1:1" ht="16.2" thickBot="1">
      <c r="A576" s="5" t="s">
        <v>2054</v>
      </c>
    </row>
    <row r="577" spans="1:1" ht="16.2" thickBot="1">
      <c r="A577" s="5" t="s">
        <v>2055</v>
      </c>
    </row>
    <row r="578" spans="1:1" ht="16.2" thickBot="1">
      <c r="A578" s="5" t="s">
        <v>2056</v>
      </c>
    </row>
    <row r="579" spans="1:1" ht="16.2" thickBot="1">
      <c r="A579" s="5" t="s">
        <v>2057</v>
      </c>
    </row>
    <row r="580" spans="1:1" ht="16.2" thickBot="1">
      <c r="A580" s="5" t="s">
        <v>2058</v>
      </c>
    </row>
    <row r="581" spans="1:1" ht="16.2" thickBot="1">
      <c r="A581" s="5" t="s">
        <v>2059</v>
      </c>
    </row>
    <row r="582" spans="1:1" ht="16.2" thickBot="1">
      <c r="A582" s="5" t="s">
        <v>2060</v>
      </c>
    </row>
    <row r="583" spans="1:1" ht="16.2" thickBot="1">
      <c r="A583" s="5" t="s">
        <v>2061</v>
      </c>
    </row>
    <row r="584" spans="1:1" ht="16.2" thickBot="1">
      <c r="A584" s="5" t="s">
        <v>2062</v>
      </c>
    </row>
    <row r="585" spans="1:1" ht="16.2" thickBot="1">
      <c r="A585" s="5" t="s">
        <v>2063</v>
      </c>
    </row>
    <row r="586" spans="1:1" ht="16.2" thickBot="1">
      <c r="A586" s="5" t="s">
        <v>2064</v>
      </c>
    </row>
    <row r="587" spans="1:1" ht="16.2" thickBot="1">
      <c r="A587" s="5" t="s">
        <v>2065</v>
      </c>
    </row>
    <row r="588" spans="1:1" ht="16.2" thickBot="1">
      <c r="A588" s="5" t="s">
        <v>2066</v>
      </c>
    </row>
    <row r="589" spans="1:1" ht="16.2" thickBot="1">
      <c r="A589" s="5" t="s">
        <v>2067</v>
      </c>
    </row>
    <row r="590" spans="1:1" ht="16.2" thickBot="1">
      <c r="A590" s="5" t="s">
        <v>2068</v>
      </c>
    </row>
    <row r="591" spans="1:1" ht="16.2" thickBot="1">
      <c r="A591" s="5" t="s">
        <v>2069</v>
      </c>
    </row>
    <row r="592" spans="1:1" ht="16.2" thickBot="1">
      <c r="A592" s="5" t="s">
        <v>2070</v>
      </c>
    </row>
    <row r="593" spans="1:1" ht="16.2" thickBot="1">
      <c r="A593" s="5" t="s">
        <v>2071</v>
      </c>
    </row>
    <row r="594" spans="1:1" ht="16.2" thickBot="1">
      <c r="A594" s="5" t="s">
        <v>2072</v>
      </c>
    </row>
    <row r="595" spans="1:1" ht="16.2" thickBot="1">
      <c r="A595" s="5" t="s">
        <v>2073</v>
      </c>
    </row>
    <row r="596" spans="1:1" ht="16.2" thickBot="1">
      <c r="A596" s="5" t="s">
        <v>2075</v>
      </c>
    </row>
    <row r="597" spans="1:1" ht="16.2" thickBot="1">
      <c r="A597" s="5" t="s">
        <v>2076</v>
      </c>
    </row>
    <row r="598" spans="1:1" ht="16.2" thickBot="1">
      <c r="A598" s="5" t="s">
        <v>2078</v>
      </c>
    </row>
    <row r="599" spans="1:1" ht="16.2" thickBot="1">
      <c r="A599" s="5" t="s">
        <v>2079</v>
      </c>
    </row>
    <row r="600" spans="1:1" ht="16.2" thickBot="1">
      <c r="A600" s="5" t="s">
        <v>2080</v>
      </c>
    </row>
    <row r="601" spans="1:1" ht="16.2" thickBot="1">
      <c r="A601" s="5" t="s">
        <v>2081</v>
      </c>
    </row>
    <row r="602" spans="1:1" ht="16.2" thickBot="1">
      <c r="A602" s="5" t="s">
        <v>2082</v>
      </c>
    </row>
    <row r="603" spans="1:1" ht="16.2" thickBot="1">
      <c r="A603" s="5" t="s">
        <v>2083</v>
      </c>
    </row>
    <row r="604" spans="1:1" ht="16.2" thickBot="1">
      <c r="A604" s="5" t="s">
        <v>2084</v>
      </c>
    </row>
    <row r="605" spans="1:1" ht="16.2" thickBot="1">
      <c r="A605" s="5" t="s">
        <v>474</v>
      </c>
    </row>
    <row r="606" spans="1:1" ht="16.2" thickBot="1">
      <c r="A606" s="5" t="s">
        <v>754</v>
      </c>
    </row>
    <row r="607" spans="1:1" ht="16.2" thickBot="1">
      <c r="A607" s="5" t="s">
        <v>112</v>
      </c>
    </row>
    <row r="608" spans="1:1" ht="16.2" thickBot="1">
      <c r="A608" s="5" t="s">
        <v>2085</v>
      </c>
    </row>
    <row r="609" spans="1:1" ht="16.2" thickBot="1">
      <c r="A609" s="5" t="s">
        <v>2086</v>
      </c>
    </row>
    <row r="610" spans="1:1" ht="16.2" thickBot="1">
      <c r="A610" s="5" t="s">
        <v>2087</v>
      </c>
    </row>
    <row r="611" spans="1:1" ht="16.2" thickBot="1">
      <c r="A611" s="5" t="s">
        <v>2088</v>
      </c>
    </row>
    <row r="612" spans="1:1" ht="16.2" thickBot="1">
      <c r="A612" s="5" t="s">
        <v>2089</v>
      </c>
    </row>
    <row r="613" spans="1:1" ht="16.2" thickBot="1">
      <c r="A613" s="5" t="s">
        <v>2090</v>
      </c>
    </row>
    <row r="614" spans="1:1" ht="16.2" thickBot="1">
      <c r="A614" s="5" t="s">
        <v>2091</v>
      </c>
    </row>
    <row r="615" spans="1:1" ht="16.2" thickBot="1">
      <c r="A615" s="5" t="s">
        <v>2092</v>
      </c>
    </row>
    <row r="616" spans="1:1" ht="16.2" thickBot="1">
      <c r="A616" s="5" t="s">
        <v>2093</v>
      </c>
    </row>
    <row r="617" spans="1:1" ht="16.2" thickBot="1">
      <c r="A617" s="5" t="s">
        <v>2094</v>
      </c>
    </row>
    <row r="618" spans="1:1" ht="16.2" thickBot="1">
      <c r="A618" s="5" t="s">
        <v>2095</v>
      </c>
    </row>
    <row r="619" spans="1:1" ht="16.2" thickBot="1">
      <c r="A619" s="5" t="s">
        <v>2096</v>
      </c>
    </row>
    <row r="620" spans="1:1" ht="16.2" thickBot="1">
      <c r="A620" s="5" t="s">
        <v>2097</v>
      </c>
    </row>
    <row r="621" spans="1:1" ht="16.2" thickBot="1">
      <c r="A621" s="5" t="s">
        <v>2098</v>
      </c>
    </row>
    <row r="622" spans="1:1" ht="16.2" thickBot="1">
      <c r="A622" s="5" t="s">
        <v>2099</v>
      </c>
    </row>
    <row r="623" spans="1:1" ht="16.2" thickBot="1">
      <c r="A623" s="5" t="s">
        <v>2100</v>
      </c>
    </row>
    <row r="624" spans="1:1" ht="16.2" thickBot="1">
      <c r="A624" s="5" t="s">
        <v>2063</v>
      </c>
    </row>
    <row r="625" spans="1:1" ht="16.2" thickBot="1">
      <c r="A625" s="5" t="s">
        <v>2101</v>
      </c>
    </row>
    <row r="626" spans="1:1" ht="16.2" thickBot="1">
      <c r="A626" s="5" t="s">
        <v>490</v>
      </c>
    </row>
    <row r="627" spans="1:1" ht="16.2" thickBot="1">
      <c r="A627" s="5" t="s">
        <v>507</v>
      </c>
    </row>
    <row r="628" spans="1:1" ht="16.2" thickBot="1">
      <c r="A628" s="5" t="s">
        <v>2103</v>
      </c>
    </row>
    <row r="629" spans="1:1" ht="16.2" thickBot="1">
      <c r="A629" s="5" t="s">
        <v>2104</v>
      </c>
    </row>
    <row r="630" spans="1:1" ht="16.2" thickBot="1">
      <c r="A630" s="5" t="s">
        <v>2105</v>
      </c>
    </row>
    <row r="631" spans="1:1" ht="16.2" thickBot="1">
      <c r="A631" s="5" t="s">
        <v>2106</v>
      </c>
    </row>
    <row r="632" spans="1:1" ht="16.2" thickBot="1">
      <c r="A632" s="5" t="s">
        <v>2107</v>
      </c>
    </row>
    <row r="633" spans="1:1" ht="16.2" thickBot="1">
      <c r="A633" s="5" t="s">
        <v>2108</v>
      </c>
    </row>
    <row r="634" spans="1:1" ht="16.2" thickBot="1">
      <c r="A634" s="5" t="s">
        <v>2109</v>
      </c>
    </row>
    <row r="635" spans="1:1" ht="16.2" thickBot="1">
      <c r="A635" s="5" t="s">
        <v>2110</v>
      </c>
    </row>
    <row r="636" spans="1:1" ht="16.2" thickBot="1">
      <c r="A636" s="5" t="s">
        <v>2111</v>
      </c>
    </row>
    <row r="637" spans="1:1" ht="16.2" thickBot="1">
      <c r="A637" s="5" t="s">
        <v>2113</v>
      </c>
    </row>
    <row r="638" spans="1:1" ht="16.2" thickBot="1">
      <c r="A638" s="5" t="s">
        <v>2114</v>
      </c>
    </row>
    <row r="639" spans="1:1" ht="16.2" thickBot="1">
      <c r="A639" s="5" t="s">
        <v>2115</v>
      </c>
    </row>
    <row r="640" spans="1:1" ht="16.2" thickBot="1">
      <c r="A640" s="5" t="s">
        <v>2116</v>
      </c>
    </row>
    <row r="641" spans="1:1" ht="16.2" thickBot="1">
      <c r="A641" s="5" t="s">
        <v>2118</v>
      </c>
    </row>
    <row r="642" spans="1:1" ht="16.2" thickBot="1">
      <c r="A642" s="5" t="s">
        <v>2119</v>
      </c>
    </row>
    <row r="643" spans="1:1" ht="16.2" thickBot="1">
      <c r="A643" s="5" t="s">
        <v>2120</v>
      </c>
    </row>
    <row r="644" spans="1:1" ht="16.2" thickBot="1">
      <c r="A644" s="5" t="s">
        <v>2121</v>
      </c>
    </row>
    <row r="645" spans="1:1" ht="16.2" thickBot="1">
      <c r="A645" s="5" t="s">
        <v>2122</v>
      </c>
    </row>
    <row r="646" spans="1:1" ht="16.2" thickBot="1">
      <c r="A646" s="5" t="s">
        <v>2123</v>
      </c>
    </row>
    <row r="647" spans="1:1" ht="16.2" thickBot="1">
      <c r="A647" s="5" t="s">
        <v>2124</v>
      </c>
    </row>
    <row r="648" spans="1:1" ht="16.2" thickBot="1">
      <c r="A648" s="5" t="s">
        <v>2125</v>
      </c>
    </row>
    <row r="649" spans="1:1" ht="16.2" thickBot="1">
      <c r="A649" s="5" t="s">
        <v>2126</v>
      </c>
    </row>
    <row r="650" spans="1:1" ht="16.2" thickBot="1">
      <c r="A650" s="5" t="s">
        <v>2127</v>
      </c>
    </row>
    <row r="651" spans="1:1" ht="16.2" thickBot="1">
      <c r="A651" s="5" t="s">
        <v>2128</v>
      </c>
    </row>
    <row r="652" spans="1:1" ht="16.2" thickBot="1">
      <c r="A652" s="5" t="s">
        <v>2129</v>
      </c>
    </row>
    <row r="653" spans="1:1" ht="16.2" thickBot="1">
      <c r="A653" s="5" t="s">
        <v>1467</v>
      </c>
    </row>
    <row r="654" spans="1:1" ht="16.2" thickBot="1">
      <c r="A654" s="5" t="s">
        <v>2130</v>
      </c>
    </row>
    <row r="655" spans="1:1" ht="16.2" thickBot="1">
      <c r="A655" s="5" t="s">
        <v>2131</v>
      </c>
    </row>
    <row r="656" spans="1:1" ht="16.2" thickBot="1">
      <c r="A656" s="5" t="s">
        <v>2132</v>
      </c>
    </row>
    <row r="657" spans="1:1" ht="16.2" thickBot="1">
      <c r="A657" s="5" t="s">
        <v>2133</v>
      </c>
    </row>
    <row r="658" spans="1:1" ht="16.2" thickBot="1">
      <c r="A658" s="5" t="s">
        <v>2134</v>
      </c>
    </row>
    <row r="659" spans="1:1" ht="16.2" thickBot="1">
      <c r="A659" s="5" t="s">
        <v>2135</v>
      </c>
    </row>
    <row r="660" spans="1:1" ht="16.2" thickBot="1">
      <c r="A660" s="5" t="s">
        <v>798</v>
      </c>
    </row>
    <row r="661" spans="1:1" ht="16.2" thickBot="1">
      <c r="A661" s="5" t="s">
        <v>802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3FBC-3B3A-4655-9C29-8CD1394A7111}">
  <dimension ref="A1:C549"/>
  <sheetViews>
    <sheetView workbookViewId="0">
      <selection activeCell="C7" sqref="C7"/>
    </sheetView>
  </sheetViews>
  <sheetFormatPr defaultRowHeight="13.2"/>
  <cols>
    <col min="1" max="1" width="28.109375" customWidth="1"/>
    <col min="2" max="2" width="34.33203125" customWidth="1"/>
    <col min="3" max="3" width="21.5546875" customWidth="1"/>
  </cols>
  <sheetData>
    <row r="1" spans="1:3" ht="14.4">
      <c r="A1" s="22" t="s">
        <v>2</v>
      </c>
      <c r="B1" s="22" t="s">
        <v>1475</v>
      </c>
      <c r="C1" s="22" t="s">
        <v>3943</v>
      </c>
    </row>
    <row r="2" spans="1:3">
      <c r="A2" t="s">
        <v>730</v>
      </c>
      <c r="B2" t="s">
        <v>1736</v>
      </c>
      <c r="C2" s="16">
        <v>0.75231996137466084</v>
      </c>
    </row>
    <row r="3" spans="1:3">
      <c r="A3" t="s">
        <v>138</v>
      </c>
      <c r="B3" t="s">
        <v>1680</v>
      </c>
      <c r="C3" s="16">
        <v>0.75384615384615383</v>
      </c>
    </row>
    <row r="4" spans="1:3">
      <c r="A4" t="s">
        <v>137</v>
      </c>
      <c r="B4" t="s">
        <v>1680</v>
      </c>
      <c r="C4" s="16">
        <v>0.75384615384615383</v>
      </c>
    </row>
    <row r="5" spans="1:3">
      <c r="A5" t="s">
        <v>231</v>
      </c>
      <c r="B5" t="s">
        <v>1962</v>
      </c>
      <c r="C5" s="16">
        <v>0.75398772358516719</v>
      </c>
    </row>
    <row r="6" spans="1:3">
      <c r="A6" t="s">
        <v>870</v>
      </c>
      <c r="B6" t="s">
        <v>1838</v>
      </c>
      <c r="C6" s="16">
        <v>0.75459704219288048</v>
      </c>
    </row>
    <row r="7" spans="1:3">
      <c r="A7" t="s">
        <v>723</v>
      </c>
      <c r="B7" t="s">
        <v>1736</v>
      </c>
      <c r="C7" s="16">
        <v>0.75809184367176297</v>
      </c>
    </row>
    <row r="8" spans="1:3">
      <c r="A8" t="s">
        <v>1115</v>
      </c>
      <c r="B8" t="s">
        <v>1962</v>
      </c>
      <c r="C8" s="16">
        <v>0.75923157516280626</v>
      </c>
    </row>
    <row r="9" spans="1:3">
      <c r="A9" t="s">
        <v>354</v>
      </c>
      <c r="B9" t="s">
        <v>1660</v>
      </c>
      <c r="C9" s="16">
        <v>0.75923157516280626</v>
      </c>
    </row>
    <row r="10" spans="1:3">
      <c r="A10" t="s">
        <v>433</v>
      </c>
      <c r="B10" t="s">
        <v>1962</v>
      </c>
      <c r="C10" s="16">
        <v>0.75923157516280626</v>
      </c>
    </row>
    <row r="11" spans="1:3">
      <c r="A11" t="s">
        <v>985</v>
      </c>
      <c r="B11" t="s">
        <v>1962</v>
      </c>
      <c r="C11" s="16">
        <v>0.75923157516280626</v>
      </c>
    </row>
    <row r="12" spans="1:3">
      <c r="A12" t="s">
        <v>984</v>
      </c>
      <c r="B12" t="s">
        <v>1962</v>
      </c>
      <c r="C12" s="16">
        <v>0.75923157516280626</v>
      </c>
    </row>
    <row r="13" spans="1:3">
      <c r="A13" t="s">
        <v>749</v>
      </c>
      <c r="B13" t="s">
        <v>1962</v>
      </c>
      <c r="C13" s="16">
        <v>0.75923157516280626</v>
      </c>
    </row>
    <row r="14" spans="1:3">
      <c r="A14" t="s">
        <v>253</v>
      </c>
      <c r="B14" t="s">
        <v>1678</v>
      </c>
      <c r="C14" s="16">
        <v>0.76185185185185189</v>
      </c>
    </row>
    <row r="15" spans="1:3">
      <c r="A15" t="s">
        <v>242</v>
      </c>
      <c r="B15" t="s">
        <v>866</v>
      </c>
      <c r="C15" s="16">
        <v>0.76389424858956745</v>
      </c>
    </row>
    <row r="16" spans="1:3">
      <c r="A16" t="s">
        <v>240</v>
      </c>
      <c r="B16" t="s">
        <v>866</v>
      </c>
      <c r="C16" s="16">
        <v>0.7642099448747991</v>
      </c>
    </row>
    <row r="17" spans="1:3">
      <c r="A17" t="s">
        <v>1245</v>
      </c>
      <c r="B17" t="s">
        <v>2109</v>
      </c>
      <c r="C17" s="16">
        <v>0.76432028515790429</v>
      </c>
    </row>
    <row r="18" spans="1:3">
      <c r="A18" t="s">
        <v>883</v>
      </c>
      <c r="B18" t="s">
        <v>1770</v>
      </c>
      <c r="C18" s="16">
        <v>0.76517055079435647</v>
      </c>
    </row>
    <row r="19" spans="1:3">
      <c r="A19" t="s">
        <v>717</v>
      </c>
      <c r="B19" t="s">
        <v>2109</v>
      </c>
      <c r="C19" s="16">
        <v>0.76634414383106697</v>
      </c>
    </row>
    <row r="20" spans="1:3">
      <c r="A20" t="s">
        <v>426</v>
      </c>
      <c r="B20" t="s">
        <v>1736</v>
      </c>
      <c r="C20" s="16">
        <v>0.76637233732192012</v>
      </c>
    </row>
    <row r="21" spans="1:3">
      <c r="A21" t="s">
        <v>564</v>
      </c>
      <c r="B21" t="s">
        <v>1962</v>
      </c>
      <c r="C21" s="16">
        <v>0.76846796917126348</v>
      </c>
    </row>
    <row r="22" spans="1:3">
      <c r="A22" t="s">
        <v>251</v>
      </c>
      <c r="B22" t="s">
        <v>866</v>
      </c>
      <c r="C22" s="16">
        <v>0.7694617425028355</v>
      </c>
    </row>
    <row r="23" spans="1:3">
      <c r="A23" t="s">
        <v>134</v>
      </c>
      <c r="B23" t="s">
        <v>1962</v>
      </c>
      <c r="C23" s="16">
        <v>0.77199145042849437</v>
      </c>
    </row>
    <row r="24" spans="1:3">
      <c r="A24" t="s">
        <v>1081</v>
      </c>
      <c r="B24" t="s">
        <v>1685</v>
      </c>
      <c r="C24" s="16">
        <v>0.773710379462617</v>
      </c>
    </row>
    <row r="25" spans="1:3">
      <c r="A25" t="s">
        <v>189</v>
      </c>
      <c r="B25" t="s">
        <v>1685</v>
      </c>
      <c r="C25" s="16">
        <v>0.773710379462617</v>
      </c>
    </row>
    <row r="26" spans="1:3">
      <c r="A26" t="s">
        <v>297</v>
      </c>
      <c r="B26" t="s">
        <v>1962</v>
      </c>
      <c r="C26" s="16">
        <v>0.77577891921050901</v>
      </c>
    </row>
    <row r="27" spans="1:3">
      <c r="A27" t="s">
        <v>337</v>
      </c>
      <c r="B27" t="s">
        <v>1962</v>
      </c>
      <c r="C27" s="16">
        <v>0.77577891921050901</v>
      </c>
    </row>
    <row r="28" spans="1:3">
      <c r="A28" t="s">
        <v>1399</v>
      </c>
      <c r="B28" t="s">
        <v>1962</v>
      </c>
      <c r="C28" s="16">
        <v>0.77577891921050901</v>
      </c>
    </row>
    <row r="29" spans="1:3">
      <c r="A29" t="s">
        <v>435</v>
      </c>
      <c r="B29" t="s">
        <v>1736</v>
      </c>
      <c r="C29" s="16">
        <v>0.77636791421229756</v>
      </c>
    </row>
    <row r="30" spans="1:3">
      <c r="A30" t="s">
        <v>1122</v>
      </c>
      <c r="B30" t="s">
        <v>1812</v>
      </c>
      <c r="C30" s="16">
        <v>0.78365959487104564</v>
      </c>
    </row>
    <row r="31" spans="1:3">
      <c r="A31" t="s">
        <v>525</v>
      </c>
      <c r="B31" t="s">
        <v>2110</v>
      </c>
      <c r="C31" s="16">
        <v>0.78552909320392361</v>
      </c>
    </row>
    <row r="32" spans="1:3">
      <c r="A32" t="s">
        <v>968</v>
      </c>
      <c r="B32" t="s">
        <v>1557</v>
      </c>
      <c r="C32" s="16">
        <v>0.78691594915073737</v>
      </c>
    </row>
    <row r="33" spans="1:3">
      <c r="A33" t="s">
        <v>927</v>
      </c>
      <c r="B33" t="s">
        <v>932</v>
      </c>
      <c r="C33" s="16">
        <v>0.78741723778862915</v>
      </c>
    </row>
    <row r="34" spans="1:3">
      <c r="A34" t="s">
        <v>716</v>
      </c>
      <c r="B34" t="s">
        <v>2109</v>
      </c>
      <c r="C34" s="16">
        <v>0.78741723778862915</v>
      </c>
    </row>
    <row r="35" spans="1:3">
      <c r="A35" t="s">
        <v>797</v>
      </c>
      <c r="B35" t="s">
        <v>2122</v>
      </c>
      <c r="C35" s="16">
        <v>0.7897904878690224</v>
      </c>
    </row>
    <row r="36" spans="1:3">
      <c r="A36" t="s">
        <v>436</v>
      </c>
      <c r="B36" t="s">
        <v>1736</v>
      </c>
      <c r="C36" s="16">
        <v>0.79273018838078491</v>
      </c>
    </row>
    <row r="37" spans="1:3">
      <c r="A37" t="s">
        <v>638</v>
      </c>
      <c r="B37" t="s">
        <v>1625</v>
      </c>
      <c r="C37" s="16">
        <v>0.79428321647944411</v>
      </c>
    </row>
    <row r="38" spans="1:3">
      <c r="A38" t="s">
        <v>707</v>
      </c>
      <c r="B38" t="s">
        <v>1935</v>
      </c>
      <c r="C38" s="16">
        <v>0.79502306252431276</v>
      </c>
    </row>
    <row r="39" spans="1:3">
      <c r="A39" t="s">
        <v>182</v>
      </c>
      <c r="B39" t="s">
        <v>1650</v>
      </c>
      <c r="C39" s="16">
        <v>0.79502705332609158</v>
      </c>
    </row>
    <row r="40" spans="1:3">
      <c r="A40" t="s">
        <v>1075</v>
      </c>
      <c r="B40" t="s">
        <v>1641</v>
      </c>
      <c r="C40" s="16">
        <v>0.79653679653679654</v>
      </c>
    </row>
    <row r="41" spans="1:3">
      <c r="A41" t="s">
        <v>1019</v>
      </c>
      <c r="B41" t="s">
        <v>2110</v>
      </c>
      <c r="C41" s="16">
        <v>0.79699076840097705</v>
      </c>
    </row>
    <row r="42" spans="1:3">
      <c r="A42" t="s">
        <v>148</v>
      </c>
      <c r="B42" t="s">
        <v>2130</v>
      </c>
      <c r="C42" s="16">
        <v>0.79949874686716793</v>
      </c>
    </row>
    <row r="43" spans="1:3">
      <c r="A43" t="s">
        <v>147</v>
      </c>
      <c r="B43" t="s">
        <v>2130</v>
      </c>
      <c r="C43" s="16">
        <v>0.79949874686716793</v>
      </c>
    </row>
    <row r="44" spans="1:3">
      <c r="A44" t="s">
        <v>982</v>
      </c>
      <c r="B44" t="s">
        <v>1917</v>
      </c>
      <c r="C44" s="16">
        <v>0.79995377052487682</v>
      </c>
    </row>
    <row r="45" spans="1:3">
      <c r="A45" t="s">
        <v>735</v>
      </c>
      <c r="B45" t="s">
        <v>1962</v>
      </c>
      <c r="C45" s="16">
        <v>0.79995377052487682</v>
      </c>
    </row>
    <row r="46" spans="1:3">
      <c r="A46" t="s">
        <v>736</v>
      </c>
      <c r="B46" t="s">
        <v>1962</v>
      </c>
      <c r="C46" s="16">
        <v>0.79995377052487682</v>
      </c>
    </row>
    <row r="47" spans="1:3">
      <c r="A47" t="s">
        <v>281</v>
      </c>
      <c r="B47" t="s">
        <v>1810</v>
      </c>
      <c r="C47" s="16">
        <v>0.80216802168021673</v>
      </c>
    </row>
    <row r="48" spans="1:3">
      <c r="A48" t="s">
        <v>186</v>
      </c>
      <c r="B48" t="s">
        <v>1674</v>
      </c>
      <c r="C48" s="16">
        <v>0.8029335634167386</v>
      </c>
    </row>
    <row r="49" spans="1:3">
      <c r="A49" t="s">
        <v>537</v>
      </c>
      <c r="B49" t="s">
        <v>2131</v>
      </c>
      <c r="C49" s="16">
        <v>0.80407608585738966</v>
      </c>
    </row>
    <row r="50" spans="1:3">
      <c r="A50" t="s">
        <v>1024</v>
      </c>
      <c r="B50" t="s">
        <v>2131</v>
      </c>
      <c r="C50" s="16">
        <v>0.80407608585738966</v>
      </c>
    </row>
    <row r="51" spans="1:3">
      <c r="A51" t="s">
        <v>538</v>
      </c>
      <c r="B51" t="s">
        <v>2131</v>
      </c>
      <c r="C51" s="16">
        <v>0.80407608585738966</v>
      </c>
    </row>
    <row r="52" spans="1:3">
      <c r="A52" t="s">
        <v>538</v>
      </c>
      <c r="B52" t="s">
        <v>2131</v>
      </c>
      <c r="C52" s="16">
        <v>0.80407608585738966</v>
      </c>
    </row>
    <row r="53" spans="1:3">
      <c r="A53" t="s">
        <v>526</v>
      </c>
      <c r="B53" t="s">
        <v>2110</v>
      </c>
      <c r="C53" s="16">
        <v>0.80488809936310213</v>
      </c>
    </row>
    <row r="54" spans="1:3">
      <c r="A54" t="s">
        <v>777</v>
      </c>
      <c r="B54" t="s">
        <v>2095</v>
      </c>
      <c r="C54" s="16">
        <v>0.81092775999798505</v>
      </c>
    </row>
    <row r="55" spans="1:3">
      <c r="A55" t="s">
        <v>434</v>
      </c>
      <c r="B55" t="s">
        <v>1736</v>
      </c>
      <c r="C55" s="16">
        <v>0.81657826649824405</v>
      </c>
    </row>
    <row r="56" spans="1:3">
      <c r="A56" t="s">
        <v>661</v>
      </c>
      <c r="B56" t="s">
        <v>1853</v>
      </c>
      <c r="C56" s="16">
        <v>0.81669309715600702</v>
      </c>
    </row>
    <row r="57" spans="1:3">
      <c r="A57">
        <v>1.3</v>
      </c>
      <c r="B57" t="s">
        <v>1694</v>
      </c>
      <c r="C57" s="16">
        <v>0.8188550062415404</v>
      </c>
    </row>
    <row r="58" spans="1:3">
      <c r="A58" t="s">
        <v>1202</v>
      </c>
      <c r="B58" t="s">
        <v>1848</v>
      </c>
      <c r="C58" s="16">
        <v>0.81984897518878097</v>
      </c>
    </row>
    <row r="59" spans="1:3">
      <c r="A59" t="s">
        <v>1426</v>
      </c>
      <c r="B59" t="s">
        <v>1848</v>
      </c>
      <c r="C59" s="16">
        <v>0.81984897518878097</v>
      </c>
    </row>
    <row r="60" spans="1:3">
      <c r="A60" t="s">
        <v>986</v>
      </c>
      <c r="B60" t="s">
        <v>1848</v>
      </c>
      <c r="C60" s="16">
        <v>0.81984897518878097</v>
      </c>
    </row>
    <row r="61" spans="1:3">
      <c r="A61" t="s">
        <v>665</v>
      </c>
      <c r="B61" t="s">
        <v>1860</v>
      </c>
      <c r="C61" s="16">
        <v>0.82074135498237899</v>
      </c>
    </row>
    <row r="62" spans="1:3">
      <c r="A62" t="s">
        <v>184</v>
      </c>
      <c r="B62" t="s">
        <v>1671</v>
      </c>
      <c r="C62" s="16">
        <v>0.82250413678985113</v>
      </c>
    </row>
    <row r="63" spans="1:3">
      <c r="A63" t="s">
        <v>1135</v>
      </c>
      <c r="B63" t="s">
        <v>1854</v>
      </c>
      <c r="C63" s="16">
        <v>0.82365463621330415</v>
      </c>
    </row>
    <row r="64" spans="1:3">
      <c r="A64" t="s">
        <v>1177</v>
      </c>
      <c r="B64" t="s">
        <v>1917</v>
      </c>
      <c r="C64" s="16">
        <v>0.82734333884764688</v>
      </c>
    </row>
    <row r="65" spans="1:3">
      <c r="A65" t="s">
        <v>881</v>
      </c>
      <c r="B65" t="s">
        <v>1719</v>
      </c>
      <c r="C65" s="16">
        <v>0.82808603100218969</v>
      </c>
    </row>
    <row r="66" spans="1:3">
      <c r="A66" t="s">
        <v>1189</v>
      </c>
      <c r="B66" t="s">
        <v>1550</v>
      </c>
      <c r="C66" s="16">
        <v>0.82811781325974121</v>
      </c>
    </row>
    <row r="67" spans="1:3">
      <c r="A67" t="s">
        <v>1357</v>
      </c>
      <c r="B67" t="s">
        <v>1827</v>
      </c>
      <c r="C67" s="16">
        <v>0.82959644194744586</v>
      </c>
    </row>
    <row r="68" spans="1:3">
      <c r="A68" t="s">
        <v>1359</v>
      </c>
      <c r="B68" t="s">
        <v>1827</v>
      </c>
      <c r="C68" s="16">
        <v>0.82959644194744586</v>
      </c>
    </row>
    <row r="69" spans="1:3">
      <c r="A69" t="s">
        <v>1358</v>
      </c>
      <c r="B69" t="s">
        <v>1827</v>
      </c>
      <c r="C69" s="16">
        <v>0.82959644194744586</v>
      </c>
    </row>
    <row r="70" spans="1:3">
      <c r="A70" t="s">
        <v>663</v>
      </c>
      <c r="B70" t="s">
        <v>1868</v>
      </c>
      <c r="C70" s="16">
        <v>0.82978723404255328</v>
      </c>
    </row>
    <row r="71" spans="1:3">
      <c r="A71" t="s">
        <v>825</v>
      </c>
      <c r="B71" t="s">
        <v>1616</v>
      </c>
      <c r="C71" s="16">
        <v>0.83080182443730466</v>
      </c>
    </row>
    <row r="72" spans="1:3">
      <c r="A72" t="s">
        <v>649</v>
      </c>
      <c r="B72" t="s">
        <v>1967</v>
      </c>
      <c r="C72" s="16">
        <v>0.83126479358261174</v>
      </c>
    </row>
    <row r="73" spans="1:3">
      <c r="A73" t="s">
        <v>1001</v>
      </c>
      <c r="B73">
        <v>5</v>
      </c>
      <c r="C73" s="16">
        <v>0.83571428571428574</v>
      </c>
    </row>
    <row r="74" spans="1:3">
      <c r="A74" t="s">
        <v>1463</v>
      </c>
      <c r="B74" t="s">
        <v>2118</v>
      </c>
      <c r="C74" s="16">
        <v>0.83577235772357727</v>
      </c>
    </row>
    <row r="75" spans="1:3">
      <c r="A75" t="s">
        <v>1252</v>
      </c>
      <c r="B75" t="s">
        <v>2127</v>
      </c>
      <c r="C75" s="16">
        <v>0.83577235772357727</v>
      </c>
    </row>
    <row r="76" spans="1:3">
      <c r="A76" t="s">
        <v>725</v>
      </c>
      <c r="B76" t="s">
        <v>1737</v>
      </c>
      <c r="C76" s="16">
        <v>0.83689730254001315</v>
      </c>
    </row>
    <row r="77" spans="1:3">
      <c r="A77" t="s">
        <v>1343</v>
      </c>
      <c r="B77">
        <v>3</v>
      </c>
      <c r="C77" s="16">
        <v>0.83728813559322035</v>
      </c>
    </row>
    <row r="78" spans="1:3">
      <c r="A78" t="s">
        <v>1344</v>
      </c>
      <c r="B78">
        <v>3</v>
      </c>
      <c r="C78" s="16">
        <v>0.83728813559322035</v>
      </c>
    </row>
    <row r="79" spans="1:3">
      <c r="A79" t="s">
        <v>341</v>
      </c>
      <c r="B79">
        <v>3</v>
      </c>
      <c r="C79" s="16">
        <v>0.83728813559322035</v>
      </c>
    </row>
    <row r="80" spans="1:3">
      <c r="A80" t="s">
        <v>936</v>
      </c>
      <c r="B80" t="s">
        <v>1860</v>
      </c>
      <c r="C80" s="16">
        <v>0.83814414703572004</v>
      </c>
    </row>
    <row r="81" spans="1:3">
      <c r="A81" t="s">
        <v>26</v>
      </c>
      <c r="B81" t="s">
        <v>1631</v>
      </c>
      <c r="C81" s="16">
        <v>0.83860952220359108</v>
      </c>
    </row>
    <row r="82" spans="1:3">
      <c r="A82" t="s">
        <v>312</v>
      </c>
      <c r="B82" t="s">
        <v>1913</v>
      </c>
      <c r="C82" s="16">
        <v>0.83860952220359108</v>
      </c>
    </row>
    <row r="83" spans="1:3">
      <c r="A83" t="s">
        <v>1198</v>
      </c>
      <c r="B83" t="s">
        <v>1917</v>
      </c>
      <c r="C83" s="16">
        <v>0.83860952220359108</v>
      </c>
    </row>
    <row r="84" spans="1:3">
      <c r="A84" t="s">
        <v>517</v>
      </c>
      <c r="B84" t="s">
        <v>266</v>
      </c>
      <c r="C84" s="16">
        <v>0.83860952220359108</v>
      </c>
    </row>
    <row r="85" spans="1:3">
      <c r="A85" t="s">
        <v>1268</v>
      </c>
      <c r="B85" t="s">
        <v>1965</v>
      </c>
      <c r="C85" s="16">
        <v>0.83860952220359108</v>
      </c>
    </row>
    <row r="86" spans="1:3">
      <c r="A86" t="s">
        <v>929</v>
      </c>
      <c r="B86" t="s">
        <v>1859</v>
      </c>
      <c r="C86" s="16">
        <v>0.83895127907134992</v>
      </c>
    </row>
    <row r="87" spans="1:3">
      <c r="A87" t="s">
        <v>1410</v>
      </c>
      <c r="B87">
        <v>3</v>
      </c>
      <c r="C87" s="16">
        <v>0.8392857142857143</v>
      </c>
    </row>
    <row r="88" spans="1:3">
      <c r="A88" t="s">
        <v>536</v>
      </c>
      <c r="B88">
        <v>3</v>
      </c>
      <c r="C88" s="16">
        <v>0.8392857142857143</v>
      </c>
    </row>
    <row r="89" spans="1:3">
      <c r="A89" t="s">
        <v>992</v>
      </c>
      <c r="B89">
        <v>2</v>
      </c>
      <c r="C89" s="16">
        <v>0.84000000000000008</v>
      </c>
    </row>
    <row r="90" spans="1:3">
      <c r="A90" t="s">
        <v>477</v>
      </c>
      <c r="B90">
        <v>3</v>
      </c>
      <c r="C90" s="16">
        <v>0.84000000000000008</v>
      </c>
    </row>
    <row r="91" spans="1:3">
      <c r="A91" t="s">
        <v>1027</v>
      </c>
      <c r="B91">
        <v>500</v>
      </c>
      <c r="C91" s="16">
        <v>0.84062500000000007</v>
      </c>
    </row>
    <row r="92" spans="1:3">
      <c r="A92" t="s">
        <v>1027</v>
      </c>
      <c r="B92">
        <v>500</v>
      </c>
      <c r="C92" s="16">
        <v>0.84062500000000007</v>
      </c>
    </row>
    <row r="93" spans="1:3">
      <c r="A93" t="s">
        <v>340</v>
      </c>
      <c r="B93">
        <v>3</v>
      </c>
      <c r="C93" s="16">
        <v>0.84074074074074079</v>
      </c>
    </row>
    <row r="94" spans="1:3">
      <c r="A94" t="s">
        <v>339</v>
      </c>
      <c r="B94">
        <v>3</v>
      </c>
      <c r="C94" s="16">
        <v>0.84074074074074079</v>
      </c>
    </row>
    <row r="95" spans="1:3">
      <c r="A95" t="s">
        <v>631</v>
      </c>
      <c r="B95">
        <v>2</v>
      </c>
      <c r="C95" s="16">
        <v>0.84166666666666667</v>
      </c>
    </row>
    <row r="96" spans="1:3">
      <c r="A96" t="s">
        <v>1449</v>
      </c>
      <c r="B96">
        <v>2</v>
      </c>
      <c r="C96" s="16">
        <v>0.84166666666666667</v>
      </c>
    </row>
    <row r="97" spans="1:3">
      <c r="A97" t="s">
        <v>1188</v>
      </c>
      <c r="B97" t="s">
        <v>1550</v>
      </c>
      <c r="C97" s="16">
        <v>0.84179894179894177</v>
      </c>
    </row>
    <row r="98" spans="1:3">
      <c r="A98" t="s">
        <v>533</v>
      </c>
      <c r="B98" t="s">
        <v>2125</v>
      </c>
      <c r="C98" s="16">
        <v>0.84193548387096773</v>
      </c>
    </row>
    <row r="99" spans="1:3">
      <c r="A99" t="s">
        <v>533</v>
      </c>
      <c r="B99" t="s">
        <v>2125</v>
      </c>
      <c r="C99" s="16">
        <v>0.84193548387096773</v>
      </c>
    </row>
    <row r="100" spans="1:3">
      <c r="A100" t="s">
        <v>1044</v>
      </c>
      <c r="B100">
        <v>5</v>
      </c>
      <c r="C100" s="16">
        <v>0.84222972972972976</v>
      </c>
    </row>
    <row r="101" spans="1:3">
      <c r="A101" t="s">
        <v>1285</v>
      </c>
      <c r="B101">
        <v>5</v>
      </c>
      <c r="C101" s="16">
        <v>0.84222972972972976</v>
      </c>
    </row>
    <row r="102" spans="1:3">
      <c r="A102" t="s">
        <v>36</v>
      </c>
      <c r="B102" t="s">
        <v>1694</v>
      </c>
      <c r="C102" s="16">
        <v>0.84242424242424241</v>
      </c>
    </row>
    <row r="103" spans="1:3">
      <c r="A103" t="s">
        <v>432</v>
      </c>
      <c r="B103" t="s">
        <v>1634</v>
      </c>
      <c r="C103" s="16">
        <v>0.84251574543444385</v>
      </c>
    </row>
    <row r="104" spans="1:3">
      <c r="A104" t="s">
        <v>1333</v>
      </c>
      <c r="B104">
        <v>2</v>
      </c>
      <c r="C104" s="16">
        <v>0.8425531914893617</v>
      </c>
    </row>
    <row r="105" spans="1:3">
      <c r="A105" t="s">
        <v>1360</v>
      </c>
      <c r="B105" t="s">
        <v>1827</v>
      </c>
      <c r="C105" s="16">
        <v>0.84313354147652064</v>
      </c>
    </row>
    <row r="106" spans="1:3">
      <c r="A106" t="s">
        <v>617</v>
      </c>
      <c r="B106" t="s">
        <v>1827</v>
      </c>
      <c r="C106" s="16">
        <v>0.84313354147652064</v>
      </c>
    </row>
    <row r="107" spans="1:3">
      <c r="A107" t="s">
        <v>614</v>
      </c>
      <c r="B107" t="s">
        <v>1835</v>
      </c>
      <c r="C107" s="16">
        <v>0.84313354147652064</v>
      </c>
    </row>
    <row r="108" spans="1:3">
      <c r="A108" t="s">
        <v>1328</v>
      </c>
      <c r="B108">
        <v>3</v>
      </c>
      <c r="C108" s="16">
        <v>0.84313725490196079</v>
      </c>
    </row>
    <row r="109" spans="1:3">
      <c r="A109" t="s">
        <v>146</v>
      </c>
      <c r="B109">
        <v>2</v>
      </c>
      <c r="C109" s="16">
        <v>0.84347826086956523</v>
      </c>
    </row>
    <row r="110" spans="1:3">
      <c r="A110" t="s">
        <v>824</v>
      </c>
      <c r="B110">
        <v>2</v>
      </c>
      <c r="C110" s="16">
        <v>0.84347826086956523</v>
      </c>
    </row>
    <row r="111" spans="1:3">
      <c r="A111" t="s">
        <v>144</v>
      </c>
      <c r="B111">
        <v>2</v>
      </c>
      <c r="C111" s="16">
        <v>0.84347826086956523</v>
      </c>
    </row>
    <row r="112" spans="1:3">
      <c r="A112" t="s">
        <v>567</v>
      </c>
      <c r="B112">
        <v>2</v>
      </c>
      <c r="C112" s="16">
        <v>0.84347826086956523</v>
      </c>
    </row>
    <row r="113" spans="1:3">
      <c r="A113" t="s">
        <v>1446</v>
      </c>
      <c r="B113">
        <v>2</v>
      </c>
      <c r="C113" s="16">
        <v>0.84347826086956523</v>
      </c>
    </row>
    <row r="114" spans="1:3">
      <c r="A114" t="s">
        <v>1210</v>
      </c>
      <c r="B114">
        <v>2</v>
      </c>
      <c r="C114" s="16">
        <v>0.84347826086956523</v>
      </c>
    </row>
    <row r="115" spans="1:3">
      <c r="A115" t="s">
        <v>1442</v>
      </c>
      <c r="B115">
        <v>2</v>
      </c>
      <c r="C115" s="16">
        <v>0.84347826086956523</v>
      </c>
    </row>
    <row r="116" spans="1:3">
      <c r="A116" t="s">
        <v>727</v>
      </c>
      <c r="B116">
        <v>6</v>
      </c>
      <c r="C116" s="16">
        <v>0.84365945624131777</v>
      </c>
    </row>
    <row r="117" spans="1:3">
      <c r="A117" t="s">
        <v>1242</v>
      </c>
      <c r="B117" t="s">
        <v>2111</v>
      </c>
      <c r="C117" s="16">
        <v>0.84375</v>
      </c>
    </row>
    <row r="118" spans="1:3">
      <c r="A118" t="s">
        <v>991</v>
      </c>
      <c r="B118">
        <v>3</v>
      </c>
      <c r="C118" s="16">
        <v>0.84400000000000008</v>
      </c>
    </row>
    <row r="119" spans="1:3">
      <c r="A119" t="s">
        <v>1460</v>
      </c>
      <c r="B119">
        <v>3</v>
      </c>
      <c r="C119" s="16">
        <v>0.84400000000000008</v>
      </c>
    </row>
    <row r="120" spans="1:3">
      <c r="A120" t="s">
        <v>884</v>
      </c>
      <c r="B120" t="s">
        <v>1528</v>
      </c>
      <c r="C120" s="16">
        <v>0.84482758620689657</v>
      </c>
    </row>
    <row r="121" spans="1:3">
      <c r="A121" t="s">
        <v>1356</v>
      </c>
      <c r="B121">
        <v>6</v>
      </c>
      <c r="C121" s="16">
        <v>0.8448979591836735</v>
      </c>
    </row>
    <row r="122" spans="1:3">
      <c r="A122">
        <v>1200</v>
      </c>
      <c r="B122" t="s">
        <v>1746</v>
      </c>
      <c r="C122" s="16">
        <v>0.84516129032258069</v>
      </c>
    </row>
    <row r="123" spans="1:3">
      <c r="A123" t="s">
        <v>721</v>
      </c>
      <c r="B123" t="s">
        <v>1554</v>
      </c>
      <c r="C123" s="16">
        <v>0.84516129032258069</v>
      </c>
    </row>
    <row r="124" spans="1:3">
      <c r="A124" t="s">
        <v>1201</v>
      </c>
      <c r="B124" t="s">
        <v>1848</v>
      </c>
      <c r="C124" s="16">
        <v>0.84605087014725566</v>
      </c>
    </row>
    <row r="125" spans="1:3">
      <c r="A125" t="s">
        <v>898</v>
      </c>
      <c r="B125">
        <v>2</v>
      </c>
      <c r="C125" s="16">
        <v>0.84651162790697676</v>
      </c>
    </row>
    <row r="126" spans="1:3">
      <c r="A126" t="s">
        <v>1393</v>
      </c>
      <c r="B126">
        <v>2</v>
      </c>
      <c r="C126" s="16">
        <v>0.84651162790697676</v>
      </c>
    </row>
    <row r="127" spans="1:3">
      <c r="A127" t="s">
        <v>1416</v>
      </c>
      <c r="B127">
        <v>5</v>
      </c>
      <c r="C127" s="16">
        <v>0.84651162790697676</v>
      </c>
    </row>
    <row r="128" spans="1:3">
      <c r="A128" t="s">
        <v>1415</v>
      </c>
      <c r="B128">
        <v>5</v>
      </c>
      <c r="C128" s="16">
        <v>0.84651162790697676</v>
      </c>
    </row>
    <row r="129" spans="1:3">
      <c r="A129" t="s">
        <v>512</v>
      </c>
      <c r="B129">
        <v>2</v>
      </c>
      <c r="C129" s="16">
        <v>0.84651162790697676</v>
      </c>
    </row>
    <row r="130" spans="1:3">
      <c r="A130" t="s">
        <v>1437</v>
      </c>
      <c r="B130" t="s">
        <v>2087</v>
      </c>
      <c r="C130" s="16">
        <v>0.84666666666666668</v>
      </c>
    </row>
    <row r="131" spans="1:3">
      <c r="A131" t="s">
        <v>1436</v>
      </c>
      <c r="B131" t="s">
        <v>2087</v>
      </c>
      <c r="C131" s="16">
        <v>0.84666666666666668</v>
      </c>
    </row>
    <row r="132" spans="1:3">
      <c r="A132" t="s">
        <v>1134</v>
      </c>
      <c r="B132" t="s">
        <v>1854</v>
      </c>
      <c r="C132" s="16">
        <v>0.84670282448463086</v>
      </c>
    </row>
    <row r="133" spans="1:3">
      <c r="A133" t="s">
        <v>570</v>
      </c>
      <c r="B133">
        <v>5</v>
      </c>
      <c r="C133" s="16">
        <v>0.84721435316336169</v>
      </c>
    </row>
    <row r="134" spans="1:3">
      <c r="A134" t="s">
        <v>569</v>
      </c>
      <c r="B134">
        <v>5</v>
      </c>
      <c r="C134" s="16">
        <v>0.84721435316336169</v>
      </c>
    </row>
    <row r="135" spans="1:3">
      <c r="A135" t="s">
        <v>1043</v>
      </c>
      <c r="B135">
        <v>5</v>
      </c>
      <c r="C135" s="16">
        <v>0.84721435316336169</v>
      </c>
    </row>
    <row r="136" spans="1:3">
      <c r="A136" t="s">
        <v>791</v>
      </c>
      <c r="B136" t="s">
        <v>2111</v>
      </c>
      <c r="C136" s="16">
        <v>0.84745762711864414</v>
      </c>
    </row>
    <row r="137" spans="1:3">
      <c r="A137" t="s">
        <v>1018</v>
      </c>
      <c r="B137" t="s">
        <v>2109</v>
      </c>
      <c r="C137" s="16">
        <v>0.84745762711864414</v>
      </c>
    </row>
    <row r="138" spans="1:3">
      <c r="A138" t="s">
        <v>1323</v>
      </c>
      <c r="B138">
        <v>2</v>
      </c>
      <c r="C138" s="16">
        <v>0.84761904761904761</v>
      </c>
    </row>
    <row r="139" spans="1:3">
      <c r="A139" t="s">
        <v>1322</v>
      </c>
      <c r="B139">
        <v>2</v>
      </c>
      <c r="C139" s="16">
        <v>0.84761904761904761</v>
      </c>
    </row>
    <row r="140" spans="1:3">
      <c r="A140" t="s">
        <v>13</v>
      </c>
      <c r="B140" t="s">
        <v>1548</v>
      </c>
      <c r="C140" s="16">
        <v>0.84832137993903933</v>
      </c>
    </row>
    <row r="141" spans="1:3">
      <c r="A141" t="s">
        <v>265</v>
      </c>
      <c r="B141" t="s">
        <v>1547</v>
      </c>
      <c r="C141" s="16">
        <v>0.84832137993903933</v>
      </c>
    </row>
    <row r="142" spans="1:3">
      <c r="A142" t="s">
        <v>973</v>
      </c>
      <c r="B142">
        <v>6</v>
      </c>
      <c r="C142" s="16">
        <v>0.84846882573254023</v>
      </c>
    </row>
    <row r="143" spans="1:3">
      <c r="A143" t="s">
        <v>726</v>
      </c>
      <c r="B143">
        <v>6</v>
      </c>
      <c r="C143" s="16">
        <v>0.84846882573254023</v>
      </c>
    </row>
    <row r="144" spans="1:3">
      <c r="A144" t="s">
        <v>1071</v>
      </c>
      <c r="B144">
        <v>2</v>
      </c>
      <c r="C144" s="16">
        <v>0.84878048780487814</v>
      </c>
    </row>
    <row r="145" spans="1:3">
      <c r="A145" t="s">
        <v>1445</v>
      </c>
      <c r="B145">
        <v>2</v>
      </c>
      <c r="C145" s="16">
        <v>0.84878048780487814</v>
      </c>
    </row>
    <row r="146" spans="1:3">
      <c r="A146" t="s">
        <v>998</v>
      </c>
      <c r="B146">
        <v>2</v>
      </c>
      <c r="C146" s="16">
        <v>0.84878048780487814</v>
      </c>
    </row>
    <row r="147" spans="1:3">
      <c r="A147" t="s">
        <v>1212</v>
      </c>
      <c r="B147">
        <v>2</v>
      </c>
      <c r="C147" s="16">
        <v>0.84878048780487814</v>
      </c>
    </row>
    <row r="148" spans="1:3">
      <c r="A148" t="s">
        <v>1283</v>
      </c>
      <c r="B148">
        <v>3</v>
      </c>
      <c r="C148" s="16">
        <v>0.85000000000000009</v>
      </c>
    </row>
    <row r="149" spans="1:3">
      <c r="A149" t="s">
        <v>823</v>
      </c>
      <c r="B149">
        <v>3</v>
      </c>
      <c r="C149" s="16">
        <v>0.85000000000000009</v>
      </c>
    </row>
    <row r="150" spans="1:3">
      <c r="A150" t="s">
        <v>1335</v>
      </c>
      <c r="B150">
        <v>2</v>
      </c>
      <c r="C150" s="16">
        <v>0.85000000000000009</v>
      </c>
    </row>
    <row r="151" spans="1:3">
      <c r="A151" t="s">
        <v>1334</v>
      </c>
      <c r="B151">
        <v>2</v>
      </c>
      <c r="C151" s="16">
        <v>0.85000000000000009</v>
      </c>
    </row>
    <row r="152" spans="1:3">
      <c r="A152" t="s">
        <v>1086</v>
      </c>
      <c r="B152" t="s">
        <v>48</v>
      </c>
      <c r="C152" s="16">
        <v>0.85000000000000009</v>
      </c>
    </row>
    <row r="153" spans="1:3">
      <c r="A153" t="s">
        <v>1355</v>
      </c>
      <c r="B153">
        <v>3</v>
      </c>
      <c r="C153" s="16">
        <v>0.85000000000000009</v>
      </c>
    </row>
    <row r="154" spans="1:3">
      <c r="A154" t="s">
        <v>1453</v>
      </c>
      <c r="B154">
        <v>3</v>
      </c>
      <c r="C154" s="16">
        <v>0.85000000000000009</v>
      </c>
    </row>
    <row r="155" spans="1:3">
      <c r="A155" t="s">
        <v>787</v>
      </c>
      <c r="B155">
        <v>3</v>
      </c>
      <c r="C155" s="16">
        <v>0.85000000000000009</v>
      </c>
    </row>
    <row r="156" spans="1:3">
      <c r="A156" t="s">
        <v>552</v>
      </c>
      <c r="B156">
        <v>5</v>
      </c>
      <c r="C156" s="16">
        <v>0.85000000000000009</v>
      </c>
    </row>
    <row r="157" spans="1:3">
      <c r="A157" t="s">
        <v>1300</v>
      </c>
      <c r="B157" t="s">
        <v>1629</v>
      </c>
      <c r="C157" s="16">
        <v>0.85046426600382408</v>
      </c>
    </row>
    <row r="158" spans="1:3">
      <c r="A158" t="s">
        <v>154</v>
      </c>
      <c r="B158" t="s">
        <v>1629</v>
      </c>
      <c r="C158" s="16">
        <v>0.85046426600382408</v>
      </c>
    </row>
    <row r="159" spans="1:3">
      <c r="A159" t="s">
        <v>1455</v>
      </c>
      <c r="B159" t="s">
        <v>490</v>
      </c>
      <c r="C159" s="16">
        <v>0.85090909090909095</v>
      </c>
    </row>
    <row r="160" spans="1:3">
      <c r="A160" t="s">
        <v>188</v>
      </c>
      <c r="B160" t="s">
        <v>1692</v>
      </c>
      <c r="C160" s="16">
        <v>0.8517075528220881</v>
      </c>
    </row>
    <row r="161" spans="1:3">
      <c r="A161" t="s">
        <v>939</v>
      </c>
      <c r="B161" t="s">
        <v>1964</v>
      </c>
      <c r="C161" s="16">
        <v>0.85249803542806679</v>
      </c>
    </row>
    <row r="162" spans="1:3">
      <c r="A162" t="s">
        <v>940</v>
      </c>
      <c r="B162" t="s">
        <v>1964</v>
      </c>
      <c r="C162" s="16">
        <v>0.85249803542806679</v>
      </c>
    </row>
    <row r="163" spans="1:3">
      <c r="A163" t="s">
        <v>427</v>
      </c>
      <c r="B163" t="s">
        <v>1737</v>
      </c>
      <c r="C163" s="16">
        <v>0.85249803542806679</v>
      </c>
    </row>
    <row r="164" spans="1:3">
      <c r="A164" t="s">
        <v>1215</v>
      </c>
      <c r="B164" t="s">
        <v>2087</v>
      </c>
      <c r="C164" s="16">
        <v>0.85283018867924532</v>
      </c>
    </row>
    <row r="165" spans="1:3">
      <c r="A165" t="s">
        <v>524</v>
      </c>
      <c r="B165" t="s">
        <v>2111</v>
      </c>
      <c r="C165" s="16">
        <v>0.85283018867924532</v>
      </c>
    </row>
    <row r="166" spans="1:3">
      <c r="A166" t="s">
        <v>1364</v>
      </c>
      <c r="B166" t="s">
        <v>1524</v>
      </c>
      <c r="C166" s="16">
        <v>0.85306122448979593</v>
      </c>
    </row>
    <row r="167" spans="1:3">
      <c r="A167" t="s">
        <v>1363</v>
      </c>
      <c r="B167" t="s">
        <v>1524</v>
      </c>
      <c r="C167" s="16">
        <v>0.85306122448979593</v>
      </c>
    </row>
    <row r="168" spans="1:3">
      <c r="A168" t="s">
        <v>568</v>
      </c>
      <c r="B168">
        <v>5</v>
      </c>
      <c r="C168" s="16">
        <v>0.85353319057815846</v>
      </c>
    </row>
    <row r="169" spans="1:3">
      <c r="A169" t="s">
        <v>826</v>
      </c>
      <c r="B169">
        <v>5</v>
      </c>
      <c r="C169" s="16">
        <v>0.85353319057815846</v>
      </c>
    </row>
    <row r="170" spans="1:3">
      <c r="A170" t="s">
        <v>827</v>
      </c>
      <c r="B170">
        <v>5</v>
      </c>
      <c r="C170" s="16">
        <v>0.85353319057815846</v>
      </c>
    </row>
    <row r="171" spans="1:3">
      <c r="A171" t="s">
        <v>128</v>
      </c>
      <c r="B171">
        <v>3</v>
      </c>
      <c r="C171" s="16">
        <v>0.85365853658536583</v>
      </c>
    </row>
    <row r="172" spans="1:3">
      <c r="A172" t="s">
        <v>864</v>
      </c>
      <c r="B172">
        <v>3</v>
      </c>
      <c r="C172" s="16">
        <v>0.85365853658536583</v>
      </c>
    </row>
    <row r="173" spans="1:3">
      <c r="A173" t="s">
        <v>1095</v>
      </c>
      <c r="B173">
        <v>3</v>
      </c>
      <c r="C173" s="16">
        <v>0.85365853658536583</v>
      </c>
    </row>
    <row r="174" spans="1:3">
      <c r="A174" t="s">
        <v>1407</v>
      </c>
      <c r="B174">
        <v>3</v>
      </c>
      <c r="C174" s="16">
        <v>0.85365853658536583</v>
      </c>
    </row>
    <row r="175" spans="1:3">
      <c r="A175" t="s">
        <v>1459</v>
      </c>
      <c r="B175">
        <v>3</v>
      </c>
      <c r="C175" s="16">
        <v>0.85365853658536583</v>
      </c>
    </row>
    <row r="176" spans="1:3">
      <c r="A176" t="s">
        <v>1400</v>
      </c>
      <c r="B176" t="s">
        <v>959</v>
      </c>
      <c r="C176" s="16">
        <v>0.85384615384615392</v>
      </c>
    </row>
    <row r="177" spans="1:3">
      <c r="A177" t="s">
        <v>757</v>
      </c>
      <c r="B177" t="s">
        <v>112</v>
      </c>
      <c r="C177" s="16">
        <v>0.85384615384615392</v>
      </c>
    </row>
    <row r="178" spans="1:3">
      <c r="A178" t="s">
        <v>187</v>
      </c>
      <c r="B178" t="s">
        <v>1711</v>
      </c>
      <c r="C178" s="16">
        <v>0.8549019607843138</v>
      </c>
    </row>
    <row r="179" spans="1:3">
      <c r="A179" t="s">
        <v>1320</v>
      </c>
      <c r="B179" t="s">
        <v>1663</v>
      </c>
      <c r="C179" s="16">
        <v>0.8549019607843138</v>
      </c>
    </row>
    <row r="180" spans="1:3">
      <c r="A180" t="s">
        <v>1354</v>
      </c>
      <c r="B180" t="s">
        <v>1824</v>
      </c>
      <c r="C180" s="16">
        <v>0.85493163578936027</v>
      </c>
    </row>
    <row r="181" spans="1:3">
      <c r="A181" t="s">
        <v>289</v>
      </c>
      <c r="B181" t="s">
        <v>1524</v>
      </c>
      <c r="C181" s="16">
        <v>0.85531914893617023</v>
      </c>
    </row>
    <row r="182" spans="1:3">
      <c r="A182" t="s">
        <v>756</v>
      </c>
      <c r="B182" t="s">
        <v>112</v>
      </c>
      <c r="C182" s="16">
        <v>0.85599999999999998</v>
      </c>
    </row>
    <row r="183" spans="1:3">
      <c r="A183" t="s">
        <v>288</v>
      </c>
      <c r="B183" t="s">
        <v>1524</v>
      </c>
      <c r="C183" s="16">
        <v>0.85652173913043483</v>
      </c>
    </row>
    <row r="184" spans="1:3">
      <c r="A184" t="s">
        <v>540</v>
      </c>
      <c r="B184" t="s">
        <v>2135</v>
      </c>
      <c r="C184" s="16">
        <v>0.85652173913043483</v>
      </c>
    </row>
    <row r="185" spans="1:3">
      <c r="A185" t="s">
        <v>540</v>
      </c>
      <c r="B185" t="s">
        <v>2135</v>
      </c>
      <c r="C185" s="16">
        <v>0.85652173913043483</v>
      </c>
    </row>
    <row r="186" spans="1:3">
      <c r="A186" t="s">
        <v>480</v>
      </c>
      <c r="B186">
        <v>5</v>
      </c>
      <c r="C186" s="16">
        <v>0.85714285714285721</v>
      </c>
    </row>
    <row r="187" spans="1:3">
      <c r="A187" t="s">
        <v>489</v>
      </c>
      <c r="B187">
        <v>5</v>
      </c>
      <c r="C187" s="16">
        <v>0.85714285714285721</v>
      </c>
    </row>
    <row r="188" spans="1:3">
      <c r="A188" t="s">
        <v>1045</v>
      </c>
      <c r="B188">
        <v>3</v>
      </c>
      <c r="C188" s="16">
        <v>0.85735140771637119</v>
      </c>
    </row>
    <row r="189" spans="1:3">
      <c r="A189" t="s">
        <v>1289</v>
      </c>
      <c r="B189">
        <v>3</v>
      </c>
      <c r="C189" s="16">
        <v>0.85735140771637119</v>
      </c>
    </row>
    <row r="190" spans="1:3">
      <c r="A190" t="s">
        <v>1288</v>
      </c>
      <c r="B190">
        <v>3</v>
      </c>
      <c r="C190" s="16">
        <v>0.85735140771637119</v>
      </c>
    </row>
    <row r="191" spans="1:3">
      <c r="A191" t="s">
        <v>173</v>
      </c>
      <c r="B191">
        <v>3008</v>
      </c>
      <c r="C191" s="16">
        <v>0.85833333333333339</v>
      </c>
    </row>
    <row r="192" spans="1:3">
      <c r="A192" t="s">
        <v>118</v>
      </c>
      <c r="B192" t="s">
        <v>2087</v>
      </c>
      <c r="C192" s="16">
        <v>0.85833333333333339</v>
      </c>
    </row>
    <row r="193" spans="1:3">
      <c r="A193" t="s">
        <v>437</v>
      </c>
      <c r="B193" t="s">
        <v>1750</v>
      </c>
      <c r="C193" s="16">
        <v>0.85897435897435903</v>
      </c>
    </row>
    <row r="194" spans="1:3">
      <c r="A194" t="s">
        <v>1329</v>
      </c>
      <c r="B194">
        <v>3</v>
      </c>
      <c r="C194" s="16">
        <v>0.85945945945945945</v>
      </c>
    </row>
    <row r="195" spans="1:3">
      <c r="A195" t="s">
        <v>1419</v>
      </c>
      <c r="B195">
        <v>6</v>
      </c>
      <c r="C195" s="16">
        <v>0.85945945945945945</v>
      </c>
    </row>
    <row r="196" spans="1:3">
      <c r="A196" t="s">
        <v>1395</v>
      </c>
      <c r="B196" t="s">
        <v>1962</v>
      </c>
      <c r="C196" s="16">
        <v>0.8595744680851064</v>
      </c>
    </row>
    <row r="197" spans="1:3">
      <c r="A197" t="s">
        <v>523</v>
      </c>
      <c r="B197" t="s">
        <v>2111</v>
      </c>
      <c r="C197" s="16">
        <v>0.8595744680851064</v>
      </c>
    </row>
    <row r="198" spans="1:3">
      <c r="A198" t="s">
        <v>1137</v>
      </c>
      <c r="B198" t="s">
        <v>1854</v>
      </c>
      <c r="C198" s="16">
        <v>0.86023992401370553</v>
      </c>
    </row>
    <row r="199" spans="1:3">
      <c r="A199" t="s">
        <v>1136</v>
      </c>
      <c r="B199" t="s">
        <v>1854</v>
      </c>
      <c r="C199" s="16">
        <v>0.86023992401370553</v>
      </c>
    </row>
    <row r="200" spans="1:3">
      <c r="A200" t="s">
        <v>871</v>
      </c>
      <c r="B200" t="s">
        <v>1695</v>
      </c>
      <c r="C200" s="16">
        <v>0.86086956521739133</v>
      </c>
    </row>
    <row r="201" spans="1:3">
      <c r="A201" t="s">
        <v>873</v>
      </c>
      <c r="B201" t="s">
        <v>1695</v>
      </c>
      <c r="C201" s="16">
        <v>0.86086956521739133</v>
      </c>
    </row>
    <row r="202" spans="1:3">
      <c r="A202" t="s">
        <v>919</v>
      </c>
      <c r="B202">
        <v>6</v>
      </c>
      <c r="C202" s="16">
        <v>0.86111111111111116</v>
      </c>
    </row>
    <row r="203" spans="1:3">
      <c r="A203" t="s">
        <v>343</v>
      </c>
      <c r="B203">
        <v>3</v>
      </c>
      <c r="C203" s="16">
        <v>0.86111111111111116</v>
      </c>
    </row>
    <row r="204" spans="1:3">
      <c r="A204" t="s">
        <v>1138</v>
      </c>
      <c r="B204">
        <v>3</v>
      </c>
      <c r="C204" s="16">
        <v>0.86111111111111116</v>
      </c>
    </row>
    <row r="205" spans="1:3">
      <c r="A205" t="s">
        <v>711</v>
      </c>
      <c r="B205">
        <v>3</v>
      </c>
      <c r="C205" s="16">
        <v>0.86111111111111116</v>
      </c>
    </row>
    <row r="206" spans="1:3">
      <c r="A206" t="s">
        <v>712</v>
      </c>
      <c r="B206">
        <v>3</v>
      </c>
      <c r="C206" s="16">
        <v>0.86111111111111116</v>
      </c>
    </row>
    <row r="207" spans="1:3">
      <c r="A207" t="s">
        <v>778</v>
      </c>
      <c r="B207">
        <v>3</v>
      </c>
      <c r="C207" s="16">
        <v>0.86111111111111116</v>
      </c>
    </row>
    <row r="208" spans="1:3">
      <c r="A208" t="s">
        <v>488</v>
      </c>
      <c r="B208">
        <v>3</v>
      </c>
      <c r="C208" s="16">
        <v>0.86111111111111116</v>
      </c>
    </row>
    <row r="209" spans="1:3">
      <c r="A209" t="s">
        <v>286</v>
      </c>
      <c r="B209" t="s">
        <v>1827</v>
      </c>
      <c r="C209" s="16">
        <v>0.86213886623705127</v>
      </c>
    </row>
    <row r="210" spans="1:3">
      <c r="A210" t="s">
        <v>285</v>
      </c>
      <c r="B210" t="s">
        <v>1827</v>
      </c>
      <c r="C210" s="16">
        <v>0.86213886623705127</v>
      </c>
    </row>
    <row r="211" spans="1:3">
      <c r="A211" t="s">
        <v>282</v>
      </c>
      <c r="B211" t="s">
        <v>1835</v>
      </c>
      <c r="C211" s="16">
        <v>0.86213886623705127</v>
      </c>
    </row>
    <row r="212" spans="1:3">
      <c r="A212" t="s">
        <v>391</v>
      </c>
      <c r="B212" t="s">
        <v>1917</v>
      </c>
      <c r="C212" s="16">
        <v>0.86213886623705127</v>
      </c>
    </row>
    <row r="213" spans="1:3">
      <c r="A213" t="s">
        <v>1315</v>
      </c>
      <c r="B213" t="s">
        <v>1640</v>
      </c>
      <c r="C213" s="16">
        <v>0.86222222222222222</v>
      </c>
    </row>
    <row r="214" spans="1:3">
      <c r="A214" t="s">
        <v>671</v>
      </c>
      <c r="B214" t="s">
        <v>1967</v>
      </c>
      <c r="C214" s="16">
        <v>0.86222222222222222</v>
      </c>
    </row>
    <row r="215" spans="1:3">
      <c r="A215" t="s">
        <v>1130</v>
      </c>
      <c r="B215" t="s">
        <v>1853</v>
      </c>
      <c r="C215" s="16">
        <v>0.86222222222222222</v>
      </c>
    </row>
    <row r="216" spans="1:3">
      <c r="A216" t="s">
        <v>722</v>
      </c>
      <c r="B216" t="s">
        <v>1554</v>
      </c>
      <c r="C216" s="16">
        <v>0.86222222222222222</v>
      </c>
    </row>
    <row r="217" spans="1:3">
      <c r="A217" t="s">
        <v>946</v>
      </c>
      <c r="B217">
        <v>500</v>
      </c>
      <c r="C217" s="16">
        <v>0.86341463414634145</v>
      </c>
    </row>
    <row r="218" spans="1:3">
      <c r="A218" t="s">
        <v>417</v>
      </c>
      <c r="B218" t="s">
        <v>1555</v>
      </c>
      <c r="C218" s="16">
        <v>0.86363636363636365</v>
      </c>
    </row>
    <row r="219" spans="1:3">
      <c r="A219" t="s">
        <v>1243</v>
      </c>
      <c r="B219" t="s">
        <v>2111</v>
      </c>
      <c r="C219" s="16">
        <v>0.86363636363636365</v>
      </c>
    </row>
    <row r="220" spans="1:3">
      <c r="A220" t="s">
        <v>882</v>
      </c>
      <c r="B220" t="s">
        <v>1719</v>
      </c>
      <c r="C220" s="16">
        <v>0.86369476226309483</v>
      </c>
    </row>
    <row r="221" spans="1:3">
      <c r="A221" t="s">
        <v>185</v>
      </c>
      <c r="B221" t="s">
        <v>1669</v>
      </c>
      <c r="C221" s="16">
        <v>0.86516129032258071</v>
      </c>
    </row>
    <row r="222" spans="1:3">
      <c r="A222" t="s">
        <v>887</v>
      </c>
      <c r="B222" t="s">
        <v>1826</v>
      </c>
      <c r="C222" s="16">
        <v>0.86540357659250544</v>
      </c>
    </row>
    <row r="223" spans="1:3">
      <c r="A223" t="s">
        <v>1185</v>
      </c>
      <c r="B223" t="s">
        <v>1551</v>
      </c>
      <c r="C223" s="16">
        <v>0.86587294968594564</v>
      </c>
    </row>
    <row r="224" spans="1:3">
      <c r="A224" t="s">
        <v>1324</v>
      </c>
      <c r="B224">
        <v>2</v>
      </c>
      <c r="C224" s="16">
        <v>0.8666666666666667</v>
      </c>
    </row>
    <row r="225" spans="1:3">
      <c r="A225" t="s">
        <v>1321</v>
      </c>
      <c r="B225">
        <v>2</v>
      </c>
      <c r="C225" s="16">
        <v>0.8666666666666667</v>
      </c>
    </row>
    <row r="226" spans="1:3">
      <c r="A226" t="s">
        <v>1391</v>
      </c>
      <c r="B226">
        <v>5</v>
      </c>
      <c r="C226" s="16">
        <v>0.8666666666666667</v>
      </c>
    </row>
    <row r="227" spans="1:3">
      <c r="A227" t="s">
        <v>1392</v>
      </c>
      <c r="B227">
        <v>5</v>
      </c>
      <c r="C227" s="16">
        <v>0.8666666666666667</v>
      </c>
    </row>
    <row r="228" spans="1:3">
      <c r="A228" t="s">
        <v>930</v>
      </c>
      <c r="B228" t="s">
        <v>1854</v>
      </c>
      <c r="C228" s="16">
        <v>0.8666666666666667</v>
      </c>
    </row>
    <row r="229" spans="1:3">
      <c r="A229" t="s">
        <v>1175</v>
      </c>
      <c r="B229">
        <v>5</v>
      </c>
      <c r="C229" s="16">
        <v>0.8666666666666667</v>
      </c>
    </row>
    <row r="230" spans="1:3">
      <c r="A230" t="s">
        <v>698</v>
      </c>
      <c r="B230" t="s">
        <v>2091</v>
      </c>
      <c r="C230" s="16">
        <v>0.86751282562735776</v>
      </c>
    </row>
    <row r="231" spans="1:3">
      <c r="A231" t="s">
        <v>1316</v>
      </c>
      <c r="B231" t="s">
        <v>1640</v>
      </c>
      <c r="C231" s="16">
        <v>0.86829268292682926</v>
      </c>
    </row>
    <row r="232" spans="1:3">
      <c r="A232" t="s">
        <v>585</v>
      </c>
      <c r="B232" t="s">
        <v>1640</v>
      </c>
      <c r="C232" s="16">
        <v>0.86829268292682926</v>
      </c>
    </row>
    <row r="233" spans="1:3">
      <c r="A233" t="s">
        <v>1401</v>
      </c>
      <c r="B233" t="s">
        <v>1914</v>
      </c>
      <c r="C233" s="16">
        <v>0.86829268292682926</v>
      </c>
    </row>
    <row r="234" spans="1:3">
      <c r="A234" t="s">
        <v>1405</v>
      </c>
      <c r="B234" t="s">
        <v>961</v>
      </c>
      <c r="C234" s="16">
        <v>0.86829268292682926</v>
      </c>
    </row>
    <row r="235" spans="1:3">
      <c r="A235" t="s">
        <v>1179</v>
      </c>
      <c r="B235" t="s">
        <v>1918</v>
      </c>
      <c r="C235" s="16">
        <v>0.86829268292682926</v>
      </c>
    </row>
    <row r="236" spans="1:3">
      <c r="A236" t="s">
        <v>1176</v>
      </c>
      <c r="B236" t="s">
        <v>1913</v>
      </c>
      <c r="C236" s="16">
        <v>0.86829268292682926</v>
      </c>
    </row>
    <row r="237" spans="1:3">
      <c r="A237" t="s">
        <v>1439</v>
      </c>
      <c r="B237" t="s">
        <v>474</v>
      </c>
      <c r="C237" s="16">
        <v>0.86829268292682926</v>
      </c>
    </row>
    <row r="238" spans="1:3">
      <c r="A238" t="s">
        <v>1254</v>
      </c>
      <c r="B238" t="s">
        <v>798</v>
      </c>
      <c r="C238" s="16">
        <v>0.86829268292682926</v>
      </c>
    </row>
    <row r="239" spans="1:3">
      <c r="A239" t="s">
        <v>1050</v>
      </c>
      <c r="B239" t="s">
        <v>1629</v>
      </c>
      <c r="C239" s="16">
        <v>0.8683120222537043</v>
      </c>
    </row>
    <row r="240" spans="1:3">
      <c r="A240" t="s">
        <v>267</v>
      </c>
      <c r="B240" t="s">
        <v>1526</v>
      </c>
      <c r="C240" s="16">
        <v>0.86842105263157898</v>
      </c>
    </row>
    <row r="241" spans="1:3">
      <c r="A241" t="s">
        <v>729</v>
      </c>
      <c r="B241">
        <v>6</v>
      </c>
      <c r="C241" s="16">
        <v>0.86875000000000002</v>
      </c>
    </row>
    <row r="242" spans="1:3">
      <c r="A242" t="s">
        <v>728</v>
      </c>
      <c r="B242">
        <v>6</v>
      </c>
      <c r="C242" s="16">
        <v>0.86875000000000002</v>
      </c>
    </row>
    <row r="243" spans="1:3">
      <c r="A243" t="s">
        <v>1145</v>
      </c>
      <c r="B243" t="s">
        <v>1965</v>
      </c>
      <c r="C243" s="16">
        <v>0.86891854502569876</v>
      </c>
    </row>
    <row r="244" spans="1:3">
      <c r="A244" t="s">
        <v>1244</v>
      </c>
      <c r="B244" t="s">
        <v>2108</v>
      </c>
      <c r="C244" s="16">
        <v>0.87</v>
      </c>
    </row>
    <row r="245" spans="1:3">
      <c r="A245" t="s">
        <v>532</v>
      </c>
      <c r="B245" t="s">
        <v>2124</v>
      </c>
      <c r="C245" s="16">
        <v>0.87</v>
      </c>
    </row>
    <row r="246" spans="1:3">
      <c r="A246" t="s">
        <v>1469</v>
      </c>
      <c r="B246" t="s">
        <v>1467</v>
      </c>
      <c r="C246" s="16">
        <v>0.87</v>
      </c>
    </row>
    <row r="247" spans="1:3">
      <c r="A247" t="s">
        <v>532</v>
      </c>
      <c r="B247" t="s">
        <v>2124</v>
      </c>
      <c r="C247" s="16">
        <v>0.87</v>
      </c>
    </row>
    <row r="248" spans="1:3">
      <c r="A248" t="s">
        <v>967</v>
      </c>
      <c r="B248">
        <v>3</v>
      </c>
      <c r="C248" s="16">
        <v>0.87096774193548387</v>
      </c>
    </row>
    <row r="249" spans="1:3">
      <c r="A249" t="s">
        <v>720</v>
      </c>
      <c r="B249">
        <v>3</v>
      </c>
      <c r="C249" s="16">
        <v>0.87096774193548387</v>
      </c>
    </row>
    <row r="250" spans="1:3">
      <c r="A250" t="s">
        <v>605</v>
      </c>
      <c r="B250" t="s">
        <v>266</v>
      </c>
      <c r="C250" s="16">
        <v>0.87179487179487181</v>
      </c>
    </row>
    <row r="251" spans="1:3">
      <c r="A251" t="s">
        <v>604</v>
      </c>
      <c r="B251" t="s">
        <v>266</v>
      </c>
      <c r="C251" s="16">
        <v>0.87179487179487181</v>
      </c>
    </row>
    <row r="252" spans="1:3">
      <c r="A252" t="s">
        <v>1406</v>
      </c>
      <c r="B252" t="s">
        <v>961</v>
      </c>
      <c r="C252" s="16">
        <v>0.87179487179487181</v>
      </c>
    </row>
    <row r="253" spans="1:3">
      <c r="A253" t="s">
        <v>1403</v>
      </c>
      <c r="B253" t="s">
        <v>1918</v>
      </c>
      <c r="C253" s="16">
        <v>0.87179487179487181</v>
      </c>
    </row>
    <row r="254" spans="1:3">
      <c r="A254" t="s">
        <v>1404</v>
      </c>
      <c r="B254" t="s">
        <v>1918</v>
      </c>
      <c r="C254" s="16">
        <v>0.87179487179487181</v>
      </c>
    </row>
    <row r="255" spans="1:3">
      <c r="A255" t="s">
        <v>1448</v>
      </c>
      <c r="B255" t="s">
        <v>754</v>
      </c>
      <c r="C255" s="16">
        <v>0.87179487179487181</v>
      </c>
    </row>
    <row r="256" spans="1:3">
      <c r="A256" t="s">
        <v>428</v>
      </c>
      <c r="B256" t="s">
        <v>1737</v>
      </c>
      <c r="C256" s="16">
        <v>0.87187238058780436</v>
      </c>
    </row>
    <row r="257" spans="1:3">
      <c r="A257" t="s">
        <v>290</v>
      </c>
      <c r="B257" t="s">
        <v>1828</v>
      </c>
      <c r="C257" s="16">
        <v>0.871941654092112</v>
      </c>
    </row>
    <row r="258" spans="1:3">
      <c r="A258" t="s">
        <v>910</v>
      </c>
      <c r="B258" t="s">
        <v>1782</v>
      </c>
      <c r="C258" s="16">
        <v>0.87275153379660442</v>
      </c>
    </row>
    <row r="259" spans="1:3">
      <c r="A259" t="s">
        <v>1051</v>
      </c>
      <c r="B259" t="s">
        <v>1631</v>
      </c>
      <c r="C259" s="16">
        <v>0.87368421052631584</v>
      </c>
    </row>
    <row r="260" spans="1:3">
      <c r="A260" t="s">
        <v>1301</v>
      </c>
      <c r="B260" t="s">
        <v>1632</v>
      </c>
      <c r="C260" s="16">
        <v>0.87368421052631584</v>
      </c>
    </row>
    <row r="261" spans="1:3">
      <c r="A261" t="s">
        <v>836</v>
      </c>
      <c r="B261" t="s">
        <v>1629</v>
      </c>
      <c r="C261" s="16">
        <v>0.87368421052631584</v>
      </c>
    </row>
    <row r="262" spans="1:3">
      <c r="A262" t="s">
        <v>1069</v>
      </c>
      <c r="B262">
        <v>3008</v>
      </c>
      <c r="C262" s="16">
        <v>0.87368421052631584</v>
      </c>
    </row>
    <row r="263" spans="1:3">
      <c r="A263" t="s">
        <v>117</v>
      </c>
      <c r="B263" t="s">
        <v>1515</v>
      </c>
      <c r="C263" s="16">
        <v>0.87368421052631584</v>
      </c>
    </row>
    <row r="264" spans="1:3">
      <c r="A264" t="s">
        <v>1207</v>
      </c>
      <c r="B264" t="s">
        <v>2079</v>
      </c>
      <c r="C264" s="16">
        <v>0.8739726027397261</v>
      </c>
    </row>
    <row r="265" spans="1:3">
      <c r="A265" t="s">
        <v>972</v>
      </c>
      <c r="B265" t="s">
        <v>1547</v>
      </c>
      <c r="C265" s="16">
        <v>0.87428571428571433</v>
      </c>
    </row>
    <row r="266" spans="1:3">
      <c r="A266" t="s">
        <v>872</v>
      </c>
      <c r="B266" t="s">
        <v>1695</v>
      </c>
      <c r="C266" s="16">
        <v>0.87567567567567572</v>
      </c>
    </row>
    <row r="267" spans="1:3">
      <c r="A267" t="s">
        <v>908</v>
      </c>
      <c r="B267" t="s">
        <v>1780</v>
      </c>
      <c r="C267" s="16">
        <v>0.87567567567567572</v>
      </c>
    </row>
    <row r="268" spans="1:3">
      <c r="A268" t="s">
        <v>907</v>
      </c>
      <c r="B268" t="s">
        <v>1780</v>
      </c>
      <c r="C268" s="16">
        <v>0.87567567567567572</v>
      </c>
    </row>
    <row r="269" spans="1:3">
      <c r="A269" t="s">
        <v>352</v>
      </c>
      <c r="B269" t="s">
        <v>1854</v>
      </c>
      <c r="C269" s="16">
        <v>0.87567567567567572</v>
      </c>
    </row>
    <row r="270" spans="1:3">
      <c r="A270" t="s">
        <v>680</v>
      </c>
      <c r="B270" t="s">
        <v>1886</v>
      </c>
      <c r="C270" s="16">
        <v>0.87567567567567572</v>
      </c>
    </row>
    <row r="271" spans="1:3">
      <c r="A271" t="s">
        <v>793</v>
      </c>
      <c r="B271" t="s">
        <v>2108</v>
      </c>
      <c r="C271" s="16">
        <v>0.87567567567567572</v>
      </c>
    </row>
    <row r="272" spans="1:3">
      <c r="A272" t="s">
        <v>1079</v>
      </c>
      <c r="B272" t="s">
        <v>1692</v>
      </c>
      <c r="C272" s="16">
        <v>0.87586206896551722</v>
      </c>
    </row>
    <row r="273" spans="1:3">
      <c r="A273" t="s">
        <v>997</v>
      </c>
      <c r="B273" t="s">
        <v>2079</v>
      </c>
      <c r="C273" s="16">
        <v>0.87609716368311019</v>
      </c>
    </row>
    <row r="274" spans="1:3">
      <c r="A274" t="s">
        <v>860</v>
      </c>
      <c r="B274" t="s">
        <v>1966</v>
      </c>
      <c r="C274" s="16">
        <v>0.87730494149854399</v>
      </c>
    </row>
    <row r="275" spans="1:3">
      <c r="A275" t="s">
        <v>761</v>
      </c>
      <c r="B275" t="s">
        <v>2083</v>
      </c>
      <c r="C275" s="16">
        <v>0.87777777777777777</v>
      </c>
    </row>
    <row r="276" spans="1:3">
      <c r="A276" t="s">
        <v>1387</v>
      </c>
      <c r="B276" t="s">
        <v>1816</v>
      </c>
      <c r="C276" s="16">
        <v>0.87850164425925059</v>
      </c>
    </row>
    <row r="277" spans="1:3">
      <c r="A277" t="s">
        <v>1380</v>
      </c>
      <c r="B277" t="s">
        <v>1816</v>
      </c>
      <c r="C277" s="16">
        <v>0.87850164425925059</v>
      </c>
    </row>
    <row r="278" spans="1:3">
      <c r="A278" t="s">
        <v>1389</v>
      </c>
      <c r="B278" t="s">
        <v>1817</v>
      </c>
      <c r="C278" s="16">
        <v>0.87850164425925059</v>
      </c>
    </row>
    <row r="279" spans="1:3">
      <c r="A279" t="s">
        <v>1386</v>
      </c>
      <c r="B279" t="s">
        <v>1814</v>
      </c>
      <c r="C279" s="16">
        <v>0.87850164425925059</v>
      </c>
    </row>
    <row r="280" spans="1:3">
      <c r="A280" t="s">
        <v>758</v>
      </c>
      <c r="B280" t="s">
        <v>1655</v>
      </c>
      <c r="C280" s="16">
        <v>0.87887323943661977</v>
      </c>
    </row>
    <row r="281" spans="1:3">
      <c r="A281" t="s">
        <v>1002</v>
      </c>
      <c r="B281" t="s">
        <v>754</v>
      </c>
      <c r="C281" s="16">
        <v>0.87924524877423627</v>
      </c>
    </row>
    <row r="282" spans="1:3">
      <c r="A282" t="s">
        <v>129</v>
      </c>
      <c r="B282">
        <v>5</v>
      </c>
      <c r="C282" s="16">
        <v>0.88</v>
      </c>
    </row>
    <row r="283" spans="1:3">
      <c r="A283" t="s">
        <v>591</v>
      </c>
      <c r="B283">
        <v>2</v>
      </c>
      <c r="C283" s="16">
        <v>0.88</v>
      </c>
    </row>
    <row r="284" spans="1:3">
      <c r="A284" t="s">
        <v>684</v>
      </c>
      <c r="B284">
        <v>2</v>
      </c>
      <c r="C284" s="16">
        <v>0.88</v>
      </c>
    </row>
    <row r="285" spans="1:3">
      <c r="A285" t="s">
        <v>469</v>
      </c>
      <c r="B285">
        <v>2</v>
      </c>
      <c r="C285" s="16">
        <v>0.88</v>
      </c>
    </row>
    <row r="286" spans="1:3">
      <c r="A286" t="s">
        <v>994</v>
      </c>
      <c r="B286" t="s">
        <v>2087</v>
      </c>
      <c r="C286" s="16">
        <v>0.88</v>
      </c>
    </row>
    <row r="287" spans="1:3">
      <c r="A287" t="s">
        <v>995</v>
      </c>
      <c r="B287" t="s">
        <v>2087</v>
      </c>
      <c r="C287" s="16">
        <v>0.88</v>
      </c>
    </row>
    <row r="288" spans="1:3">
      <c r="A288" t="s">
        <v>139</v>
      </c>
      <c r="B288">
        <v>3</v>
      </c>
      <c r="C288" s="16">
        <v>0.88148148148148153</v>
      </c>
    </row>
    <row r="289" spans="1:3">
      <c r="A289" t="s">
        <v>364</v>
      </c>
      <c r="B289" t="s">
        <v>1155</v>
      </c>
      <c r="C289" s="16">
        <v>0.88235294117647056</v>
      </c>
    </row>
    <row r="290" spans="1:3">
      <c r="A290" t="s">
        <v>400</v>
      </c>
      <c r="B290" t="s">
        <v>1930</v>
      </c>
      <c r="C290" s="16">
        <v>0.88235294117647056</v>
      </c>
    </row>
    <row r="291" spans="1:3">
      <c r="A291" t="s">
        <v>770</v>
      </c>
      <c r="B291" t="s">
        <v>2091</v>
      </c>
      <c r="C291" s="16">
        <v>0.88235294117647056</v>
      </c>
    </row>
    <row r="292" spans="1:3">
      <c r="A292" t="s">
        <v>771</v>
      </c>
      <c r="B292" t="s">
        <v>2091</v>
      </c>
      <c r="C292" s="16">
        <v>0.88235294117647056</v>
      </c>
    </row>
    <row r="293" spans="1:3">
      <c r="A293" t="s">
        <v>805</v>
      </c>
      <c r="B293" t="s">
        <v>1655</v>
      </c>
      <c r="C293" s="16">
        <v>0.88235294117647056</v>
      </c>
    </row>
    <row r="294" spans="1:3">
      <c r="A294" t="s">
        <v>388</v>
      </c>
      <c r="B294" t="s">
        <v>1914</v>
      </c>
      <c r="C294" s="16">
        <v>0.88293787078745811</v>
      </c>
    </row>
    <row r="295" spans="1:3">
      <c r="A295" t="s">
        <v>438</v>
      </c>
      <c r="B295" t="s">
        <v>1752</v>
      </c>
      <c r="C295" s="16">
        <v>0.88363636363636366</v>
      </c>
    </row>
    <row r="296" spans="1:3">
      <c r="A296" t="s">
        <v>419</v>
      </c>
      <c r="B296" t="s">
        <v>1551</v>
      </c>
      <c r="C296" s="16">
        <v>0.88391193612087315</v>
      </c>
    </row>
    <row r="297" spans="1:3">
      <c r="A297" t="s">
        <v>1327</v>
      </c>
      <c r="B297" t="s">
        <v>1682</v>
      </c>
      <c r="C297" s="16">
        <v>0.88431606588684653</v>
      </c>
    </row>
    <row r="298" spans="1:3">
      <c r="A298" t="s">
        <v>1206</v>
      </c>
      <c r="B298" t="s">
        <v>2079</v>
      </c>
      <c r="C298" s="16">
        <v>0.88437500000000002</v>
      </c>
    </row>
    <row r="299" spans="1:3">
      <c r="A299" t="s">
        <v>817</v>
      </c>
      <c r="B299">
        <v>6</v>
      </c>
      <c r="C299" s="16">
        <v>0.88461538461538469</v>
      </c>
    </row>
    <row r="300" spans="1:3">
      <c r="A300" t="s">
        <v>1347</v>
      </c>
      <c r="B300">
        <v>6</v>
      </c>
      <c r="C300" s="16">
        <v>0.88461538461538469</v>
      </c>
    </row>
    <row r="301" spans="1:3">
      <c r="A301" t="s">
        <v>1348</v>
      </c>
      <c r="B301">
        <v>6</v>
      </c>
      <c r="C301" s="16">
        <v>0.88461538461538469</v>
      </c>
    </row>
    <row r="302" spans="1:3">
      <c r="A302" t="s">
        <v>1132</v>
      </c>
      <c r="B302">
        <v>3</v>
      </c>
      <c r="C302" s="16">
        <v>0.88461538461538469</v>
      </c>
    </row>
    <row r="303" spans="1:3">
      <c r="A303" t="s">
        <v>1131</v>
      </c>
      <c r="B303">
        <v>3</v>
      </c>
      <c r="C303" s="16">
        <v>0.88461538461538469</v>
      </c>
    </row>
    <row r="304" spans="1:3">
      <c r="A304" t="s">
        <v>779</v>
      </c>
      <c r="B304">
        <v>3</v>
      </c>
      <c r="C304" s="16">
        <v>0.88461538461538469</v>
      </c>
    </row>
    <row r="305" spans="1:3">
      <c r="A305" t="s">
        <v>510</v>
      </c>
      <c r="B305">
        <v>3</v>
      </c>
      <c r="C305" s="16">
        <v>0.88461538461538469</v>
      </c>
    </row>
    <row r="306" spans="1:3">
      <c r="A306" t="s">
        <v>1312</v>
      </c>
      <c r="B306">
        <v>5008</v>
      </c>
      <c r="C306" s="16">
        <v>0.88484848484848488</v>
      </c>
    </row>
    <row r="307" spans="1:3">
      <c r="A307" t="s">
        <v>1311</v>
      </c>
      <c r="B307">
        <v>3008</v>
      </c>
      <c r="C307" s="16">
        <v>0.88484848484848488</v>
      </c>
    </row>
    <row r="308" spans="1:3">
      <c r="A308" t="s">
        <v>1310</v>
      </c>
      <c r="B308">
        <v>2008</v>
      </c>
      <c r="C308" s="16">
        <v>0.88484848484848488</v>
      </c>
    </row>
    <row r="309" spans="1:3">
      <c r="A309" t="s">
        <v>322</v>
      </c>
      <c r="B309">
        <v>360</v>
      </c>
      <c r="C309" s="16">
        <v>0.88484848484848488</v>
      </c>
    </row>
    <row r="310" spans="1:3">
      <c r="A310" t="s">
        <v>501</v>
      </c>
      <c r="B310" t="s">
        <v>1852</v>
      </c>
      <c r="C310" s="16">
        <v>0.88553117646819768</v>
      </c>
    </row>
    <row r="311" spans="1:3">
      <c r="A311" t="s">
        <v>891</v>
      </c>
      <c r="B311" t="s">
        <v>2109</v>
      </c>
      <c r="C311" s="16">
        <v>0.88684851771787376</v>
      </c>
    </row>
    <row r="312" spans="1:3">
      <c r="A312" t="s">
        <v>906</v>
      </c>
      <c r="B312" t="s">
        <v>1780</v>
      </c>
      <c r="C312" s="16">
        <v>0.88750000000000007</v>
      </c>
    </row>
    <row r="313" spans="1:3">
      <c r="A313" t="s">
        <v>792</v>
      </c>
      <c r="B313" t="s">
        <v>2108</v>
      </c>
      <c r="C313" s="16">
        <v>0.88750000000000007</v>
      </c>
    </row>
    <row r="314" spans="1:3">
      <c r="A314" t="s">
        <v>522</v>
      </c>
      <c r="B314" t="s">
        <v>2111</v>
      </c>
      <c r="C314" s="16">
        <v>0.88750000000000007</v>
      </c>
    </row>
    <row r="315" spans="1:3">
      <c r="A315" t="s">
        <v>1362</v>
      </c>
      <c r="B315" t="s">
        <v>1524</v>
      </c>
      <c r="C315" s="16">
        <v>0.88785764391886002</v>
      </c>
    </row>
    <row r="316" spans="1:3">
      <c r="A316" t="s">
        <v>119</v>
      </c>
      <c r="B316" t="s">
        <v>1655</v>
      </c>
      <c r="C316" s="16">
        <v>0.89032258064516134</v>
      </c>
    </row>
    <row r="317" spans="1:3">
      <c r="A317" t="s">
        <v>1435</v>
      </c>
      <c r="B317" t="s">
        <v>1655</v>
      </c>
      <c r="C317" s="16">
        <v>0.89032258064516134</v>
      </c>
    </row>
    <row r="318" spans="1:3">
      <c r="A318" t="s">
        <v>521</v>
      </c>
      <c r="B318" t="s">
        <v>2111</v>
      </c>
      <c r="C318" s="16">
        <v>0.89032258064516134</v>
      </c>
    </row>
    <row r="319" spans="1:3">
      <c r="A319" t="s">
        <v>783</v>
      </c>
      <c r="B319" t="s">
        <v>2099</v>
      </c>
      <c r="C319" s="16">
        <v>0.89048596587727691</v>
      </c>
    </row>
    <row r="320" spans="1:3">
      <c r="A320" t="s">
        <v>429</v>
      </c>
      <c r="B320" t="s">
        <v>1737</v>
      </c>
      <c r="C320" s="16">
        <v>0.8913591437863283</v>
      </c>
    </row>
    <row r="321" spans="1:3">
      <c r="A321" t="s">
        <v>226</v>
      </c>
      <c r="B321">
        <v>500</v>
      </c>
      <c r="C321" s="16">
        <v>0.8928571428571429</v>
      </c>
    </row>
    <row r="322" spans="1:3">
      <c r="A322" t="s">
        <v>1396</v>
      </c>
      <c r="B322" t="s">
        <v>1964</v>
      </c>
      <c r="C322" s="16">
        <v>0.89333333333333331</v>
      </c>
    </row>
    <row r="323" spans="1:3">
      <c r="A323" t="s">
        <v>772</v>
      </c>
      <c r="B323" t="s">
        <v>490</v>
      </c>
      <c r="C323" s="16">
        <v>0.89333333333333331</v>
      </c>
    </row>
    <row r="324" spans="1:3">
      <c r="A324" t="s">
        <v>773</v>
      </c>
      <c r="B324" t="s">
        <v>490</v>
      </c>
      <c r="C324" s="16">
        <v>0.89333333333333331</v>
      </c>
    </row>
    <row r="325" spans="1:3">
      <c r="A325" t="s">
        <v>1237</v>
      </c>
      <c r="B325" t="s">
        <v>2098</v>
      </c>
      <c r="C325" s="16">
        <v>0.89333333333333331</v>
      </c>
    </row>
    <row r="326" spans="1:3">
      <c r="A326" t="s">
        <v>1015</v>
      </c>
      <c r="B326" t="s">
        <v>2098</v>
      </c>
      <c r="C326" s="16">
        <v>0.89333333333333331</v>
      </c>
    </row>
    <row r="327" spans="1:3">
      <c r="A327" t="s">
        <v>782</v>
      </c>
      <c r="B327" t="s">
        <v>2098</v>
      </c>
      <c r="C327" s="16">
        <v>0.89333333333333331</v>
      </c>
    </row>
    <row r="328" spans="1:3">
      <c r="A328" t="s">
        <v>718</v>
      </c>
      <c r="B328" t="s">
        <v>1551</v>
      </c>
      <c r="C328" s="16">
        <v>0.89615384615384619</v>
      </c>
    </row>
    <row r="329" spans="1:3">
      <c r="A329" t="s">
        <v>1319</v>
      </c>
      <c r="B329" t="s">
        <v>1663</v>
      </c>
      <c r="C329" s="16">
        <v>0.89655172413793105</v>
      </c>
    </row>
    <row r="330" spans="1:3">
      <c r="A330" t="s">
        <v>280</v>
      </c>
      <c r="B330" t="s">
        <v>1823</v>
      </c>
      <c r="C330" s="16">
        <v>0.89655172413793105</v>
      </c>
    </row>
    <row r="331" spans="1:3">
      <c r="A331" t="s">
        <v>294</v>
      </c>
      <c r="B331" t="s">
        <v>623</v>
      </c>
      <c r="C331" s="16">
        <v>0.89655172413793105</v>
      </c>
    </row>
    <row r="332" spans="1:3">
      <c r="A332" t="s">
        <v>1350</v>
      </c>
      <c r="B332" t="s">
        <v>266</v>
      </c>
      <c r="C332" s="16">
        <v>0.89655172413793105</v>
      </c>
    </row>
    <row r="333" spans="1:3">
      <c r="A333" t="s">
        <v>606</v>
      </c>
      <c r="B333" t="s">
        <v>266</v>
      </c>
      <c r="C333" s="16">
        <v>0.89655172413793105</v>
      </c>
    </row>
    <row r="334" spans="1:3">
      <c r="A334" t="s">
        <v>1366</v>
      </c>
      <c r="B334" t="s">
        <v>623</v>
      </c>
      <c r="C334" s="16">
        <v>0.89655172413793105</v>
      </c>
    </row>
    <row r="335" spans="1:3">
      <c r="A335" t="s">
        <v>931</v>
      </c>
      <c r="B335" t="s">
        <v>1854</v>
      </c>
      <c r="C335" s="16">
        <v>0.89655172413793105</v>
      </c>
    </row>
    <row r="336" spans="1:3">
      <c r="A336" t="s">
        <v>941</v>
      </c>
      <c r="B336" t="s">
        <v>1151</v>
      </c>
      <c r="C336" s="16">
        <v>0.89655172413793105</v>
      </c>
    </row>
    <row r="337" spans="1:3">
      <c r="A337" t="s">
        <v>662</v>
      </c>
      <c r="B337" t="s">
        <v>932</v>
      </c>
      <c r="C337" s="16">
        <v>0.89655172413793105</v>
      </c>
    </row>
    <row r="338" spans="1:3">
      <c r="A338" t="s">
        <v>935</v>
      </c>
      <c r="B338" t="s">
        <v>74</v>
      </c>
      <c r="C338" s="16">
        <v>0.89655172413793105</v>
      </c>
    </row>
    <row r="339" spans="1:3">
      <c r="A339" t="s">
        <v>934</v>
      </c>
      <c r="B339" t="s">
        <v>74</v>
      </c>
      <c r="C339" s="16">
        <v>0.89655172413793105</v>
      </c>
    </row>
    <row r="340" spans="1:3">
      <c r="A340" t="s">
        <v>933</v>
      </c>
      <c r="B340" t="s">
        <v>74</v>
      </c>
      <c r="C340" s="16">
        <v>0.89655172413793105</v>
      </c>
    </row>
    <row r="341" spans="1:3">
      <c r="A341" t="s">
        <v>928</v>
      </c>
      <c r="B341" t="s">
        <v>1849</v>
      </c>
      <c r="C341" s="16">
        <v>0.89655172413793105</v>
      </c>
    </row>
    <row r="342" spans="1:3">
      <c r="A342" t="s">
        <v>676</v>
      </c>
      <c r="B342" t="s">
        <v>1882</v>
      </c>
      <c r="C342" s="16">
        <v>0.89655172413793105</v>
      </c>
    </row>
    <row r="343" spans="1:3">
      <c r="A343" t="s">
        <v>366</v>
      </c>
      <c r="B343" t="s">
        <v>1882</v>
      </c>
      <c r="C343" s="16">
        <v>0.89655172413793105</v>
      </c>
    </row>
    <row r="344" spans="1:3">
      <c r="A344" t="s">
        <v>365</v>
      </c>
      <c r="B344" t="s">
        <v>1882</v>
      </c>
      <c r="C344" s="16">
        <v>0.89655172413793105</v>
      </c>
    </row>
    <row r="345" spans="1:3">
      <c r="A345" t="s">
        <v>363</v>
      </c>
      <c r="B345" t="s">
        <v>1155</v>
      </c>
      <c r="C345" s="16">
        <v>0.89655172413793105</v>
      </c>
    </row>
    <row r="346" spans="1:3">
      <c r="A346" t="s">
        <v>361</v>
      </c>
      <c r="B346" t="s">
        <v>1880</v>
      </c>
      <c r="C346" s="16">
        <v>0.89655172413793105</v>
      </c>
    </row>
    <row r="347" spans="1:3">
      <c r="A347" t="s">
        <v>358</v>
      </c>
      <c r="B347" t="s">
        <v>1878</v>
      </c>
      <c r="C347" s="16">
        <v>0.89655172413793105</v>
      </c>
    </row>
    <row r="348" spans="1:3">
      <c r="A348" t="s">
        <v>399</v>
      </c>
      <c r="B348" t="s">
        <v>1930</v>
      </c>
      <c r="C348" s="16">
        <v>0.89655172413793105</v>
      </c>
    </row>
    <row r="349" spans="1:3">
      <c r="A349" t="s">
        <v>964</v>
      </c>
      <c r="B349" t="s">
        <v>1930</v>
      </c>
      <c r="C349" s="16">
        <v>0.89655172413793105</v>
      </c>
    </row>
    <row r="350" spans="1:3">
      <c r="A350" t="s">
        <v>398</v>
      </c>
      <c r="B350" t="s">
        <v>1925</v>
      </c>
      <c r="C350" s="16">
        <v>0.89655172413793105</v>
      </c>
    </row>
    <row r="351" spans="1:3">
      <c r="A351" t="s">
        <v>1468</v>
      </c>
      <c r="B351" t="s">
        <v>1467</v>
      </c>
      <c r="C351" s="16">
        <v>0.89655172413793105</v>
      </c>
    </row>
    <row r="352" spans="1:3">
      <c r="A352" t="s">
        <v>1148</v>
      </c>
      <c r="B352" t="s">
        <v>1965</v>
      </c>
      <c r="C352" s="16">
        <v>0.89739498203707657</v>
      </c>
    </row>
    <row r="353" spans="1:3">
      <c r="A353" t="s">
        <v>1438</v>
      </c>
      <c r="B353" t="s">
        <v>1655</v>
      </c>
      <c r="C353" s="16">
        <v>0.89824561403508774</v>
      </c>
    </row>
    <row r="354" spans="1:3">
      <c r="A354" t="s">
        <v>760</v>
      </c>
      <c r="B354" t="s">
        <v>1655</v>
      </c>
      <c r="C354" s="16">
        <v>0.89824561403508774</v>
      </c>
    </row>
    <row r="355" spans="1:3">
      <c r="A355" t="s">
        <v>499</v>
      </c>
      <c r="B355" t="s">
        <v>1852</v>
      </c>
      <c r="C355" s="16">
        <v>0.89825115628843888</v>
      </c>
    </row>
    <row r="356" spans="1:3">
      <c r="A356" t="s">
        <v>769</v>
      </c>
      <c r="B356" t="s">
        <v>1852</v>
      </c>
      <c r="C356" s="16">
        <v>0.89825115628843888</v>
      </c>
    </row>
    <row r="357" spans="1:3">
      <c r="A357" t="s">
        <v>52</v>
      </c>
      <c r="B357" t="s">
        <v>48</v>
      </c>
      <c r="C357" s="16">
        <v>0.89852216748768476</v>
      </c>
    </row>
    <row r="358" spans="1:3">
      <c r="A358" t="s">
        <v>719</v>
      </c>
      <c r="B358" t="s">
        <v>1551</v>
      </c>
      <c r="C358" s="16">
        <v>0.89886989119295158</v>
      </c>
    </row>
    <row r="359" spans="1:3">
      <c r="A359" t="s">
        <v>1147</v>
      </c>
      <c r="B359" t="s">
        <v>1964</v>
      </c>
      <c r="C359" s="16">
        <v>0.89934967110775499</v>
      </c>
    </row>
    <row r="360" spans="1:3">
      <c r="A360" t="s">
        <v>892</v>
      </c>
      <c r="B360">
        <v>5</v>
      </c>
      <c r="C360" s="16">
        <v>0.9</v>
      </c>
    </row>
    <row r="361" spans="1:3">
      <c r="A361" t="s">
        <v>304</v>
      </c>
      <c r="B361">
        <v>5</v>
      </c>
      <c r="C361" s="16">
        <v>0.9</v>
      </c>
    </row>
    <row r="362" spans="1:3">
      <c r="A362" t="s">
        <v>316</v>
      </c>
      <c r="B362" t="s">
        <v>1628</v>
      </c>
      <c r="C362" s="16">
        <v>0.9</v>
      </c>
    </row>
    <row r="363" spans="1:3">
      <c r="A363" t="s">
        <v>1385</v>
      </c>
      <c r="B363">
        <v>2</v>
      </c>
      <c r="C363" s="16">
        <v>0.9</v>
      </c>
    </row>
    <row r="364" spans="1:3">
      <c r="A364" t="s">
        <v>947</v>
      </c>
      <c r="B364">
        <v>500</v>
      </c>
      <c r="C364" s="16">
        <v>0.9</v>
      </c>
    </row>
    <row r="365" spans="1:3">
      <c r="A365" t="s">
        <v>389</v>
      </c>
      <c r="B365" t="s">
        <v>1911</v>
      </c>
      <c r="C365" s="16">
        <v>0.9</v>
      </c>
    </row>
    <row r="366" spans="1:3">
      <c r="A366" t="s">
        <v>700</v>
      </c>
      <c r="B366" t="s">
        <v>1909</v>
      </c>
      <c r="C366" s="16">
        <v>0.9</v>
      </c>
    </row>
    <row r="367" spans="1:3">
      <c r="A367" t="s">
        <v>996</v>
      </c>
      <c r="B367" t="s">
        <v>2079</v>
      </c>
      <c r="C367" s="16">
        <v>0.9</v>
      </c>
    </row>
    <row r="368" spans="1:3">
      <c r="A368" t="s">
        <v>478</v>
      </c>
      <c r="B368" t="s">
        <v>2079</v>
      </c>
      <c r="C368" s="16">
        <v>0.9</v>
      </c>
    </row>
    <row r="369" spans="1:3">
      <c r="A369" t="s">
        <v>1221</v>
      </c>
      <c r="B369" t="s">
        <v>1852</v>
      </c>
      <c r="C369" s="16">
        <v>0.90116049394191478</v>
      </c>
    </row>
    <row r="370" spans="1:3">
      <c r="A370" t="s">
        <v>1222</v>
      </c>
      <c r="B370" t="s">
        <v>1852</v>
      </c>
      <c r="C370" s="16">
        <v>0.90116049394191478</v>
      </c>
    </row>
    <row r="371" spans="1:3">
      <c r="A371" t="s">
        <v>1220</v>
      </c>
      <c r="B371" t="s">
        <v>1852</v>
      </c>
      <c r="C371" s="16">
        <v>0.90116049394191478</v>
      </c>
    </row>
    <row r="372" spans="1:3">
      <c r="A372" t="s">
        <v>1219</v>
      </c>
      <c r="B372" t="s">
        <v>1852</v>
      </c>
      <c r="C372" s="16">
        <v>0.90116049394191478</v>
      </c>
    </row>
    <row r="373" spans="1:3">
      <c r="A373" t="s">
        <v>153</v>
      </c>
      <c r="B373" t="s">
        <v>1629</v>
      </c>
      <c r="C373" s="16">
        <v>0.90173777889342277</v>
      </c>
    </row>
    <row r="374" spans="1:3">
      <c r="A374" t="s">
        <v>839</v>
      </c>
      <c r="B374" t="s">
        <v>1631</v>
      </c>
      <c r="C374" s="16">
        <v>0.90370370370370368</v>
      </c>
    </row>
    <row r="375" spans="1:3">
      <c r="A375" t="s">
        <v>1472</v>
      </c>
      <c r="B375" t="s">
        <v>802</v>
      </c>
      <c r="C375" s="16">
        <v>0.90370370370370368</v>
      </c>
    </row>
    <row r="376" spans="1:3">
      <c r="A376" t="s">
        <v>600</v>
      </c>
      <c r="B376">
        <v>6</v>
      </c>
      <c r="C376" s="16">
        <v>0.90476190476190477</v>
      </c>
    </row>
    <row r="377" spans="1:3">
      <c r="A377" t="s">
        <v>298</v>
      </c>
      <c r="B377">
        <v>6</v>
      </c>
      <c r="C377" s="16">
        <v>0.90476190476190477</v>
      </c>
    </row>
    <row r="378" spans="1:3">
      <c r="A378" t="s">
        <v>685</v>
      </c>
      <c r="B378">
        <v>6</v>
      </c>
      <c r="C378" s="16">
        <v>0.90476190476190477</v>
      </c>
    </row>
    <row r="379" spans="1:3">
      <c r="A379" t="s">
        <v>724</v>
      </c>
      <c r="B379">
        <v>6</v>
      </c>
      <c r="C379" s="16">
        <v>0.90476190476190477</v>
      </c>
    </row>
    <row r="380" spans="1:3">
      <c r="A380" t="s">
        <v>902</v>
      </c>
      <c r="B380" t="s">
        <v>1774</v>
      </c>
      <c r="C380" s="16">
        <v>0.90769230769230769</v>
      </c>
    </row>
    <row r="381" spans="1:3">
      <c r="A381" t="s">
        <v>362</v>
      </c>
      <c r="B381" t="s">
        <v>1880</v>
      </c>
      <c r="C381" s="16">
        <v>0.90769230769230769</v>
      </c>
    </row>
    <row r="382" spans="1:3">
      <c r="A382" t="s">
        <v>359</v>
      </c>
      <c r="B382" t="s">
        <v>1878</v>
      </c>
      <c r="C382" s="16">
        <v>0.90769230769230769</v>
      </c>
    </row>
    <row r="383" spans="1:3">
      <c r="A383" t="s">
        <v>483</v>
      </c>
      <c r="B383" t="s">
        <v>2083</v>
      </c>
      <c r="C383" s="16">
        <v>0.90769230769230769</v>
      </c>
    </row>
    <row r="384" spans="1:3">
      <c r="A384" t="s">
        <v>126</v>
      </c>
      <c r="B384" t="s">
        <v>1586</v>
      </c>
      <c r="C384" s="16">
        <v>0.90833333333333333</v>
      </c>
    </row>
    <row r="385" spans="1:3">
      <c r="A385" t="s">
        <v>888</v>
      </c>
      <c r="B385" t="s">
        <v>1828</v>
      </c>
      <c r="C385" s="16">
        <v>0.90833333333333333</v>
      </c>
    </row>
    <row r="386" spans="1:3">
      <c r="A386" t="s">
        <v>1106</v>
      </c>
      <c r="B386" t="s">
        <v>1831</v>
      </c>
      <c r="C386" s="16">
        <v>0.90833333333333333</v>
      </c>
    </row>
    <row r="387" spans="1:3">
      <c r="A387" t="s">
        <v>392</v>
      </c>
      <c r="B387" t="s">
        <v>1920</v>
      </c>
      <c r="C387" s="16">
        <v>0.90833333333333333</v>
      </c>
    </row>
    <row r="388" spans="1:3">
      <c r="A388" t="s">
        <v>1078</v>
      </c>
      <c r="B388" t="s">
        <v>1679</v>
      </c>
      <c r="C388" s="16">
        <v>0.90840196410898777</v>
      </c>
    </row>
    <row r="389" spans="1:3">
      <c r="A389" t="s">
        <v>869</v>
      </c>
      <c r="B389" t="s">
        <v>1679</v>
      </c>
      <c r="C389" s="16">
        <v>0.90939196530245026</v>
      </c>
    </row>
    <row r="390" spans="1:3">
      <c r="A390" t="s">
        <v>446</v>
      </c>
      <c r="B390" t="s">
        <v>1551</v>
      </c>
      <c r="C390" s="16">
        <v>0.91147406175982182</v>
      </c>
    </row>
    <row r="391" spans="1:3">
      <c r="A391" t="s">
        <v>44</v>
      </c>
      <c r="B391" t="s">
        <v>1655</v>
      </c>
      <c r="C391" s="16">
        <v>0.91200000000000003</v>
      </c>
    </row>
    <row r="392" spans="1:3">
      <c r="A392" t="s">
        <v>1021</v>
      </c>
      <c r="B392" t="s">
        <v>2129</v>
      </c>
      <c r="C392" s="16">
        <v>0.91200000000000003</v>
      </c>
    </row>
    <row r="393" spans="1:3">
      <c r="A393" t="s">
        <v>225</v>
      </c>
      <c r="B393">
        <v>500</v>
      </c>
      <c r="C393" s="16">
        <v>0.91304347826086962</v>
      </c>
    </row>
    <row r="394" spans="1:3">
      <c r="A394" t="s">
        <v>1104</v>
      </c>
      <c r="B394" t="s">
        <v>1524</v>
      </c>
      <c r="C394" s="16">
        <v>0.91304347826086962</v>
      </c>
    </row>
    <row r="395" spans="1:3">
      <c r="A395" t="s">
        <v>1105</v>
      </c>
      <c r="B395" t="s">
        <v>1524</v>
      </c>
      <c r="C395" s="16">
        <v>0.91304347826086962</v>
      </c>
    </row>
    <row r="396" spans="1:3">
      <c r="A396" t="s">
        <v>1191</v>
      </c>
      <c r="B396">
        <v>500</v>
      </c>
      <c r="C396" s="16">
        <v>0.91304347826086962</v>
      </c>
    </row>
    <row r="397" spans="1:3">
      <c r="A397" t="s">
        <v>832</v>
      </c>
      <c r="B397">
        <v>718</v>
      </c>
      <c r="C397" s="16">
        <v>0.91666666666666674</v>
      </c>
    </row>
    <row r="398" spans="1:3">
      <c r="A398" t="s">
        <v>603</v>
      </c>
      <c r="B398" t="s">
        <v>1525</v>
      </c>
      <c r="C398" s="16">
        <v>0.91666666666666674</v>
      </c>
    </row>
    <row r="399" spans="1:3">
      <c r="A399" t="s">
        <v>602</v>
      </c>
      <c r="B399" t="s">
        <v>1525</v>
      </c>
      <c r="C399" s="16">
        <v>0.91666666666666674</v>
      </c>
    </row>
    <row r="400" spans="1:3">
      <c r="A400" t="s">
        <v>279</v>
      </c>
      <c r="B400" t="s">
        <v>1823</v>
      </c>
      <c r="C400" s="16">
        <v>0.91666666666666674</v>
      </c>
    </row>
    <row r="401" spans="1:3">
      <c r="A401" t="s">
        <v>885</v>
      </c>
      <c r="B401" t="s">
        <v>1824</v>
      </c>
      <c r="C401" s="16">
        <v>0.91666666666666674</v>
      </c>
    </row>
    <row r="402" spans="1:3">
      <c r="A402" t="s">
        <v>278</v>
      </c>
      <c r="B402" t="s">
        <v>1823</v>
      </c>
      <c r="C402" s="16">
        <v>0.91666666666666674</v>
      </c>
    </row>
    <row r="403" spans="1:3">
      <c r="A403" t="s">
        <v>1101</v>
      </c>
      <c r="B403" t="s">
        <v>1824</v>
      </c>
      <c r="C403" s="16">
        <v>0.91666666666666674</v>
      </c>
    </row>
    <row r="404" spans="1:3">
      <c r="A404" t="s">
        <v>293</v>
      </c>
      <c r="B404" t="s">
        <v>623</v>
      </c>
      <c r="C404" s="16">
        <v>0.91666666666666674</v>
      </c>
    </row>
    <row r="405" spans="1:3">
      <c r="A405" t="s">
        <v>292</v>
      </c>
      <c r="B405" t="s">
        <v>623</v>
      </c>
      <c r="C405" s="16">
        <v>0.91666666666666674</v>
      </c>
    </row>
    <row r="406" spans="1:3">
      <c r="A406" t="s">
        <v>1372</v>
      </c>
      <c r="B406" t="s">
        <v>1726</v>
      </c>
      <c r="C406" s="16">
        <v>0.91666666666666674</v>
      </c>
    </row>
    <row r="407" spans="1:3">
      <c r="A407" t="s">
        <v>1110</v>
      </c>
      <c r="B407" t="s">
        <v>1724</v>
      </c>
      <c r="C407" s="16">
        <v>0.91666666666666674</v>
      </c>
    </row>
    <row r="408" spans="1:3">
      <c r="A408" t="s">
        <v>909</v>
      </c>
      <c r="B408" t="s">
        <v>1781</v>
      </c>
      <c r="C408" s="16">
        <v>0.91666666666666674</v>
      </c>
    </row>
    <row r="409" spans="1:3">
      <c r="A409" t="s">
        <v>1118</v>
      </c>
      <c r="B409" t="s">
        <v>1780</v>
      </c>
      <c r="C409" s="16">
        <v>0.91666666666666674</v>
      </c>
    </row>
    <row r="410" spans="1:3">
      <c r="A410" t="s">
        <v>905</v>
      </c>
      <c r="B410" t="s">
        <v>1780</v>
      </c>
      <c r="C410" s="16">
        <v>0.91666666666666674</v>
      </c>
    </row>
    <row r="411" spans="1:3">
      <c r="A411" t="s">
        <v>1150</v>
      </c>
      <c r="B411" t="s">
        <v>1967</v>
      </c>
      <c r="C411" s="16">
        <v>0.91666666666666674</v>
      </c>
    </row>
    <row r="412" spans="1:3">
      <c r="A412" t="s">
        <v>360</v>
      </c>
      <c r="B412" t="s">
        <v>1880</v>
      </c>
      <c r="C412" s="16">
        <v>0.91666666666666674</v>
      </c>
    </row>
    <row r="413" spans="1:3">
      <c r="A413" t="s">
        <v>945</v>
      </c>
      <c r="B413" t="s">
        <v>1878</v>
      </c>
      <c r="C413" s="16">
        <v>0.91666666666666674</v>
      </c>
    </row>
    <row r="414" spans="1:3">
      <c r="A414" t="s">
        <v>944</v>
      </c>
      <c r="B414" t="s">
        <v>1878</v>
      </c>
      <c r="C414" s="16">
        <v>0.91666666666666674</v>
      </c>
    </row>
    <row r="415" spans="1:3">
      <c r="A415" t="s">
        <v>1153</v>
      </c>
      <c r="B415" t="s">
        <v>1880</v>
      </c>
      <c r="C415" s="16">
        <v>0.91666666666666674</v>
      </c>
    </row>
    <row r="416" spans="1:3">
      <c r="A416" t="s">
        <v>943</v>
      </c>
      <c r="B416" t="s">
        <v>1878</v>
      </c>
      <c r="C416" s="16">
        <v>0.91666666666666674</v>
      </c>
    </row>
    <row r="417" spans="1:3">
      <c r="A417" t="s">
        <v>357</v>
      </c>
      <c r="B417" t="s">
        <v>1878</v>
      </c>
      <c r="C417" s="16">
        <v>0.91666666666666674</v>
      </c>
    </row>
    <row r="418" spans="1:3">
      <c r="A418" t="s">
        <v>1180</v>
      </c>
      <c r="B418" t="s">
        <v>1918</v>
      </c>
      <c r="C418" s="16">
        <v>0.91666666666666674</v>
      </c>
    </row>
    <row r="419" spans="1:3">
      <c r="A419" t="s">
        <v>401</v>
      </c>
      <c r="B419" t="s">
        <v>1930</v>
      </c>
      <c r="C419" s="16">
        <v>0.91666666666666674</v>
      </c>
    </row>
    <row r="420" spans="1:3">
      <c r="A420" t="s">
        <v>1451</v>
      </c>
      <c r="B420" t="s">
        <v>1655</v>
      </c>
      <c r="C420" s="16">
        <v>0.91666666666666674</v>
      </c>
    </row>
    <row r="421" spans="1:3">
      <c r="A421" t="s">
        <v>1213</v>
      </c>
      <c r="B421" t="s">
        <v>754</v>
      </c>
      <c r="C421" s="16">
        <v>0.91666666666666674</v>
      </c>
    </row>
    <row r="422" spans="1:3">
      <c r="A422" t="s">
        <v>1223</v>
      </c>
      <c r="B422" t="s">
        <v>2090</v>
      </c>
      <c r="C422" s="16">
        <v>0.91666666666666674</v>
      </c>
    </row>
    <row r="423" spans="1:3">
      <c r="A423" t="s">
        <v>1178</v>
      </c>
      <c r="B423" t="s">
        <v>1918</v>
      </c>
      <c r="C423" s="16">
        <v>0.91790048477823427</v>
      </c>
    </row>
    <row r="424" spans="1:3">
      <c r="A424" t="s">
        <v>1009</v>
      </c>
      <c r="B424" t="s">
        <v>1852</v>
      </c>
      <c r="C424" s="16">
        <v>0.91808021455307598</v>
      </c>
    </row>
    <row r="425" spans="1:3">
      <c r="A425" t="s">
        <v>768</v>
      </c>
      <c r="B425" t="s">
        <v>1852</v>
      </c>
      <c r="C425" s="16">
        <v>0.91808021455307598</v>
      </c>
    </row>
    <row r="426" spans="1:3">
      <c r="A426" t="s">
        <v>420</v>
      </c>
      <c r="B426" t="s">
        <v>1551</v>
      </c>
      <c r="C426" s="16">
        <v>0.91882987418724138</v>
      </c>
    </row>
    <row r="427" spans="1:3">
      <c r="A427" t="s">
        <v>299</v>
      </c>
      <c r="B427" t="s">
        <v>2109</v>
      </c>
      <c r="C427" s="16">
        <v>0.92088028556287682</v>
      </c>
    </row>
    <row r="428" spans="1:3">
      <c r="A428" t="s">
        <v>1160</v>
      </c>
      <c r="B428" t="s">
        <v>1155</v>
      </c>
      <c r="C428" s="16">
        <v>0.92088028556287682</v>
      </c>
    </row>
    <row r="429" spans="1:3">
      <c r="A429" t="s">
        <v>1441</v>
      </c>
      <c r="B429" t="s">
        <v>2079</v>
      </c>
      <c r="C429" s="16">
        <v>0.92272727272727273</v>
      </c>
    </row>
    <row r="430" spans="1:3">
      <c r="A430" t="s">
        <v>543</v>
      </c>
      <c r="B430" t="s">
        <v>1972</v>
      </c>
      <c r="C430" s="16">
        <v>0.92500000000000004</v>
      </c>
    </row>
    <row r="431" spans="1:3">
      <c r="A431" t="s">
        <v>851</v>
      </c>
      <c r="B431" t="s">
        <v>1571</v>
      </c>
      <c r="C431" s="16">
        <v>0.92682926829268297</v>
      </c>
    </row>
    <row r="432" spans="1:3">
      <c r="A432" t="s">
        <v>834</v>
      </c>
      <c r="B432" t="s">
        <v>1633</v>
      </c>
      <c r="C432" s="16">
        <v>0.92727272727272725</v>
      </c>
    </row>
    <row r="433" spans="1:3">
      <c r="A433" t="s">
        <v>621</v>
      </c>
      <c r="B433" t="s">
        <v>1837</v>
      </c>
      <c r="C433" s="16">
        <v>0.93012438257568386</v>
      </c>
    </row>
    <row r="434" spans="1:3">
      <c r="A434" t="s">
        <v>990</v>
      </c>
      <c r="B434" t="s">
        <v>1655</v>
      </c>
      <c r="C434" s="16">
        <v>0.93023255813953487</v>
      </c>
    </row>
    <row r="435" spans="1:3">
      <c r="A435" t="s">
        <v>268</v>
      </c>
      <c r="B435" t="s">
        <v>1526</v>
      </c>
      <c r="C435" s="16">
        <v>0.93157894736842106</v>
      </c>
    </row>
    <row r="436" spans="1:3">
      <c r="A436" t="s">
        <v>131</v>
      </c>
      <c r="B436">
        <v>5</v>
      </c>
      <c r="C436" s="16">
        <v>0.93333333333333335</v>
      </c>
    </row>
    <row r="437" spans="1:3">
      <c r="A437" t="s">
        <v>1039</v>
      </c>
      <c r="B437">
        <v>5</v>
      </c>
      <c r="C437" s="16">
        <v>0.93333333333333335</v>
      </c>
    </row>
    <row r="438" spans="1:3">
      <c r="A438" t="s">
        <v>846</v>
      </c>
      <c r="B438">
        <v>5</v>
      </c>
      <c r="C438" s="16">
        <v>0.93333333333333335</v>
      </c>
    </row>
    <row r="439" spans="1:3">
      <c r="A439" t="s">
        <v>1182</v>
      </c>
      <c r="B439">
        <v>5</v>
      </c>
      <c r="C439" s="16">
        <v>0.93333333333333335</v>
      </c>
    </row>
    <row r="440" spans="1:3">
      <c r="A440" t="s">
        <v>172</v>
      </c>
      <c r="B440" t="s">
        <v>1630</v>
      </c>
      <c r="C440" s="16">
        <v>0.93629330950372525</v>
      </c>
    </row>
    <row r="441" spans="1:3">
      <c r="A441" t="s">
        <v>264</v>
      </c>
      <c r="B441" t="s">
        <v>1525</v>
      </c>
      <c r="C441" s="16">
        <v>0.93629330950372525</v>
      </c>
    </row>
    <row r="442" spans="1:3">
      <c r="A442" t="s">
        <v>1371</v>
      </c>
      <c r="B442" t="s">
        <v>1725</v>
      </c>
      <c r="C442" s="16">
        <v>0.93629330950372525</v>
      </c>
    </row>
    <row r="443" spans="1:3">
      <c r="A443" t="s">
        <v>132</v>
      </c>
      <c r="B443">
        <v>6</v>
      </c>
      <c r="C443" s="16">
        <v>0.9375</v>
      </c>
    </row>
    <row r="444" spans="1:3">
      <c r="A444" t="s">
        <v>819</v>
      </c>
      <c r="B444">
        <v>3</v>
      </c>
      <c r="C444" s="16">
        <v>0.9375</v>
      </c>
    </row>
    <row r="445" spans="1:3">
      <c r="A445" t="s">
        <v>130</v>
      </c>
      <c r="B445">
        <v>3</v>
      </c>
      <c r="C445" s="16">
        <v>0.9375</v>
      </c>
    </row>
    <row r="446" spans="1:3">
      <c r="A446" t="s">
        <v>1061</v>
      </c>
      <c r="B446">
        <v>3</v>
      </c>
      <c r="C446" s="16">
        <v>0.9375</v>
      </c>
    </row>
    <row r="447" spans="1:3">
      <c r="A447" t="s">
        <v>1077</v>
      </c>
      <c r="B447" t="s">
        <v>1678</v>
      </c>
      <c r="C447" s="16">
        <v>0.93952196690403544</v>
      </c>
    </row>
    <row r="448" spans="1:3">
      <c r="A448" t="s">
        <v>500</v>
      </c>
      <c r="B448" t="s">
        <v>1852</v>
      </c>
      <c r="C448" s="16">
        <v>0.94032395046038597</v>
      </c>
    </row>
    <row r="449" spans="1:3">
      <c r="A449" t="s">
        <v>502</v>
      </c>
      <c r="B449" t="s">
        <v>1852</v>
      </c>
      <c r="C449" s="16">
        <v>0.94032395046038597</v>
      </c>
    </row>
    <row r="450" spans="1:3">
      <c r="A450" t="s">
        <v>418</v>
      </c>
      <c r="B450" t="s">
        <v>1551</v>
      </c>
      <c r="C450" s="16">
        <v>0.94285714285714284</v>
      </c>
    </row>
    <row r="451" spans="1:3">
      <c r="A451" t="s">
        <v>852</v>
      </c>
      <c r="B451" t="s">
        <v>1571</v>
      </c>
      <c r="C451" s="16">
        <v>0.94444444444444442</v>
      </c>
    </row>
    <row r="452" spans="1:3">
      <c r="A452" t="s">
        <v>1064</v>
      </c>
      <c r="B452" t="s">
        <v>1571</v>
      </c>
      <c r="C452" s="16">
        <v>0.94444444444444442</v>
      </c>
    </row>
    <row r="453" spans="1:3">
      <c r="A453" t="s">
        <v>155</v>
      </c>
      <c r="B453" t="s">
        <v>1631</v>
      </c>
      <c r="C453" s="16">
        <v>0.94736842105263164</v>
      </c>
    </row>
    <row r="454" spans="1:3">
      <c r="A454" t="s">
        <v>156</v>
      </c>
      <c r="B454" t="s">
        <v>1631</v>
      </c>
      <c r="C454" s="16">
        <v>0.94736842105263164</v>
      </c>
    </row>
    <row r="455" spans="1:3">
      <c r="A455" t="s">
        <v>840</v>
      </c>
      <c r="B455" t="s">
        <v>1632</v>
      </c>
      <c r="C455" s="16">
        <v>0.94736842105263164</v>
      </c>
    </row>
    <row r="456" spans="1:3">
      <c r="A456" t="s">
        <v>837</v>
      </c>
      <c r="B456">
        <v>718</v>
      </c>
      <c r="C456" s="16">
        <v>0.94736842105263164</v>
      </c>
    </row>
    <row r="457" spans="1:3">
      <c r="A457" t="s">
        <v>858</v>
      </c>
      <c r="B457">
        <v>3008</v>
      </c>
      <c r="C457" s="16">
        <v>0.94736842105263164</v>
      </c>
    </row>
    <row r="458" spans="1:3">
      <c r="A458" t="s">
        <v>1306</v>
      </c>
      <c r="B458">
        <v>3008</v>
      </c>
      <c r="C458" s="16">
        <v>0.94736842105263164</v>
      </c>
    </row>
    <row r="459" spans="1:3">
      <c r="A459" t="s">
        <v>1067</v>
      </c>
      <c r="B459" t="s">
        <v>1634</v>
      </c>
      <c r="C459" s="16">
        <v>0.94736842105263164</v>
      </c>
    </row>
    <row r="460" spans="1:3">
      <c r="A460" t="s">
        <v>1307</v>
      </c>
      <c r="B460">
        <v>2008</v>
      </c>
      <c r="C460" s="16">
        <v>0.94736842105263164</v>
      </c>
    </row>
    <row r="461" spans="1:3">
      <c r="A461" t="s">
        <v>618</v>
      </c>
      <c r="B461" t="s">
        <v>287</v>
      </c>
      <c r="C461" s="16">
        <v>0.94736842105263164</v>
      </c>
    </row>
    <row r="462" spans="1:3">
      <c r="A462" t="s">
        <v>642</v>
      </c>
      <c r="B462" t="s">
        <v>1773</v>
      </c>
      <c r="C462" s="16">
        <v>0.94736842105263164</v>
      </c>
    </row>
    <row r="463" spans="1:3">
      <c r="A463" t="s">
        <v>641</v>
      </c>
      <c r="B463" t="s">
        <v>1773</v>
      </c>
      <c r="C463" s="16">
        <v>0.94736842105263164</v>
      </c>
    </row>
    <row r="464" spans="1:3">
      <c r="A464" t="s">
        <v>1378</v>
      </c>
      <c r="B464" t="s">
        <v>1810</v>
      </c>
      <c r="C464" s="16">
        <v>0.94736842105263164</v>
      </c>
    </row>
    <row r="465" spans="1:3">
      <c r="A465" t="s">
        <v>1149</v>
      </c>
      <c r="B465" t="s">
        <v>1967</v>
      </c>
      <c r="C465" s="16">
        <v>0.94736842105263164</v>
      </c>
    </row>
    <row r="466" spans="1:3">
      <c r="A466" t="s">
        <v>937</v>
      </c>
      <c r="B466" t="s">
        <v>1965</v>
      </c>
      <c r="C466" s="16">
        <v>0.94736842105263164</v>
      </c>
    </row>
    <row r="467" spans="1:3">
      <c r="A467" t="s">
        <v>675</v>
      </c>
      <c r="B467" t="s">
        <v>1155</v>
      </c>
      <c r="C467" s="16">
        <v>0.94736842105263164</v>
      </c>
    </row>
    <row r="468" spans="1:3">
      <c r="A468" t="s">
        <v>1154</v>
      </c>
      <c r="B468" t="s">
        <v>1880</v>
      </c>
      <c r="C468" s="16">
        <v>0.94736842105263164</v>
      </c>
    </row>
    <row r="469" spans="1:3">
      <c r="A469" t="s">
        <v>356</v>
      </c>
      <c r="B469" t="s">
        <v>1878</v>
      </c>
      <c r="C469" s="16">
        <v>0.94736842105263164</v>
      </c>
    </row>
    <row r="470" spans="1:3">
      <c r="A470" t="s">
        <v>386</v>
      </c>
      <c r="B470" t="s">
        <v>1913</v>
      </c>
      <c r="C470" s="16">
        <v>0.94736842105263164</v>
      </c>
    </row>
    <row r="471" spans="1:3">
      <c r="A471" t="s">
        <v>475</v>
      </c>
      <c r="B471" t="s">
        <v>754</v>
      </c>
      <c r="C471" s="16">
        <v>0.94736842105263164</v>
      </c>
    </row>
    <row r="472" spans="1:3">
      <c r="A472" t="s">
        <v>1238</v>
      </c>
      <c r="B472" t="s">
        <v>507</v>
      </c>
      <c r="C472" s="16">
        <v>0.94736842105263164</v>
      </c>
    </row>
    <row r="473" spans="1:3">
      <c r="A473" t="s">
        <v>1225</v>
      </c>
      <c r="B473" t="s">
        <v>2091</v>
      </c>
      <c r="C473" s="16">
        <v>0.94736842105263164</v>
      </c>
    </row>
    <row r="474" spans="1:3">
      <c r="A474" t="s">
        <v>1224</v>
      </c>
      <c r="B474" t="s">
        <v>2091</v>
      </c>
      <c r="C474" s="16">
        <v>0.94736842105263164</v>
      </c>
    </row>
    <row r="475" spans="1:3">
      <c r="A475" t="s">
        <v>1010</v>
      </c>
      <c r="B475" t="s">
        <v>2091</v>
      </c>
      <c r="C475" s="16">
        <v>0.94736842105263164</v>
      </c>
    </row>
    <row r="476" spans="1:3">
      <c r="A476" t="s">
        <v>780</v>
      </c>
      <c r="B476" t="s">
        <v>2096</v>
      </c>
      <c r="C476" s="16">
        <v>0.94736842105263164</v>
      </c>
    </row>
    <row r="477" spans="1:3">
      <c r="A477" t="s">
        <v>1236</v>
      </c>
      <c r="B477" t="s">
        <v>2097</v>
      </c>
      <c r="C477" s="16">
        <v>0.94736842105263164</v>
      </c>
    </row>
    <row r="478" spans="1:3">
      <c r="A478" t="s">
        <v>781</v>
      </c>
      <c r="B478" t="s">
        <v>2097</v>
      </c>
      <c r="C478" s="16">
        <v>0.94736842105263164</v>
      </c>
    </row>
    <row r="479" spans="1:3">
      <c r="A479" t="s">
        <v>794</v>
      </c>
      <c r="B479" t="s">
        <v>2108</v>
      </c>
      <c r="C479" s="16">
        <v>0.94736842105263164</v>
      </c>
    </row>
    <row r="480" spans="1:3">
      <c r="A480" t="s">
        <v>803</v>
      </c>
      <c r="B480" t="s">
        <v>802</v>
      </c>
      <c r="C480" s="16">
        <v>0.94736842105263164</v>
      </c>
    </row>
    <row r="481" spans="1:3">
      <c r="A481" t="s">
        <v>1471</v>
      </c>
      <c r="B481" t="s">
        <v>802</v>
      </c>
      <c r="C481" s="16">
        <v>0.94736842105263164</v>
      </c>
    </row>
    <row r="482" spans="1:3">
      <c r="A482" t="s">
        <v>636</v>
      </c>
      <c r="B482" t="s">
        <v>1737</v>
      </c>
      <c r="C482" s="16">
        <v>0.94877117199575389</v>
      </c>
    </row>
    <row r="483" spans="1:3">
      <c r="A483" t="s">
        <v>393</v>
      </c>
      <c r="B483" t="s">
        <v>1921</v>
      </c>
      <c r="C483" s="16">
        <v>0.94877117199575389</v>
      </c>
    </row>
    <row r="484" spans="1:3">
      <c r="A484" t="s">
        <v>1020</v>
      </c>
      <c r="B484" t="s">
        <v>2119</v>
      </c>
      <c r="C484" s="16">
        <v>0.948771171995754</v>
      </c>
    </row>
    <row r="485" spans="1:3">
      <c r="A485" t="s">
        <v>1020</v>
      </c>
      <c r="B485" t="s">
        <v>2119</v>
      </c>
      <c r="C485" s="16">
        <v>0.948771171995754</v>
      </c>
    </row>
    <row r="486" spans="1:3">
      <c r="A486" t="s">
        <v>284</v>
      </c>
      <c r="B486" t="s">
        <v>1826</v>
      </c>
      <c r="C486" s="16">
        <v>0.9492544172826326</v>
      </c>
    </row>
    <row r="487" spans="1:3">
      <c r="A487" t="s">
        <v>616</v>
      </c>
      <c r="B487" t="s">
        <v>1825</v>
      </c>
      <c r="C487" s="16">
        <v>0.9492544172826326</v>
      </c>
    </row>
    <row r="488" spans="1:3">
      <c r="A488" t="s">
        <v>476</v>
      </c>
      <c r="B488" t="s">
        <v>2086</v>
      </c>
      <c r="C488" s="16">
        <v>0.95179649453228454</v>
      </c>
    </row>
    <row r="489" spans="1:3">
      <c r="A489" t="s">
        <v>476</v>
      </c>
      <c r="B489" t="s">
        <v>2086</v>
      </c>
      <c r="C489" s="16">
        <v>0.95179649453228454</v>
      </c>
    </row>
    <row r="490" spans="1:3">
      <c r="A490" t="s">
        <v>1049</v>
      </c>
      <c r="B490" t="s">
        <v>1629</v>
      </c>
      <c r="C490" s="16">
        <v>0.95767628767520641</v>
      </c>
    </row>
    <row r="491" spans="1:3">
      <c r="A491" t="s">
        <v>25</v>
      </c>
      <c r="B491" t="s">
        <v>1629</v>
      </c>
      <c r="C491" s="16">
        <v>0.95767628767520641</v>
      </c>
    </row>
    <row r="492" spans="1:3">
      <c r="A492" t="s">
        <v>1133</v>
      </c>
      <c r="B492" t="s">
        <v>1854</v>
      </c>
      <c r="C492" s="16">
        <v>0.95767628767520641</v>
      </c>
    </row>
    <row r="493" spans="1:3">
      <c r="A493" t="s">
        <v>1383</v>
      </c>
      <c r="B493" t="s">
        <v>1840</v>
      </c>
      <c r="C493" s="16">
        <v>0.96666666666666667</v>
      </c>
    </row>
    <row r="494" spans="1:3">
      <c r="A494" t="s">
        <v>582</v>
      </c>
      <c r="B494" t="s">
        <v>1571</v>
      </c>
      <c r="C494" s="16">
        <v>0.967741935483871</v>
      </c>
    </row>
    <row r="495" spans="1:3">
      <c r="A495" t="s">
        <v>835</v>
      </c>
      <c r="B495" t="s">
        <v>1633</v>
      </c>
      <c r="C495" s="16">
        <v>0.96969696969696972</v>
      </c>
    </row>
    <row r="496" spans="1:3">
      <c r="A496" t="s">
        <v>620</v>
      </c>
      <c r="B496" t="s">
        <v>1524</v>
      </c>
      <c r="C496" s="16">
        <v>0.970873786407767</v>
      </c>
    </row>
    <row r="497" spans="1:3">
      <c r="A497" t="s">
        <v>1388</v>
      </c>
      <c r="B497" t="s">
        <v>1817</v>
      </c>
      <c r="C497" s="16">
        <v>0.970873786407767</v>
      </c>
    </row>
    <row r="498" spans="1:3">
      <c r="A498" t="s">
        <v>924</v>
      </c>
      <c r="B498" t="s">
        <v>1812</v>
      </c>
      <c r="C498" s="16">
        <v>0.970873786407767</v>
      </c>
    </row>
    <row r="499" spans="1:3">
      <c r="A499" t="s">
        <v>1382</v>
      </c>
      <c r="B499" t="s">
        <v>1819</v>
      </c>
      <c r="C499" s="16">
        <v>0.970873786407767</v>
      </c>
    </row>
    <row r="500" spans="1:3">
      <c r="A500" t="s">
        <v>1381</v>
      </c>
      <c r="B500" t="s">
        <v>1818</v>
      </c>
      <c r="C500" s="16">
        <v>0.970873786407767</v>
      </c>
    </row>
    <row r="501" spans="1:3">
      <c r="A501" t="s">
        <v>635</v>
      </c>
      <c r="B501" t="s">
        <v>1551</v>
      </c>
      <c r="C501" s="16">
        <v>0.97436762076350669</v>
      </c>
    </row>
    <row r="502" spans="1:3">
      <c r="A502" t="s">
        <v>1282</v>
      </c>
      <c r="B502" t="s">
        <v>1282</v>
      </c>
      <c r="C502" s="16">
        <v>1</v>
      </c>
    </row>
    <row r="503" spans="1:3">
      <c r="A503" t="s">
        <v>838</v>
      </c>
      <c r="B503" t="s">
        <v>1631</v>
      </c>
      <c r="C503" s="16">
        <v>1</v>
      </c>
    </row>
    <row r="504" spans="1:3">
      <c r="A504" t="s">
        <v>833</v>
      </c>
      <c r="B504" t="s">
        <v>1633</v>
      </c>
      <c r="C504" s="16">
        <v>1</v>
      </c>
    </row>
    <row r="505" spans="1:3">
      <c r="A505" t="s">
        <v>157</v>
      </c>
      <c r="B505" t="s">
        <v>1632</v>
      </c>
      <c r="C505" s="16">
        <v>1</v>
      </c>
    </row>
    <row r="506" spans="1:3">
      <c r="A506" t="s">
        <v>850</v>
      </c>
      <c r="B506" t="s">
        <v>1571</v>
      </c>
      <c r="C506" s="16">
        <v>1</v>
      </c>
    </row>
    <row r="507" spans="1:3">
      <c r="A507" t="s">
        <v>866</v>
      </c>
      <c r="B507" t="s">
        <v>866</v>
      </c>
      <c r="C507" s="16">
        <v>1</v>
      </c>
    </row>
    <row r="508" spans="1:3">
      <c r="A508" t="s">
        <v>181</v>
      </c>
      <c r="B508" t="s">
        <v>1640</v>
      </c>
      <c r="C508" s="16">
        <v>1</v>
      </c>
    </row>
    <row r="509" spans="1:3">
      <c r="A509" t="s">
        <v>48</v>
      </c>
      <c r="B509" t="s">
        <v>48</v>
      </c>
      <c r="C509" s="16">
        <v>1</v>
      </c>
    </row>
    <row r="510" spans="1:3">
      <c r="A510" t="s">
        <v>291</v>
      </c>
      <c r="B510" t="s">
        <v>1833</v>
      </c>
      <c r="C510" s="16">
        <v>1</v>
      </c>
    </row>
    <row r="511" spans="1:3">
      <c r="A511" t="s">
        <v>601</v>
      </c>
      <c r="B511" t="s">
        <v>1525</v>
      </c>
      <c r="C511" s="16">
        <v>1</v>
      </c>
    </row>
    <row r="512" spans="1:3">
      <c r="A512" t="s">
        <v>615</v>
      </c>
      <c r="B512" t="s">
        <v>1824</v>
      </c>
      <c r="C512" s="16">
        <v>1</v>
      </c>
    </row>
    <row r="513" spans="1:3">
      <c r="A513" t="s">
        <v>266</v>
      </c>
      <c r="B513" t="s">
        <v>266</v>
      </c>
      <c r="C513" s="16">
        <v>1</v>
      </c>
    </row>
    <row r="514" spans="1:3">
      <c r="A514" t="s">
        <v>623</v>
      </c>
      <c r="B514" t="s">
        <v>623</v>
      </c>
      <c r="C514" s="16">
        <v>1</v>
      </c>
    </row>
    <row r="515" spans="1:3">
      <c r="A515" t="s">
        <v>1361</v>
      </c>
      <c r="B515" t="s">
        <v>1361</v>
      </c>
      <c r="C515" s="16">
        <v>1</v>
      </c>
    </row>
    <row r="516" spans="1:3">
      <c r="A516" t="s">
        <v>287</v>
      </c>
      <c r="B516" t="s">
        <v>287</v>
      </c>
      <c r="C516" s="16">
        <v>1</v>
      </c>
    </row>
    <row r="517" spans="1:3">
      <c r="A517" t="s">
        <v>1111</v>
      </c>
      <c r="B517" t="s">
        <v>1111</v>
      </c>
      <c r="C517" s="16">
        <v>1</v>
      </c>
    </row>
    <row r="518" spans="1:3">
      <c r="A518" t="s">
        <v>303</v>
      </c>
      <c r="B518" t="s">
        <v>1741</v>
      </c>
      <c r="C518" s="16">
        <v>1</v>
      </c>
    </row>
    <row r="519" spans="1:3">
      <c r="A519" t="s">
        <v>637</v>
      </c>
      <c r="B519" t="s">
        <v>637</v>
      </c>
      <c r="C519" s="16">
        <v>1</v>
      </c>
    </row>
    <row r="520" spans="1:3">
      <c r="A520" t="s">
        <v>637</v>
      </c>
      <c r="B520" t="s">
        <v>637</v>
      </c>
      <c r="C520" s="16">
        <v>1</v>
      </c>
    </row>
    <row r="521" spans="1:3">
      <c r="A521" t="s">
        <v>1116</v>
      </c>
      <c r="B521" t="s">
        <v>1116</v>
      </c>
      <c r="C521" s="16">
        <v>1</v>
      </c>
    </row>
    <row r="522" spans="1:3">
      <c r="A522" t="s">
        <v>901</v>
      </c>
      <c r="B522" t="s">
        <v>1776</v>
      </c>
      <c r="C522" s="16">
        <v>1</v>
      </c>
    </row>
    <row r="523" spans="1:3">
      <c r="A523" t="s">
        <v>903</v>
      </c>
      <c r="B523" t="s">
        <v>903</v>
      </c>
      <c r="C523" s="16">
        <v>1</v>
      </c>
    </row>
    <row r="524" spans="1:3">
      <c r="A524" t="s">
        <v>926</v>
      </c>
      <c r="B524" t="s">
        <v>926</v>
      </c>
      <c r="C524" s="16">
        <v>1</v>
      </c>
    </row>
    <row r="525" spans="1:3">
      <c r="A525" t="s">
        <v>1152</v>
      </c>
      <c r="B525" t="s">
        <v>1964</v>
      </c>
      <c r="C525" s="16">
        <v>1</v>
      </c>
    </row>
    <row r="526" spans="1:3">
      <c r="A526" t="s">
        <v>1151</v>
      </c>
      <c r="B526" t="s">
        <v>1151</v>
      </c>
      <c r="C526" s="16">
        <v>1</v>
      </c>
    </row>
    <row r="527" spans="1:3">
      <c r="A527" t="s">
        <v>932</v>
      </c>
      <c r="B527" t="s">
        <v>932</v>
      </c>
      <c r="C527" s="16">
        <v>1</v>
      </c>
    </row>
    <row r="528" spans="1:3">
      <c r="A528" t="s">
        <v>1156</v>
      </c>
      <c r="B528" t="s">
        <v>1882</v>
      </c>
      <c r="C528" s="16">
        <v>1</v>
      </c>
    </row>
    <row r="529" spans="1:3">
      <c r="A529" t="s">
        <v>1155</v>
      </c>
      <c r="B529" t="s">
        <v>1155</v>
      </c>
      <c r="C529" s="16">
        <v>1</v>
      </c>
    </row>
    <row r="530" spans="1:3">
      <c r="A530">
        <v>500</v>
      </c>
      <c r="B530">
        <v>500</v>
      </c>
      <c r="C530" s="16">
        <v>1</v>
      </c>
    </row>
    <row r="531" spans="1:3">
      <c r="A531" t="s">
        <v>390</v>
      </c>
      <c r="B531" t="s">
        <v>390</v>
      </c>
      <c r="C531" s="16">
        <v>1</v>
      </c>
    </row>
    <row r="532" spans="1:3">
      <c r="A532" t="s">
        <v>959</v>
      </c>
      <c r="B532" t="s">
        <v>959</v>
      </c>
      <c r="C532" s="16">
        <v>1</v>
      </c>
    </row>
    <row r="533" spans="1:3">
      <c r="A533" t="s">
        <v>394</v>
      </c>
      <c r="B533" t="s">
        <v>394</v>
      </c>
      <c r="C533" s="16">
        <v>1</v>
      </c>
    </row>
    <row r="534" spans="1:3">
      <c r="A534" t="s">
        <v>961</v>
      </c>
      <c r="B534" t="s">
        <v>961</v>
      </c>
      <c r="C534" s="16">
        <v>1</v>
      </c>
    </row>
    <row r="535" spans="1:3">
      <c r="A535" t="s">
        <v>957</v>
      </c>
      <c r="B535" t="s">
        <v>1912</v>
      </c>
      <c r="C535" s="16">
        <v>1</v>
      </c>
    </row>
    <row r="536" spans="1:3">
      <c r="A536" t="s">
        <v>963</v>
      </c>
      <c r="B536" t="s">
        <v>1925</v>
      </c>
      <c r="C536" s="16">
        <v>1</v>
      </c>
    </row>
    <row r="537" spans="1:3">
      <c r="A537">
        <v>6</v>
      </c>
      <c r="B537">
        <v>6</v>
      </c>
      <c r="C537" s="16">
        <v>1</v>
      </c>
    </row>
    <row r="538" spans="1:3">
      <c r="A538">
        <v>3</v>
      </c>
      <c r="B538">
        <v>3</v>
      </c>
      <c r="C538" s="16">
        <v>1</v>
      </c>
    </row>
    <row r="539" spans="1:3">
      <c r="A539" t="s">
        <v>754</v>
      </c>
      <c r="B539" t="s">
        <v>754</v>
      </c>
      <c r="C539" s="16">
        <v>1</v>
      </c>
    </row>
    <row r="540" spans="1:3">
      <c r="A540" t="s">
        <v>1205</v>
      </c>
      <c r="B540" t="s">
        <v>2078</v>
      </c>
      <c r="C540" s="16">
        <v>1</v>
      </c>
    </row>
    <row r="541" spans="1:3">
      <c r="A541" t="s">
        <v>474</v>
      </c>
      <c r="B541" t="s">
        <v>474</v>
      </c>
      <c r="C541" s="16">
        <v>1</v>
      </c>
    </row>
    <row r="542" spans="1:3">
      <c r="A542" t="s">
        <v>474</v>
      </c>
      <c r="B542" t="s">
        <v>474</v>
      </c>
      <c r="C542" s="16">
        <v>1</v>
      </c>
    </row>
    <row r="543" spans="1:3">
      <c r="A543" t="s">
        <v>507</v>
      </c>
      <c r="B543" t="s">
        <v>507</v>
      </c>
      <c r="C543" s="16">
        <v>1</v>
      </c>
    </row>
    <row r="544" spans="1:3">
      <c r="A544" t="s">
        <v>506</v>
      </c>
      <c r="B544" t="s">
        <v>2098</v>
      </c>
      <c r="C544" s="16">
        <v>1</v>
      </c>
    </row>
    <row r="545" spans="1:3">
      <c r="A545" t="s">
        <v>497</v>
      </c>
      <c r="B545" t="s">
        <v>2097</v>
      </c>
      <c r="C545" s="16">
        <v>1</v>
      </c>
    </row>
    <row r="546" spans="1:3">
      <c r="A546" t="s">
        <v>1467</v>
      </c>
      <c r="B546" t="s">
        <v>1467</v>
      </c>
      <c r="C546" s="16">
        <v>1</v>
      </c>
    </row>
    <row r="547" spans="1:3">
      <c r="A547" t="s">
        <v>801</v>
      </c>
      <c r="B547" t="s">
        <v>2122</v>
      </c>
      <c r="C547" s="16">
        <v>1</v>
      </c>
    </row>
    <row r="548" spans="1:3">
      <c r="A548" t="s">
        <v>802</v>
      </c>
      <c r="B548" t="s">
        <v>802</v>
      </c>
      <c r="C548" s="16">
        <v>1</v>
      </c>
    </row>
    <row r="549" spans="1:3">
      <c r="A549" t="s">
        <v>798</v>
      </c>
      <c r="B549" t="s">
        <v>798</v>
      </c>
      <c r="C549" s="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6961-F10D-46D5-96B8-A5CAB1CE47A4}">
  <sheetPr filterMode="1"/>
  <dimension ref="A1:C1317"/>
  <sheetViews>
    <sheetView workbookViewId="0">
      <selection activeCell="J186" sqref="J186"/>
    </sheetView>
  </sheetViews>
  <sheetFormatPr defaultRowHeight="13.2"/>
  <cols>
    <col min="1" max="1" width="27.109375" customWidth="1"/>
    <col min="2" max="2" width="26" customWidth="1"/>
  </cols>
  <sheetData>
    <row r="1" spans="1:3" s="11" customFormat="1" ht="14.4">
      <c r="A1" s="22" t="s">
        <v>2</v>
      </c>
      <c r="B1" s="22" t="s">
        <v>1475</v>
      </c>
      <c r="C1" s="22" t="s">
        <v>3943</v>
      </c>
    </row>
    <row r="2" spans="1:3" hidden="1">
      <c r="A2" t="s">
        <v>560</v>
      </c>
      <c r="C2" s="16">
        <v>0</v>
      </c>
    </row>
    <row r="3" spans="1:3" hidden="1">
      <c r="A3" t="s">
        <v>1031</v>
      </c>
      <c r="C3" s="16">
        <v>0</v>
      </c>
    </row>
    <row r="4" spans="1:3" hidden="1">
      <c r="A4" t="s">
        <v>561</v>
      </c>
      <c r="C4" s="16">
        <v>0</v>
      </c>
    </row>
    <row r="5" spans="1:3" hidden="1">
      <c r="A5" t="s">
        <v>562</v>
      </c>
      <c r="C5" s="16">
        <v>0</v>
      </c>
    </row>
    <row r="6" spans="1:3" hidden="1">
      <c r="A6" t="s">
        <v>6</v>
      </c>
      <c r="C6" s="16">
        <v>0</v>
      </c>
    </row>
    <row r="7" spans="1:3" hidden="1">
      <c r="A7" t="s">
        <v>6</v>
      </c>
      <c r="C7" s="16">
        <v>0</v>
      </c>
    </row>
    <row r="8" spans="1:3" hidden="1">
      <c r="A8" t="s">
        <v>4</v>
      </c>
      <c r="C8" s="16">
        <v>0</v>
      </c>
    </row>
    <row r="9" spans="1:3" hidden="1">
      <c r="A9" t="s">
        <v>1032</v>
      </c>
      <c r="C9" s="16">
        <v>0</v>
      </c>
    </row>
    <row r="10" spans="1:3" hidden="1">
      <c r="A10" t="s">
        <v>586</v>
      </c>
      <c r="B10" t="s">
        <v>1646</v>
      </c>
      <c r="C10" s="16">
        <v>0.70474726658346742</v>
      </c>
    </row>
    <row r="11" spans="1:3" hidden="1">
      <c r="A11" t="s">
        <v>8</v>
      </c>
      <c r="C11" s="16">
        <v>0</v>
      </c>
    </row>
    <row r="12" spans="1:3" hidden="1">
      <c r="A12" t="s">
        <v>1412</v>
      </c>
      <c r="B12" t="s">
        <v>1935</v>
      </c>
      <c r="C12" s="16">
        <v>0.70882825040128417</v>
      </c>
    </row>
    <row r="13" spans="1:3" hidden="1">
      <c r="A13" t="s">
        <v>815</v>
      </c>
      <c r="C13" s="16">
        <v>0</v>
      </c>
    </row>
    <row r="14" spans="1:3" hidden="1">
      <c r="A14" t="s">
        <v>1034</v>
      </c>
      <c r="C14" s="16">
        <v>0</v>
      </c>
    </row>
    <row r="15" spans="1:3" hidden="1">
      <c r="A15" t="s">
        <v>1037</v>
      </c>
      <c r="C15" s="16">
        <v>0</v>
      </c>
    </row>
    <row r="16" spans="1:3" hidden="1">
      <c r="A16" t="s">
        <v>1038</v>
      </c>
      <c r="C16" s="16">
        <v>0</v>
      </c>
    </row>
    <row r="17" spans="1:3" hidden="1">
      <c r="A17" t="s">
        <v>1048</v>
      </c>
      <c r="C17" s="16">
        <v>0</v>
      </c>
    </row>
    <row r="18" spans="1:3" hidden="1">
      <c r="A18" t="s">
        <v>573</v>
      </c>
      <c r="C18" s="16">
        <v>0</v>
      </c>
    </row>
    <row r="19" spans="1:3" hidden="1">
      <c r="A19" t="s">
        <v>1047</v>
      </c>
      <c r="C19" s="16">
        <v>0</v>
      </c>
    </row>
    <row r="20" spans="1:3" hidden="1">
      <c r="A20" t="s">
        <v>831</v>
      </c>
      <c r="C20" s="16">
        <v>0</v>
      </c>
    </row>
    <row r="21" spans="1:3" hidden="1">
      <c r="A21" t="s">
        <v>15</v>
      </c>
      <c r="C21" s="16">
        <v>0</v>
      </c>
    </row>
    <row r="22" spans="1:3" hidden="1">
      <c r="A22" t="s">
        <v>831</v>
      </c>
      <c r="C22" s="16">
        <v>0</v>
      </c>
    </row>
    <row r="23" spans="1:3" hidden="1">
      <c r="A23" t="s">
        <v>14</v>
      </c>
      <c r="B23" t="s">
        <v>1548</v>
      </c>
      <c r="C23" s="16">
        <v>0.70892989465308909</v>
      </c>
    </row>
    <row r="24" spans="1:3" hidden="1">
      <c r="A24" t="s">
        <v>272</v>
      </c>
      <c r="B24" t="s">
        <v>2130</v>
      </c>
      <c r="C24" s="16">
        <v>0.71282051282051284</v>
      </c>
    </row>
    <row r="25" spans="1:3" hidden="1">
      <c r="A25" t="s">
        <v>1294</v>
      </c>
      <c r="C25" s="16">
        <v>0</v>
      </c>
    </row>
    <row r="26" spans="1:3" hidden="1">
      <c r="A26" t="s">
        <v>493</v>
      </c>
      <c r="B26" t="s">
        <v>2130</v>
      </c>
      <c r="C26" s="16">
        <v>0.71282051282051284</v>
      </c>
    </row>
    <row r="27" spans="1:3" hidden="1">
      <c r="A27" t="s">
        <v>142</v>
      </c>
      <c r="C27" s="16">
        <v>0</v>
      </c>
    </row>
    <row r="28" spans="1:3" hidden="1">
      <c r="A28" t="s">
        <v>140</v>
      </c>
      <c r="C28" s="16">
        <v>0</v>
      </c>
    </row>
    <row r="29" spans="1:3" hidden="1">
      <c r="A29" t="s">
        <v>12</v>
      </c>
      <c r="C29" s="16">
        <v>0</v>
      </c>
    </row>
    <row r="30" spans="1:3" hidden="1">
      <c r="A30" t="s">
        <v>1317</v>
      </c>
      <c r="B30" t="s">
        <v>1646</v>
      </c>
      <c r="C30" s="16">
        <v>0.71627268482719575</v>
      </c>
    </row>
    <row r="31" spans="1:3" hidden="1">
      <c r="A31" t="s">
        <v>821</v>
      </c>
      <c r="C31" s="16">
        <v>0</v>
      </c>
    </row>
    <row r="32" spans="1:3" hidden="1">
      <c r="A32" t="s">
        <v>1293</v>
      </c>
      <c r="C32" s="16">
        <v>0</v>
      </c>
    </row>
    <row r="33" spans="1:3" hidden="1">
      <c r="A33" t="s">
        <v>19</v>
      </c>
      <c r="C33" s="16">
        <v>0</v>
      </c>
    </row>
    <row r="34" spans="1:3" hidden="1">
      <c r="A34" t="s">
        <v>571</v>
      </c>
      <c r="C34" s="16">
        <v>0</v>
      </c>
    </row>
    <row r="35" spans="1:3" hidden="1">
      <c r="A35" t="s">
        <v>822</v>
      </c>
      <c r="C35" s="16">
        <v>0</v>
      </c>
    </row>
    <row r="36" spans="1:3" hidden="1">
      <c r="A36" t="s">
        <v>150</v>
      </c>
      <c r="C36" s="16">
        <v>0</v>
      </c>
    </row>
    <row r="37" spans="1:3" hidden="1">
      <c r="A37" t="s">
        <v>829</v>
      </c>
      <c r="C37" s="16">
        <v>0</v>
      </c>
    </row>
    <row r="38" spans="1:3" hidden="1">
      <c r="A38" t="s">
        <v>865</v>
      </c>
      <c r="B38" t="s">
        <v>1646</v>
      </c>
      <c r="C38" s="16">
        <v>0.71627268482719575</v>
      </c>
    </row>
    <row r="39" spans="1:3" hidden="1">
      <c r="A39" t="s">
        <v>145</v>
      </c>
      <c r="C39" s="16">
        <v>0</v>
      </c>
    </row>
    <row r="40" spans="1:3" hidden="1">
      <c r="A40" t="s">
        <v>828</v>
      </c>
      <c r="C40" s="16">
        <v>0</v>
      </c>
    </row>
    <row r="41" spans="1:3" hidden="1">
      <c r="A41" t="s">
        <v>1284</v>
      </c>
      <c r="C41" s="16">
        <v>0</v>
      </c>
    </row>
    <row r="42" spans="1:3" hidden="1">
      <c r="A42" t="s">
        <v>21</v>
      </c>
      <c r="C42" s="16">
        <v>0</v>
      </c>
    </row>
    <row r="43" spans="1:3" hidden="1">
      <c r="A43" t="s">
        <v>143</v>
      </c>
      <c r="C43" s="16">
        <v>0</v>
      </c>
    </row>
    <row r="44" spans="1:3" hidden="1">
      <c r="A44" t="s">
        <v>566</v>
      </c>
      <c r="C44" s="16">
        <v>0</v>
      </c>
    </row>
    <row r="45" spans="1:3" hidden="1">
      <c r="A45" t="s">
        <v>95</v>
      </c>
      <c r="B45" t="s">
        <v>1935</v>
      </c>
      <c r="C45" s="16">
        <v>0.71655879913488019</v>
      </c>
    </row>
    <row r="46" spans="1:3" hidden="1">
      <c r="A46" t="s">
        <v>1290</v>
      </c>
      <c r="C46" s="16">
        <v>0</v>
      </c>
    </row>
    <row r="47" spans="1:3" hidden="1">
      <c r="A47" t="s">
        <v>708</v>
      </c>
      <c r="B47" t="s">
        <v>1935</v>
      </c>
      <c r="C47" s="16">
        <v>0.71655879913488019</v>
      </c>
    </row>
    <row r="48" spans="1:3" hidden="1">
      <c r="A48" t="s">
        <v>1286</v>
      </c>
      <c r="C48" s="16">
        <v>0</v>
      </c>
    </row>
    <row r="49" spans="1:3" hidden="1">
      <c r="A49" t="s">
        <v>459</v>
      </c>
      <c r="B49" t="s">
        <v>1962</v>
      </c>
      <c r="C49" s="16">
        <v>0.71664212828600615</v>
      </c>
    </row>
    <row r="50" spans="1:3" hidden="1">
      <c r="A50" t="s">
        <v>979</v>
      </c>
      <c r="B50" t="s">
        <v>1962</v>
      </c>
      <c r="C50" s="16">
        <v>0.71702044970997658</v>
      </c>
    </row>
    <row r="51" spans="1:3" hidden="1">
      <c r="A51" t="s">
        <v>1046</v>
      </c>
      <c r="C51" s="16">
        <v>0</v>
      </c>
    </row>
    <row r="52" spans="1:3" hidden="1">
      <c r="A52" t="s">
        <v>17</v>
      </c>
      <c r="C52" s="16">
        <v>0</v>
      </c>
    </row>
    <row r="53" spans="1:3" hidden="1">
      <c r="A53" t="s">
        <v>1292</v>
      </c>
      <c r="C53" s="16">
        <v>0</v>
      </c>
    </row>
    <row r="54" spans="1:3" hidden="1">
      <c r="A54" t="s">
        <v>744</v>
      </c>
      <c r="B54" t="s">
        <v>1962</v>
      </c>
      <c r="C54" s="16">
        <v>0.72027529761707865</v>
      </c>
    </row>
    <row r="55" spans="1:3" hidden="1">
      <c r="A55" t="s">
        <v>1291</v>
      </c>
      <c r="C55" s="16">
        <v>0</v>
      </c>
    </row>
    <row r="56" spans="1:3" hidden="1">
      <c r="A56" t="s">
        <v>457</v>
      </c>
      <c r="B56" t="s">
        <v>1962</v>
      </c>
      <c r="C56" s="16">
        <v>0.72116206123095361</v>
      </c>
    </row>
    <row r="57" spans="1:3" hidden="1">
      <c r="A57" t="s">
        <v>633</v>
      </c>
      <c r="B57" t="s">
        <v>1962</v>
      </c>
      <c r="C57" s="16">
        <v>0.72122695479649923</v>
      </c>
    </row>
    <row r="58" spans="1:3" hidden="1">
      <c r="A58" t="s">
        <v>18</v>
      </c>
      <c r="C58" s="16">
        <v>0</v>
      </c>
    </row>
    <row r="59" spans="1:3" hidden="1">
      <c r="A59" t="s">
        <v>9</v>
      </c>
      <c r="C59" s="16">
        <v>0</v>
      </c>
    </row>
    <row r="60" spans="1:3" hidden="1">
      <c r="A60" t="s">
        <v>632</v>
      </c>
      <c r="B60" t="s">
        <v>1962</v>
      </c>
      <c r="C60" s="16">
        <v>0.72122695479649923</v>
      </c>
    </row>
    <row r="61" spans="1:3" hidden="1">
      <c r="A61" t="s">
        <v>1450</v>
      </c>
      <c r="B61" t="s">
        <v>1962</v>
      </c>
      <c r="C61" s="16">
        <v>0.72122695479649923</v>
      </c>
    </row>
    <row r="62" spans="1:3" hidden="1">
      <c r="A62" t="s">
        <v>1128</v>
      </c>
      <c r="B62" t="s">
        <v>1859</v>
      </c>
      <c r="C62" s="16">
        <v>0.72364644483395857</v>
      </c>
    </row>
    <row r="63" spans="1:3" hidden="1">
      <c r="A63" t="s">
        <v>1287</v>
      </c>
      <c r="C63" s="16">
        <v>0</v>
      </c>
    </row>
    <row r="64" spans="1:3" hidden="1">
      <c r="A64" t="s">
        <v>11</v>
      </c>
      <c r="C64" s="16">
        <v>0</v>
      </c>
    </row>
    <row r="65" spans="1:3" hidden="1">
      <c r="A65" t="s">
        <v>84</v>
      </c>
      <c r="B65" t="s">
        <v>1646</v>
      </c>
      <c r="C65" s="16">
        <v>0.72402429351810138</v>
      </c>
    </row>
    <row r="66" spans="1:3" hidden="1">
      <c r="A66" t="s">
        <v>10</v>
      </c>
      <c r="C66" s="16">
        <v>0</v>
      </c>
    </row>
    <row r="67" spans="1:3" hidden="1">
      <c r="A67" t="s">
        <v>72</v>
      </c>
      <c r="B67" t="s">
        <v>1962</v>
      </c>
      <c r="C67" s="16">
        <v>0.72505219552013955</v>
      </c>
    </row>
    <row r="68" spans="1:3" hidden="1">
      <c r="A68" t="s">
        <v>141</v>
      </c>
      <c r="C68" s="16">
        <v>0</v>
      </c>
    </row>
    <row r="69" spans="1:3" hidden="1">
      <c r="A69" t="s">
        <v>83</v>
      </c>
      <c r="B69" t="s">
        <v>1646</v>
      </c>
      <c r="C69" s="16">
        <v>0.72505219552013955</v>
      </c>
    </row>
    <row r="70" spans="1:3" hidden="1">
      <c r="A70" t="s">
        <v>830</v>
      </c>
      <c r="C70" s="16">
        <v>0</v>
      </c>
    </row>
    <row r="71" spans="1:3" hidden="1">
      <c r="A71" t="s">
        <v>16</v>
      </c>
      <c r="C71" s="16">
        <v>0</v>
      </c>
    </row>
    <row r="72" spans="1:3" hidden="1">
      <c r="A72" t="s">
        <v>136</v>
      </c>
      <c r="B72" t="s">
        <v>2125</v>
      </c>
      <c r="C72" s="16">
        <v>0.72579957356076763</v>
      </c>
    </row>
    <row r="73" spans="1:3" hidden="1">
      <c r="A73" t="s">
        <v>799</v>
      </c>
      <c r="B73" t="s">
        <v>2126</v>
      </c>
      <c r="C73" s="16">
        <v>0.72608695652173916</v>
      </c>
    </row>
    <row r="74" spans="1:3" hidden="1">
      <c r="A74" t="s">
        <v>133</v>
      </c>
      <c r="B74" t="s">
        <v>1962</v>
      </c>
      <c r="C74" s="16">
        <v>0.7261206504828287</v>
      </c>
    </row>
    <row r="75" spans="1:3" hidden="1">
      <c r="A75" t="s">
        <v>79</v>
      </c>
      <c r="B75" t="s">
        <v>1962</v>
      </c>
      <c r="C75" s="16">
        <v>0.7261206504828287</v>
      </c>
    </row>
    <row r="76" spans="1:3" hidden="1">
      <c r="A76" t="s">
        <v>572</v>
      </c>
      <c r="C76" s="16">
        <v>0</v>
      </c>
    </row>
    <row r="77" spans="1:3" hidden="1">
      <c r="A77">
        <v>20.149999999999999</v>
      </c>
      <c r="C77" s="16">
        <v>0</v>
      </c>
    </row>
    <row r="78" spans="1:3" hidden="1">
      <c r="A78" t="s">
        <v>458</v>
      </c>
      <c r="B78" t="s">
        <v>1962</v>
      </c>
      <c r="C78" s="16">
        <v>0.7261206504828287</v>
      </c>
    </row>
    <row r="79" spans="1:3" hidden="1">
      <c r="A79" t="s">
        <v>818</v>
      </c>
      <c r="C79" s="16">
        <v>0</v>
      </c>
    </row>
    <row r="80" spans="1:3" hidden="1">
      <c r="A80" t="s">
        <v>565</v>
      </c>
      <c r="C80" s="16">
        <v>0</v>
      </c>
    </row>
    <row r="81" spans="1:3" hidden="1">
      <c r="A81" t="s">
        <v>976</v>
      </c>
      <c r="B81" t="s">
        <v>1962</v>
      </c>
      <c r="C81" s="16">
        <v>0.7261206504828287</v>
      </c>
    </row>
    <row r="82" spans="1:3" hidden="1">
      <c r="A82" t="s">
        <v>1203</v>
      </c>
      <c r="B82" t="s">
        <v>1962</v>
      </c>
      <c r="C82" s="16">
        <v>0.7261206504828287</v>
      </c>
    </row>
    <row r="83" spans="1:3" hidden="1">
      <c r="A83" t="s">
        <v>1041</v>
      </c>
      <c r="C83" s="16">
        <v>0</v>
      </c>
    </row>
    <row r="84" spans="1:3" hidden="1">
      <c r="A84" t="s">
        <v>1016</v>
      </c>
      <c r="B84" t="s">
        <v>1962</v>
      </c>
      <c r="C84" s="16">
        <v>0.7261206504828287</v>
      </c>
    </row>
    <row r="85" spans="1:3" hidden="1">
      <c r="A85" t="s">
        <v>1114</v>
      </c>
      <c r="B85" t="s">
        <v>1962</v>
      </c>
      <c r="C85" s="16">
        <v>0.72619898626197688</v>
      </c>
    </row>
    <row r="86" spans="1:3" hidden="1">
      <c r="A86" t="s">
        <v>630</v>
      </c>
      <c r="B86" t="s">
        <v>1962</v>
      </c>
      <c r="C86" s="16">
        <v>0.72619898626197688</v>
      </c>
    </row>
    <row r="87" spans="1:3" hidden="1">
      <c r="A87" t="s">
        <v>404</v>
      </c>
      <c r="B87" t="s">
        <v>1725</v>
      </c>
      <c r="C87" s="16">
        <v>0.7295948411889619</v>
      </c>
    </row>
    <row r="88" spans="1:3" hidden="1">
      <c r="A88" t="s">
        <v>405</v>
      </c>
      <c r="B88" t="s">
        <v>1935</v>
      </c>
      <c r="C88" s="16">
        <v>0.73120995974587666</v>
      </c>
    </row>
    <row r="89" spans="1:3" hidden="1">
      <c r="A89" t="s">
        <v>1318</v>
      </c>
      <c r="B89" t="s">
        <v>1646</v>
      </c>
      <c r="C89" s="16">
        <v>0.73216440552465023</v>
      </c>
    </row>
    <row r="90" spans="1:3" hidden="1">
      <c r="A90" t="s">
        <v>674</v>
      </c>
      <c r="B90" t="s">
        <v>1660</v>
      </c>
      <c r="C90" s="16">
        <v>0.73496920093274964</v>
      </c>
    </row>
    <row r="91" spans="1:3" hidden="1">
      <c r="A91" t="s">
        <v>584</v>
      </c>
      <c r="B91" t="s">
        <v>1851</v>
      </c>
      <c r="C91" s="16">
        <v>0.73647014090095075</v>
      </c>
    </row>
    <row r="92" spans="1:3" hidden="1">
      <c r="A92" t="s">
        <v>1040</v>
      </c>
      <c r="C92" s="16">
        <v>0</v>
      </c>
    </row>
    <row r="93" spans="1:3" hidden="1">
      <c r="A93" t="s">
        <v>1042</v>
      </c>
      <c r="C93" s="16">
        <v>0</v>
      </c>
    </row>
    <row r="94" spans="1:3" hidden="1">
      <c r="A94" t="s">
        <v>355</v>
      </c>
      <c r="B94" t="s">
        <v>1660</v>
      </c>
      <c r="C94" s="16">
        <v>0.73647014090095075</v>
      </c>
    </row>
    <row r="95" spans="1:3" hidden="1">
      <c r="A95" t="s">
        <v>135</v>
      </c>
      <c r="B95" t="s">
        <v>1962</v>
      </c>
      <c r="C95" s="16">
        <v>0.7380430782368006</v>
      </c>
    </row>
    <row r="96" spans="1:3" hidden="1">
      <c r="A96" t="s">
        <v>333</v>
      </c>
      <c r="B96" t="s">
        <v>1859</v>
      </c>
      <c r="C96" s="16">
        <v>0.73907383401541715</v>
      </c>
    </row>
    <row r="97" spans="1:3" hidden="1">
      <c r="A97" t="s">
        <v>563</v>
      </c>
      <c r="B97" t="s">
        <v>1962</v>
      </c>
      <c r="C97" s="16">
        <v>0.73969332061474702</v>
      </c>
    </row>
    <row r="98" spans="1:3" hidden="1">
      <c r="A98" t="s">
        <v>816</v>
      </c>
      <c r="C98" s="16">
        <v>0</v>
      </c>
    </row>
    <row r="99" spans="1:3" hidden="1">
      <c r="A99" t="s">
        <v>1338</v>
      </c>
      <c r="B99" t="s">
        <v>1697</v>
      </c>
      <c r="C99" s="16">
        <v>0.7411776679832498</v>
      </c>
    </row>
    <row r="100" spans="1:3" hidden="1">
      <c r="A100" t="s">
        <v>704</v>
      </c>
      <c r="B100" t="s">
        <v>2118</v>
      </c>
      <c r="C100" s="16">
        <v>0.74232804232804228</v>
      </c>
    </row>
    <row r="101" spans="1:3" hidden="1">
      <c r="A101" t="s">
        <v>1296</v>
      </c>
      <c r="C101" s="16">
        <v>0</v>
      </c>
    </row>
    <row r="102" spans="1:3" hidden="1">
      <c r="A102" t="s">
        <v>1298</v>
      </c>
      <c r="C102" s="16">
        <v>0</v>
      </c>
    </row>
    <row r="103" spans="1:3" hidden="1">
      <c r="A103" t="s">
        <v>1297</v>
      </c>
      <c r="C103" s="16">
        <v>0</v>
      </c>
    </row>
    <row r="104" spans="1:3" hidden="1">
      <c r="A104" t="s">
        <v>1299</v>
      </c>
      <c r="C104" s="16">
        <v>0</v>
      </c>
    </row>
    <row r="105" spans="1:3" hidden="1">
      <c r="A105" t="s">
        <v>1340</v>
      </c>
      <c r="B105" t="s">
        <v>1699</v>
      </c>
      <c r="C105" s="16">
        <v>0.74522372281290206</v>
      </c>
    </row>
    <row r="106" spans="1:3" hidden="1">
      <c r="A106" t="s">
        <v>874</v>
      </c>
      <c r="B106" t="s">
        <v>1705</v>
      </c>
      <c r="C106" s="16">
        <v>0.74522372281290206</v>
      </c>
    </row>
    <row r="107" spans="1:3" hidden="1">
      <c r="A107" t="s">
        <v>875</v>
      </c>
      <c r="B107" t="s">
        <v>1699</v>
      </c>
      <c r="C107" s="16">
        <v>0.74522372281290206</v>
      </c>
    </row>
    <row r="108" spans="1:3" hidden="1">
      <c r="A108" t="s">
        <v>1464</v>
      </c>
      <c r="B108" t="s">
        <v>2120</v>
      </c>
      <c r="C108" s="16">
        <v>0.74560439560439562</v>
      </c>
    </row>
    <row r="109" spans="1:3" hidden="1">
      <c r="A109" t="s">
        <v>954</v>
      </c>
      <c r="B109" t="s">
        <v>1962</v>
      </c>
      <c r="C109" s="16">
        <v>0.74719374444039099</v>
      </c>
    </row>
    <row r="110" spans="1:3" hidden="1">
      <c r="A110" t="s">
        <v>988</v>
      </c>
      <c r="B110" t="s">
        <v>1962</v>
      </c>
      <c r="C110" s="16">
        <v>0.74719374444039099</v>
      </c>
    </row>
    <row r="111" spans="1:3" hidden="1">
      <c r="A111" t="s">
        <v>468</v>
      </c>
      <c r="B111" t="s">
        <v>1962</v>
      </c>
      <c r="C111" s="16">
        <v>0.74719374444039099</v>
      </c>
    </row>
    <row r="112" spans="1:3" hidden="1">
      <c r="A112" t="s">
        <v>1267</v>
      </c>
      <c r="B112" t="s">
        <v>1962</v>
      </c>
      <c r="C112" s="16">
        <v>0.74719374444039099</v>
      </c>
    </row>
    <row r="113" spans="1:3" hidden="1">
      <c r="A113" t="s">
        <v>1129</v>
      </c>
      <c r="B113" t="s">
        <v>1859</v>
      </c>
      <c r="C113" s="16">
        <v>0.7475683977664509</v>
      </c>
    </row>
    <row r="114" spans="1:3" hidden="1">
      <c r="A114" t="s">
        <v>151</v>
      </c>
      <c r="C114" s="16">
        <v>0</v>
      </c>
    </row>
    <row r="115" spans="1:3" hidden="1">
      <c r="A115" t="s">
        <v>212</v>
      </c>
      <c r="B115" t="s">
        <v>1860</v>
      </c>
      <c r="C115" s="16">
        <v>0.75201768290376458</v>
      </c>
    </row>
    <row r="116" spans="1:3">
      <c r="A116" t="s">
        <v>730</v>
      </c>
      <c r="B116" t="s">
        <v>1736</v>
      </c>
      <c r="C116" s="16">
        <v>0.75231996137466084</v>
      </c>
    </row>
    <row r="117" spans="1:3">
      <c r="A117" t="s">
        <v>138</v>
      </c>
      <c r="B117" t="s">
        <v>1680</v>
      </c>
      <c r="C117" s="16">
        <v>0.75384615384615383</v>
      </c>
    </row>
    <row r="118" spans="1:3" hidden="1">
      <c r="A118" t="s">
        <v>574</v>
      </c>
      <c r="C118" s="16">
        <v>0</v>
      </c>
    </row>
    <row r="119" spans="1:3">
      <c r="A119" t="s">
        <v>137</v>
      </c>
      <c r="B119" t="s">
        <v>1680</v>
      </c>
      <c r="C119" s="16">
        <v>0.75384615384615383</v>
      </c>
    </row>
    <row r="120" spans="1:3" hidden="1">
      <c r="A120" t="s">
        <v>152</v>
      </c>
      <c r="C120" s="16">
        <v>0</v>
      </c>
    </row>
    <row r="121" spans="1:3">
      <c r="A121" t="s">
        <v>231</v>
      </c>
      <c r="B121" t="s">
        <v>1962</v>
      </c>
      <c r="C121" s="16">
        <v>0.75398772358516719</v>
      </c>
    </row>
    <row r="122" spans="1:3">
      <c r="A122" t="s">
        <v>870</v>
      </c>
      <c r="B122" t="s">
        <v>1838</v>
      </c>
      <c r="C122" s="16">
        <v>0.75459704219288048</v>
      </c>
    </row>
    <row r="123" spans="1:3">
      <c r="A123" t="s">
        <v>723</v>
      </c>
      <c r="B123" t="s">
        <v>1736</v>
      </c>
      <c r="C123" s="16">
        <v>0.75809184367176297</v>
      </c>
    </row>
    <row r="124" spans="1:3">
      <c r="A124" t="s">
        <v>1115</v>
      </c>
      <c r="B124" t="s">
        <v>1962</v>
      </c>
      <c r="C124" s="16">
        <v>0.75923157516280626</v>
      </c>
    </row>
    <row r="125" spans="1:3">
      <c r="A125" t="s">
        <v>354</v>
      </c>
      <c r="B125" t="s">
        <v>1660</v>
      </c>
      <c r="C125" s="16">
        <v>0.75923157516280626</v>
      </c>
    </row>
    <row r="126" spans="1:3">
      <c r="A126" t="s">
        <v>433</v>
      </c>
      <c r="B126" t="s">
        <v>1962</v>
      </c>
      <c r="C126" s="16">
        <v>0.75923157516280626</v>
      </c>
    </row>
    <row r="127" spans="1:3">
      <c r="A127" t="s">
        <v>985</v>
      </c>
      <c r="B127" t="s">
        <v>1962</v>
      </c>
      <c r="C127" s="16">
        <v>0.75923157516280626</v>
      </c>
    </row>
    <row r="128" spans="1:3">
      <c r="A128" t="s">
        <v>984</v>
      </c>
      <c r="B128" t="s">
        <v>1962</v>
      </c>
      <c r="C128" s="16">
        <v>0.75923157516280626</v>
      </c>
    </row>
    <row r="129" spans="1:3" hidden="1">
      <c r="A129" t="s">
        <v>1053</v>
      </c>
      <c r="C129" s="16">
        <v>0</v>
      </c>
    </row>
    <row r="130" spans="1:3" hidden="1">
      <c r="A130" t="s">
        <v>1060</v>
      </c>
      <c r="C130" s="16">
        <v>0</v>
      </c>
    </row>
    <row r="131" spans="1:3">
      <c r="A131" t="s">
        <v>749</v>
      </c>
      <c r="B131" t="s">
        <v>1962</v>
      </c>
      <c r="C131" s="16">
        <v>0.75923157516280626</v>
      </c>
    </row>
    <row r="132" spans="1:3" hidden="1">
      <c r="A132" t="s">
        <v>1303</v>
      </c>
      <c r="C132" s="16">
        <v>0</v>
      </c>
    </row>
    <row r="133" spans="1:3" hidden="1">
      <c r="A133" t="s">
        <v>581</v>
      </c>
      <c r="C133" s="16">
        <v>0</v>
      </c>
    </row>
    <row r="134" spans="1:3" hidden="1">
      <c r="A134" t="s">
        <v>162</v>
      </c>
      <c r="C134" s="16">
        <v>0</v>
      </c>
    </row>
    <row r="135" spans="1:3" hidden="1">
      <c r="A135" t="s">
        <v>845</v>
      </c>
      <c r="C135" s="16">
        <v>0</v>
      </c>
    </row>
    <row r="136" spans="1:3" hidden="1">
      <c r="A136" t="s">
        <v>579</v>
      </c>
      <c r="C136" s="16">
        <v>0</v>
      </c>
    </row>
    <row r="137" spans="1:3" hidden="1">
      <c r="A137" t="s">
        <v>1058</v>
      </c>
      <c r="C137" s="16">
        <v>0</v>
      </c>
    </row>
    <row r="138" spans="1:3" hidden="1">
      <c r="A138" t="s">
        <v>163</v>
      </c>
      <c r="C138" s="16">
        <v>0</v>
      </c>
    </row>
    <row r="139" spans="1:3" hidden="1">
      <c r="A139" t="s">
        <v>580</v>
      </c>
      <c r="C139" s="16">
        <v>0</v>
      </c>
    </row>
    <row r="140" spans="1:3" hidden="1">
      <c r="A140" t="s">
        <v>161</v>
      </c>
      <c r="C140" s="16">
        <v>0</v>
      </c>
    </row>
    <row r="141" spans="1:3" hidden="1">
      <c r="A141" t="s">
        <v>1059</v>
      </c>
      <c r="C141" s="16">
        <v>0</v>
      </c>
    </row>
    <row r="142" spans="1:3" hidden="1">
      <c r="A142" t="s">
        <v>1062</v>
      </c>
      <c r="C142" s="16">
        <v>0</v>
      </c>
    </row>
    <row r="143" spans="1:3" hidden="1">
      <c r="A143" t="s">
        <v>578</v>
      </c>
      <c r="C143" s="16">
        <v>0</v>
      </c>
    </row>
    <row r="144" spans="1:3" hidden="1">
      <c r="A144" t="s">
        <v>164</v>
      </c>
      <c r="C144" s="16">
        <v>0</v>
      </c>
    </row>
    <row r="145" spans="1:3" hidden="1">
      <c r="A145" t="s">
        <v>168</v>
      </c>
      <c r="C145" s="16">
        <v>0</v>
      </c>
    </row>
    <row r="146" spans="1:3" hidden="1">
      <c r="A146" t="s">
        <v>159</v>
      </c>
      <c r="C146" s="16">
        <v>0</v>
      </c>
    </row>
    <row r="147" spans="1:3" hidden="1">
      <c r="A147" t="s">
        <v>1304</v>
      </c>
      <c r="C147" s="16">
        <v>0</v>
      </c>
    </row>
    <row r="148" spans="1:3" hidden="1">
      <c r="A148" t="s">
        <v>165</v>
      </c>
      <c r="C148" s="16">
        <v>0</v>
      </c>
    </row>
    <row r="149" spans="1:3" hidden="1">
      <c r="A149" t="s">
        <v>166</v>
      </c>
      <c r="C149" s="16">
        <v>0</v>
      </c>
    </row>
    <row r="150" spans="1:3" hidden="1">
      <c r="A150" t="s">
        <v>167</v>
      </c>
      <c r="C150" s="16">
        <v>0</v>
      </c>
    </row>
    <row r="151" spans="1:3" hidden="1">
      <c r="A151" t="s">
        <v>160</v>
      </c>
      <c r="C151" s="16">
        <v>0</v>
      </c>
    </row>
    <row r="152" spans="1:3" hidden="1">
      <c r="A152" t="s">
        <v>1056</v>
      </c>
      <c r="C152" s="16">
        <v>0</v>
      </c>
    </row>
    <row r="153" spans="1:3" hidden="1">
      <c r="A153" t="s">
        <v>849</v>
      </c>
      <c r="C153" s="16">
        <v>0</v>
      </c>
    </row>
    <row r="154" spans="1:3" hidden="1">
      <c r="A154" t="s">
        <v>576</v>
      </c>
      <c r="C154" s="16">
        <v>0</v>
      </c>
    </row>
    <row r="155" spans="1:3" hidden="1">
      <c r="A155" t="s">
        <v>575</v>
      </c>
      <c r="C155" s="16">
        <v>0</v>
      </c>
    </row>
    <row r="156" spans="1:3" hidden="1">
      <c r="A156" t="s">
        <v>169</v>
      </c>
      <c r="C156" s="16">
        <v>0</v>
      </c>
    </row>
    <row r="157" spans="1:3" hidden="1">
      <c r="A157" t="s">
        <v>1302</v>
      </c>
      <c r="C157" s="16">
        <v>0</v>
      </c>
    </row>
    <row r="158" spans="1:3" hidden="1">
      <c r="A158" t="s">
        <v>1055</v>
      </c>
      <c r="C158" s="16">
        <v>0</v>
      </c>
    </row>
    <row r="159" spans="1:3" hidden="1">
      <c r="A159" t="s">
        <v>1054</v>
      </c>
      <c r="C159" s="16">
        <v>0</v>
      </c>
    </row>
    <row r="160" spans="1:3">
      <c r="A160" t="s">
        <v>253</v>
      </c>
      <c r="B160" t="s">
        <v>1678</v>
      </c>
      <c r="C160" s="16">
        <v>0.76185185185185189</v>
      </c>
    </row>
    <row r="161" spans="1:3">
      <c r="A161" t="s">
        <v>242</v>
      </c>
      <c r="B161" t="s">
        <v>866</v>
      </c>
      <c r="C161" s="16">
        <v>0.76389424858956745</v>
      </c>
    </row>
    <row r="162" spans="1:3" hidden="1">
      <c r="A162" t="s">
        <v>847</v>
      </c>
      <c r="C162" s="16">
        <v>0</v>
      </c>
    </row>
    <row r="163" spans="1:3" hidden="1">
      <c r="A163" t="s">
        <v>842</v>
      </c>
      <c r="C163" s="16">
        <v>0</v>
      </c>
    </row>
    <row r="164" spans="1:3" hidden="1">
      <c r="A164" t="s">
        <v>577</v>
      </c>
      <c r="C164" s="16">
        <v>0</v>
      </c>
    </row>
    <row r="165" spans="1:3" hidden="1">
      <c r="A165" t="s">
        <v>848</v>
      </c>
      <c r="C165" s="16">
        <v>0</v>
      </c>
    </row>
    <row r="166" spans="1:3" hidden="1">
      <c r="A166" t="s">
        <v>1063</v>
      </c>
      <c r="C166" s="16">
        <v>0</v>
      </c>
    </row>
    <row r="167" spans="1:3" hidden="1">
      <c r="A167" t="s">
        <v>841</v>
      </c>
      <c r="C167" s="16">
        <v>0</v>
      </c>
    </row>
    <row r="168" spans="1:3">
      <c r="A168" t="s">
        <v>240</v>
      </c>
      <c r="B168" t="s">
        <v>866</v>
      </c>
      <c r="C168" s="16">
        <v>0.7642099448747991</v>
      </c>
    </row>
    <row r="169" spans="1:3">
      <c r="A169" t="s">
        <v>1245</v>
      </c>
      <c r="B169" t="s">
        <v>2109</v>
      </c>
      <c r="C169" s="16">
        <v>0.76432028515790429</v>
      </c>
    </row>
    <row r="170" spans="1:3" hidden="1">
      <c r="A170" t="s">
        <v>843</v>
      </c>
      <c r="C170" s="16">
        <v>0</v>
      </c>
    </row>
    <row r="171" spans="1:3" hidden="1">
      <c r="A171" t="s">
        <v>1057</v>
      </c>
      <c r="C171" s="16">
        <v>0</v>
      </c>
    </row>
    <row r="172" spans="1:3" hidden="1">
      <c r="A172" t="s">
        <v>844</v>
      </c>
      <c r="C172" s="16">
        <v>0</v>
      </c>
    </row>
    <row r="173" spans="1:3">
      <c r="A173" t="s">
        <v>883</v>
      </c>
      <c r="B173" t="s">
        <v>1770</v>
      </c>
      <c r="C173" s="16">
        <v>0.76517055079435647</v>
      </c>
    </row>
    <row r="174" spans="1:3">
      <c r="A174" t="s">
        <v>717</v>
      </c>
      <c r="B174" t="s">
        <v>2109</v>
      </c>
      <c r="C174" s="16">
        <v>0.76634414383106697</v>
      </c>
    </row>
    <row r="175" spans="1:3" hidden="1">
      <c r="A175" t="s">
        <v>1065</v>
      </c>
      <c r="C175" s="16">
        <v>0</v>
      </c>
    </row>
    <row r="176" spans="1:3" hidden="1">
      <c r="A176" t="s">
        <v>855</v>
      </c>
      <c r="C176" s="16">
        <v>0</v>
      </c>
    </row>
    <row r="177" spans="1:3" hidden="1">
      <c r="A177" t="s">
        <v>854</v>
      </c>
      <c r="C177" s="16">
        <v>0</v>
      </c>
    </row>
    <row r="178" spans="1:3" hidden="1">
      <c r="A178" t="s">
        <v>1066</v>
      </c>
      <c r="C178" s="16">
        <v>0</v>
      </c>
    </row>
    <row r="179" spans="1:3" hidden="1">
      <c r="A179" t="s">
        <v>1313</v>
      </c>
      <c r="C179" s="16">
        <v>0</v>
      </c>
    </row>
    <row r="180" spans="1:3">
      <c r="A180" t="s">
        <v>426</v>
      </c>
      <c r="B180" t="s">
        <v>1736</v>
      </c>
      <c r="C180" s="16">
        <v>0.76637233732192012</v>
      </c>
    </row>
    <row r="181" spans="1:3" hidden="1">
      <c r="A181" t="s">
        <v>857</v>
      </c>
      <c r="C181" s="16">
        <v>0</v>
      </c>
    </row>
    <row r="182" spans="1:3">
      <c r="A182" t="s">
        <v>564</v>
      </c>
      <c r="B182" t="s">
        <v>1962</v>
      </c>
      <c r="C182" s="16">
        <v>0.76846796917126348</v>
      </c>
    </row>
    <row r="183" spans="1:3" hidden="1">
      <c r="A183" t="s">
        <v>856</v>
      </c>
      <c r="C183" s="16">
        <v>0</v>
      </c>
    </row>
    <row r="184" spans="1:3" hidden="1">
      <c r="A184" t="s">
        <v>1309</v>
      </c>
      <c r="C184" s="16">
        <v>0</v>
      </c>
    </row>
    <row r="185" spans="1:3">
      <c r="A185" t="s">
        <v>251</v>
      </c>
      <c r="B185" t="s">
        <v>866</v>
      </c>
      <c r="C185" s="16">
        <v>0.7694617425028355</v>
      </c>
    </row>
    <row r="186" spans="1:3">
      <c r="A186" t="s">
        <v>134</v>
      </c>
      <c r="B186" t="s">
        <v>1962</v>
      </c>
      <c r="C186" s="16">
        <v>0.77199145042849437</v>
      </c>
    </row>
    <row r="187" spans="1:3">
      <c r="A187" t="s">
        <v>1081</v>
      </c>
      <c r="B187" t="s">
        <v>1685</v>
      </c>
      <c r="C187" s="16">
        <v>0.773710379462617</v>
      </c>
    </row>
    <row r="188" spans="1:3">
      <c r="A188" t="s">
        <v>189</v>
      </c>
      <c r="B188" t="s">
        <v>1685</v>
      </c>
      <c r="C188" s="16">
        <v>0.773710379462617</v>
      </c>
    </row>
    <row r="189" spans="1:3">
      <c r="A189" t="s">
        <v>297</v>
      </c>
      <c r="B189" t="s">
        <v>1962</v>
      </c>
      <c r="C189" s="16">
        <v>0.77577891921050901</v>
      </c>
    </row>
    <row r="190" spans="1:3">
      <c r="A190" t="s">
        <v>337</v>
      </c>
      <c r="B190" t="s">
        <v>1962</v>
      </c>
      <c r="C190" s="16">
        <v>0.77577891921050901</v>
      </c>
    </row>
    <row r="191" spans="1:3">
      <c r="A191" t="s">
        <v>1399</v>
      </c>
      <c r="B191" t="s">
        <v>1962</v>
      </c>
      <c r="C191" s="16">
        <v>0.77577891921050901</v>
      </c>
    </row>
    <row r="192" spans="1:3">
      <c r="A192" t="s">
        <v>435</v>
      </c>
      <c r="B192" t="s">
        <v>1736</v>
      </c>
      <c r="C192" s="16">
        <v>0.77636791421229756</v>
      </c>
    </row>
    <row r="193" spans="1:3" hidden="1">
      <c r="A193" t="s">
        <v>1308</v>
      </c>
      <c r="C193" s="16">
        <v>0</v>
      </c>
    </row>
    <row r="194" spans="1:3" hidden="1">
      <c r="A194">
        <v>208</v>
      </c>
      <c r="C194" s="16">
        <v>0</v>
      </c>
    </row>
    <row r="195" spans="1:3" hidden="1">
      <c r="A195" t="s">
        <v>1068</v>
      </c>
      <c r="C195" s="16">
        <v>0</v>
      </c>
    </row>
    <row r="196" spans="1:3" hidden="1">
      <c r="A196" t="s">
        <v>583</v>
      </c>
      <c r="C196" s="16">
        <v>0</v>
      </c>
    </row>
    <row r="197" spans="1:3" hidden="1">
      <c r="A197" t="s">
        <v>859</v>
      </c>
      <c r="C197" s="16">
        <v>0</v>
      </c>
    </row>
    <row r="198" spans="1:3">
      <c r="A198" t="s">
        <v>1122</v>
      </c>
      <c r="B198" t="s">
        <v>1812</v>
      </c>
      <c r="C198" s="16">
        <v>0.78365959487104564</v>
      </c>
    </row>
    <row r="199" spans="1:3" hidden="1">
      <c r="A199" t="s">
        <v>1314</v>
      </c>
      <c r="C199" s="16">
        <v>0</v>
      </c>
    </row>
    <row r="200" spans="1:3" hidden="1">
      <c r="A200" t="s">
        <v>175</v>
      </c>
      <c r="C200" s="16">
        <v>0</v>
      </c>
    </row>
    <row r="201" spans="1:3" hidden="1">
      <c r="A201" t="s">
        <v>1072</v>
      </c>
      <c r="C201" s="16">
        <v>0</v>
      </c>
    </row>
    <row r="202" spans="1:3" hidden="1">
      <c r="A202" t="s">
        <v>863</v>
      </c>
      <c r="C202" s="16">
        <v>0</v>
      </c>
    </row>
    <row r="203" spans="1:3" hidden="1">
      <c r="A203" t="s">
        <v>1070</v>
      </c>
      <c r="C203" s="16">
        <v>0</v>
      </c>
    </row>
    <row r="204" spans="1:3">
      <c r="A204" t="s">
        <v>525</v>
      </c>
      <c r="B204" t="s">
        <v>2110</v>
      </c>
      <c r="C204" s="16">
        <v>0.78552909320392361</v>
      </c>
    </row>
    <row r="205" spans="1:3" hidden="1">
      <c r="A205" t="s">
        <v>1074</v>
      </c>
      <c r="C205" s="16">
        <v>0</v>
      </c>
    </row>
    <row r="206" spans="1:3">
      <c r="A206" t="s">
        <v>968</v>
      </c>
      <c r="B206" t="s">
        <v>1557</v>
      </c>
      <c r="C206" s="16">
        <v>0.78691594915073737</v>
      </c>
    </row>
    <row r="207" spans="1:3">
      <c r="A207" t="s">
        <v>927</v>
      </c>
      <c r="B207" t="s">
        <v>932</v>
      </c>
      <c r="C207" s="16">
        <v>0.78741723778862915</v>
      </c>
    </row>
    <row r="208" spans="1:3">
      <c r="A208" t="s">
        <v>716</v>
      </c>
      <c r="B208" t="s">
        <v>2109</v>
      </c>
      <c r="C208" s="16">
        <v>0.78741723778862915</v>
      </c>
    </row>
    <row r="209" spans="1:3">
      <c r="A209" t="s">
        <v>797</v>
      </c>
      <c r="B209" t="s">
        <v>2122</v>
      </c>
      <c r="C209" s="16">
        <v>0.7897904878690224</v>
      </c>
    </row>
    <row r="210" spans="1:3" hidden="1">
      <c r="A210" t="s">
        <v>593</v>
      </c>
      <c r="C210" s="16">
        <v>0</v>
      </c>
    </row>
    <row r="211" spans="1:3" hidden="1">
      <c r="A211" t="s">
        <v>220</v>
      </c>
      <c r="C211" s="16">
        <v>0</v>
      </c>
    </row>
    <row r="212" spans="1:3" hidden="1">
      <c r="A212" t="s">
        <v>224</v>
      </c>
      <c r="C212" s="16">
        <v>0</v>
      </c>
    </row>
    <row r="213" spans="1:3" hidden="1">
      <c r="A213" t="s">
        <v>218</v>
      </c>
      <c r="C213" s="16">
        <v>0</v>
      </c>
    </row>
    <row r="214" spans="1:3" hidden="1">
      <c r="A214" t="s">
        <v>223</v>
      </c>
      <c r="C214" s="16">
        <v>0</v>
      </c>
    </row>
    <row r="215" spans="1:3" hidden="1">
      <c r="A215" t="s">
        <v>233</v>
      </c>
      <c r="C215" s="16">
        <v>0</v>
      </c>
    </row>
    <row r="216" spans="1:3" hidden="1">
      <c r="A216" t="s">
        <v>222</v>
      </c>
      <c r="C216" s="16">
        <v>0</v>
      </c>
    </row>
    <row r="217" spans="1:3" hidden="1">
      <c r="A217" t="s">
        <v>232</v>
      </c>
      <c r="C217" s="16">
        <v>0</v>
      </c>
    </row>
    <row r="218" spans="1:3" hidden="1">
      <c r="A218" t="s">
        <v>221</v>
      </c>
      <c r="C218" s="16">
        <v>0</v>
      </c>
    </row>
    <row r="219" spans="1:3" hidden="1">
      <c r="A219" t="s">
        <v>41</v>
      </c>
      <c r="C219" s="16">
        <v>0</v>
      </c>
    </row>
    <row r="220" spans="1:3" hidden="1">
      <c r="A220" t="s">
        <v>216</v>
      </c>
      <c r="C220" s="16">
        <v>0</v>
      </c>
    </row>
    <row r="221" spans="1:3" hidden="1">
      <c r="A221" t="s">
        <v>234</v>
      </c>
      <c r="C221" s="16">
        <v>0</v>
      </c>
    </row>
    <row r="222" spans="1:3">
      <c r="A222" t="s">
        <v>436</v>
      </c>
      <c r="B222" t="s">
        <v>1736</v>
      </c>
      <c r="C222" s="16">
        <v>0.79273018838078491</v>
      </c>
    </row>
    <row r="223" spans="1:3" hidden="1">
      <c r="A223" t="s">
        <v>877</v>
      </c>
      <c r="C223" s="16">
        <v>0</v>
      </c>
    </row>
    <row r="224" spans="1:3">
      <c r="A224" t="s">
        <v>638</v>
      </c>
      <c r="B224" t="s">
        <v>1625</v>
      </c>
      <c r="C224" s="16">
        <v>0.79428321647944411</v>
      </c>
    </row>
    <row r="225" spans="1:3" hidden="1">
      <c r="A225" t="s">
        <v>1332</v>
      </c>
      <c r="C225" s="16">
        <v>0</v>
      </c>
    </row>
    <row r="226" spans="1:3">
      <c r="A226" t="s">
        <v>707</v>
      </c>
      <c r="B226" t="s">
        <v>1935</v>
      </c>
      <c r="C226" s="16">
        <v>0.79502306252431276</v>
      </c>
    </row>
    <row r="227" spans="1:3">
      <c r="A227" t="s">
        <v>182</v>
      </c>
      <c r="B227" t="s">
        <v>1650</v>
      </c>
      <c r="C227" s="16">
        <v>0.79502705332609158</v>
      </c>
    </row>
    <row r="228" spans="1:3">
      <c r="A228" t="s">
        <v>1075</v>
      </c>
      <c r="B228" t="s">
        <v>1641</v>
      </c>
      <c r="C228" s="16">
        <v>0.79653679653679654</v>
      </c>
    </row>
    <row r="229" spans="1:3" hidden="1">
      <c r="A229" t="s">
        <v>1346</v>
      </c>
      <c r="C229" s="16">
        <v>0</v>
      </c>
    </row>
    <row r="230" spans="1:3" hidden="1">
      <c r="A230" t="s">
        <v>215</v>
      </c>
      <c r="C230" s="16">
        <v>0</v>
      </c>
    </row>
    <row r="231" spans="1:3" hidden="1">
      <c r="A231" t="s">
        <v>42</v>
      </c>
      <c r="C231" s="16">
        <v>0</v>
      </c>
    </row>
    <row r="232" spans="1:3" hidden="1">
      <c r="A232" t="s">
        <v>214</v>
      </c>
      <c r="C232" s="16">
        <v>0</v>
      </c>
    </row>
    <row r="233" spans="1:3" hidden="1">
      <c r="A233" t="s">
        <v>211</v>
      </c>
      <c r="C233" s="16">
        <v>0</v>
      </c>
    </row>
    <row r="234" spans="1:3">
      <c r="A234" t="s">
        <v>1019</v>
      </c>
      <c r="B234" t="s">
        <v>2110</v>
      </c>
      <c r="C234" s="16">
        <v>0.79699076840097705</v>
      </c>
    </row>
    <row r="235" spans="1:3">
      <c r="A235" t="s">
        <v>148</v>
      </c>
      <c r="B235" t="s">
        <v>2130</v>
      </c>
      <c r="C235" s="16">
        <v>0.79949874686716793</v>
      </c>
    </row>
    <row r="236" spans="1:3">
      <c r="A236" t="s">
        <v>147</v>
      </c>
      <c r="B236" t="s">
        <v>2130</v>
      </c>
      <c r="C236" s="16">
        <v>0.79949874686716793</v>
      </c>
    </row>
    <row r="237" spans="1:3" hidden="1">
      <c r="A237" t="s">
        <v>1345</v>
      </c>
      <c r="C237" s="16">
        <v>0</v>
      </c>
    </row>
    <row r="238" spans="1:3" hidden="1">
      <c r="A238" t="s">
        <v>213</v>
      </c>
      <c r="C238" s="16">
        <v>0</v>
      </c>
    </row>
    <row r="239" spans="1:3" hidden="1">
      <c r="A239" t="s">
        <v>230</v>
      </c>
      <c r="C239" s="16">
        <v>0</v>
      </c>
    </row>
    <row r="240" spans="1:3" hidden="1">
      <c r="A240" t="s">
        <v>594</v>
      </c>
      <c r="C240" s="16">
        <v>0</v>
      </c>
    </row>
    <row r="241" spans="1:3">
      <c r="A241" t="s">
        <v>982</v>
      </c>
      <c r="B241" t="s">
        <v>1917</v>
      </c>
      <c r="C241" s="16">
        <v>0.79995377052487682</v>
      </c>
    </row>
    <row r="242" spans="1:3" hidden="1">
      <c r="A242" t="s">
        <v>227</v>
      </c>
      <c r="C242" s="16">
        <v>0</v>
      </c>
    </row>
    <row r="243" spans="1:3" hidden="1">
      <c r="A243" t="s">
        <v>210</v>
      </c>
      <c r="C243" s="16">
        <v>0</v>
      </c>
    </row>
    <row r="244" spans="1:3" hidden="1">
      <c r="A244" t="s">
        <v>228</v>
      </c>
      <c r="C244" s="16">
        <v>0</v>
      </c>
    </row>
    <row r="245" spans="1:3">
      <c r="A245" t="s">
        <v>735</v>
      </c>
      <c r="B245" t="s">
        <v>1962</v>
      </c>
      <c r="C245" s="16">
        <v>0.79995377052487682</v>
      </c>
    </row>
    <row r="246" spans="1:3">
      <c r="A246" t="s">
        <v>736</v>
      </c>
      <c r="B246" t="s">
        <v>1962</v>
      </c>
      <c r="C246" s="16">
        <v>0.79995377052487682</v>
      </c>
    </row>
    <row r="247" spans="1:3" hidden="1">
      <c r="A247" t="s">
        <v>180</v>
      </c>
      <c r="C247" s="16">
        <v>0</v>
      </c>
    </row>
    <row r="248" spans="1:3" hidden="1">
      <c r="A248" t="s">
        <v>1326</v>
      </c>
      <c r="C248" s="16">
        <v>0</v>
      </c>
    </row>
    <row r="249" spans="1:3" hidden="1">
      <c r="A249" t="s">
        <v>1080</v>
      </c>
      <c r="C249" s="16">
        <v>0</v>
      </c>
    </row>
    <row r="250" spans="1:3" hidden="1">
      <c r="A250" t="s">
        <v>229</v>
      </c>
      <c r="C250" s="16">
        <v>0</v>
      </c>
    </row>
    <row r="251" spans="1:3" hidden="1">
      <c r="A251" t="s">
        <v>209</v>
      </c>
      <c r="C251" s="16">
        <v>0</v>
      </c>
    </row>
    <row r="252" spans="1:3" hidden="1">
      <c r="A252" t="s">
        <v>1087</v>
      </c>
      <c r="C252" s="16">
        <v>0</v>
      </c>
    </row>
    <row r="253" spans="1:3">
      <c r="A253" t="s">
        <v>281</v>
      </c>
      <c r="B253" t="s">
        <v>1810</v>
      </c>
      <c r="C253" s="16">
        <v>0.80216802168021673</v>
      </c>
    </row>
    <row r="254" spans="1:3" hidden="1">
      <c r="A254" t="s">
        <v>595</v>
      </c>
      <c r="C254" s="16">
        <v>0</v>
      </c>
    </row>
    <row r="255" spans="1:3" hidden="1">
      <c r="A255" t="s">
        <v>30</v>
      </c>
      <c r="C255" s="16">
        <v>0</v>
      </c>
    </row>
    <row r="256" spans="1:3" hidden="1">
      <c r="A256" t="s">
        <v>1336</v>
      </c>
      <c r="C256" s="16">
        <v>0</v>
      </c>
    </row>
    <row r="257" spans="1:3" hidden="1">
      <c r="A257" t="s">
        <v>1331</v>
      </c>
      <c r="C257" s="16">
        <v>0</v>
      </c>
    </row>
    <row r="258" spans="1:3">
      <c r="A258" t="s">
        <v>186</v>
      </c>
      <c r="B258" t="s">
        <v>1674</v>
      </c>
      <c r="C258" s="16">
        <v>0.8029335634167386</v>
      </c>
    </row>
    <row r="259" spans="1:3" hidden="1">
      <c r="A259" t="s">
        <v>201</v>
      </c>
      <c r="C259" s="16">
        <v>0</v>
      </c>
    </row>
    <row r="260" spans="1:3" hidden="1">
      <c r="A260" t="s">
        <v>208</v>
      </c>
      <c r="C260" s="16">
        <v>0</v>
      </c>
    </row>
    <row r="261" spans="1:3" hidden="1">
      <c r="A261" t="s">
        <v>1083</v>
      </c>
      <c r="C261" s="16">
        <v>0</v>
      </c>
    </row>
    <row r="262" spans="1:3">
      <c r="A262" t="s">
        <v>537</v>
      </c>
      <c r="B262" t="s">
        <v>2131</v>
      </c>
      <c r="C262" s="16">
        <v>0.80407608585738966</v>
      </c>
    </row>
    <row r="263" spans="1:3" hidden="1">
      <c r="A263" t="s">
        <v>1325</v>
      </c>
      <c r="C263" s="16">
        <v>0</v>
      </c>
    </row>
    <row r="264" spans="1:3" hidden="1">
      <c r="A264" t="s">
        <v>200</v>
      </c>
      <c r="C264" s="16">
        <v>0</v>
      </c>
    </row>
    <row r="265" spans="1:3">
      <c r="A265" t="s">
        <v>1024</v>
      </c>
      <c r="B265" t="s">
        <v>2131</v>
      </c>
      <c r="C265" s="16">
        <v>0.80407608585738966</v>
      </c>
    </row>
    <row r="266" spans="1:3" hidden="1">
      <c r="A266" t="s">
        <v>35</v>
      </c>
      <c r="C266" s="16">
        <v>0</v>
      </c>
    </row>
    <row r="267" spans="1:3">
      <c r="A267" t="s">
        <v>538</v>
      </c>
      <c r="B267" t="s">
        <v>2131</v>
      </c>
      <c r="C267" s="16">
        <v>0.80407608585738966</v>
      </c>
    </row>
    <row r="268" spans="1:3" hidden="1">
      <c r="A268" t="s">
        <v>592</v>
      </c>
      <c r="C268" s="16">
        <v>0</v>
      </c>
    </row>
    <row r="269" spans="1:3" hidden="1">
      <c r="A269" t="s">
        <v>246</v>
      </c>
      <c r="C269" s="16">
        <v>0</v>
      </c>
    </row>
    <row r="270" spans="1:3">
      <c r="A270" t="s">
        <v>538</v>
      </c>
      <c r="B270" t="s">
        <v>2131</v>
      </c>
      <c r="C270" s="16">
        <v>0.80407608585738966</v>
      </c>
    </row>
    <row r="271" spans="1:3" hidden="1">
      <c r="A271" t="s">
        <v>238</v>
      </c>
      <c r="C271" s="16">
        <v>0</v>
      </c>
    </row>
    <row r="272" spans="1:3" hidden="1">
      <c r="A272" t="s">
        <v>191</v>
      </c>
      <c r="C272" s="16">
        <v>0</v>
      </c>
    </row>
    <row r="273" spans="1:3" hidden="1">
      <c r="A273" t="s">
        <v>250</v>
      </c>
      <c r="C273" s="16">
        <v>0</v>
      </c>
    </row>
    <row r="274" spans="1:3">
      <c r="A274" t="s">
        <v>526</v>
      </c>
      <c r="B274" t="s">
        <v>2110</v>
      </c>
      <c r="C274" s="16">
        <v>0.80488809936310213</v>
      </c>
    </row>
    <row r="275" spans="1:3" hidden="1">
      <c r="A275" t="s">
        <v>190</v>
      </c>
      <c r="C275" s="16">
        <v>0</v>
      </c>
    </row>
    <row r="276" spans="1:3">
      <c r="A276" t="s">
        <v>777</v>
      </c>
      <c r="B276" t="s">
        <v>2095</v>
      </c>
      <c r="C276" s="16">
        <v>0.81092775999798505</v>
      </c>
    </row>
    <row r="277" spans="1:3">
      <c r="A277" t="s">
        <v>434</v>
      </c>
      <c r="B277" t="s">
        <v>1736</v>
      </c>
      <c r="C277" s="16">
        <v>0.81657826649824405</v>
      </c>
    </row>
    <row r="278" spans="1:3">
      <c r="A278" t="s">
        <v>661</v>
      </c>
      <c r="B278" t="s">
        <v>1853</v>
      </c>
      <c r="C278" s="16">
        <v>0.81669309715600702</v>
      </c>
    </row>
    <row r="279" spans="1:3">
      <c r="A279">
        <v>1.3</v>
      </c>
      <c r="B279" t="s">
        <v>1694</v>
      </c>
      <c r="C279" s="16">
        <v>0.8188550062415404</v>
      </c>
    </row>
    <row r="280" spans="1:3" hidden="1">
      <c r="A280" t="s">
        <v>217</v>
      </c>
      <c r="C280" s="16">
        <v>0</v>
      </c>
    </row>
    <row r="281" spans="1:3" hidden="1">
      <c r="A281" t="s">
        <v>196</v>
      </c>
      <c r="C281" s="16">
        <v>0</v>
      </c>
    </row>
    <row r="282" spans="1:3" hidden="1">
      <c r="A282" t="s">
        <v>868</v>
      </c>
      <c r="C282" s="16">
        <v>0</v>
      </c>
    </row>
    <row r="283" spans="1:3">
      <c r="A283" t="s">
        <v>1202</v>
      </c>
      <c r="B283" t="s">
        <v>1848</v>
      </c>
      <c r="C283" s="16">
        <v>0.81984897518878097</v>
      </c>
    </row>
    <row r="284" spans="1:3">
      <c r="A284" t="s">
        <v>1426</v>
      </c>
      <c r="B284" t="s">
        <v>1848</v>
      </c>
      <c r="C284" s="16">
        <v>0.81984897518878097</v>
      </c>
    </row>
    <row r="285" spans="1:3">
      <c r="A285" t="s">
        <v>986</v>
      </c>
      <c r="B285" t="s">
        <v>1848</v>
      </c>
      <c r="C285" s="16">
        <v>0.81984897518878097</v>
      </c>
    </row>
    <row r="286" spans="1:3">
      <c r="A286" t="s">
        <v>665</v>
      </c>
      <c r="B286" t="s">
        <v>1860</v>
      </c>
      <c r="C286" s="16">
        <v>0.82074135498237899</v>
      </c>
    </row>
    <row r="287" spans="1:3">
      <c r="A287" t="s">
        <v>184</v>
      </c>
      <c r="B287" t="s">
        <v>1671</v>
      </c>
      <c r="C287" s="16">
        <v>0.82250413678985113</v>
      </c>
    </row>
    <row r="288" spans="1:3" hidden="1">
      <c r="A288" t="s">
        <v>183</v>
      </c>
      <c r="C288" s="16">
        <v>0</v>
      </c>
    </row>
    <row r="289" spans="1:3" hidden="1">
      <c r="A289" t="s">
        <v>29</v>
      </c>
      <c r="C289" s="16">
        <v>0</v>
      </c>
    </row>
    <row r="290" spans="1:3">
      <c r="A290" t="s">
        <v>1135</v>
      </c>
      <c r="B290" t="s">
        <v>1854</v>
      </c>
      <c r="C290" s="16">
        <v>0.82365463621330415</v>
      </c>
    </row>
    <row r="291" spans="1:3" hidden="1">
      <c r="A291" t="s">
        <v>219</v>
      </c>
      <c r="C291" s="16">
        <v>0</v>
      </c>
    </row>
    <row r="292" spans="1:3">
      <c r="A292" t="s">
        <v>1177</v>
      </c>
      <c r="B292" t="s">
        <v>1917</v>
      </c>
      <c r="C292" s="16">
        <v>0.82734333884764688</v>
      </c>
    </row>
    <row r="293" spans="1:3" hidden="1">
      <c r="A293" t="s">
        <v>1330</v>
      </c>
      <c r="C293" s="16">
        <v>0</v>
      </c>
    </row>
    <row r="294" spans="1:3">
      <c r="A294" t="s">
        <v>881</v>
      </c>
      <c r="B294" t="s">
        <v>1719</v>
      </c>
      <c r="C294" s="16">
        <v>0.82808603100218969</v>
      </c>
    </row>
    <row r="295" spans="1:3" hidden="1">
      <c r="A295" t="s">
        <v>1084</v>
      </c>
      <c r="C295" s="16">
        <v>0</v>
      </c>
    </row>
    <row r="296" spans="1:3" hidden="1">
      <c r="A296" t="s">
        <v>199</v>
      </c>
      <c r="C296" s="16">
        <v>0</v>
      </c>
    </row>
    <row r="297" spans="1:3">
      <c r="A297" t="s">
        <v>1189</v>
      </c>
      <c r="B297" t="s">
        <v>1550</v>
      </c>
      <c r="C297" s="16">
        <v>0.82811781325974121</v>
      </c>
    </row>
    <row r="298" spans="1:3">
      <c r="A298" t="s">
        <v>1357</v>
      </c>
      <c r="B298" t="s">
        <v>1827</v>
      </c>
      <c r="C298" s="16">
        <v>0.82959644194744586</v>
      </c>
    </row>
    <row r="299" spans="1:3" hidden="1">
      <c r="A299" t="s">
        <v>1076</v>
      </c>
      <c r="C299" s="16">
        <v>0</v>
      </c>
    </row>
    <row r="300" spans="1:3" hidden="1">
      <c r="A300" t="s">
        <v>46</v>
      </c>
      <c r="C300" s="16">
        <v>0</v>
      </c>
    </row>
    <row r="301" spans="1:3" hidden="1">
      <c r="A301" t="s">
        <v>197</v>
      </c>
      <c r="C301" s="16">
        <v>0</v>
      </c>
    </row>
    <row r="302" spans="1:3">
      <c r="A302" t="s">
        <v>1359</v>
      </c>
      <c r="B302" t="s">
        <v>1827</v>
      </c>
      <c r="C302" s="16">
        <v>0.82959644194744586</v>
      </c>
    </row>
    <row r="303" spans="1:3">
      <c r="A303" t="s">
        <v>1358</v>
      </c>
      <c r="B303" t="s">
        <v>1827</v>
      </c>
      <c r="C303" s="16">
        <v>0.82959644194744586</v>
      </c>
    </row>
    <row r="304" spans="1:3" hidden="1">
      <c r="A304" t="s">
        <v>1342</v>
      </c>
      <c r="C304" s="16">
        <v>0</v>
      </c>
    </row>
    <row r="305" spans="1:3" hidden="1">
      <c r="A305" t="s">
        <v>198</v>
      </c>
      <c r="C305" s="16">
        <v>0</v>
      </c>
    </row>
    <row r="306" spans="1:3">
      <c r="A306" t="s">
        <v>663</v>
      </c>
      <c r="B306" t="s">
        <v>1868</v>
      </c>
      <c r="C306" s="16">
        <v>0.82978723404255328</v>
      </c>
    </row>
    <row r="307" spans="1:3">
      <c r="A307" t="s">
        <v>825</v>
      </c>
      <c r="B307" t="s">
        <v>1616</v>
      </c>
      <c r="C307" s="16">
        <v>0.83080182443730466</v>
      </c>
    </row>
    <row r="308" spans="1:3" hidden="1">
      <c r="A308" t="s">
        <v>178</v>
      </c>
      <c r="C308" s="16">
        <v>0</v>
      </c>
    </row>
    <row r="309" spans="1:3" hidden="1">
      <c r="A309" t="s">
        <v>1085</v>
      </c>
      <c r="C309" s="16">
        <v>0</v>
      </c>
    </row>
    <row r="310" spans="1:3" hidden="1">
      <c r="A310" t="s">
        <v>247</v>
      </c>
      <c r="C310" s="16">
        <v>0</v>
      </c>
    </row>
    <row r="311" spans="1:3">
      <c r="A311" t="s">
        <v>649</v>
      </c>
      <c r="B311" t="s">
        <v>1967</v>
      </c>
      <c r="C311" s="16">
        <v>0.83126479358261174</v>
      </c>
    </row>
    <row r="312" spans="1:3">
      <c r="A312" t="s">
        <v>1001</v>
      </c>
      <c r="B312">
        <v>5</v>
      </c>
      <c r="C312" s="16">
        <v>0.83571428571428574</v>
      </c>
    </row>
    <row r="313" spans="1:3">
      <c r="A313" t="s">
        <v>1463</v>
      </c>
      <c r="B313" t="s">
        <v>2118</v>
      </c>
      <c r="C313" s="16">
        <v>0.83577235772357727</v>
      </c>
    </row>
    <row r="314" spans="1:3">
      <c r="A314" t="s">
        <v>1252</v>
      </c>
      <c r="B314" t="s">
        <v>2127</v>
      </c>
      <c r="C314" s="16">
        <v>0.83577235772357727</v>
      </c>
    </row>
    <row r="315" spans="1:3">
      <c r="A315" t="s">
        <v>725</v>
      </c>
      <c r="B315" t="s">
        <v>1737</v>
      </c>
      <c r="C315" s="16">
        <v>0.83689730254001315</v>
      </c>
    </row>
    <row r="316" spans="1:3" hidden="1">
      <c r="A316" t="s">
        <v>1082</v>
      </c>
      <c r="C316" s="16">
        <v>0</v>
      </c>
    </row>
    <row r="317" spans="1:3" hidden="1">
      <c r="A317" t="s">
        <v>249</v>
      </c>
      <c r="C317" s="16">
        <v>0</v>
      </c>
    </row>
    <row r="318" spans="1:3">
      <c r="A318" t="s">
        <v>1343</v>
      </c>
      <c r="B318">
        <v>3</v>
      </c>
      <c r="C318" s="16">
        <v>0.83728813559322035</v>
      </c>
    </row>
    <row r="319" spans="1:3" hidden="1">
      <c r="A319" t="s">
        <v>867</v>
      </c>
      <c r="C319" s="16">
        <v>0</v>
      </c>
    </row>
    <row r="320" spans="1:3" hidden="1">
      <c r="A320" t="s">
        <v>193</v>
      </c>
      <c r="C320" s="16">
        <v>0</v>
      </c>
    </row>
    <row r="321" spans="1:3" hidden="1">
      <c r="A321" t="s">
        <v>1339</v>
      </c>
      <c r="C321" s="16">
        <v>0</v>
      </c>
    </row>
    <row r="322" spans="1:3">
      <c r="A322" t="s">
        <v>1344</v>
      </c>
      <c r="B322">
        <v>3</v>
      </c>
      <c r="C322" s="16">
        <v>0.83728813559322035</v>
      </c>
    </row>
    <row r="323" spans="1:3">
      <c r="A323" t="s">
        <v>341</v>
      </c>
      <c r="B323">
        <v>3</v>
      </c>
      <c r="C323" s="16">
        <v>0.83728813559322035</v>
      </c>
    </row>
    <row r="324" spans="1:3" hidden="1">
      <c r="A324" t="s">
        <v>47</v>
      </c>
      <c r="C324" s="16">
        <v>0</v>
      </c>
    </row>
    <row r="325" spans="1:3" hidden="1">
      <c r="A325" t="s">
        <v>243</v>
      </c>
      <c r="C325" s="16">
        <v>0</v>
      </c>
    </row>
    <row r="326" spans="1:3" hidden="1">
      <c r="A326" t="s">
        <v>34</v>
      </c>
      <c r="C326" s="16">
        <v>0</v>
      </c>
    </row>
    <row r="327" spans="1:3" hidden="1">
      <c r="A327" t="s">
        <v>207</v>
      </c>
      <c r="C327" s="16">
        <v>0</v>
      </c>
    </row>
    <row r="328" spans="1:3">
      <c r="A328" t="s">
        <v>936</v>
      </c>
      <c r="B328" t="s">
        <v>1860</v>
      </c>
      <c r="C328" s="16">
        <v>0.83814414703572004</v>
      </c>
    </row>
    <row r="329" spans="1:3" hidden="1">
      <c r="A329" t="s">
        <v>241</v>
      </c>
      <c r="C329" s="16">
        <v>0</v>
      </c>
    </row>
    <row r="330" spans="1:3">
      <c r="A330" t="s">
        <v>26</v>
      </c>
      <c r="B330" t="s">
        <v>1631</v>
      </c>
      <c r="C330" s="16">
        <v>0.83860952220359108</v>
      </c>
    </row>
    <row r="331" spans="1:3" hidden="1">
      <c r="A331" t="s">
        <v>876</v>
      </c>
      <c r="C331" s="16">
        <v>0</v>
      </c>
    </row>
    <row r="332" spans="1:3" hidden="1">
      <c r="A332" t="s">
        <v>235</v>
      </c>
      <c r="C332" s="16">
        <v>0</v>
      </c>
    </row>
    <row r="333" spans="1:3" hidden="1">
      <c r="A333" t="s">
        <v>248</v>
      </c>
      <c r="C333" s="16">
        <v>0</v>
      </c>
    </row>
    <row r="334" spans="1:3">
      <c r="A334" t="s">
        <v>312</v>
      </c>
      <c r="B334" t="s">
        <v>1913</v>
      </c>
      <c r="C334" s="16">
        <v>0.83860952220359108</v>
      </c>
    </row>
    <row r="335" spans="1:3" hidden="1">
      <c r="A335" t="s">
        <v>236</v>
      </c>
      <c r="C335" s="16">
        <v>0</v>
      </c>
    </row>
    <row r="336" spans="1:3">
      <c r="A336" t="s">
        <v>1198</v>
      </c>
      <c r="B336" t="s">
        <v>1917</v>
      </c>
      <c r="C336" s="16">
        <v>0.83860952220359108</v>
      </c>
    </row>
    <row r="337" spans="1:3" hidden="1">
      <c r="A337" t="s">
        <v>237</v>
      </c>
      <c r="C337" s="16">
        <v>0</v>
      </c>
    </row>
    <row r="338" spans="1:3" hidden="1">
      <c r="A338" t="s">
        <v>39</v>
      </c>
      <c r="C338" s="16">
        <v>0</v>
      </c>
    </row>
    <row r="339" spans="1:3" hidden="1">
      <c r="A339" t="s">
        <v>1341</v>
      </c>
      <c r="C339" s="16">
        <v>0</v>
      </c>
    </row>
    <row r="340" spans="1:3">
      <c r="A340" t="s">
        <v>517</v>
      </c>
      <c r="B340" t="s">
        <v>266</v>
      </c>
      <c r="C340" s="16">
        <v>0.83860952220359108</v>
      </c>
    </row>
    <row r="341" spans="1:3" hidden="1">
      <c r="A341" t="s">
        <v>244</v>
      </c>
      <c r="C341" s="16">
        <v>0</v>
      </c>
    </row>
    <row r="342" spans="1:3" hidden="1">
      <c r="A342" t="s">
        <v>1337</v>
      </c>
      <c r="C342" s="16">
        <v>0</v>
      </c>
    </row>
    <row r="343" spans="1:3" hidden="1">
      <c r="A343" t="s">
        <v>195</v>
      </c>
      <c r="C343" s="16">
        <v>0</v>
      </c>
    </row>
    <row r="344" spans="1:3" hidden="1">
      <c r="A344" t="s">
        <v>206</v>
      </c>
      <c r="C344" s="16">
        <v>0</v>
      </c>
    </row>
    <row r="345" spans="1:3" hidden="1">
      <c r="A345" t="s">
        <v>252</v>
      </c>
      <c r="C345" s="16">
        <v>0</v>
      </c>
    </row>
    <row r="346" spans="1:3" hidden="1">
      <c r="A346" t="s">
        <v>205</v>
      </c>
      <c r="C346" s="16">
        <v>0</v>
      </c>
    </row>
    <row r="347" spans="1:3" hidden="1">
      <c r="A347" t="s">
        <v>596</v>
      </c>
      <c r="C347" s="16">
        <v>0</v>
      </c>
    </row>
    <row r="348" spans="1:3" hidden="1">
      <c r="A348" t="s">
        <v>176</v>
      </c>
      <c r="C348" s="16">
        <v>0</v>
      </c>
    </row>
    <row r="349" spans="1:3" hidden="1">
      <c r="A349" t="s">
        <v>245</v>
      </c>
      <c r="C349" s="16">
        <v>0</v>
      </c>
    </row>
    <row r="350" spans="1:3" hidden="1">
      <c r="A350" t="s">
        <v>32</v>
      </c>
      <c r="C350" s="16">
        <v>0</v>
      </c>
    </row>
    <row r="351" spans="1:3">
      <c r="A351" t="s">
        <v>1268</v>
      </c>
      <c r="B351" t="s">
        <v>1965</v>
      </c>
      <c r="C351" s="16">
        <v>0.83860952220359108</v>
      </c>
    </row>
    <row r="352" spans="1:3" hidden="1">
      <c r="A352" t="s">
        <v>588</v>
      </c>
      <c r="C352" s="16">
        <v>0</v>
      </c>
    </row>
    <row r="353" spans="1:3" hidden="1">
      <c r="A353" t="s">
        <v>587</v>
      </c>
      <c r="C353" s="16">
        <v>0</v>
      </c>
    </row>
    <row r="354" spans="1:3" hidden="1">
      <c r="A354" t="s">
        <v>38</v>
      </c>
      <c r="C354" s="16">
        <v>0</v>
      </c>
    </row>
    <row r="355" spans="1:3" hidden="1">
      <c r="A355" t="s">
        <v>589</v>
      </c>
      <c r="C355" s="16">
        <v>0</v>
      </c>
    </row>
    <row r="356" spans="1:3">
      <c r="A356" t="s">
        <v>929</v>
      </c>
      <c r="B356" t="s">
        <v>1859</v>
      </c>
      <c r="C356" s="16">
        <v>0.83895127907134992</v>
      </c>
    </row>
    <row r="357" spans="1:3" hidden="1">
      <c r="A357" t="s">
        <v>204</v>
      </c>
      <c r="C357" s="16">
        <v>0</v>
      </c>
    </row>
    <row r="358" spans="1:3" hidden="1">
      <c r="A358" t="s">
        <v>203</v>
      </c>
      <c r="C358" s="16">
        <v>0</v>
      </c>
    </row>
    <row r="359" spans="1:3">
      <c r="A359" t="s">
        <v>1410</v>
      </c>
      <c r="B359">
        <v>3</v>
      </c>
      <c r="C359" s="16">
        <v>0.8392857142857143</v>
      </c>
    </row>
    <row r="360" spans="1:3">
      <c r="A360" t="s">
        <v>536</v>
      </c>
      <c r="B360">
        <v>3</v>
      </c>
      <c r="C360" s="16">
        <v>0.8392857142857143</v>
      </c>
    </row>
    <row r="361" spans="1:3" hidden="1">
      <c r="A361" t="s">
        <v>590</v>
      </c>
      <c r="C361" s="16">
        <v>0</v>
      </c>
    </row>
    <row r="362" spans="1:3" hidden="1">
      <c r="A362" t="s">
        <v>255</v>
      </c>
      <c r="C362" s="16">
        <v>0</v>
      </c>
    </row>
    <row r="363" spans="1:3" hidden="1">
      <c r="A363" t="s">
        <v>51</v>
      </c>
      <c r="C363" s="16">
        <v>0</v>
      </c>
    </row>
    <row r="364" spans="1:3">
      <c r="A364" t="s">
        <v>992</v>
      </c>
      <c r="B364">
        <v>2</v>
      </c>
      <c r="C364" s="16">
        <v>0.84000000000000008</v>
      </c>
    </row>
    <row r="365" spans="1:3">
      <c r="A365" t="s">
        <v>477</v>
      </c>
      <c r="B365">
        <v>3</v>
      </c>
      <c r="C365" s="16">
        <v>0.84000000000000008</v>
      </c>
    </row>
    <row r="366" spans="1:3">
      <c r="A366" t="s">
        <v>1027</v>
      </c>
      <c r="B366">
        <v>500</v>
      </c>
      <c r="C366" s="16">
        <v>0.84062500000000007</v>
      </c>
    </row>
    <row r="367" spans="1:3" hidden="1">
      <c r="A367" t="s">
        <v>254</v>
      </c>
      <c r="C367" s="16">
        <v>0</v>
      </c>
    </row>
    <row r="368" spans="1:3">
      <c r="A368" t="s">
        <v>1027</v>
      </c>
      <c r="B368">
        <v>500</v>
      </c>
      <c r="C368" s="16">
        <v>0.84062500000000007</v>
      </c>
    </row>
    <row r="369" spans="1:3" hidden="1">
      <c r="A369" t="s">
        <v>50</v>
      </c>
      <c r="C369" s="16">
        <v>0</v>
      </c>
    </row>
    <row r="370" spans="1:3" hidden="1">
      <c r="A370" t="s">
        <v>597</v>
      </c>
      <c r="C370" s="16">
        <v>0</v>
      </c>
    </row>
    <row r="371" spans="1:3" hidden="1">
      <c r="A371" t="s">
        <v>258</v>
      </c>
      <c r="C371" s="16">
        <v>0</v>
      </c>
    </row>
    <row r="372" spans="1:3" hidden="1">
      <c r="A372" t="s">
        <v>257</v>
      </c>
      <c r="C372" s="16">
        <v>0</v>
      </c>
    </row>
    <row r="373" spans="1:3" hidden="1">
      <c r="A373" t="s">
        <v>259</v>
      </c>
      <c r="C373" s="16">
        <v>0</v>
      </c>
    </row>
    <row r="374" spans="1:3" hidden="1">
      <c r="A374" t="s">
        <v>260</v>
      </c>
      <c r="C374" s="16">
        <v>0</v>
      </c>
    </row>
    <row r="375" spans="1:3" hidden="1">
      <c r="A375" t="s">
        <v>878</v>
      </c>
      <c r="C375" s="16">
        <v>0</v>
      </c>
    </row>
    <row r="376" spans="1:3" hidden="1">
      <c r="A376" t="s">
        <v>598</v>
      </c>
      <c r="C376" s="16">
        <v>0</v>
      </c>
    </row>
    <row r="377" spans="1:3" hidden="1">
      <c r="A377" t="s">
        <v>880</v>
      </c>
      <c r="C377" s="16">
        <v>0</v>
      </c>
    </row>
    <row r="378" spans="1:3" hidden="1">
      <c r="A378" t="s">
        <v>1088</v>
      </c>
      <c r="C378" s="16">
        <v>0</v>
      </c>
    </row>
    <row r="379" spans="1:3">
      <c r="A379" t="s">
        <v>340</v>
      </c>
      <c r="B379">
        <v>3</v>
      </c>
      <c r="C379" s="16">
        <v>0.84074074074074079</v>
      </c>
    </row>
    <row r="380" spans="1:3">
      <c r="A380" t="s">
        <v>339</v>
      </c>
      <c r="B380">
        <v>3</v>
      </c>
      <c r="C380" s="16">
        <v>0.84074074074074079</v>
      </c>
    </row>
    <row r="381" spans="1:3">
      <c r="A381" t="s">
        <v>631</v>
      </c>
      <c r="B381">
        <v>2</v>
      </c>
      <c r="C381" s="16">
        <v>0.84166666666666667</v>
      </c>
    </row>
    <row r="382" spans="1:3" hidden="1">
      <c r="A382" t="s">
        <v>879</v>
      </c>
      <c r="C382" s="16">
        <v>0</v>
      </c>
    </row>
    <row r="383" spans="1:3" hidden="1">
      <c r="A383" t="s">
        <v>1089</v>
      </c>
      <c r="C383" s="16">
        <v>0</v>
      </c>
    </row>
    <row r="384" spans="1:3">
      <c r="A384" t="s">
        <v>1449</v>
      </c>
      <c r="B384">
        <v>2</v>
      </c>
      <c r="C384" s="16">
        <v>0.84166666666666667</v>
      </c>
    </row>
    <row r="385" spans="1:3">
      <c r="A385" t="s">
        <v>1188</v>
      </c>
      <c r="B385" t="s">
        <v>1550</v>
      </c>
      <c r="C385" s="16">
        <v>0.84179894179894177</v>
      </c>
    </row>
    <row r="386" spans="1:3" hidden="1">
      <c r="A386" t="s">
        <v>1349</v>
      </c>
      <c r="C386" s="16">
        <v>0</v>
      </c>
    </row>
    <row r="387" spans="1:3" hidden="1">
      <c r="A387" t="s">
        <v>1367</v>
      </c>
      <c r="C387" s="16">
        <v>0</v>
      </c>
    </row>
    <row r="388" spans="1:3" hidden="1">
      <c r="A388" t="s">
        <v>55</v>
      </c>
      <c r="C388" s="16">
        <v>0</v>
      </c>
    </row>
    <row r="389" spans="1:3" hidden="1">
      <c r="A389" t="s">
        <v>295</v>
      </c>
      <c r="C389" s="16">
        <v>0</v>
      </c>
    </row>
    <row r="390" spans="1:3" hidden="1">
      <c r="A390" t="s">
        <v>1352</v>
      </c>
      <c r="C390" s="16">
        <v>0</v>
      </c>
    </row>
    <row r="391" spans="1:3" hidden="1">
      <c r="A391" t="s">
        <v>1096</v>
      </c>
      <c r="C391" s="16">
        <v>0</v>
      </c>
    </row>
    <row r="392" spans="1:3" hidden="1">
      <c r="A392" t="s">
        <v>274</v>
      </c>
      <c r="C392" s="16">
        <v>0</v>
      </c>
    </row>
    <row r="393" spans="1:3" hidden="1">
      <c r="A393" t="s">
        <v>1098</v>
      </c>
      <c r="C393" s="16">
        <v>0</v>
      </c>
    </row>
    <row r="394" spans="1:3">
      <c r="A394" t="s">
        <v>533</v>
      </c>
      <c r="B394" t="s">
        <v>2125</v>
      </c>
      <c r="C394" s="16">
        <v>0.84193548387096773</v>
      </c>
    </row>
    <row r="395" spans="1:3" hidden="1">
      <c r="A395" t="s">
        <v>275</v>
      </c>
      <c r="C395" s="16">
        <v>0</v>
      </c>
    </row>
    <row r="396" spans="1:3" hidden="1">
      <c r="A396" t="s">
        <v>1351</v>
      </c>
      <c r="C396" s="16">
        <v>0</v>
      </c>
    </row>
    <row r="397" spans="1:3" hidden="1">
      <c r="A397" t="s">
        <v>1091</v>
      </c>
      <c r="C397" s="16">
        <v>0</v>
      </c>
    </row>
    <row r="398" spans="1:3" hidden="1">
      <c r="A398" t="s">
        <v>1092</v>
      </c>
      <c r="C398" s="16">
        <v>0</v>
      </c>
    </row>
    <row r="399" spans="1:3" hidden="1">
      <c r="A399" t="s">
        <v>1353</v>
      </c>
      <c r="C399" s="16">
        <v>0</v>
      </c>
    </row>
    <row r="400" spans="1:3">
      <c r="A400" t="s">
        <v>533</v>
      </c>
      <c r="B400" t="s">
        <v>2125</v>
      </c>
      <c r="C400" s="16">
        <v>0.84193548387096773</v>
      </c>
    </row>
    <row r="401" spans="1:3" hidden="1">
      <c r="A401" t="s">
        <v>1090</v>
      </c>
      <c r="C401" s="16">
        <v>0</v>
      </c>
    </row>
    <row r="402" spans="1:3" hidden="1">
      <c r="A402" t="s">
        <v>1094</v>
      </c>
      <c r="C402" s="16">
        <v>0</v>
      </c>
    </row>
    <row r="403" spans="1:3">
      <c r="A403" t="s">
        <v>1044</v>
      </c>
      <c r="B403">
        <v>5</v>
      </c>
      <c r="C403" s="16">
        <v>0.84222972972972976</v>
      </c>
    </row>
    <row r="404" spans="1:3">
      <c r="A404" t="s">
        <v>1285</v>
      </c>
      <c r="B404">
        <v>5</v>
      </c>
      <c r="C404" s="16">
        <v>0.84222972972972976</v>
      </c>
    </row>
    <row r="405" spans="1:3">
      <c r="A405" t="s">
        <v>36</v>
      </c>
      <c r="B405" t="s">
        <v>1694</v>
      </c>
      <c r="C405" s="16">
        <v>0.84242424242424241</v>
      </c>
    </row>
    <row r="406" spans="1:3">
      <c r="A406" t="s">
        <v>432</v>
      </c>
      <c r="B406" t="s">
        <v>1634</v>
      </c>
      <c r="C406" s="16">
        <v>0.84251574543444385</v>
      </c>
    </row>
    <row r="407" spans="1:3" hidden="1">
      <c r="A407" t="s">
        <v>1103</v>
      </c>
      <c r="C407" s="16">
        <v>0</v>
      </c>
    </row>
    <row r="408" spans="1:3" hidden="1">
      <c r="A408" t="s">
        <v>1093</v>
      </c>
      <c r="C408" s="16">
        <v>0</v>
      </c>
    </row>
    <row r="409" spans="1:3">
      <c r="A409" t="s">
        <v>1333</v>
      </c>
      <c r="B409">
        <v>2</v>
      </c>
      <c r="C409" s="16">
        <v>0.8425531914893617</v>
      </c>
    </row>
    <row r="410" spans="1:3" hidden="1">
      <c r="A410" t="s">
        <v>611</v>
      </c>
      <c r="C410" s="16">
        <v>0</v>
      </c>
    </row>
    <row r="411" spans="1:3" hidden="1">
      <c r="A411" t="s">
        <v>263</v>
      </c>
      <c r="C411" s="16">
        <v>0</v>
      </c>
    </row>
    <row r="412" spans="1:3">
      <c r="A412" t="s">
        <v>1360</v>
      </c>
      <c r="B412" t="s">
        <v>1827</v>
      </c>
      <c r="C412" s="16">
        <v>0.84313354147652064</v>
      </c>
    </row>
    <row r="413" spans="1:3" hidden="1">
      <c r="A413" t="s">
        <v>608</v>
      </c>
      <c r="C413" s="16">
        <v>0</v>
      </c>
    </row>
    <row r="414" spans="1:3" hidden="1">
      <c r="A414" t="s">
        <v>1102</v>
      </c>
      <c r="C414" s="16">
        <v>0</v>
      </c>
    </row>
    <row r="415" spans="1:3" hidden="1">
      <c r="A415" t="s">
        <v>1097</v>
      </c>
      <c r="C415" s="16">
        <v>0</v>
      </c>
    </row>
    <row r="416" spans="1:3">
      <c r="A416" t="s">
        <v>617</v>
      </c>
      <c r="B416" t="s">
        <v>1827</v>
      </c>
      <c r="C416" s="16">
        <v>0.84313354147652064</v>
      </c>
    </row>
    <row r="417" spans="1:3" hidden="1">
      <c r="A417" t="s">
        <v>262</v>
      </c>
      <c r="C417" s="16">
        <v>0</v>
      </c>
    </row>
    <row r="418" spans="1:3">
      <c r="A418" t="s">
        <v>614</v>
      </c>
      <c r="B418" t="s">
        <v>1835</v>
      </c>
      <c r="C418" s="16">
        <v>0.84313354147652064</v>
      </c>
    </row>
    <row r="419" spans="1:3">
      <c r="A419" t="s">
        <v>1328</v>
      </c>
      <c r="B419">
        <v>3</v>
      </c>
      <c r="C419" s="16">
        <v>0.84313725490196079</v>
      </c>
    </row>
    <row r="420" spans="1:3" hidden="1">
      <c r="A420" t="s">
        <v>613</v>
      </c>
      <c r="C420" s="16">
        <v>0</v>
      </c>
    </row>
    <row r="421" spans="1:3" hidden="1">
      <c r="A421" t="s">
        <v>612</v>
      </c>
      <c r="C421" s="16">
        <v>0</v>
      </c>
    </row>
    <row r="422" spans="1:3" hidden="1">
      <c r="A422" t="s">
        <v>889</v>
      </c>
      <c r="C422" s="16">
        <v>0</v>
      </c>
    </row>
    <row r="423" spans="1:3">
      <c r="A423" t="s">
        <v>146</v>
      </c>
      <c r="B423">
        <v>2</v>
      </c>
      <c r="C423" s="16">
        <v>0.84347826086956523</v>
      </c>
    </row>
    <row r="424" spans="1:3" hidden="1">
      <c r="A424" t="s">
        <v>890</v>
      </c>
      <c r="C424" s="16">
        <v>0</v>
      </c>
    </row>
    <row r="425" spans="1:3" hidden="1">
      <c r="A425" t="s">
        <v>296</v>
      </c>
      <c r="C425" s="16">
        <v>0</v>
      </c>
    </row>
    <row r="426" spans="1:3">
      <c r="A426" t="s">
        <v>824</v>
      </c>
      <c r="B426">
        <v>2</v>
      </c>
      <c r="C426" s="16">
        <v>0.84347826086956523</v>
      </c>
    </row>
    <row r="427" spans="1:3" hidden="1">
      <c r="A427" t="s">
        <v>271</v>
      </c>
      <c r="C427" s="16">
        <v>0</v>
      </c>
    </row>
    <row r="428" spans="1:3" hidden="1">
      <c r="A428" t="s">
        <v>610</v>
      </c>
      <c r="C428" s="16">
        <v>0</v>
      </c>
    </row>
    <row r="429" spans="1:3">
      <c r="A429" t="s">
        <v>144</v>
      </c>
      <c r="B429">
        <v>2</v>
      </c>
      <c r="C429" s="16">
        <v>0.84347826086956523</v>
      </c>
    </row>
    <row r="430" spans="1:3">
      <c r="A430" t="s">
        <v>567</v>
      </c>
      <c r="B430">
        <v>2</v>
      </c>
      <c r="C430" s="16">
        <v>0.84347826086956523</v>
      </c>
    </row>
    <row r="431" spans="1:3">
      <c r="A431" t="s">
        <v>1446</v>
      </c>
      <c r="B431">
        <v>2</v>
      </c>
      <c r="C431" s="16">
        <v>0.84347826086956523</v>
      </c>
    </row>
    <row r="432" spans="1:3">
      <c r="A432" t="s">
        <v>1210</v>
      </c>
      <c r="B432">
        <v>2</v>
      </c>
      <c r="C432" s="16">
        <v>0.84347826086956523</v>
      </c>
    </row>
    <row r="433" spans="1:3" hidden="1">
      <c r="A433" t="s">
        <v>609</v>
      </c>
      <c r="C433" s="16">
        <v>0</v>
      </c>
    </row>
    <row r="434" spans="1:3" hidden="1">
      <c r="A434" t="s">
        <v>273</v>
      </c>
      <c r="C434" s="16">
        <v>0</v>
      </c>
    </row>
    <row r="435" spans="1:3">
      <c r="A435" t="s">
        <v>1442</v>
      </c>
      <c r="B435">
        <v>2</v>
      </c>
      <c r="C435" s="16">
        <v>0.84347826086956523</v>
      </c>
    </row>
    <row r="436" spans="1:3">
      <c r="A436" t="s">
        <v>727</v>
      </c>
      <c r="B436">
        <v>6</v>
      </c>
      <c r="C436" s="16">
        <v>0.84365945624131777</v>
      </c>
    </row>
    <row r="437" spans="1:3" hidden="1">
      <c r="A437" t="s">
        <v>270</v>
      </c>
      <c r="C437" s="16">
        <v>0</v>
      </c>
    </row>
    <row r="438" spans="1:3">
      <c r="A438" t="s">
        <v>1242</v>
      </c>
      <c r="B438" t="s">
        <v>2111</v>
      </c>
      <c r="C438" s="16">
        <v>0.84375</v>
      </c>
    </row>
    <row r="439" spans="1:3" hidden="1">
      <c r="A439" t="s">
        <v>886</v>
      </c>
      <c r="C439" s="16">
        <v>0</v>
      </c>
    </row>
    <row r="440" spans="1:3">
      <c r="A440" t="s">
        <v>991</v>
      </c>
      <c r="B440">
        <v>3</v>
      </c>
      <c r="C440" s="16">
        <v>0.84400000000000008</v>
      </c>
    </row>
    <row r="441" spans="1:3">
      <c r="A441" t="s">
        <v>1460</v>
      </c>
      <c r="B441">
        <v>3</v>
      </c>
      <c r="C441" s="16">
        <v>0.84400000000000008</v>
      </c>
    </row>
    <row r="442" spans="1:3" hidden="1">
      <c r="A442" t="s">
        <v>624</v>
      </c>
      <c r="C442" s="16">
        <v>0</v>
      </c>
    </row>
    <row r="443" spans="1:3">
      <c r="A443" t="s">
        <v>884</v>
      </c>
      <c r="B443" t="s">
        <v>1528</v>
      </c>
      <c r="C443" s="16">
        <v>0.84482758620689657</v>
      </c>
    </row>
    <row r="444" spans="1:3">
      <c r="A444" t="s">
        <v>1356</v>
      </c>
      <c r="B444">
        <v>6</v>
      </c>
      <c r="C444" s="16">
        <v>0.8448979591836735</v>
      </c>
    </row>
    <row r="445" spans="1:3">
      <c r="A445">
        <v>1200</v>
      </c>
      <c r="B445" t="s">
        <v>1746</v>
      </c>
      <c r="C445" s="16">
        <v>0.84516129032258069</v>
      </c>
    </row>
    <row r="446" spans="1:3">
      <c r="A446" t="s">
        <v>721</v>
      </c>
      <c r="B446" t="s">
        <v>1554</v>
      </c>
      <c r="C446" s="16">
        <v>0.84516129032258069</v>
      </c>
    </row>
    <row r="447" spans="1:3" hidden="1">
      <c r="A447" t="s">
        <v>607</v>
      </c>
      <c r="C447" s="16">
        <v>0</v>
      </c>
    </row>
    <row r="448" spans="1:3">
      <c r="A448" t="s">
        <v>1201</v>
      </c>
      <c r="B448" t="s">
        <v>1848</v>
      </c>
      <c r="C448" s="16">
        <v>0.84605087014725566</v>
      </c>
    </row>
    <row r="449" spans="1:3" hidden="1">
      <c r="A449" t="s">
        <v>619</v>
      </c>
      <c r="C449" s="16">
        <v>0</v>
      </c>
    </row>
    <row r="450" spans="1:3">
      <c r="A450" t="s">
        <v>898</v>
      </c>
      <c r="B450">
        <v>2</v>
      </c>
      <c r="C450" s="16">
        <v>0.84651162790697676</v>
      </c>
    </row>
    <row r="451" spans="1:3" hidden="1">
      <c r="A451" t="s">
        <v>283</v>
      </c>
      <c r="C451" s="16">
        <v>0</v>
      </c>
    </row>
    <row r="452" spans="1:3">
      <c r="A452" t="s">
        <v>1393</v>
      </c>
      <c r="B452">
        <v>2</v>
      </c>
      <c r="C452" s="16">
        <v>0.84651162790697676</v>
      </c>
    </row>
    <row r="453" spans="1:3">
      <c r="A453" t="s">
        <v>1416</v>
      </c>
      <c r="B453">
        <v>5</v>
      </c>
      <c r="C453" s="16">
        <v>0.84651162790697676</v>
      </c>
    </row>
    <row r="454" spans="1:3">
      <c r="A454" t="s">
        <v>1415</v>
      </c>
      <c r="B454">
        <v>5</v>
      </c>
      <c r="C454" s="16">
        <v>0.84651162790697676</v>
      </c>
    </row>
    <row r="455" spans="1:3">
      <c r="A455" t="s">
        <v>512</v>
      </c>
      <c r="B455">
        <v>2</v>
      </c>
      <c r="C455" s="16">
        <v>0.84651162790697676</v>
      </c>
    </row>
    <row r="456" spans="1:3" hidden="1">
      <c r="A456" t="s">
        <v>622</v>
      </c>
      <c r="C456" s="16">
        <v>0</v>
      </c>
    </row>
    <row r="457" spans="1:3">
      <c r="A457" t="s">
        <v>1437</v>
      </c>
      <c r="B457" t="s">
        <v>2087</v>
      </c>
      <c r="C457" s="16">
        <v>0.84666666666666668</v>
      </c>
    </row>
    <row r="458" spans="1:3">
      <c r="A458" t="s">
        <v>1436</v>
      </c>
      <c r="B458" t="s">
        <v>2087</v>
      </c>
      <c r="C458" s="16">
        <v>0.84666666666666668</v>
      </c>
    </row>
    <row r="459" spans="1:3">
      <c r="A459" t="s">
        <v>1134</v>
      </c>
      <c r="B459" t="s">
        <v>1854</v>
      </c>
      <c r="C459" s="16">
        <v>0.84670282448463086</v>
      </c>
    </row>
    <row r="460" spans="1:3">
      <c r="A460" t="s">
        <v>570</v>
      </c>
      <c r="B460">
        <v>5</v>
      </c>
      <c r="C460" s="16">
        <v>0.84721435316336169</v>
      </c>
    </row>
    <row r="461" spans="1:3">
      <c r="A461" t="s">
        <v>569</v>
      </c>
      <c r="B461">
        <v>5</v>
      </c>
      <c r="C461" s="16">
        <v>0.84721435316336169</v>
      </c>
    </row>
    <row r="462" spans="1:3">
      <c r="A462" t="s">
        <v>1043</v>
      </c>
      <c r="B462">
        <v>5</v>
      </c>
      <c r="C462" s="16">
        <v>0.84721435316336169</v>
      </c>
    </row>
    <row r="463" spans="1:3">
      <c r="A463" t="s">
        <v>791</v>
      </c>
      <c r="B463" t="s">
        <v>2111</v>
      </c>
      <c r="C463" s="16">
        <v>0.84745762711864414</v>
      </c>
    </row>
    <row r="464" spans="1:3">
      <c r="A464" t="s">
        <v>1018</v>
      </c>
      <c r="B464" t="s">
        <v>2109</v>
      </c>
      <c r="C464" s="16">
        <v>0.84745762711864414</v>
      </c>
    </row>
    <row r="465" spans="1:3">
      <c r="A465" t="s">
        <v>1323</v>
      </c>
      <c r="B465">
        <v>2</v>
      </c>
      <c r="C465" s="16">
        <v>0.84761904761904761</v>
      </c>
    </row>
    <row r="466" spans="1:3">
      <c r="A466" t="s">
        <v>1322</v>
      </c>
      <c r="B466">
        <v>2</v>
      </c>
      <c r="C466" s="16">
        <v>0.84761904761904761</v>
      </c>
    </row>
    <row r="467" spans="1:3">
      <c r="A467" t="s">
        <v>13</v>
      </c>
      <c r="B467" t="s">
        <v>1548</v>
      </c>
      <c r="C467" s="16">
        <v>0.84832137993903933</v>
      </c>
    </row>
    <row r="468" spans="1:3">
      <c r="A468" t="s">
        <v>265</v>
      </c>
      <c r="B468" t="s">
        <v>1547</v>
      </c>
      <c r="C468" s="16">
        <v>0.84832137993903933</v>
      </c>
    </row>
    <row r="469" spans="1:3">
      <c r="A469" t="s">
        <v>973</v>
      </c>
      <c r="B469">
        <v>6</v>
      </c>
      <c r="C469" s="16">
        <v>0.84846882573254023</v>
      </c>
    </row>
    <row r="470" spans="1:3">
      <c r="A470" t="s">
        <v>726</v>
      </c>
      <c r="B470">
        <v>6</v>
      </c>
      <c r="C470" s="16">
        <v>0.84846882573254023</v>
      </c>
    </row>
    <row r="471" spans="1:3" hidden="1">
      <c r="A471" t="s">
        <v>269</v>
      </c>
      <c r="C471" s="16">
        <v>0</v>
      </c>
    </row>
    <row r="472" spans="1:3">
      <c r="A472" t="s">
        <v>1071</v>
      </c>
      <c r="B472">
        <v>2</v>
      </c>
      <c r="C472" s="16">
        <v>0.84878048780487814</v>
      </c>
    </row>
    <row r="473" spans="1:3">
      <c r="A473" t="s">
        <v>1445</v>
      </c>
      <c r="B473">
        <v>2</v>
      </c>
      <c r="C473" s="16">
        <v>0.84878048780487814</v>
      </c>
    </row>
    <row r="474" spans="1:3">
      <c r="A474" t="s">
        <v>998</v>
      </c>
      <c r="B474">
        <v>2</v>
      </c>
      <c r="C474" s="16">
        <v>0.84878048780487814</v>
      </c>
    </row>
    <row r="475" spans="1:3">
      <c r="A475" t="s">
        <v>1212</v>
      </c>
      <c r="B475">
        <v>2</v>
      </c>
      <c r="C475" s="16">
        <v>0.84878048780487814</v>
      </c>
    </row>
    <row r="476" spans="1:3" hidden="1">
      <c r="A476" t="s">
        <v>1100</v>
      </c>
      <c r="C476" s="16">
        <v>0</v>
      </c>
    </row>
    <row r="477" spans="1:3">
      <c r="A477" t="s">
        <v>1283</v>
      </c>
      <c r="B477">
        <v>3</v>
      </c>
      <c r="C477" s="16">
        <v>0.85000000000000009</v>
      </c>
    </row>
    <row r="478" spans="1:3">
      <c r="A478" t="s">
        <v>823</v>
      </c>
      <c r="B478">
        <v>3</v>
      </c>
      <c r="C478" s="16">
        <v>0.85000000000000009</v>
      </c>
    </row>
    <row r="479" spans="1:3" hidden="1">
      <c r="A479" t="s">
        <v>261</v>
      </c>
      <c r="C479" s="16">
        <v>0</v>
      </c>
    </row>
    <row r="480" spans="1:3" hidden="1">
      <c r="A480" t="s">
        <v>1099</v>
      </c>
      <c r="C480" s="16">
        <v>0</v>
      </c>
    </row>
    <row r="481" spans="1:3">
      <c r="A481" t="s">
        <v>1335</v>
      </c>
      <c r="B481">
        <v>2</v>
      </c>
      <c r="C481" s="16">
        <v>0.85000000000000009</v>
      </c>
    </row>
    <row r="482" spans="1:3">
      <c r="A482" t="s">
        <v>1334</v>
      </c>
      <c r="B482">
        <v>2</v>
      </c>
      <c r="C482" s="16">
        <v>0.85000000000000009</v>
      </c>
    </row>
    <row r="483" spans="1:3">
      <c r="A483" t="s">
        <v>1086</v>
      </c>
      <c r="B483" t="s">
        <v>48</v>
      </c>
      <c r="C483" s="16">
        <v>0.85000000000000009</v>
      </c>
    </row>
    <row r="484" spans="1:3">
      <c r="A484" t="s">
        <v>1355</v>
      </c>
      <c r="B484">
        <v>3</v>
      </c>
      <c r="C484" s="16">
        <v>0.85000000000000009</v>
      </c>
    </row>
    <row r="485" spans="1:3" hidden="1">
      <c r="A485" t="s">
        <v>277</v>
      </c>
      <c r="C485" s="16">
        <v>0</v>
      </c>
    </row>
    <row r="486" spans="1:3">
      <c r="A486" t="s">
        <v>1453</v>
      </c>
      <c r="B486">
        <v>3</v>
      </c>
      <c r="C486" s="16">
        <v>0.85000000000000009</v>
      </c>
    </row>
    <row r="487" spans="1:3">
      <c r="A487" t="s">
        <v>787</v>
      </c>
      <c r="B487">
        <v>3</v>
      </c>
      <c r="C487" s="16">
        <v>0.85000000000000009</v>
      </c>
    </row>
    <row r="488" spans="1:3">
      <c r="A488" t="s">
        <v>552</v>
      </c>
      <c r="B488">
        <v>5</v>
      </c>
      <c r="C488" s="16">
        <v>0.85000000000000009</v>
      </c>
    </row>
    <row r="489" spans="1:3">
      <c r="A489" t="s">
        <v>1300</v>
      </c>
      <c r="B489" t="s">
        <v>1629</v>
      </c>
      <c r="C489" s="16">
        <v>0.85046426600382408</v>
      </c>
    </row>
    <row r="490" spans="1:3" hidden="1">
      <c r="A490" t="s">
        <v>1107</v>
      </c>
      <c r="C490" s="16">
        <v>0</v>
      </c>
    </row>
    <row r="491" spans="1:3">
      <c r="A491" t="s">
        <v>154</v>
      </c>
      <c r="B491" t="s">
        <v>1629</v>
      </c>
      <c r="C491" s="16">
        <v>0.85046426600382408</v>
      </c>
    </row>
    <row r="492" spans="1:3" hidden="1">
      <c r="A492" t="s">
        <v>1365</v>
      </c>
      <c r="C492" s="16">
        <v>0</v>
      </c>
    </row>
    <row r="493" spans="1:3">
      <c r="A493" t="s">
        <v>1455</v>
      </c>
      <c r="B493" t="s">
        <v>490</v>
      </c>
      <c r="C493" s="16">
        <v>0.85090909090909095</v>
      </c>
    </row>
    <row r="494" spans="1:3">
      <c r="A494" t="s">
        <v>188</v>
      </c>
      <c r="B494" t="s">
        <v>1692</v>
      </c>
      <c r="C494" s="16">
        <v>0.8517075528220881</v>
      </c>
    </row>
    <row r="495" spans="1:3">
      <c r="A495" t="s">
        <v>939</v>
      </c>
      <c r="B495" t="s">
        <v>1964</v>
      </c>
      <c r="C495" s="16">
        <v>0.85249803542806679</v>
      </c>
    </row>
    <row r="496" spans="1:3" hidden="1">
      <c r="A496" t="s">
        <v>894</v>
      </c>
      <c r="C496" s="16">
        <v>0</v>
      </c>
    </row>
    <row r="497" spans="1:3" hidden="1">
      <c r="A497" t="s">
        <v>896</v>
      </c>
      <c r="C497" s="16">
        <v>0</v>
      </c>
    </row>
    <row r="498" spans="1:3" hidden="1">
      <c r="A498" t="s">
        <v>628</v>
      </c>
      <c r="C498" s="16">
        <v>0</v>
      </c>
    </row>
    <row r="499" spans="1:3" hidden="1">
      <c r="A499" t="s">
        <v>1369</v>
      </c>
      <c r="C499" s="16">
        <v>0</v>
      </c>
    </row>
    <row r="500" spans="1:3" hidden="1">
      <c r="A500" t="s">
        <v>1109</v>
      </c>
      <c r="C500" s="16">
        <v>0</v>
      </c>
    </row>
    <row r="501" spans="1:3" hidden="1">
      <c r="A501" t="s">
        <v>627</v>
      </c>
      <c r="C501" s="16">
        <v>0</v>
      </c>
    </row>
    <row r="502" spans="1:3" hidden="1">
      <c r="A502" t="s">
        <v>1108</v>
      </c>
      <c r="C502" s="16">
        <v>0</v>
      </c>
    </row>
    <row r="503" spans="1:3" hidden="1">
      <c r="A503" t="s">
        <v>895</v>
      </c>
      <c r="C503" s="16">
        <v>0</v>
      </c>
    </row>
    <row r="504" spans="1:3" hidden="1">
      <c r="A504" t="s">
        <v>1368</v>
      </c>
      <c r="C504" s="16">
        <v>0</v>
      </c>
    </row>
    <row r="505" spans="1:3" hidden="1">
      <c r="A505" t="s">
        <v>893</v>
      </c>
      <c r="C505" s="16">
        <v>0</v>
      </c>
    </row>
    <row r="506" spans="1:3">
      <c r="A506" t="s">
        <v>940</v>
      </c>
      <c r="B506" t="s">
        <v>1964</v>
      </c>
      <c r="C506" s="16">
        <v>0.85249803542806679</v>
      </c>
    </row>
    <row r="507" spans="1:3" hidden="1">
      <c r="A507" t="s">
        <v>58</v>
      </c>
      <c r="C507" s="16">
        <v>0</v>
      </c>
    </row>
    <row r="508" spans="1:3">
      <c r="A508" t="s">
        <v>427</v>
      </c>
      <c r="B508" t="s">
        <v>1737</v>
      </c>
      <c r="C508" s="16">
        <v>0.85249803542806679</v>
      </c>
    </row>
    <row r="509" spans="1:3">
      <c r="A509" t="s">
        <v>1215</v>
      </c>
      <c r="B509" t="s">
        <v>2087</v>
      </c>
      <c r="C509" s="16">
        <v>0.85283018867924532</v>
      </c>
    </row>
    <row r="510" spans="1:3" hidden="1">
      <c r="A510" t="s">
        <v>1370</v>
      </c>
      <c r="C510" s="16">
        <v>0</v>
      </c>
    </row>
    <row r="511" spans="1:3" hidden="1">
      <c r="A511" t="s">
        <v>302</v>
      </c>
      <c r="C511" s="16">
        <v>0</v>
      </c>
    </row>
    <row r="512" spans="1:3">
      <c r="A512" t="s">
        <v>524</v>
      </c>
      <c r="B512" t="s">
        <v>2111</v>
      </c>
      <c r="C512" s="16">
        <v>0.85283018867924532</v>
      </c>
    </row>
    <row r="513" spans="1:3">
      <c r="A513" t="s">
        <v>1364</v>
      </c>
      <c r="B513" t="s">
        <v>1524</v>
      </c>
      <c r="C513" s="16">
        <v>0.85306122448979593</v>
      </c>
    </row>
    <row r="514" spans="1:3" hidden="1">
      <c r="A514" t="s">
        <v>1112</v>
      </c>
      <c r="C514" s="16">
        <v>0</v>
      </c>
    </row>
    <row r="515" spans="1:3" hidden="1">
      <c r="A515" t="s">
        <v>61</v>
      </c>
      <c r="C515" s="16">
        <v>0</v>
      </c>
    </row>
    <row r="516" spans="1:3">
      <c r="A516" t="s">
        <v>1363</v>
      </c>
      <c r="B516" t="s">
        <v>1524</v>
      </c>
      <c r="C516" s="16">
        <v>0.85306122448979593</v>
      </c>
    </row>
    <row r="517" spans="1:3">
      <c r="A517" t="s">
        <v>568</v>
      </c>
      <c r="B517">
        <v>5</v>
      </c>
      <c r="C517" s="16">
        <v>0.85353319057815846</v>
      </c>
    </row>
    <row r="518" spans="1:3">
      <c r="A518" t="s">
        <v>826</v>
      </c>
      <c r="B518">
        <v>5</v>
      </c>
      <c r="C518" s="16">
        <v>0.85353319057815846</v>
      </c>
    </row>
    <row r="519" spans="1:3">
      <c r="A519" t="s">
        <v>827</v>
      </c>
      <c r="B519">
        <v>5</v>
      </c>
      <c r="C519" s="16">
        <v>0.85353319057815846</v>
      </c>
    </row>
    <row r="520" spans="1:3">
      <c r="A520" t="s">
        <v>128</v>
      </c>
      <c r="B520">
        <v>3</v>
      </c>
      <c r="C520" s="16">
        <v>0.85365853658536583</v>
      </c>
    </row>
    <row r="521" spans="1:3" hidden="1">
      <c r="A521" t="s">
        <v>305</v>
      </c>
      <c r="C521" s="16">
        <v>0</v>
      </c>
    </row>
    <row r="522" spans="1:3">
      <c r="A522" t="s">
        <v>864</v>
      </c>
      <c r="B522">
        <v>3</v>
      </c>
      <c r="C522" s="16">
        <v>0.85365853658536583</v>
      </c>
    </row>
    <row r="523" spans="1:3">
      <c r="A523" t="s">
        <v>1095</v>
      </c>
      <c r="B523">
        <v>3</v>
      </c>
      <c r="C523" s="16">
        <v>0.85365853658536583</v>
      </c>
    </row>
    <row r="524" spans="1:3">
      <c r="A524" t="s">
        <v>1407</v>
      </c>
      <c r="B524">
        <v>3</v>
      </c>
      <c r="C524" s="16">
        <v>0.85365853658536583</v>
      </c>
    </row>
    <row r="525" spans="1:3" hidden="1">
      <c r="A525" t="s">
        <v>1113</v>
      </c>
      <c r="C525" s="16">
        <v>0</v>
      </c>
    </row>
    <row r="526" spans="1:3" hidden="1">
      <c r="A526" t="s">
        <v>629</v>
      </c>
      <c r="C526" s="16">
        <v>0</v>
      </c>
    </row>
    <row r="527" spans="1:3">
      <c r="A527" t="s">
        <v>1459</v>
      </c>
      <c r="B527">
        <v>3</v>
      </c>
      <c r="C527" s="16">
        <v>0.85365853658536583</v>
      </c>
    </row>
    <row r="528" spans="1:3" hidden="1">
      <c r="A528" t="s">
        <v>67</v>
      </c>
      <c r="C528" s="16">
        <v>0</v>
      </c>
    </row>
    <row r="529" spans="1:3" hidden="1">
      <c r="A529" t="s">
        <v>899</v>
      </c>
      <c r="C529" s="16">
        <v>0</v>
      </c>
    </row>
    <row r="530" spans="1:3" hidden="1">
      <c r="A530" t="s">
        <v>310</v>
      </c>
      <c r="C530" s="16">
        <v>0</v>
      </c>
    </row>
    <row r="531" spans="1:3" hidden="1">
      <c r="A531" t="s">
        <v>308</v>
      </c>
      <c r="C531" s="16">
        <v>0</v>
      </c>
    </row>
    <row r="532" spans="1:3">
      <c r="A532" t="s">
        <v>1400</v>
      </c>
      <c r="B532" t="s">
        <v>959</v>
      </c>
      <c r="C532" s="16">
        <v>0.85384615384615392</v>
      </c>
    </row>
    <row r="533" spans="1:3">
      <c r="A533" t="s">
        <v>757</v>
      </c>
      <c r="B533" t="s">
        <v>112</v>
      </c>
      <c r="C533" s="16">
        <v>0.85384615384615392</v>
      </c>
    </row>
    <row r="534" spans="1:3">
      <c r="A534" t="s">
        <v>187</v>
      </c>
      <c r="B534" t="s">
        <v>1711</v>
      </c>
      <c r="C534" s="16">
        <v>0.8549019607843138</v>
      </c>
    </row>
    <row r="535" spans="1:3" hidden="1">
      <c r="A535" t="s">
        <v>900</v>
      </c>
      <c r="C535" s="16">
        <v>0</v>
      </c>
    </row>
    <row r="536" spans="1:3">
      <c r="A536" t="s">
        <v>1320</v>
      </c>
      <c r="B536" t="s">
        <v>1663</v>
      </c>
      <c r="C536" s="16">
        <v>0.8549019607843138</v>
      </c>
    </row>
    <row r="537" spans="1:3" hidden="1">
      <c r="A537" t="s">
        <v>640</v>
      </c>
      <c r="C537" s="16">
        <v>0</v>
      </c>
    </row>
    <row r="538" spans="1:3">
      <c r="A538" t="s">
        <v>1354</v>
      </c>
      <c r="B538" t="s">
        <v>1824</v>
      </c>
      <c r="C538" s="16">
        <v>0.85493163578936027</v>
      </c>
    </row>
    <row r="539" spans="1:3" hidden="1">
      <c r="A539" t="s">
        <v>900</v>
      </c>
      <c r="C539" s="16">
        <v>0</v>
      </c>
    </row>
    <row r="540" spans="1:3">
      <c r="A540" t="s">
        <v>289</v>
      </c>
      <c r="B540" t="s">
        <v>1524</v>
      </c>
      <c r="C540" s="16">
        <v>0.85531914893617023</v>
      </c>
    </row>
    <row r="541" spans="1:3" hidden="1">
      <c r="A541" t="s">
        <v>639</v>
      </c>
      <c r="C541" s="16">
        <v>0</v>
      </c>
    </row>
    <row r="542" spans="1:3">
      <c r="A542" t="s">
        <v>756</v>
      </c>
      <c r="B542" t="s">
        <v>112</v>
      </c>
      <c r="C542" s="16">
        <v>0.85599999999999998</v>
      </c>
    </row>
    <row r="543" spans="1:3" hidden="1">
      <c r="A543" t="s">
        <v>315</v>
      </c>
      <c r="C543" s="16">
        <v>0</v>
      </c>
    </row>
    <row r="544" spans="1:3" hidden="1">
      <c r="A544" t="s">
        <v>70</v>
      </c>
      <c r="C544" s="16">
        <v>0</v>
      </c>
    </row>
    <row r="545" spans="1:3">
      <c r="A545" t="s">
        <v>288</v>
      </c>
      <c r="B545" t="s">
        <v>1524</v>
      </c>
      <c r="C545" s="16">
        <v>0.85652173913043483</v>
      </c>
    </row>
    <row r="546" spans="1:3" hidden="1">
      <c r="A546" t="s">
        <v>1117</v>
      </c>
      <c r="C546" s="16">
        <v>0</v>
      </c>
    </row>
    <row r="547" spans="1:3" hidden="1">
      <c r="A547" t="s">
        <v>320</v>
      </c>
      <c r="C547" s="16">
        <v>0</v>
      </c>
    </row>
    <row r="548" spans="1:3">
      <c r="A548" t="s">
        <v>540</v>
      </c>
      <c r="B548" t="s">
        <v>2135</v>
      </c>
      <c r="C548" s="16">
        <v>0.85652173913043483</v>
      </c>
    </row>
    <row r="549" spans="1:3">
      <c r="A549" t="s">
        <v>540</v>
      </c>
      <c r="B549" t="s">
        <v>2135</v>
      </c>
      <c r="C549" s="16">
        <v>0.85652173913043483</v>
      </c>
    </row>
    <row r="550" spans="1:3">
      <c r="A550" t="s">
        <v>480</v>
      </c>
      <c r="B550">
        <v>5</v>
      </c>
      <c r="C550" s="16">
        <v>0.85714285714285721</v>
      </c>
    </row>
    <row r="551" spans="1:3" hidden="1">
      <c r="A551" t="s">
        <v>318</v>
      </c>
      <c r="C551" s="16">
        <v>0</v>
      </c>
    </row>
    <row r="552" spans="1:3">
      <c r="A552" t="s">
        <v>489</v>
      </c>
      <c r="B552">
        <v>5</v>
      </c>
      <c r="C552" s="16">
        <v>0.85714285714285721</v>
      </c>
    </row>
    <row r="553" spans="1:3" hidden="1">
      <c r="A553" t="s">
        <v>644</v>
      </c>
      <c r="C553" s="16">
        <v>0</v>
      </c>
    </row>
    <row r="554" spans="1:3">
      <c r="A554" t="s">
        <v>1045</v>
      </c>
      <c r="B554">
        <v>3</v>
      </c>
      <c r="C554" s="16">
        <v>0.85735140771637119</v>
      </c>
    </row>
    <row r="555" spans="1:3">
      <c r="A555" t="s">
        <v>1289</v>
      </c>
      <c r="B555">
        <v>3</v>
      </c>
      <c r="C555" s="16">
        <v>0.85735140771637119</v>
      </c>
    </row>
    <row r="556" spans="1:3">
      <c r="A556" t="s">
        <v>1288</v>
      </c>
      <c r="B556">
        <v>3</v>
      </c>
      <c r="C556" s="16">
        <v>0.85735140771637119</v>
      </c>
    </row>
    <row r="557" spans="1:3">
      <c r="A557" t="s">
        <v>173</v>
      </c>
      <c r="B557">
        <v>3008</v>
      </c>
      <c r="C557" s="16">
        <v>0.85833333333333339</v>
      </c>
    </row>
    <row r="558" spans="1:3" hidden="1">
      <c r="A558" t="s">
        <v>1119</v>
      </c>
      <c r="C558" s="16">
        <v>0</v>
      </c>
    </row>
    <row r="559" spans="1:3">
      <c r="A559" t="s">
        <v>118</v>
      </c>
      <c r="B559" t="s">
        <v>2087</v>
      </c>
      <c r="C559" s="16">
        <v>0.85833333333333339</v>
      </c>
    </row>
    <row r="560" spans="1:3">
      <c r="A560" t="s">
        <v>437</v>
      </c>
      <c r="B560" t="s">
        <v>1750</v>
      </c>
      <c r="C560" s="16">
        <v>0.85897435897435903</v>
      </c>
    </row>
    <row r="561" spans="1:3">
      <c r="A561" t="s">
        <v>1329</v>
      </c>
      <c r="B561">
        <v>3</v>
      </c>
      <c r="C561" s="16">
        <v>0.85945945945945945</v>
      </c>
    </row>
    <row r="562" spans="1:3">
      <c r="A562" t="s">
        <v>1419</v>
      </c>
      <c r="B562">
        <v>6</v>
      </c>
      <c r="C562" s="16">
        <v>0.85945945945945945</v>
      </c>
    </row>
    <row r="563" spans="1:3" hidden="1">
      <c r="A563" t="s">
        <v>914</v>
      </c>
      <c r="C563" s="16">
        <v>0</v>
      </c>
    </row>
    <row r="564" spans="1:3" hidden="1">
      <c r="A564" t="s">
        <v>913</v>
      </c>
      <c r="C564" s="16">
        <v>0</v>
      </c>
    </row>
    <row r="565" spans="1:3" hidden="1">
      <c r="A565" t="s">
        <v>1377</v>
      </c>
      <c r="C565" s="16">
        <v>0</v>
      </c>
    </row>
    <row r="566" spans="1:3" hidden="1">
      <c r="A566" t="s">
        <v>915</v>
      </c>
      <c r="C566" s="16">
        <v>0</v>
      </c>
    </row>
    <row r="567" spans="1:3" hidden="1">
      <c r="A567" t="s">
        <v>1373</v>
      </c>
      <c r="C567" s="16">
        <v>0</v>
      </c>
    </row>
    <row r="568" spans="1:3" hidden="1">
      <c r="A568" t="s">
        <v>1376</v>
      </c>
      <c r="C568" s="16">
        <v>0</v>
      </c>
    </row>
    <row r="569" spans="1:3" hidden="1">
      <c r="A569" t="s">
        <v>912</v>
      </c>
      <c r="C569" s="16">
        <v>0</v>
      </c>
    </row>
    <row r="570" spans="1:3" hidden="1">
      <c r="A570" t="s">
        <v>645</v>
      </c>
      <c r="C570" s="16">
        <v>0</v>
      </c>
    </row>
    <row r="571" spans="1:3" hidden="1">
      <c r="A571" t="s">
        <v>1374</v>
      </c>
      <c r="C571" s="16">
        <v>0</v>
      </c>
    </row>
    <row r="572" spans="1:3" hidden="1">
      <c r="A572" t="s">
        <v>916</v>
      </c>
      <c r="C572" s="16">
        <v>0</v>
      </c>
    </row>
    <row r="573" spans="1:3" hidden="1">
      <c r="A573" t="s">
        <v>1375</v>
      </c>
      <c r="C573" s="16">
        <v>0</v>
      </c>
    </row>
    <row r="574" spans="1:3" hidden="1">
      <c r="A574" t="s">
        <v>911</v>
      </c>
      <c r="C574" s="16">
        <v>0</v>
      </c>
    </row>
    <row r="575" spans="1:3">
      <c r="A575" t="s">
        <v>1395</v>
      </c>
      <c r="B575" t="s">
        <v>1962</v>
      </c>
      <c r="C575" s="16">
        <v>0.8595744680851064</v>
      </c>
    </row>
    <row r="576" spans="1:3" hidden="1">
      <c r="A576" t="s">
        <v>917</v>
      </c>
      <c r="C576" s="16">
        <v>0</v>
      </c>
    </row>
    <row r="577" spans="1:3" hidden="1">
      <c r="A577" t="s">
        <v>324</v>
      </c>
      <c r="C577" s="16">
        <v>0</v>
      </c>
    </row>
    <row r="578" spans="1:3">
      <c r="A578" t="s">
        <v>523</v>
      </c>
      <c r="B578" t="s">
        <v>2111</v>
      </c>
      <c r="C578" s="16">
        <v>0.8595744680851064</v>
      </c>
    </row>
    <row r="579" spans="1:3">
      <c r="A579" t="s">
        <v>1137</v>
      </c>
      <c r="B579" t="s">
        <v>1854</v>
      </c>
      <c r="C579" s="16">
        <v>0.86023992401370553</v>
      </c>
    </row>
    <row r="580" spans="1:3" hidden="1">
      <c r="A580" t="s">
        <v>326</v>
      </c>
      <c r="C580" s="16">
        <v>0</v>
      </c>
    </row>
    <row r="581" spans="1:3" hidden="1">
      <c r="A581" t="s">
        <v>646</v>
      </c>
      <c r="C581" s="16">
        <v>0</v>
      </c>
    </row>
    <row r="582" spans="1:3" hidden="1">
      <c r="A582" t="s">
        <v>1120</v>
      </c>
      <c r="C582" s="16">
        <v>0</v>
      </c>
    </row>
    <row r="583" spans="1:3" hidden="1">
      <c r="A583" t="s">
        <v>1379</v>
      </c>
      <c r="C583" s="16">
        <v>0</v>
      </c>
    </row>
    <row r="584" spans="1:3" hidden="1">
      <c r="A584" t="s">
        <v>331</v>
      </c>
      <c r="C584" s="16">
        <v>0</v>
      </c>
    </row>
    <row r="585" spans="1:3" hidden="1">
      <c r="A585" t="s">
        <v>921</v>
      </c>
      <c r="C585" s="16">
        <v>0</v>
      </c>
    </row>
    <row r="586" spans="1:3">
      <c r="A586" t="s">
        <v>1136</v>
      </c>
      <c r="B586" t="s">
        <v>1854</v>
      </c>
      <c r="C586" s="16">
        <v>0.86023992401370553</v>
      </c>
    </row>
    <row r="587" spans="1:3" hidden="1">
      <c r="A587" t="s">
        <v>329</v>
      </c>
      <c r="C587" s="16">
        <v>0</v>
      </c>
    </row>
    <row r="588" spans="1:3" hidden="1">
      <c r="A588" t="s">
        <v>330</v>
      </c>
      <c r="C588" s="16">
        <v>0</v>
      </c>
    </row>
    <row r="589" spans="1:3" hidden="1">
      <c r="A589" t="s">
        <v>647</v>
      </c>
      <c r="C589" s="16">
        <v>0</v>
      </c>
    </row>
    <row r="590" spans="1:3" hidden="1">
      <c r="A590" t="s">
        <v>920</v>
      </c>
      <c r="C590" s="16">
        <v>0</v>
      </c>
    </row>
    <row r="591" spans="1:3" hidden="1">
      <c r="A591" t="s">
        <v>1384</v>
      </c>
      <c r="C591" s="16">
        <v>0</v>
      </c>
    </row>
    <row r="592" spans="1:3">
      <c r="A592" t="s">
        <v>871</v>
      </c>
      <c r="B592" t="s">
        <v>1695</v>
      </c>
      <c r="C592" s="16">
        <v>0.86086956521739133</v>
      </c>
    </row>
    <row r="593" spans="1:3">
      <c r="A593" t="s">
        <v>873</v>
      </c>
      <c r="B593" t="s">
        <v>1695</v>
      </c>
      <c r="C593" s="16">
        <v>0.86086956521739133</v>
      </c>
    </row>
    <row r="594" spans="1:3">
      <c r="A594" t="s">
        <v>919</v>
      </c>
      <c r="B594">
        <v>6</v>
      </c>
      <c r="C594" s="16">
        <v>0.86111111111111116</v>
      </c>
    </row>
    <row r="595" spans="1:3">
      <c r="A595" t="s">
        <v>343</v>
      </c>
      <c r="B595">
        <v>3</v>
      </c>
      <c r="C595" s="16">
        <v>0.86111111111111116</v>
      </c>
    </row>
    <row r="596" spans="1:3">
      <c r="A596" t="s">
        <v>1138</v>
      </c>
      <c r="B596">
        <v>3</v>
      </c>
      <c r="C596" s="16">
        <v>0.86111111111111116</v>
      </c>
    </row>
    <row r="597" spans="1:3">
      <c r="A597" t="s">
        <v>711</v>
      </c>
      <c r="B597">
        <v>3</v>
      </c>
      <c r="C597" s="16">
        <v>0.86111111111111116</v>
      </c>
    </row>
    <row r="598" spans="1:3">
      <c r="A598" t="s">
        <v>712</v>
      </c>
      <c r="B598">
        <v>3</v>
      </c>
      <c r="C598" s="16">
        <v>0.86111111111111116</v>
      </c>
    </row>
    <row r="599" spans="1:3">
      <c r="A599" t="s">
        <v>778</v>
      </c>
      <c r="B599">
        <v>3</v>
      </c>
      <c r="C599" s="16">
        <v>0.86111111111111116</v>
      </c>
    </row>
    <row r="600" spans="1:3">
      <c r="A600" t="s">
        <v>488</v>
      </c>
      <c r="B600">
        <v>3</v>
      </c>
      <c r="C600" s="16">
        <v>0.86111111111111116</v>
      </c>
    </row>
    <row r="601" spans="1:3">
      <c r="A601" t="s">
        <v>286</v>
      </c>
      <c r="B601" t="s">
        <v>1827</v>
      </c>
      <c r="C601" s="16">
        <v>0.86213886623705127</v>
      </c>
    </row>
    <row r="602" spans="1:3">
      <c r="A602" t="s">
        <v>285</v>
      </c>
      <c r="B602" t="s">
        <v>1827</v>
      </c>
      <c r="C602" s="16">
        <v>0.86213886623705127</v>
      </c>
    </row>
    <row r="603" spans="1:3">
      <c r="A603" t="s">
        <v>282</v>
      </c>
      <c r="B603" t="s">
        <v>1835</v>
      </c>
      <c r="C603" s="16">
        <v>0.86213886623705127</v>
      </c>
    </row>
    <row r="604" spans="1:3" hidden="1">
      <c r="A604" t="s">
        <v>1125</v>
      </c>
      <c r="C604" s="16">
        <v>0</v>
      </c>
    </row>
    <row r="605" spans="1:3">
      <c r="A605" t="s">
        <v>391</v>
      </c>
      <c r="B605" t="s">
        <v>1917</v>
      </c>
      <c r="C605" s="16">
        <v>0.86213886623705127</v>
      </c>
    </row>
    <row r="606" spans="1:3">
      <c r="A606" t="s">
        <v>1315</v>
      </c>
      <c r="B606" t="s">
        <v>1640</v>
      </c>
      <c r="C606" s="16">
        <v>0.86222222222222222</v>
      </c>
    </row>
    <row r="607" spans="1:3" hidden="1">
      <c r="A607" t="s">
        <v>1390</v>
      </c>
      <c r="C607" s="16">
        <v>0</v>
      </c>
    </row>
    <row r="608" spans="1:3">
      <c r="A608" t="s">
        <v>671</v>
      </c>
      <c r="B608" t="s">
        <v>1967</v>
      </c>
      <c r="C608" s="16">
        <v>0.86222222222222222</v>
      </c>
    </row>
    <row r="609" spans="1:3">
      <c r="A609" t="s">
        <v>1130</v>
      </c>
      <c r="B609" t="s">
        <v>1853</v>
      </c>
      <c r="C609" s="16">
        <v>0.86222222222222222</v>
      </c>
    </row>
    <row r="610" spans="1:3">
      <c r="A610" t="s">
        <v>722</v>
      </c>
      <c r="B610" t="s">
        <v>1554</v>
      </c>
      <c r="C610" s="16">
        <v>0.86222222222222222</v>
      </c>
    </row>
    <row r="611" spans="1:3">
      <c r="A611" t="s">
        <v>946</v>
      </c>
      <c r="B611">
        <v>500</v>
      </c>
      <c r="C611" s="16">
        <v>0.86341463414634145</v>
      </c>
    </row>
    <row r="612" spans="1:3" hidden="1">
      <c r="A612" t="s">
        <v>652</v>
      </c>
      <c r="C612" s="16">
        <v>0</v>
      </c>
    </row>
    <row r="613" spans="1:3" hidden="1">
      <c r="A613" t="s">
        <v>347</v>
      </c>
      <c r="C613" s="16">
        <v>0</v>
      </c>
    </row>
    <row r="614" spans="1:3">
      <c r="A614" t="s">
        <v>417</v>
      </c>
      <c r="B614" t="s">
        <v>1555</v>
      </c>
      <c r="C614" s="16">
        <v>0.86363636363636365</v>
      </c>
    </row>
    <row r="615" spans="1:3">
      <c r="A615" t="s">
        <v>1243</v>
      </c>
      <c r="B615" t="s">
        <v>2111</v>
      </c>
      <c r="C615" s="16">
        <v>0.86363636363636365</v>
      </c>
    </row>
    <row r="616" spans="1:3" hidden="1">
      <c r="A616" t="s">
        <v>658</v>
      </c>
      <c r="C616" s="16">
        <v>0</v>
      </c>
    </row>
    <row r="617" spans="1:3" hidden="1">
      <c r="A617" t="s">
        <v>1126</v>
      </c>
      <c r="C617" s="16">
        <v>0</v>
      </c>
    </row>
    <row r="618" spans="1:3">
      <c r="A618" t="s">
        <v>882</v>
      </c>
      <c r="B618" t="s">
        <v>1719</v>
      </c>
      <c r="C618" s="16">
        <v>0.86369476226309483</v>
      </c>
    </row>
    <row r="619" spans="1:3" hidden="1">
      <c r="A619" t="s">
        <v>651</v>
      </c>
      <c r="C619" s="16">
        <v>0</v>
      </c>
    </row>
    <row r="620" spans="1:3">
      <c r="A620" t="s">
        <v>185</v>
      </c>
      <c r="B620" t="s">
        <v>1669</v>
      </c>
      <c r="C620" s="16">
        <v>0.86516129032258071</v>
      </c>
    </row>
    <row r="621" spans="1:3">
      <c r="A621" t="s">
        <v>887</v>
      </c>
      <c r="B621" t="s">
        <v>1826</v>
      </c>
      <c r="C621" s="16">
        <v>0.86540357659250544</v>
      </c>
    </row>
    <row r="622" spans="1:3">
      <c r="A622" t="s">
        <v>1185</v>
      </c>
      <c r="B622" t="s">
        <v>1551</v>
      </c>
      <c r="C622" s="16">
        <v>0.86587294968594564</v>
      </c>
    </row>
    <row r="623" spans="1:3">
      <c r="A623" t="s">
        <v>1324</v>
      </c>
      <c r="B623">
        <v>2</v>
      </c>
      <c r="C623" s="16">
        <v>0.8666666666666667</v>
      </c>
    </row>
    <row r="624" spans="1:3">
      <c r="A624" t="s">
        <v>1321</v>
      </c>
      <c r="B624">
        <v>2</v>
      </c>
      <c r="C624" s="16">
        <v>0.8666666666666667</v>
      </c>
    </row>
    <row r="625" spans="1:3" hidden="1">
      <c r="A625" t="s">
        <v>1140</v>
      </c>
      <c r="C625" s="16">
        <v>0</v>
      </c>
    </row>
    <row r="626" spans="1:3">
      <c r="A626" t="s">
        <v>1391</v>
      </c>
      <c r="B626">
        <v>5</v>
      </c>
      <c r="C626" s="16">
        <v>0.8666666666666667</v>
      </c>
    </row>
    <row r="627" spans="1:3" hidden="1">
      <c r="A627" t="s">
        <v>1141</v>
      </c>
      <c r="C627" s="16">
        <v>0</v>
      </c>
    </row>
    <row r="628" spans="1:3" hidden="1">
      <c r="A628" t="s">
        <v>1127</v>
      </c>
      <c r="C628" s="16">
        <v>0</v>
      </c>
    </row>
    <row r="629" spans="1:3" hidden="1">
      <c r="A629" t="s">
        <v>667</v>
      </c>
      <c r="C629" s="16">
        <v>0</v>
      </c>
    </row>
    <row r="630" spans="1:3" hidden="1">
      <c r="A630" t="s">
        <v>657</v>
      </c>
      <c r="C630" s="16">
        <v>0</v>
      </c>
    </row>
    <row r="631" spans="1:3" hidden="1">
      <c r="A631" t="s">
        <v>263</v>
      </c>
      <c r="C631" s="16">
        <v>0</v>
      </c>
    </row>
    <row r="632" spans="1:3">
      <c r="A632" t="s">
        <v>1392</v>
      </c>
      <c r="B632">
        <v>5</v>
      </c>
      <c r="C632" s="16">
        <v>0.8666666666666667</v>
      </c>
    </row>
    <row r="633" spans="1:3" hidden="1">
      <c r="A633" t="s">
        <v>673</v>
      </c>
      <c r="C633" s="16">
        <v>0</v>
      </c>
    </row>
    <row r="634" spans="1:3">
      <c r="A634" t="s">
        <v>930</v>
      </c>
      <c r="B634" t="s">
        <v>1854</v>
      </c>
      <c r="C634" s="16">
        <v>0.8666666666666667</v>
      </c>
    </row>
    <row r="635" spans="1:3">
      <c r="A635" t="s">
        <v>1175</v>
      </c>
      <c r="B635">
        <v>5</v>
      </c>
      <c r="C635" s="16">
        <v>0.8666666666666667</v>
      </c>
    </row>
    <row r="636" spans="1:3" hidden="1">
      <c r="A636" t="s">
        <v>342</v>
      </c>
      <c r="C636" s="16">
        <v>0</v>
      </c>
    </row>
    <row r="637" spans="1:3">
      <c r="A637" t="s">
        <v>698</v>
      </c>
      <c r="B637" t="s">
        <v>2091</v>
      </c>
      <c r="C637" s="16">
        <v>0.86751282562735776</v>
      </c>
    </row>
    <row r="638" spans="1:3" hidden="1">
      <c r="A638" t="s">
        <v>351</v>
      </c>
      <c r="C638" s="16">
        <v>0</v>
      </c>
    </row>
    <row r="639" spans="1:3" hidden="1">
      <c r="A639" t="s">
        <v>1143</v>
      </c>
      <c r="C639" s="16">
        <v>0</v>
      </c>
    </row>
    <row r="640" spans="1:3">
      <c r="A640" t="s">
        <v>1316</v>
      </c>
      <c r="B640" t="s">
        <v>1640</v>
      </c>
      <c r="C640" s="16">
        <v>0.86829268292682926</v>
      </c>
    </row>
    <row r="641" spans="1:3" hidden="1">
      <c r="A641" t="s">
        <v>350</v>
      </c>
      <c r="C641" s="16">
        <v>0</v>
      </c>
    </row>
    <row r="642" spans="1:3" hidden="1">
      <c r="A642" t="s">
        <v>335</v>
      </c>
      <c r="C642" s="16">
        <v>0</v>
      </c>
    </row>
    <row r="643" spans="1:3">
      <c r="A643" t="s">
        <v>585</v>
      </c>
      <c r="B643" t="s">
        <v>1640</v>
      </c>
      <c r="C643" s="16">
        <v>0.86829268292682926</v>
      </c>
    </row>
    <row r="644" spans="1:3">
      <c r="A644" t="s">
        <v>1401</v>
      </c>
      <c r="B644" t="s">
        <v>1914</v>
      </c>
      <c r="C644" s="16">
        <v>0.86829268292682926</v>
      </c>
    </row>
    <row r="645" spans="1:3">
      <c r="A645" t="s">
        <v>1405</v>
      </c>
      <c r="B645" t="s">
        <v>961</v>
      </c>
      <c r="C645" s="16">
        <v>0.86829268292682926</v>
      </c>
    </row>
    <row r="646" spans="1:3">
      <c r="A646" t="s">
        <v>1179</v>
      </c>
      <c r="B646" t="s">
        <v>1918</v>
      </c>
      <c r="C646" s="16">
        <v>0.86829268292682926</v>
      </c>
    </row>
    <row r="647" spans="1:3">
      <c r="A647" t="s">
        <v>1176</v>
      </c>
      <c r="B647" t="s">
        <v>1913</v>
      </c>
      <c r="C647" s="16">
        <v>0.86829268292682926</v>
      </c>
    </row>
    <row r="648" spans="1:3">
      <c r="A648" t="s">
        <v>1439</v>
      </c>
      <c r="B648" t="s">
        <v>474</v>
      </c>
      <c r="C648" s="16">
        <v>0.86829268292682926</v>
      </c>
    </row>
    <row r="649" spans="1:3">
      <c r="A649" t="s">
        <v>1254</v>
      </c>
      <c r="B649" t="s">
        <v>798</v>
      </c>
      <c r="C649" s="16">
        <v>0.86829268292682926</v>
      </c>
    </row>
    <row r="650" spans="1:3" hidden="1">
      <c r="A650" t="s">
        <v>1142</v>
      </c>
      <c r="C650" s="16">
        <v>0</v>
      </c>
    </row>
    <row r="651" spans="1:3">
      <c r="A651" t="s">
        <v>1050</v>
      </c>
      <c r="B651" t="s">
        <v>1629</v>
      </c>
      <c r="C651" s="16">
        <v>0.8683120222537043</v>
      </c>
    </row>
    <row r="652" spans="1:3" hidden="1">
      <c r="A652" t="s">
        <v>1139</v>
      </c>
      <c r="C652" s="16">
        <v>0</v>
      </c>
    </row>
    <row r="653" spans="1:3" hidden="1">
      <c r="A653" t="s">
        <v>345</v>
      </c>
      <c r="C653" s="16">
        <v>0</v>
      </c>
    </row>
    <row r="654" spans="1:3">
      <c r="A654" t="s">
        <v>267</v>
      </c>
      <c r="B654" t="s">
        <v>1526</v>
      </c>
      <c r="C654" s="16">
        <v>0.86842105263157898</v>
      </c>
    </row>
    <row r="655" spans="1:3">
      <c r="A655" t="s">
        <v>729</v>
      </c>
      <c r="B655">
        <v>6</v>
      </c>
      <c r="C655" s="16">
        <v>0.86875000000000002</v>
      </c>
    </row>
    <row r="656" spans="1:3">
      <c r="A656" t="s">
        <v>728</v>
      </c>
      <c r="B656">
        <v>6</v>
      </c>
      <c r="C656" s="16">
        <v>0.86875000000000002</v>
      </c>
    </row>
    <row r="657" spans="1:3">
      <c r="A657" t="s">
        <v>1145</v>
      </c>
      <c r="B657" t="s">
        <v>1965</v>
      </c>
      <c r="C657" s="16">
        <v>0.86891854502569876</v>
      </c>
    </row>
    <row r="658" spans="1:3">
      <c r="A658" t="s">
        <v>1244</v>
      </c>
      <c r="B658" t="s">
        <v>2108</v>
      </c>
      <c r="C658" s="16">
        <v>0.87</v>
      </c>
    </row>
    <row r="659" spans="1:3">
      <c r="A659" t="s">
        <v>532</v>
      </c>
      <c r="B659" t="s">
        <v>2124</v>
      </c>
      <c r="C659" s="16">
        <v>0.87</v>
      </c>
    </row>
    <row r="660" spans="1:3">
      <c r="A660" t="s">
        <v>1469</v>
      </c>
      <c r="B660" t="s">
        <v>1467</v>
      </c>
      <c r="C660" s="16">
        <v>0.87</v>
      </c>
    </row>
    <row r="661" spans="1:3">
      <c r="A661" t="s">
        <v>532</v>
      </c>
      <c r="B661" t="s">
        <v>2124</v>
      </c>
      <c r="C661" s="16">
        <v>0.87</v>
      </c>
    </row>
    <row r="662" spans="1:3" hidden="1">
      <c r="A662" t="s">
        <v>666</v>
      </c>
      <c r="C662" s="16">
        <v>0</v>
      </c>
    </row>
    <row r="663" spans="1:3" hidden="1">
      <c r="A663" t="s">
        <v>659</v>
      </c>
      <c r="C663" s="16">
        <v>0</v>
      </c>
    </row>
    <row r="664" spans="1:3">
      <c r="A664" t="s">
        <v>967</v>
      </c>
      <c r="B664">
        <v>3</v>
      </c>
      <c r="C664" s="16">
        <v>0.87096774193548387</v>
      </c>
    </row>
    <row r="665" spans="1:3">
      <c r="A665" t="s">
        <v>720</v>
      </c>
      <c r="B665">
        <v>3</v>
      </c>
      <c r="C665" s="16">
        <v>0.87096774193548387</v>
      </c>
    </row>
    <row r="666" spans="1:3" hidden="1">
      <c r="A666" t="s">
        <v>660</v>
      </c>
      <c r="C666" s="16">
        <v>0</v>
      </c>
    </row>
    <row r="667" spans="1:3" hidden="1">
      <c r="A667" t="s">
        <v>332</v>
      </c>
      <c r="C667" s="16">
        <v>0</v>
      </c>
    </row>
    <row r="668" spans="1:3" hidden="1">
      <c r="A668" t="s">
        <v>1146</v>
      </c>
      <c r="C668" s="16">
        <v>0</v>
      </c>
    </row>
    <row r="669" spans="1:3">
      <c r="A669" t="s">
        <v>605</v>
      </c>
      <c r="B669" t="s">
        <v>266</v>
      </c>
      <c r="C669" s="16">
        <v>0.87179487179487181</v>
      </c>
    </row>
    <row r="670" spans="1:3">
      <c r="A670" t="s">
        <v>604</v>
      </c>
      <c r="B670" t="s">
        <v>266</v>
      </c>
      <c r="C670" s="16">
        <v>0.87179487179487181</v>
      </c>
    </row>
    <row r="671" spans="1:3" hidden="1">
      <c r="A671" t="s">
        <v>348</v>
      </c>
      <c r="C671" s="16">
        <v>0</v>
      </c>
    </row>
    <row r="672" spans="1:3" hidden="1">
      <c r="A672" t="s">
        <v>648</v>
      </c>
      <c r="C672" s="16">
        <v>0</v>
      </c>
    </row>
    <row r="673" spans="1:3">
      <c r="A673" t="s">
        <v>1406</v>
      </c>
      <c r="B673" t="s">
        <v>961</v>
      </c>
      <c r="C673" s="16">
        <v>0.87179487179487181</v>
      </c>
    </row>
    <row r="674" spans="1:3">
      <c r="A674" t="s">
        <v>1403</v>
      </c>
      <c r="B674" t="s">
        <v>1918</v>
      </c>
      <c r="C674" s="16">
        <v>0.87179487179487181</v>
      </c>
    </row>
    <row r="675" spans="1:3">
      <c r="A675" t="s">
        <v>1404</v>
      </c>
      <c r="B675" t="s">
        <v>1918</v>
      </c>
      <c r="C675" s="16">
        <v>0.87179487179487181</v>
      </c>
    </row>
    <row r="676" spans="1:3" hidden="1">
      <c r="A676" t="s">
        <v>349</v>
      </c>
      <c r="C676" s="16">
        <v>0</v>
      </c>
    </row>
    <row r="677" spans="1:3">
      <c r="A677" t="s">
        <v>1448</v>
      </c>
      <c r="B677" t="s">
        <v>754</v>
      </c>
      <c r="C677" s="16">
        <v>0.87179487179487181</v>
      </c>
    </row>
    <row r="678" spans="1:3">
      <c r="A678" t="s">
        <v>428</v>
      </c>
      <c r="B678" t="s">
        <v>1737</v>
      </c>
      <c r="C678" s="16">
        <v>0.87187238058780436</v>
      </c>
    </row>
    <row r="679" spans="1:3" hidden="1">
      <c r="A679" t="s">
        <v>656</v>
      </c>
      <c r="C679" s="16">
        <v>0</v>
      </c>
    </row>
    <row r="680" spans="1:3">
      <c r="A680" t="s">
        <v>290</v>
      </c>
      <c r="B680" t="s">
        <v>1828</v>
      </c>
      <c r="C680" s="16">
        <v>0.871941654092112</v>
      </c>
    </row>
    <row r="681" spans="1:3">
      <c r="A681" t="s">
        <v>910</v>
      </c>
      <c r="B681" t="s">
        <v>1782</v>
      </c>
      <c r="C681" s="16">
        <v>0.87275153379660442</v>
      </c>
    </row>
    <row r="682" spans="1:3" hidden="1">
      <c r="A682" t="s">
        <v>78</v>
      </c>
      <c r="C682" s="16">
        <v>0</v>
      </c>
    </row>
    <row r="683" spans="1:3" hidden="1">
      <c r="A683" t="s">
        <v>77</v>
      </c>
      <c r="C683" s="16">
        <v>0</v>
      </c>
    </row>
    <row r="684" spans="1:3">
      <c r="A684" t="s">
        <v>1051</v>
      </c>
      <c r="B684" t="s">
        <v>1631</v>
      </c>
      <c r="C684" s="16">
        <v>0.87368421052631584</v>
      </c>
    </row>
    <row r="685" spans="1:3" hidden="1">
      <c r="A685" t="s">
        <v>1144</v>
      </c>
      <c r="C685" s="16">
        <v>0</v>
      </c>
    </row>
    <row r="686" spans="1:3" hidden="1">
      <c r="A686" t="s">
        <v>664</v>
      </c>
      <c r="C686" s="16">
        <v>0</v>
      </c>
    </row>
    <row r="687" spans="1:3" hidden="1">
      <c r="A687" t="s">
        <v>76</v>
      </c>
      <c r="C687" s="16">
        <v>0</v>
      </c>
    </row>
    <row r="688" spans="1:3" hidden="1">
      <c r="A688" t="s">
        <v>654</v>
      </c>
      <c r="C688" s="16">
        <v>0</v>
      </c>
    </row>
    <row r="689" spans="1:3" hidden="1">
      <c r="A689" t="s">
        <v>75</v>
      </c>
      <c r="C689" s="16">
        <v>0</v>
      </c>
    </row>
    <row r="690" spans="1:3">
      <c r="A690" t="s">
        <v>1301</v>
      </c>
      <c r="B690" t="s">
        <v>1632</v>
      </c>
      <c r="C690" s="16">
        <v>0.87368421052631584</v>
      </c>
    </row>
    <row r="691" spans="1:3" hidden="1">
      <c r="A691" t="s">
        <v>1394</v>
      </c>
      <c r="C691" s="16">
        <v>0</v>
      </c>
    </row>
    <row r="692" spans="1:3">
      <c r="A692" t="s">
        <v>836</v>
      </c>
      <c r="B692" t="s">
        <v>1629</v>
      </c>
      <c r="C692" s="16">
        <v>0.87368421052631584</v>
      </c>
    </row>
    <row r="693" spans="1:3">
      <c r="A693" t="s">
        <v>1069</v>
      </c>
      <c r="B693">
        <v>3008</v>
      </c>
      <c r="C693" s="16">
        <v>0.87368421052631584</v>
      </c>
    </row>
    <row r="694" spans="1:3" hidden="1">
      <c r="A694" t="s">
        <v>669</v>
      </c>
      <c r="C694" s="16">
        <v>0</v>
      </c>
    </row>
    <row r="695" spans="1:3" hidden="1">
      <c r="A695" t="s">
        <v>942</v>
      </c>
      <c r="C695" s="16">
        <v>0</v>
      </c>
    </row>
    <row r="696" spans="1:3" hidden="1">
      <c r="A696" t="s">
        <v>1397</v>
      </c>
      <c r="C696" s="16">
        <v>0</v>
      </c>
    </row>
    <row r="697" spans="1:3" hidden="1">
      <c r="A697" t="s">
        <v>81</v>
      </c>
      <c r="C697" s="16">
        <v>0</v>
      </c>
    </row>
    <row r="698" spans="1:3">
      <c r="A698" t="s">
        <v>117</v>
      </c>
      <c r="B698" t="s">
        <v>1515</v>
      </c>
      <c r="C698" s="16">
        <v>0.87368421052631584</v>
      </c>
    </row>
    <row r="699" spans="1:3">
      <c r="A699" t="s">
        <v>1207</v>
      </c>
      <c r="B699" t="s">
        <v>2079</v>
      </c>
      <c r="C699" s="16">
        <v>0.8739726027397261</v>
      </c>
    </row>
    <row r="700" spans="1:3">
      <c r="A700" t="s">
        <v>972</v>
      </c>
      <c r="B700" t="s">
        <v>1547</v>
      </c>
      <c r="C700" s="16">
        <v>0.87428571428571433</v>
      </c>
    </row>
    <row r="701" spans="1:3">
      <c r="A701" t="s">
        <v>872</v>
      </c>
      <c r="B701" t="s">
        <v>1695</v>
      </c>
      <c r="C701" s="16">
        <v>0.87567567567567572</v>
      </c>
    </row>
    <row r="702" spans="1:3">
      <c r="A702" t="s">
        <v>908</v>
      </c>
      <c r="B702" t="s">
        <v>1780</v>
      </c>
      <c r="C702" s="16">
        <v>0.87567567567567572</v>
      </c>
    </row>
    <row r="703" spans="1:3">
      <c r="A703" t="s">
        <v>907</v>
      </c>
      <c r="B703" t="s">
        <v>1780</v>
      </c>
      <c r="C703" s="16">
        <v>0.87567567567567572</v>
      </c>
    </row>
    <row r="704" spans="1:3">
      <c r="A704" t="s">
        <v>352</v>
      </c>
      <c r="B704" t="s">
        <v>1854</v>
      </c>
      <c r="C704" s="16">
        <v>0.87567567567567572</v>
      </c>
    </row>
    <row r="705" spans="1:3">
      <c r="A705" t="s">
        <v>680</v>
      </c>
      <c r="B705" t="s">
        <v>1886</v>
      </c>
      <c r="C705" s="16">
        <v>0.87567567567567572</v>
      </c>
    </row>
    <row r="706" spans="1:3">
      <c r="A706" t="s">
        <v>793</v>
      </c>
      <c r="B706" t="s">
        <v>2108</v>
      </c>
      <c r="C706" s="16">
        <v>0.87567567567567572</v>
      </c>
    </row>
    <row r="707" spans="1:3" hidden="1">
      <c r="A707" t="s">
        <v>1398</v>
      </c>
      <c r="C707" s="16">
        <v>0</v>
      </c>
    </row>
    <row r="708" spans="1:3" hidden="1">
      <c r="A708" t="s">
        <v>368</v>
      </c>
      <c r="C708" s="16">
        <v>0</v>
      </c>
    </row>
    <row r="709" spans="1:3" hidden="1">
      <c r="A709" t="s">
        <v>677</v>
      </c>
      <c r="C709" s="16">
        <v>0</v>
      </c>
    </row>
    <row r="710" spans="1:3">
      <c r="A710" t="s">
        <v>1079</v>
      </c>
      <c r="B710" t="s">
        <v>1692</v>
      </c>
      <c r="C710" s="16">
        <v>0.87586206896551722</v>
      </c>
    </row>
    <row r="711" spans="1:3">
      <c r="A711" t="s">
        <v>997</v>
      </c>
      <c r="B711" t="s">
        <v>2079</v>
      </c>
      <c r="C711" s="16">
        <v>0.87609716368311019</v>
      </c>
    </row>
    <row r="712" spans="1:3">
      <c r="A712" t="s">
        <v>860</v>
      </c>
      <c r="B712" t="s">
        <v>1966</v>
      </c>
      <c r="C712" s="16">
        <v>0.87730494149854399</v>
      </c>
    </row>
    <row r="713" spans="1:3">
      <c r="A713" t="s">
        <v>761</v>
      </c>
      <c r="B713" t="s">
        <v>2083</v>
      </c>
      <c r="C713" s="16">
        <v>0.87777777777777777</v>
      </c>
    </row>
    <row r="714" spans="1:3">
      <c r="A714" t="s">
        <v>1387</v>
      </c>
      <c r="B714" t="s">
        <v>1816</v>
      </c>
      <c r="C714" s="16">
        <v>0.87850164425925059</v>
      </c>
    </row>
    <row r="715" spans="1:3">
      <c r="A715" t="s">
        <v>1380</v>
      </c>
      <c r="B715" t="s">
        <v>1816</v>
      </c>
      <c r="C715" s="16">
        <v>0.87850164425925059</v>
      </c>
    </row>
    <row r="716" spans="1:3">
      <c r="A716" t="s">
        <v>1389</v>
      </c>
      <c r="B716" t="s">
        <v>1817</v>
      </c>
      <c r="C716" s="16">
        <v>0.87850164425925059</v>
      </c>
    </row>
    <row r="717" spans="1:3">
      <c r="A717" t="s">
        <v>1386</v>
      </c>
      <c r="B717" t="s">
        <v>1814</v>
      </c>
      <c r="C717" s="16">
        <v>0.87850164425925059</v>
      </c>
    </row>
    <row r="718" spans="1:3">
      <c r="A718" t="s">
        <v>758</v>
      </c>
      <c r="B718" t="s">
        <v>1655</v>
      </c>
      <c r="C718" s="16">
        <v>0.87887323943661977</v>
      </c>
    </row>
    <row r="719" spans="1:3">
      <c r="A719" t="s">
        <v>1002</v>
      </c>
      <c r="B719" t="s">
        <v>754</v>
      </c>
      <c r="C719" s="16">
        <v>0.87924524877423627</v>
      </c>
    </row>
    <row r="720" spans="1:3">
      <c r="A720" t="s">
        <v>129</v>
      </c>
      <c r="B720">
        <v>5</v>
      </c>
      <c r="C720" s="16">
        <v>0.88</v>
      </c>
    </row>
    <row r="721" spans="1:3" hidden="1">
      <c r="A721" t="s">
        <v>1158</v>
      </c>
      <c r="C721" s="16">
        <v>0</v>
      </c>
    </row>
    <row r="722" spans="1:3">
      <c r="A722" t="s">
        <v>591</v>
      </c>
      <c r="B722">
        <v>2</v>
      </c>
      <c r="C722" s="16">
        <v>0.88</v>
      </c>
    </row>
    <row r="723" spans="1:3">
      <c r="A723" t="s">
        <v>684</v>
      </c>
      <c r="B723">
        <v>2</v>
      </c>
      <c r="C723" s="16">
        <v>0.88</v>
      </c>
    </row>
    <row r="724" spans="1:3">
      <c r="A724" t="s">
        <v>469</v>
      </c>
      <c r="B724">
        <v>2</v>
      </c>
      <c r="C724" s="16">
        <v>0.88</v>
      </c>
    </row>
    <row r="725" spans="1:3">
      <c r="A725" t="s">
        <v>994</v>
      </c>
      <c r="B725" t="s">
        <v>2087</v>
      </c>
      <c r="C725" s="16">
        <v>0.88</v>
      </c>
    </row>
    <row r="726" spans="1:3" hidden="1">
      <c r="A726" t="s">
        <v>1159</v>
      </c>
      <c r="C726" s="16">
        <v>0</v>
      </c>
    </row>
    <row r="727" spans="1:3" hidden="1">
      <c r="A727" t="s">
        <v>1157</v>
      </c>
      <c r="C727" s="16">
        <v>0</v>
      </c>
    </row>
    <row r="728" spans="1:3" hidden="1">
      <c r="A728">
        <v>550</v>
      </c>
      <c r="C728" s="16">
        <v>0</v>
      </c>
    </row>
    <row r="729" spans="1:3">
      <c r="A729" t="s">
        <v>995</v>
      </c>
      <c r="B729" t="s">
        <v>2087</v>
      </c>
      <c r="C729" s="16">
        <v>0.88</v>
      </c>
    </row>
    <row r="730" spans="1:3">
      <c r="A730" t="s">
        <v>139</v>
      </c>
      <c r="B730">
        <v>3</v>
      </c>
      <c r="C730" s="16">
        <v>0.88148148148148153</v>
      </c>
    </row>
    <row r="731" spans="1:3" hidden="1">
      <c r="A731" t="s">
        <v>948</v>
      </c>
      <c r="C731" s="16">
        <v>0</v>
      </c>
    </row>
    <row r="732" spans="1:3">
      <c r="A732" t="s">
        <v>364</v>
      </c>
      <c r="B732" t="s">
        <v>1155</v>
      </c>
      <c r="C732" s="16">
        <v>0.88235294117647056</v>
      </c>
    </row>
    <row r="733" spans="1:3">
      <c r="A733" t="s">
        <v>400</v>
      </c>
      <c r="B733" t="s">
        <v>1930</v>
      </c>
      <c r="C733" s="16">
        <v>0.88235294117647056</v>
      </c>
    </row>
    <row r="734" spans="1:3">
      <c r="A734" t="s">
        <v>770</v>
      </c>
      <c r="B734" t="s">
        <v>2091</v>
      </c>
      <c r="C734" s="16">
        <v>0.88235294117647056</v>
      </c>
    </row>
    <row r="735" spans="1:3">
      <c r="A735" t="s">
        <v>771</v>
      </c>
      <c r="B735" t="s">
        <v>2091</v>
      </c>
      <c r="C735" s="16">
        <v>0.88235294117647056</v>
      </c>
    </row>
    <row r="736" spans="1:3" hidden="1">
      <c r="A736" t="s">
        <v>1161</v>
      </c>
      <c r="C736" s="16">
        <v>0</v>
      </c>
    </row>
    <row r="737" spans="1:3" hidden="1">
      <c r="A737" t="s">
        <v>371</v>
      </c>
      <c r="C737" s="16">
        <v>0</v>
      </c>
    </row>
    <row r="738" spans="1:3" hidden="1">
      <c r="A738" t="s">
        <v>683</v>
      </c>
      <c r="C738" s="16">
        <v>0</v>
      </c>
    </row>
    <row r="739" spans="1:3" hidden="1">
      <c r="A739" t="s">
        <v>949</v>
      </c>
      <c r="C739" s="16">
        <v>0</v>
      </c>
    </row>
    <row r="740" spans="1:3" hidden="1">
      <c r="A740" t="s">
        <v>1171</v>
      </c>
      <c r="C740" s="16">
        <v>0</v>
      </c>
    </row>
    <row r="741" spans="1:3" hidden="1">
      <c r="A741" t="s">
        <v>380</v>
      </c>
      <c r="C741" s="16">
        <v>0</v>
      </c>
    </row>
    <row r="742" spans="1:3" hidden="1">
      <c r="A742" t="s">
        <v>374</v>
      </c>
      <c r="C742" s="16">
        <v>0</v>
      </c>
    </row>
    <row r="743" spans="1:3" hidden="1">
      <c r="A743" t="s">
        <v>379</v>
      </c>
      <c r="C743" s="16">
        <v>0</v>
      </c>
    </row>
    <row r="744" spans="1:3" hidden="1">
      <c r="A744" t="s">
        <v>376</v>
      </c>
      <c r="C744" s="16">
        <v>0</v>
      </c>
    </row>
    <row r="745" spans="1:3">
      <c r="A745" t="s">
        <v>805</v>
      </c>
      <c r="B745" t="s">
        <v>1655</v>
      </c>
      <c r="C745" s="16">
        <v>0.88235294117647056</v>
      </c>
    </row>
    <row r="746" spans="1:3" hidden="1">
      <c r="A746" t="s">
        <v>688</v>
      </c>
      <c r="C746" s="16">
        <v>0</v>
      </c>
    </row>
    <row r="747" spans="1:3">
      <c r="A747" t="s">
        <v>388</v>
      </c>
      <c r="B747" t="s">
        <v>1914</v>
      </c>
      <c r="C747" s="16">
        <v>0.88293787078745811</v>
      </c>
    </row>
    <row r="748" spans="1:3" hidden="1">
      <c r="A748" t="s">
        <v>1167</v>
      </c>
      <c r="C748" s="16">
        <v>0</v>
      </c>
    </row>
    <row r="749" spans="1:3" hidden="1">
      <c r="A749" t="s">
        <v>372</v>
      </c>
      <c r="C749" s="16">
        <v>0</v>
      </c>
    </row>
    <row r="750" spans="1:3">
      <c r="A750" t="s">
        <v>438</v>
      </c>
      <c r="B750" t="s">
        <v>1752</v>
      </c>
      <c r="C750" s="16">
        <v>0.88363636363636366</v>
      </c>
    </row>
    <row r="751" spans="1:3" hidden="1">
      <c r="A751" t="s">
        <v>955</v>
      </c>
      <c r="C751" s="16">
        <v>0</v>
      </c>
    </row>
    <row r="752" spans="1:3" hidden="1">
      <c r="A752" t="s">
        <v>375</v>
      </c>
      <c r="C752" s="16">
        <v>0</v>
      </c>
    </row>
    <row r="753" spans="1:3" hidden="1">
      <c r="A753" t="s">
        <v>1166</v>
      </c>
      <c r="C753" s="16">
        <v>0</v>
      </c>
    </row>
    <row r="754" spans="1:3" hidden="1">
      <c r="A754" t="s">
        <v>697</v>
      </c>
      <c r="C754" s="16">
        <v>0</v>
      </c>
    </row>
    <row r="755" spans="1:3" hidden="1">
      <c r="A755" t="s">
        <v>1168</v>
      </c>
      <c r="C755" s="16">
        <v>0</v>
      </c>
    </row>
    <row r="756" spans="1:3" hidden="1">
      <c r="A756" t="s">
        <v>690</v>
      </c>
      <c r="C756" s="16">
        <v>0</v>
      </c>
    </row>
    <row r="757" spans="1:3" hidden="1">
      <c r="A757" t="s">
        <v>691</v>
      </c>
      <c r="C757" s="16">
        <v>0</v>
      </c>
    </row>
    <row r="758" spans="1:3" hidden="1">
      <c r="A758" t="s">
        <v>950</v>
      </c>
      <c r="C758" s="16">
        <v>0</v>
      </c>
    </row>
    <row r="759" spans="1:3" hidden="1">
      <c r="A759" t="s">
        <v>1163</v>
      </c>
      <c r="C759" s="16">
        <v>0</v>
      </c>
    </row>
    <row r="760" spans="1:3" hidden="1">
      <c r="A760" t="s">
        <v>687</v>
      </c>
      <c r="C760" s="16">
        <v>0</v>
      </c>
    </row>
    <row r="761" spans="1:3" hidden="1">
      <c r="A761" t="s">
        <v>952</v>
      </c>
      <c r="C761" s="16">
        <v>0</v>
      </c>
    </row>
    <row r="762" spans="1:3" hidden="1">
      <c r="A762" t="s">
        <v>693</v>
      </c>
      <c r="C762" s="16">
        <v>0</v>
      </c>
    </row>
    <row r="763" spans="1:3" hidden="1">
      <c r="A763" t="s">
        <v>686</v>
      </c>
      <c r="C763" s="16">
        <v>0</v>
      </c>
    </row>
    <row r="764" spans="1:3" hidden="1">
      <c r="A764" t="s">
        <v>1165</v>
      </c>
      <c r="C764" s="16">
        <v>0</v>
      </c>
    </row>
    <row r="765" spans="1:3" hidden="1">
      <c r="A765" t="s">
        <v>951</v>
      </c>
      <c r="C765" s="16">
        <v>0</v>
      </c>
    </row>
    <row r="766" spans="1:3" hidden="1">
      <c r="A766" t="s">
        <v>1162</v>
      </c>
      <c r="C766" s="16">
        <v>0</v>
      </c>
    </row>
    <row r="767" spans="1:3" hidden="1">
      <c r="A767" t="s">
        <v>1164</v>
      </c>
      <c r="C767" s="16">
        <v>0</v>
      </c>
    </row>
    <row r="768" spans="1:3" hidden="1">
      <c r="A768" t="s">
        <v>695</v>
      </c>
      <c r="C768" s="16">
        <v>0</v>
      </c>
    </row>
    <row r="769" spans="1:3" hidden="1">
      <c r="A769" t="s">
        <v>696</v>
      </c>
      <c r="C769" s="16">
        <v>0</v>
      </c>
    </row>
    <row r="770" spans="1:3" hidden="1">
      <c r="A770" t="s">
        <v>91</v>
      </c>
      <c r="C770" s="16">
        <v>0</v>
      </c>
    </row>
    <row r="771" spans="1:3" hidden="1">
      <c r="A771" t="s">
        <v>694</v>
      </c>
      <c r="C771" s="16">
        <v>0</v>
      </c>
    </row>
    <row r="772" spans="1:3" hidden="1">
      <c r="A772" t="s">
        <v>689</v>
      </c>
      <c r="C772" s="16">
        <v>0</v>
      </c>
    </row>
    <row r="773" spans="1:3" hidden="1">
      <c r="A773" t="s">
        <v>1172</v>
      </c>
      <c r="C773" s="16">
        <v>0</v>
      </c>
    </row>
    <row r="774" spans="1:3" hidden="1">
      <c r="A774" t="s">
        <v>90</v>
      </c>
      <c r="C774" s="16">
        <v>0</v>
      </c>
    </row>
    <row r="775" spans="1:3" hidden="1">
      <c r="A775" t="s">
        <v>1174</v>
      </c>
      <c r="C775" s="16">
        <v>0</v>
      </c>
    </row>
    <row r="776" spans="1:3" hidden="1">
      <c r="A776">
        <v>246</v>
      </c>
      <c r="C776" s="16">
        <v>0</v>
      </c>
    </row>
    <row r="777" spans="1:3" hidden="1">
      <c r="A777">
        <v>262</v>
      </c>
      <c r="C777" s="16">
        <v>0</v>
      </c>
    </row>
    <row r="778" spans="1:3" hidden="1">
      <c r="A778" t="s">
        <v>382</v>
      </c>
      <c r="C778" s="16">
        <v>0</v>
      </c>
    </row>
    <row r="779" spans="1:3" hidden="1">
      <c r="A779" t="s">
        <v>383</v>
      </c>
      <c r="C779" s="16">
        <v>0</v>
      </c>
    </row>
    <row r="780" spans="1:3" hidden="1">
      <c r="A780" t="s">
        <v>1170</v>
      </c>
      <c r="C780" s="16">
        <v>0</v>
      </c>
    </row>
    <row r="781" spans="1:3" hidden="1">
      <c r="A781" t="s">
        <v>87</v>
      </c>
      <c r="C781" s="16">
        <v>0</v>
      </c>
    </row>
    <row r="782" spans="1:3" hidden="1">
      <c r="A782" t="s">
        <v>373</v>
      </c>
      <c r="C782" s="16">
        <v>0</v>
      </c>
    </row>
    <row r="783" spans="1:3">
      <c r="A783" t="s">
        <v>419</v>
      </c>
      <c r="B783" t="s">
        <v>1551</v>
      </c>
      <c r="C783" s="16">
        <v>0.88391193612087315</v>
      </c>
    </row>
    <row r="784" spans="1:3" hidden="1">
      <c r="A784" t="s">
        <v>692</v>
      </c>
      <c r="C784" s="16">
        <v>0</v>
      </c>
    </row>
    <row r="785" spans="1:3" hidden="1">
      <c r="A785" t="s">
        <v>88</v>
      </c>
      <c r="C785" s="16">
        <v>0</v>
      </c>
    </row>
    <row r="786" spans="1:3" hidden="1">
      <c r="A786" t="s">
        <v>1173</v>
      </c>
      <c r="C786" s="16">
        <v>0</v>
      </c>
    </row>
    <row r="787" spans="1:3" hidden="1">
      <c r="A787" t="s">
        <v>92</v>
      </c>
      <c r="C787" s="16">
        <v>0</v>
      </c>
    </row>
    <row r="788" spans="1:3" hidden="1">
      <c r="A788" t="s">
        <v>956</v>
      </c>
      <c r="C788" s="16">
        <v>0</v>
      </c>
    </row>
    <row r="789" spans="1:3" hidden="1">
      <c r="A789" t="s">
        <v>1169</v>
      </c>
      <c r="C789" s="16">
        <v>0</v>
      </c>
    </row>
    <row r="790" spans="1:3" hidden="1">
      <c r="A790" t="s">
        <v>378</v>
      </c>
      <c r="C790" s="16">
        <v>0</v>
      </c>
    </row>
    <row r="791" spans="1:3" hidden="1">
      <c r="A791" t="s">
        <v>953</v>
      </c>
      <c r="C791" s="16">
        <v>0</v>
      </c>
    </row>
    <row r="792" spans="1:3" hidden="1">
      <c r="A792" t="s">
        <v>381</v>
      </c>
      <c r="C792" s="16">
        <v>0</v>
      </c>
    </row>
    <row r="793" spans="1:3" hidden="1">
      <c r="A793" t="s">
        <v>377</v>
      </c>
      <c r="C793" s="16">
        <v>0</v>
      </c>
    </row>
    <row r="794" spans="1:3">
      <c r="A794" t="s">
        <v>1327</v>
      </c>
      <c r="B794" t="s">
        <v>1682</v>
      </c>
      <c r="C794" s="16">
        <v>0.88431606588684653</v>
      </c>
    </row>
    <row r="795" spans="1:3">
      <c r="A795" t="s">
        <v>1206</v>
      </c>
      <c r="B795" t="s">
        <v>2079</v>
      </c>
      <c r="C795" s="16">
        <v>0.88437500000000002</v>
      </c>
    </row>
    <row r="796" spans="1:3" hidden="1">
      <c r="A796" t="s">
        <v>962</v>
      </c>
      <c r="C796" s="16">
        <v>0</v>
      </c>
    </row>
    <row r="797" spans="1:3" hidden="1">
      <c r="A797" t="s">
        <v>1408</v>
      </c>
      <c r="C797" s="16">
        <v>0</v>
      </c>
    </row>
    <row r="798" spans="1:3">
      <c r="A798" t="s">
        <v>817</v>
      </c>
      <c r="B798">
        <v>6</v>
      </c>
      <c r="C798" s="16">
        <v>0.88461538461538469</v>
      </c>
    </row>
    <row r="799" spans="1:3">
      <c r="A799" t="s">
        <v>1347</v>
      </c>
      <c r="B799">
        <v>6</v>
      </c>
      <c r="C799" s="16">
        <v>0.88461538461538469</v>
      </c>
    </row>
    <row r="800" spans="1:3">
      <c r="A800" t="s">
        <v>1348</v>
      </c>
      <c r="B800">
        <v>6</v>
      </c>
      <c r="C800" s="16">
        <v>0.88461538461538469</v>
      </c>
    </row>
    <row r="801" spans="1:3">
      <c r="A801" t="s">
        <v>1132</v>
      </c>
      <c r="B801">
        <v>3</v>
      </c>
      <c r="C801" s="16">
        <v>0.88461538461538469</v>
      </c>
    </row>
    <row r="802" spans="1:3">
      <c r="A802" t="s">
        <v>1131</v>
      </c>
      <c r="B802">
        <v>3</v>
      </c>
      <c r="C802" s="16">
        <v>0.88461538461538469</v>
      </c>
    </row>
    <row r="803" spans="1:3">
      <c r="A803" t="s">
        <v>779</v>
      </c>
      <c r="B803">
        <v>3</v>
      </c>
      <c r="C803" s="16">
        <v>0.88461538461538469</v>
      </c>
    </row>
    <row r="804" spans="1:3">
      <c r="A804" t="s">
        <v>510</v>
      </c>
      <c r="B804">
        <v>3</v>
      </c>
      <c r="C804" s="16">
        <v>0.88461538461538469</v>
      </c>
    </row>
    <row r="805" spans="1:3">
      <c r="A805" t="s">
        <v>1312</v>
      </c>
      <c r="B805">
        <v>5008</v>
      </c>
      <c r="C805" s="16">
        <v>0.88484848484848488</v>
      </c>
    </row>
    <row r="806" spans="1:3">
      <c r="A806" t="s">
        <v>1311</v>
      </c>
      <c r="B806">
        <v>3008</v>
      </c>
      <c r="C806" s="16">
        <v>0.88484848484848488</v>
      </c>
    </row>
    <row r="807" spans="1:3" hidden="1">
      <c r="A807" t="s">
        <v>1409</v>
      </c>
      <c r="C807" s="16">
        <v>0</v>
      </c>
    </row>
    <row r="808" spans="1:3">
      <c r="A808" t="s">
        <v>1310</v>
      </c>
      <c r="B808">
        <v>2008</v>
      </c>
      <c r="C808" s="16">
        <v>0.88484848484848488</v>
      </c>
    </row>
    <row r="809" spans="1:3">
      <c r="A809" t="s">
        <v>322</v>
      </c>
      <c r="B809">
        <v>360</v>
      </c>
      <c r="C809" s="16">
        <v>0.88484848484848488</v>
      </c>
    </row>
    <row r="810" spans="1:3" hidden="1">
      <c r="A810" t="s">
        <v>702</v>
      </c>
      <c r="C810" s="16">
        <v>0</v>
      </c>
    </row>
    <row r="811" spans="1:3">
      <c r="A811" t="s">
        <v>501</v>
      </c>
      <c r="B811" t="s">
        <v>1852</v>
      </c>
      <c r="C811" s="16">
        <v>0.88553117646819768</v>
      </c>
    </row>
    <row r="812" spans="1:3">
      <c r="A812" t="s">
        <v>891</v>
      </c>
      <c r="B812" t="s">
        <v>2109</v>
      </c>
      <c r="C812" s="16">
        <v>0.88684851771787376</v>
      </c>
    </row>
    <row r="813" spans="1:3" hidden="1">
      <c r="A813" t="s">
        <v>1411</v>
      </c>
      <c r="C813" s="16">
        <v>0</v>
      </c>
    </row>
    <row r="814" spans="1:3">
      <c r="A814" t="s">
        <v>906</v>
      </c>
      <c r="B814" t="s">
        <v>1780</v>
      </c>
      <c r="C814" s="16">
        <v>0.88750000000000007</v>
      </c>
    </row>
    <row r="815" spans="1:3" hidden="1">
      <c r="A815" t="s">
        <v>1181</v>
      </c>
      <c r="C815" s="16">
        <v>0</v>
      </c>
    </row>
    <row r="816" spans="1:3">
      <c r="A816" t="s">
        <v>792</v>
      </c>
      <c r="B816" t="s">
        <v>2108</v>
      </c>
      <c r="C816" s="16">
        <v>0.88750000000000007</v>
      </c>
    </row>
    <row r="817" spans="1:3">
      <c r="A817" t="s">
        <v>522</v>
      </c>
      <c r="B817" t="s">
        <v>2111</v>
      </c>
      <c r="C817" s="16">
        <v>0.88750000000000007</v>
      </c>
    </row>
    <row r="818" spans="1:3">
      <c r="A818" t="s">
        <v>1362</v>
      </c>
      <c r="B818" t="s">
        <v>1524</v>
      </c>
      <c r="C818" s="16">
        <v>0.88785764391886002</v>
      </c>
    </row>
    <row r="819" spans="1:3">
      <c r="A819" t="s">
        <v>119</v>
      </c>
      <c r="B819" t="s">
        <v>1655</v>
      </c>
      <c r="C819" s="16">
        <v>0.89032258064516134</v>
      </c>
    </row>
    <row r="820" spans="1:3" hidden="1">
      <c r="A820" t="s">
        <v>1402</v>
      </c>
      <c r="C820" s="16">
        <v>0</v>
      </c>
    </row>
    <row r="821" spans="1:3">
      <c r="A821" t="s">
        <v>1435</v>
      </c>
      <c r="B821" t="s">
        <v>1655</v>
      </c>
      <c r="C821" s="16">
        <v>0.89032258064516134</v>
      </c>
    </row>
    <row r="822" spans="1:3">
      <c r="A822" t="s">
        <v>521</v>
      </c>
      <c r="B822" t="s">
        <v>2111</v>
      </c>
      <c r="C822" s="16">
        <v>0.89032258064516134</v>
      </c>
    </row>
    <row r="823" spans="1:3">
      <c r="A823" t="s">
        <v>783</v>
      </c>
      <c r="B823" t="s">
        <v>2099</v>
      </c>
      <c r="C823" s="16">
        <v>0.89048596587727691</v>
      </c>
    </row>
    <row r="824" spans="1:3">
      <c r="A824" t="s">
        <v>429</v>
      </c>
      <c r="B824" t="s">
        <v>1737</v>
      </c>
      <c r="C824" s="16">
        <v>0.8913591437863283</v>
      </c>
    </row>
    <row r="825" spans="1:3" hidden="1">
      <c r="A825" t="s">
        <v>960</v>
      </c>
      <c r="C825" s="16">
        <v>0</v>
      </c>
    </row>
    <row r="826" spans="1:3">
      <c r="A826" t="s">
        <v>226</v>
      </c>
      <c r="B826">
        <v>500</v>
      </c>
      <c r="C826" s="16">
        <v>0.8928571428571429</v>
      </c>
    </row>
    <row r="827" spans="1:3">
      <c r="A827" t="s">
        <v>1396</v>
      </c>
      <c r="B827" t="s">
        <v>1964</v>
      </c>
      <c r="C827" s="16">
        <v>0.89333333333333331</v>
      </c>
    </row>
    <row r="828" spans="1:3" hidden="1">
      <c r="A828" t="s">
        <v>701</v>
      </c>
      <c r="C828" s="16">
        <v>0</v>
      </c>
    </row>
    <row r="829" spans="1:3">
      <c r="A829" t="s">
        <v>772</v>
      </c>
      <c r="B829" t="s">
        <v>490</v>
      </c>
      <c r="C829" s="16">
        <v>0.89333333333333331</v>
      </c>
    </row>
    <row r="830" spans="1:3">
      <c r="A830" t="s">
        <v>773</v>
      </c>
      <c r="B830" t="s">
        <v>490</v>
      </c>
      <c r="C830" s="16">
        <v>0.89333333333333331</v>
      </c>
    </row>
    <row r="831" spans="1:3" hidden="1">
      <c r="A831" t="s">
        <v>958</v>
      </c>
      <c r="C831" s="16">
        <v>0</v>
      </c>
    </row>
    <row r="832" spans="1:3" hidden="1">
      <c r="A832" t="s">
        <v>699</v>
      </c>
      <c r="C832" s="16">
        <v>0</v>
      </c>
    </row>
    <row r="833" spans="1:3">
      <c r="A833" t="s">
        <v>1237</v>
      </c>
      <c r="B833" t="s">
        <v>2098</v>
      </c>
      <c r="C833" s="16">
        <v>0.89333333333333331</v>
      </c>
    </row>
    <row r="834" spans="1:3" hidden="1">
      <c r="A834" t="s">
        <v>396</v>
      </c>
      <c r="C834" s="16">
        <v>0</v>
      </c>
    </row>
    <row r="835" spans="1:3" hidden="1">
      <c r="A835" t="s">
        <v>706</v>
      </c>
      <c r="C835" s="16">
        <v>0</v>
      </c>
    </row>
    <row r="836" spans="1:3" hidden="1">
      <c r="A836" t="s">
        <v>705</v>
      </c>
      <c r="C836" s="16">
        <v>0</v>
      </c>
    </row>
    <row r="837" spans="1:3" hidden="1">
      <c r="A837" t="s">
        <v>406</v>
      </c>
      <c r="C837" s="16">
        <v>0</v>
      </c>
    </row>
    <row r="838" spans="1:3">
      <c r="A838" t="s">
        <v>1015</v>
      </c>
      <c r="B838" t="s">
        <v>2098</v>
      </c>
      <c r="C838" s="16">
        <v>0.89333333333333331</v>
      </c>
    </row>
    <row r="839" spans="1:3">
      <c r="A839" t="s">
        <v>782</v>
      </c>
      <c r="B839" t="s">
        <v>2098</v>
      </c>
      <c r="C839" s="16">
        <v>0.89333333333333331</v>
      </c>
    </row>
    <row r="840" spans="1:3">
      <c r="A840" t="s">
        <v>718</v>
      </c>
      <c r="B840" t="s">
        <v>1551</v>
      </c>
      <c r="C840" s="16">
        <v>0.89615384615384619</v>
      </c>
    </row>
    <row r="841" spans="1:3" hidden="1">
      <c r="A841" t="s">
        <v>94</v>
      </c>
      <c r="C841" s="16">
        <v>0</v>
      </c>
    </row>
    <row r="842" spans="1:3">
      <c r="A842" t="s">
        <v>1319</v>
      </c>
      <c r="B842" t="s">
        <v>1663</v>
      </c>
      <c r="C842" s="16">
        <v>0.89655172413793105</v>
      </c>
    </row>
    <row r="843" spans="1:3">
      <c r="A843" t="s">
        <v>280</v>
      </c>
      <c r="B843" t="s">
        <v>1823</v>
      </c>
      <c r="C843" s="16">
        <v>0.89655172413793105</v>
      </c>
    </row>
    <row r="844" spans="1:3">
      <c r="A844" t="s">
        <v>294</v>
      </c>
      <c r="B844" t="s">
        <v>623</v>
      </c>
      <c r="C844" s="16">
        <v>0.89655172413793105</v>
      </c>
    </row>
    <row r="845" spans="1:3" hidden="1">
      <c r="A845" t="s">
        <v>1413</v>
      </c>
      <c r="C845" s="16">
        <v>0</v>
      </c>
    </row>
    <row r="846" spans="1:3">
      <c r="A846" t="s">
        <v>1350</v>
      </c>
      <c r="B846" t="s">
        <v>266</v>
      </c>
      <c r="C846" s="16">
        <v>0.89655172413793105</v>
      </c>
    </row>
    <row r="847" spans="1:3" hidden="1">
      <c r="A847" t="s">
        <v>1414</v>
      </c>
      <c r="C847" s="16">
        <v>0</v>
      </c>
    </row>
    <row r="848" spans="1:3" hidden="1">
      <c r="A848" t="s">
        <v>966</v>
      </c>
      <c r="C848" s="16">
        <v>0</v>
      </c>
    </row>
    <row r="849" spans="1:3">
      <c r="A849" t="s">
        <v>606</v>
      </c>
      <c r="B849" t="s">
        <v>266</v>
      </c>
      <c r="C849" s="16">
        <v>0.89655172413793105</v>
      </c>
    </row>
    <row r="850" spans="1:3">
      <c r="A850" t="s">
        <v>1366</v>
      </c>
      <c r="B850" t="s">
        <v>623</v>
      </c>
      <c r="C850" s="16">
        <v>0.89655172413793105</v>
      </c>
    </row>
    <row r="851" spans="1:3" hidden="1">
      <c r="A851" t="s">
        <v>1184</v>
      </c>
      <c r="C851" s="16">
        <v>0</v>
      </c>
    </row>
    <row r="852" spans="1:3" hidden="1">
      <c r="A852" t="s">
        <v>1183</v>
      </c>
      <c r="C852" s="16">
        <v>0</v>
      </c>
    </row>
    <row r="853" spans="1:3">
      <c r="A853" t="s">
        <v>931</v>
      </c>
      <c r="B853" t="s">
        <v>1854</v>
      </c>
      <c r="C853" s="16">
        <v>0.89655172413793105</v>
      </c>
    </row>
    <row r="854" spans="1:3">
      <c r="A854" t="s">
        <v>941</v>
      </c>
      <c r="B854" t="s">
        <v>1151</v>
      </c>
      <c r="C854" s="16">
        <v>0.89655172413793105</v>
      </c>
    </row>
    <row r="855" spans="1:3">
      <c r="A855" t="s">
        <v>662</v>
      </c>
      <c r="B855" t="s">
        <v>932</v>
      </c>
      <c r="C855" s="16">
        <v>0.89655172413793105</v>
      </c>
    </row>
    <row r="856" spans="1:3" hidden="1">
      <c r="A856" t="s">
        <v>965</v>
      </c>
      <c r="C856" s="16">
        <v>0</v>
      </c>
    </row>
    <row r="857" spans="1:3">
      <c r="A857" t="s">
        <v>935</v>
      </c>
      <c r="B857" t="s">
        <v>74</v>
      </c>
      <c r="C857" s="16">
        <v>0.89655172413793105</v>
      </c>
    </row>
    <row r="858" spans="1:3" hidden="1">
      <c r="A858" t="s">
        <v>402</v>
      </c>
      <c r="C858" s="16">
        <v>0</v>
      </c>
    </row>
    <row r="859" spans="1:3" hidden="1">
      <c r="A859" t="s">
        <v>403</v>
      </c>
      <c r="C859" s="16">
        <v>0</v>
      </c>
    </row>
    <row r="860" spans="1:3" hidden="1">
      <c r="A860" t="s">
        <v>408</v>
      </c>
      <c r="C860" s="16">
        <v>0</v>
      </c>
    </row>
    <row r="861" spans="1:3" hidden="1">
      <c r="A861" t="s">
        <v>709</v>
      </c>
      <c r="C861" s="16">
        <v>0</v>
      </c>
    </row>
    <row r="862" spans="1:3">
      <c r="A862" t="s">
        <v>934</v>
      </c>
      <c r="B862" t="s">
        <v>74</v>
      </c>
      <c r="C862" s="16">
        <v>0.89655172413793105</v>
      </c>
    </row>
    <row r="863" spans="1:3">
      <c r="A863" t="s">
        <v>933</v>
      </c>
      <c r="B863" t="s">
        <v>74</v>
      </c>
      <c r="C863" s="16">
        <v>0.89655172413793105</v>
      </c>
    </row>
    <row r="864" spans="1:3">
      <c r="A864" t="s">
        <v>928</v>
      </c>
      <c r="B864" t="s">
        <v>1849</v>
      </c>
      <c r="C864" s="16">
        <v>0.89655172413793105</v>
      </c>
    </row>
    <row r="865" spans="1:3" hidden="1">
      <c r="A865" t="s">
        <v>413</v>
      </c>
      <c r="C865" s="16">
        <v>0</v>
      </c>
    </row>
    <row r="866" spans="1:3">
      <c r="A866" t="s">
        <v>676</v>
      </c>
      <c r="B866" t="s">
        <v>1882</v>
      </c>
      <c r="C866" s="16">
        <v>0.89655172413793105</v>
      </c>
    </row>
    <row r="867" spans="1:3" hidden="1">
      <c r="A867" t="s">
        <v>414</v>
      </c>
      <c r="C867" s="16">
        <v>0</v>
      </c>
    </row>
    <row r="868" spans="1:3" hidden="1">
      <c r="A868" t="s">
        <v>713</v>
      </c>
      <c r="C868" s="16">
        <v>0</v>
      </c>
    </row>
    <row r="869" spans="1:3" hidden="1">
      <c r="A869" t="s">
        <v>969</v>
      </c>
      <c r="C869" s="16">
        <v>0</v>
      </c>
    </row>
    <row r="870" spans="1:3" hidden="1">
      <c r="A870" t="s">
        <v>412</v>
      </c>
      <c r="C870" s="16">
        <v>0</v>
      </c>
    </row>
    <row r="871" spans="1:3">
      <c r="A871" t="s">
        <v>366</v>
      </c>
      <c r="B871" t="s">
        <v>1882</v>
      </c>
      <c r="C871" s="16">
        <v>0.89655172413793105</v>
      </c>
    </row>
    <row r="872" spans="1:3">
      <c r="A872" t="s">
        <v>365</v>
      </c>
      <c r="B872" t="s">
        <v>1882</v>
      </c>
      <c r="C872" s="16">
        <v>0.89655172413793105</v>
      </c>
    </row>
    <row r="873" spans="1:3" hidden="1">
      <c r="A873" t="s">
        <v>415</v>
      </c>
      <c r="C873" s="16">
        <v>0</v>
      </c>
    </row>
    <row r="874" spans="1:3">
      <c r="A874" t="s">
        <v>363</v>
      </c>
      <c r="B874" t="s">
        <v>1155</v>
      </c>
      <c r="C874" s="16">
        <v>0.89655172413793105</v>
      </c>
    </row>
    <row r="875" spans="1:3" hidden="1">
      <c r="A875" t="s">
        <v>1417</v>
      </c>
      <c r="C875" s="16">
        <v>0</v>
      </c>
    </row>
    <row r="876" spans="1:3" hidden="1">
      <c r="A876" t="s">
        <v>97</v>
      </c>
      <c r="C876" s="16">
        <v>0</v>
      </c>
    </row>
    <row r="877" spans="1:3" hidden="1">
      <c r="A877" t="s">
        <v>970</v>
      </c>
      <c r="C877" s="16">
        <v>0</v>
      </c>
    </row>
    <row r="878" spans="1:3" hidden="1">
      <c r="A878" t="s">
        <v>416</v>
      </c>
      <c r="C878" s="16">
        <v>0</v>
      </c>
    </row>
    <row r="879" spans="1:3" hidden="1">
      <c r="A879" t="s">
        <v>1418</v>
      </c>
      <c r="C879" s="16">
        <v>0</v>
      </c>
    </row>
    <row r="880" spans="1:3" hidden="1">
      <c r="A880" t="s">
        <v>714</v>
      </c>
      <c r="C880" s="16">
        <v>0</v>
      </c>
    </row>
    <row r="881" spans="1:3">
      <c r="A881" t="s">
        <v>361</v>
      </c>
      <c r="B881" t="s">
        <v>1880</v>
      </c>
      <c r="C881" s="16">
        <v>0.89655172413793105</v>
      </c>
    </row>
    <row r="882" spans="1:3">
      <c r="A882" t="s">
        <v>358</v>
      </c>
      <c r="B882" t="s">
        <v>1878</v>
      </c>
      <c r="C882" s="16">
        <v>0.89655172413793105</v>
      </c>
    </row>
    <row r="883" spans="1:3" hidden="1">
      <c r="A883" t="s">
        <v>971</v>
      </c>
      <c r="C883" s="16">
        <v>0</v>
      </c>
    </row>
    <row r="884" spans="1:3" hidden="1">
      <c r="A884" t="s">
        <v>100</v>
      </c>
      <c r="C884" s="16">
        <v>0</v>
      </c>
    </row>
    <row r="885" spans="1:3" hidden="1">
      <c r="A885" t="s">
        <v>732</v>
      </c>
      <c r="C885" s="16">
        <v>0</v>
      </c>
    </row>
    <row r="886" spans="1:3" hidden="1">
      <c r="A886" t="s">
        <v>421</v>
      </c>
      <c r="C886" s="16">
        <v>0</v>
      </c>
    </row>
    <row r="887" spans="1:3">
      <c r="A887" t="s">
        <v>399</v>
      </c>
      <c r="B887" t="s">
        <v>1930</v>
      </c>
      <c r="C887" s="16">
        <v>0.89655172413793105</v>
      </c>
    </row>
    <row r="888" spans="1:3" hidden="1">
      <c r="A888" t="s">
        <v>422</v>
      </c>
      <c r="C888" s="16">
        <v>0</v>
      </c>
    </row>
    <row r="889" spans="1:3">
      <c r="A889" t="s">
        <v>964</v>
      </c>
      <c r="B889" t="s">
        <v>1930</v>
      </c>
      <c r="C889" s="16">
        <v>0.89655172413793105</v>
      </c>
    </row>
    <row r="890" spans="1:3">
      <c r="A890" t="s">
        <v>398</v>
      </c>
      <c r="B890" t="s">
        <v>1925</v>
      </c>
      <c r="C890" s="16">
        <v>0.89655172413793105</v>
      </c>
    </row>
    <row r="891" spans="1:3">
      <c r="A891" t="s">
        <v>1468</v>
      </c>
      <c r="B891" t="s">
        <v>1467</v>
      </c>
      <c r="C891" s="16">
        <v>0.89655172413793105</v>
      </c>
    </row>
    <row r="892" spans="1:3" hidden="1">
      <c r="A892" t="s">
        <v>1187</v>
      </c>
      <c r="C892" s="16">
        <v>0</v>
      </c>
    </row>
    <row r="893" spans="1:3">
      <c r="A893" t="s">
        <v>1148</v>
      </c>
      <c r="B893" t="s">
        <v>1965</v>
      </c>
      <c r="C893" s="16">
        <v>0.89739498203707657</v>
      </c>
    </row>
    <row r="894" spans="1:3">
      <c r="A894" t="s">
        <v>1438</v>
      </c>
      <c r="B894" t="s">
        <v>1655</v>
      </c>
      <c r="C894" s="16">
        <v>0.89824561403508774</v>
      </c>
    </row>
    <row r="895" spans="1:3" hidden="1">
      <c r="A895" t="s">
        <v>425</v>
      </c>
      <c r="C895" s="16">
        <v>0</v>
      </c>
    </row>
    <row r="896" spans="1:3">
      <c r="A896" t="s">
        <v>760</v>
      </c>
      <c r="B896" t="s">
        <v>1655</v>
      </c>
      <c r="C896" s="16">
        <v>0.89824561403508774</v>
      </c>
    </row>
    <row r="897" spans="1:3" hidden="1">
      <c r="A897">
        <v>300</v>
      </c>
      <c r="C897" s="16">
        <v>0</v>
      </c>
    </row>
    <row r="898" spans="1:3" hidden="1">
      <c r="A898" t="s">
        <v>442</v>
      </c>
      <c r="C898" s="16">
        <v>0</v>
      </c>
    </row>
    <row r="899" spans="1:3">
      <c r="A899" t="s">
        <v>499</v>
      </c>
      <c r="B899" t="s">
        <v>1852</v>
      </c>
      <c r="C899" s="16">
        <v>0.89825115628843888</v>
      </c>
    </row>
    <row r="900" spans="1:3" hidden="1">
      <c r="A900" t="s">
        <v>423</v>
      </c>
      <c r="C900" s="16">
        <v>0</v>
      </c>
    </row>
    <row r="901" spans="1:3" hidden="1">
      <c r="A901" t="s">
        <v>443</v>
      </c>
      <c r="C901" s="16">
        <v>0</v>
      </c>
    </row>
    <row r="902" spans="1:3">
      <c r="A902" t="s">
        <v>769</v>
      </c>
      <c r="B902" t="s">
        <v>1852</v>
      </c>
      <c r="C902" s="16">
        <v>0.89825115628843888</v>
      </c>
    </row>
    <row r="903" spans="1:3">
      <c r="A903" t="s">
        <v>52</v>
      </c>
      <c r="B903" t="s">
        <v>48</v>
      </c>
      <c r="C903" s="16">
        <v>0.89852216748768476</v>
      </c>
    </row>
    <row r="904" spans="1:3">
      <c r="A904" t="s">
        <v>719</v>
      </c>
      <c r="B904" t="s">
        <v>1551</v>
      </c>
      <c r="C904" s="16">
        <v>0.89886989119295158</v>
      </c>
    </row>
    <row r="905" spans="1:3">
      <c r="A905" t="s">
        <v>1147</v>
      </c>
      <c r="B905" t="s">
        <v>1964</v>
      </c>
      <c r="C905" s="16">
        <v>0.89934967110775499</v>
      </c>
    </row>
    <row r="906" spans="1:3" hidden="1">
      <c r="A906" t="s">
        <v>1186</v>
      </c>
      <c r="C906" s="16">
        <v>0</v>
      </c>
    </row>
    <row r="907" spans="1:3" hidden="1">
      <c r="A907" t="s">
        <v>103</v>
      </c>
      <c r="C907" s="16">
        <v>0</v>
      </c>
    </row>
    <row r="908" spans="1:3" hidden="1">
      <c r="A908" t="s">
        <v>441</v>
      </c>
      <c r="C908" s="16">
        <v>0</v>
      </c>
    </row>
    <row r="909" spans="1:3">
      <c r="A909" t="s">
        <v>892</v>
      </c>
      <c r="B909">
        <v>5</v>
      </c>
      <c r="C909" s="16">
        <v>0.9</v>
      </c>
    </row>
    <row r="910" spans="1:3">
      <c r="A910" t="s">
        <v>304</v>
      </c>
      <c r="B910">
        <v>5</v>
      </c>
      <c r="C910" s="16">
        <v>0.9</v>
      </c>
    </row>
    <row r="911" spans="1:3">
      <c r="A911" t="s">
        <v>316</v>
      </c>
      <c r="B911" t="s">
        <v>1628</v>
      </c>
      <c r="C911" s="16">
        <v>0.9</v>
      </c>
    </row>
    <row r="912" spans="1:3">
      <c r="A912" t="s">
        <v>1385</v>
      </c>
      <c r="B912">
        <v>2</v>
      </c>
      <c r="C912" s="16">
        <v>0.9</v>
      </c>
    </row>
    <row r="913" spans="1:3" hidden="1">
      <c r="A913" t="s">
        <v>445</v>
      </c>
      <c r="C913" s="16">
        <v>0</v>
      </c>
    </row>
    <row r="914" spans="1:3">
      <c r="A914" t="s">
        <v>947</v>
      </c>
      <c r="B914">
        <v>500</v>
      </c>
      <c r="C914" s="16">
        <v>0.9</v>
      </c>
    </row>
    <row r="915" spans="1:3" hidden="1">
      <c r="A915" t="s">
        <v>731</v>
      </c>
      <c r="C915" s="16">
        <v>0</v>
      </c>
    </row>
    <row r="916" spans="1:3">
      <c r="A916" t="s">
        <v>389</v>
      </c>
      <c r="B916" t="s">
        <v>1911</v>
      </c>
      <c r="C916" s="16">
        <v>0.9</v>
      </c>
    </row>
    <row r="917" spans="1:3" hidden="1">
      <c r="A917" t="s">
        <v>444</v>
      </c>
      <c r="C917" s="16">
        <v>0</v>
      </c>
    </row>
    <row r="918" spans="1:3">
      <c r="A918" t="s">
        <v>700</v>
      </c>
      <c r="B918" t="s">
        <v>1909</v>
      </c>
      <c r="C918" s="16">
        <v>0.9</v>
      </c>
    </row>
    <row r="919" spans="1:3">
      <c r="A919" t="s">
        <v>996</v>
      </c>
      <c r="B919" t="s">
        <v>2079</v>
      </c>
      <c r="C919" s="16">
        <v>0.9</v>
      </c>
    </row>
    <row r="920" spans="1:3">
      <c r="A920" t="s">
        <v>478</v>
      </c>
      <c r="B920" t="s">
        <v>2079</v>
      </c>
      <c r="C920" s="16">
        <v>0.9</v>
      </c>
    </row>
    <row r="921" spans="1:3" hidden="1">
      <c r="A921" t="s">
        <v>430</v>
      </c>
      <c r="C921" s="16">
        <v>0</v>
      </c>
    </row>
    <row r="922" spans="1:3">
      <c r="A922" t="s">
        <v>1221</v>
      </c>
      <c r="B922" t="s">
        <v>1852</v>
      </c>
      <c r="C922" s="16">
        <v>0.90116049394191478</v>
      </c>
    </row>
    <row r="923" spans="1:3" hidden="1">
      <c r="A923" t="s">
        <v>431</v>
      </c>
      <c r="C923" s="16">
        <v>0</v>
      </c>
    </row>
    <row r="924" spans="1:3">
      <c r="A924" t="s">
        <v>1222</v>
      </c>
      <c r="B924" t="s">
        <v>1852</v>
      </c>
      <c r="C924" s="16">
        <v>0.90116049394191478</v>
      </c>
    </row>
    <row r="925" spans="1:3">
      <c r="A925" t="s">
        <v>1220</v>
      </c>
      <c r="B925" t="s">
        <v>1852</v>
      </c>
      <c r="C925" s="16">
        <v>0.90116049394191478</v>
      </c>
    </row>
    <row r="926" spans="1:3">
      <c r="A926" t="s">
        <v>1219</v>
      </c>
      <c r="B926" t="s">
        <v>1852</v>
      </c>
      <c r="C926" s="16">
        <v>0.90116049394191478</v>
      </c>
    </row>
    <row r="927" spans="1:3">
      <c r="A927" t="s">
        <v>153</v>
      </c>
      <c r="B927" t="s">
        <v>1629</v>
      </c>
      <c r="C927" s="16">
        <v>0.90173777889342277</v>
      </c>
    </row>
    <row r="928" spans="1:3">
      <c r="A928" t="s">
        <v>839</v>
      </c>
      <c r="B928" t="s">
        <v>1631</v>
      </c>
      <c r="C928" s="16">
        <v>0.90370370370370368</v>
      </c>
    </row>
    <row r="929" spans="1:3">
      <c r="A929" t="s">
        <v>1472</v>
      </c>
      <c r="B929" t="s">
        <v>802</v>
      </c>
      <c r="C929" s="16">
        <v>0.90370370370370368</v>
      </c>
    </row>
    <row r="930" spans="1:3" hidden="1">
      <c r="A930" t="s">
        <v>424</v>
      </c>
      <c r="C930" s="16">
        <v>0</v>
      </c>
    </row>
    <row r="931" spans="1:3">
      <c r="A931" t="s">
        <v>600</v>
      </c>
      <c r="B931">
        <v>6</v>
      </c>
      <c r="C931" s="16">
        <v>0.90476190476190477</v>
      </c>
    </row>
    <row r="932" spans="1:3">
      <c r="A932" t="s">
        <v>298</v>
      </c>
      <c r="B932">
        <v>6</v>
      </c>
      <c r="C932" s="16">
        <v>0.90476190476190477</v>
      </c>
    </row>
    <row r="933" spans="1:3">
      <c r="A933" t="s">
        <v>685</v>
      </c>
      <c r="B933">
        <v>6</v>
      </c>
      <c r="C933" s="16">
        <v>0.90476190476190477</v>
      </c>
    </row>
    <row r="934" spans="1:3">
      <c r="A934" t="s">
        <v>724</v>
      </c>
      <c r="B934">
        <v>6</v>
      </c>
      <c r="C934" s="16">
        <v>0.90476190476190477</v>
      </c>
    </row>
    <row r="935" spans="1:3">
      <c r="A935" t="s">
        <v>902</v>
      </c>
      <c r="B935" t="s">
        <v>1774</v>
      </c>
      <c r="C935" s="16">
        <v>0.90769230769230769</v>
      </c>
    </row>
    <row r="936" spans="1:3">
      <c r="A936" t="s">
        <v>362</v>
      </c>
      <c r="B936" t="s">
        <v>1880</v>
      </c>
      <c r="C936" s="16">
        <v>0.90769230769230769</v>
      </c>
    </row>
    <row r="937" spans="1:3" hidden="1">
      <c r="A937" t="s">
        <v>470</v>
      </c>
      <c r="C937" s="16">
        <v>0</v>
      </c>
    </row>
    <row r="938" spans="1:3">
      <c r="A938" t="s">
        <v>359</v>
      </c>
      <c r="B938" t="s">
        <v>1878</v>
      </c>
      <c r="C938" s="16">
        <v>0.90769230769230769</v>
      </c>
    </row>
    <row r="939" spans="1:3" hidden="1">
      <c r="A939">
        <v>4440</v>
      </c>
      <c r="C939" s="16">
        <v>0</v>
      </c>
    </row>
    <row r="940" spans="1:3" hidden="1">
      <c r="A940" t="s">
        <v>1421</v>
      </c>
      <c r="C940" s="16">
        <v>0</v>
      </c>
    </row>
    <row r="941" spans="1:3" hidden="1">
      <c r="A941" t="s">
        <v>454</v>
      </c>
      <c r="C941" s="16">
        <v>0</v>
      </c>
    </row>
    <row r="942" spans="1:3" hidden="1">
      <c r="A942" t="s">
        <v>1422</v>
      </c>
      <c r="C942" s="16">
        <v>0</v>
      </c>
    </row>
    <row r="943" spans="1:3" hidden="1">
      <c r="A943" t="s">
        <v>453</v>
      </c>
      <c r="C943" s="16">
        <v>0</v>
      </c>
    </row>
    <row r="944" spans="1:3" hidden="1">
      <c r="A944" t="s">
        <v>977</v>
      </c>
      <c r="C944" s="16">
        <v>0</v>
      </c>
    </row>
    <row r="945" spans="1:3" hidden="1">
      <c r="A945" t="s">
        <v>739</v>
      </c>
      <c r="C945" s="16">
        <v>0</v>
      </c>
    </row>
    <row r="946" spans="1:3" hidden="1">
      <c r="A946" t="s">
        <v>737</v>
      </c>
      <c r="C946" s="16">
        <v>0</v>
      </c>
    </row>
    <row r="947" spans="1:3" hidden="1">
      <c r="A947" t="s">
        <v>1420</v>
      </c>
      <c r="C947" s="16">
        <v>0</v>
      </c>
    </row>
    <row r="948" spans="1:3" hidden="1">
      <c r="A948" t="s">
        <v>740</v>
      </c>
      <c r="C948" s="16">
        <v>0</v>
      </c>
    </row>
    <row r="949" spans="1:3" hidden="1">
      <c r="A949" t="s">
        <v>1193</v>
      </c>
      <c r="C949" s="16">
        <v>0</v>
      </c>
    </row>
    <row r="950" spans="1:3">
      <c r="A950" t="s">
        <v>483</v>
      </c>
      <c r="B950" t="s">
        <v>2083</v>
      </c>
      <c r="C950" s="16">
        <v>0.90769230769230769</v>
      </c>
    </row>
    <row r="951" spans="1:3" hidden="1">
      <c r="A951" t="s">
        <v>466</v>
      </c>
      <c r="C951" s="16">
        <v>0</v>
      </c>
    </row>
    <row r="952" spans="1:3" hidden="1">
      <c r="A952" t="s">
        <v>452</v>
      </c>
      <c r="C952" s="16">
        <v>0</v>
      </c>
    </row>
    <row r="953" spans="1:3">
      <c r="A953" t="s">
        <v>126</v>
      </c>
      <c r="B953" t="s">
        <v>1586</v>
      </c>
      <c r="C953" s="16">
        <v>0.90833333333333333</v>
      </c>
    </row>
    <row r="954" spans="1:3" hidden="1">
      <c r="A954" t="s">
        <v>738</v>
      </c>
      <c r="C954" s="16">
        <v>0</v>
      </c>
    </row>
    <row r="955" spans="1:3" hidden="1">
      <c r="A955" t="s">
        <v>463</v>
      </c>
      <c r="C955" s="16">
        <v>0</v>
      </c>
    </row>
    <row r="956" spans="1:3">
      <c r="A956" t="s">
        <v>888</v>
      </c>
      <c r="B956" t="s">
        <v>1828</v>
      </c>
      <c r="C956" s="16">
        <v>0.90833333333333333</v>
      </c>
    </row>
    <row r="957" spans="1:3" hidden="1">
      <c r="A957" t="s">
        <v>1424</v>
      </c>
      <c r="C957" s="16">
        <v>0</v>
      </c>
    </row>
    <row r="958" spans="1:3" hidden="1">
      <c r="A958" t="s">
        <v>1190</v>
      </c>
      <c r="C958" s="16">
        <v>0</v>
      </c>
    </row>
    <row r="959" spans="1:3" hidden="1">
      <c r="A959" t="s">
        <v>473</v>
      </c>
      <c r="C959" s="16">
        <v>0</v>
      </c>
    </row>
    <row r="960" spans="1:3" hidden="1">
      <c r="A960" t="s">
        <v>1192</v>
      </c>
      <c r="C960" s="16">
        <v>0</v>
      </c>
    </row>
    <row r="961" spans="1:3" hidden="1">
      <c r="A961" t="s">
        <v>978</v>
      </c>
      <c r="C961" s="16">
        <v>0</v>
      </c>
    </row>
    <row r="962" spans="1:3" hidden="1">
      <c r="A962" t="s">
        <v>451</v>
      </c>
      <c r="C962" s="16">
        <v>0</v>
      </c>
    </row>
    <row r="963" spans="1:3" hidden="1">
      <c r="A963" t="s">
        <v>975</v>
      </c>
      <c r="C963" s="16">
        <v>0</v>
      </c>
    </row>
    <row r="964" spans="1:3" hidden="1">
      <c r="A964" t="s">
        <v>980</v>
      </c>
      <c r="C964" s="16">
        <v>0</v>
      </c>
    </row>
    <row r="965" spans="1:3">
      <c r="A965" t="s">
        <v>1106</v>
      </c>
      <c r="B965" t="s">
        <v>1831</v>
      </c>
      <c r="C965" s="16">
        <v>0.90833333333333333</v>
      </c>
    </row>
    <row r="966" spans="1:3" hidden="1">
      <c r="A966" t="s">
        <v>462</v>
      </c>
      <c r="C966" s="16">
        <v>0</v>
      </c>
    </row>
    <row r="967" spans="1:3" hidden="1">
      <c r="A967" t="s">
        <v>741</v>
      </c>
      <c r="C967" s="16">
        <v>0</v>
      </c>
    </row>
    <row r="968" spans="1:3" hidden="1">
      <c r="A968" t="s">
        <v>743</v>
      </c>
      <c r="C968" s="16">
        <v>0</v>
      </c>
    </row>
    <row r="969" spans="1:3" hidden="1">
      <c r="A969" t="s">
        <v>461</v>
      </c>
      <c r="C969" s="16">
        <v>0</v>
      </c>
    </row>
    <row r="970" spans="1:3" hidden="1">
      <c r="A970" t="s">
        <v>748</v>
      </c>
      <c r="C970" s="16">
        <v>0</v>
      </c>
    </row>
    <row r="971" spans="1:3">
      <c r="A971" t="s">
        <v>392</v>
      </c>
      <c r="B971" t="s">
        <v>1920</v>
      </c>
      <c r="C971" s="16">
        <v>0.90833333333333333</v>
      </c>
    </row>
    <row r="972" spans="1:3" hidden="1">
      <c r="A972" t="s">
        <v>742</v>
      </c>
      <c r="C972" s="16">
        <v>0</v>
      </c>
    </row>
    <row r="973" spans="1:3" hidden="1">
      <c r="A973" t="s">
        <v>455</v>
      </c>
      <c r="C973" s="16">
        <v>0</v>
      </c>
    </row>
    <row r="974" spans="1:3" hidden="1">
      <c r="A974" t="s">
        <v>747</v>
      </c>
      <c r="C974" s="16">
        <v>0</v>
      </c>
    </row>
    <row r="975" spans="1:3" hidden="1">
      <c r="A975" t="s">
        <v>733</v>
      </c>
      <c r="C975" s="16">
        <v>0</v>
      </c>
    </row>
    <row r="976" spans="1:3" hidden="1">
      <c r="A976" t="s">
        <v>460</v>
      </c>
      <c r="C976" s="16">
        <v>0</v>
      </c>
    </row>
    <row r="977" spans="1:3" hidden="1">
      <c r="A977" t="s">
        <v>108</v>
      </c>
      <c r="C977" s="16">
        <v>0</v>
      </c>
    </row>
    <row r="978" spans="1:3" hidden="1">
      <c r="A978" t="s">
        <v>734</v>
      </c>
      <c r="C978" s="16">
        <v>0</v>
      </c>
    </row>
    <row r="979" spans="1:3" hidden="1">
      <c r="A979" t="s">
        <v>465</v>
      </c>
      <c r="C979" s="16">
        <v>0</v>
      </c>
    </row>
    <row r="980" spans="1:3" hidden="1">
      <c r="A980" t="s">
        <v>1423</v>
      </c>
      <c r="C980" s="16">
        <v>0</v>
      </c>
    </row>
    <row r="981" spans="1:3" hidden="1">
      <c r="A981" t="s">
        <v>745</v>
      </c>
      <c r="C981" s="16">
        <v>0</v>
      </c>
    </row>
    <row r="982" spans="1:3" hidden="1">
      <c r="A982" t="s">
        <v>746</v>
      </c>
      <c r="C982" s="16">
        <v>0</v>
      </c>
    </row>
    <row r="983" spans="1:3" hidden="1">
      <c r="A983" t="s">
        <v>471</v>
      </c>
      <c r="C983" s="16">
        <v>0</v>
      </c>
    </row>
    <row r="984" spans="1:3" hidden="1">
      <c r="A984" t="s">
        <v>467</v>
      </c>
      <c r="C984" s="16">
        <v>0</v>
      </c>
    </row>
    <row r="985" spans="1:3" hidden="1">
      <c r="A985" t="s">
        <v>981</v>
      </c>
      <c r="C985" s="16">
        <v>0</v>
      </c>
    </row>
    <row r="986" spans="1:3">
      <c r="A986" t="s">
        <v>1078</v>
      </c>
      <c r="B986" t="s">
        <v>1679</v>
      </c>
      <c r="C986" s="16">
        <v>0.90840196410898777</v>
      </c>
    </row>
    <row r="987" spans="1:3" hidden="1">
      <c r="A987" t="s">
        <v>456</v>
      </c>
      <c r="C987" s="16">
        <v>0</v>
      </c>
    </row>
    <row r="988" spans="1:3" hidden="1">
      <c r="A988" t="s">
        <v>1425</v>
      </c>
      <c r="C988" s="16">
        <v>0</v>
      </c>
    </row>
    <row r="989" spans="1:3" hidden="1">
      <c r="A989" t="s">
        <v>464</v>
      </c>
      <c r="C989" s="16">
        <v>0</v>
      </c>
    </row>
    <row r="990" spans="1:3">
      <c r="A990" t="s">
        <v>869</v>
      </c>
      <c r="B990" t="s">
        <v>1679</v>
      </c>
      <c r="C990" s="16">
        <v>0.90939196530245026</v>
      </c>
    </row>
    <row r="991" spans="1:3" hidden="1">
      <c r="A991" t="s">
        <v>1196</v>
      </c>
      <c r="C991" s="16">
        <v>0</v>
      </c>
    </row>
    <row r="992" spans="1:3">
      <c r="A992" t="s">
        <v>446</v>
      </c>
      <c r="B992" t="s">
        <v>1551</v>
      </c>
      <c r="C992" s="16">
        <v>0.91147406175982182</v>
      </c>
    </row>
    <row r="993" spans="1:3" hidden="1">
      <c r="A993" t="s">
        <v>1194</v>
      </c>
      <c r="C993" s="16">
        <v>0</v>
      </c>
    </row>
    <row r="994" spans="1:3">
      <c r="A994" t="s">
        <v>44</v>
      </c>
      <c r="B994" t="s">
        <v>1655</v>
      </c>
      <c r="C994" s="16">
        <v>0.91200000000000003</v>
      </c>
    </row>
    <row r="995" spans="1:3" hidden="1">
      <c r="A995" t="s">
        <v>448</v>
      </c>
      <c r="C995" s="16">
        <v>0</v>
      </c>
    </row>
    <row r="996" spans="1:3">
      <c r="A996" t="s">
        <v>1021</v>
      </c>
      <c r="B996" t="s">
        <v>2129</v>
      </c>
      <c r="C996" s="16">
        <v>0.91200000000000003</v>
      </c>
    </row>
    <row r="997" spans="1:3" hidden="1">
      <c r="A997" t="s">
        <v>447</v>
      </c>
      <c r="C997" s="16">
        <v>0</v>
      </c>
    </row>
    <row r="998" spans="1:3" hidden="1">
      <c r="A998" t="s">
        <v>750</v>
      </c>
      <c r="C998" s="16">
        <v>0</v>
      </c>
    </row>
    <row r="999" spans="1:3">
      <c r="A999" t="s">
        <v>225</v>
      </c>
      <c r="B999">
        <v>500</v>
      </c>
      <c r="C999" s="16">
        <v>0.91304347826086962</v>
      </c>
    </row>
    <row r="1000" spans="1:3">
      <c r="A1000" t="s">
        <v>1104</v>
      </c>
      <c r="B1000" t="s">
        <v>1524</v>
      </c>
      <c r="C1000" s="16">
        <v>0.91304347826086962</v>
      </c>
    </row>
    <row r="1001" spans="1:3">
      <c r="A1001" t="s">
        <v>1105</v>
      </c>
      <c r="B1001" t="s">
        <v>1524</v>
      </c>
      <c r="C1001" s="16">
        <v>0.91304347826086962</v>
      </c>
    </row>
    <row r="1002" spans="1:3">
      <c r="A1002" t="s">
        <v>1191</v>
      </c>
      <c r="B1002">
        <v>500</v>
      </c>
      <c r="C1002" s="16">
        <v>0.91304347826086962</v>
      </c>
    </row>
    <row r="1003" spans="1:3" hidden="1">
      <c r="A1003" t="s">
        <v>1197</v>
      </c>
      <c r="C1003" s="16">
        <v>0</v>
      </c>
    </row>
    <row r="1004" spans="1:3">
      <c r="A1004" t="s">
        <v>832</v>
      </c>
      <c r="B1004">
        <v>718</v>
      </c>
      <c r="C1004" s="16">
        <v>0.91666666666666674</v>
      </c>
    </row>
    <row r="1005" spans="1:3" hidden="1">
      <c r="A1005" t="s">
        <v>1195</v>
      </c>
      <c r="C1005" s="16">
        <v>0</v>
      </c>
    </row>
    <row r="1006" spans="1:3" hidden="1">
      <c r="A1006" t="s">
        <v>1200</v>
      </c>
      <c r="C1006" s="16">
        <v>0</v>
      </c>
    </row>
    <row r="1007" spans="1:3">
      <c r="A1007" t="s">
        <v>603</v>
      </c>
      <c r="B1007" t="s">
        <v>1525</v>
      </c>
      <c r="C1007" s="16">
        <v>0.91666666666666674</v>
      </c>
    </row>
    <row r="1008" spans="1:3">
      <c r="A1008" t="s">
        <v>602</v>
      </c>
      <c r="B1008" t="s">
        <v>1525</v>
      </c>
      <c r="C1008" s="16">
        <v>0.91666666666666674</v>
      </c>
    </row>
    <row r="1009" spans="1:3">
      <c r="A1009" t="s">
        <v>279</v>
      </c>
      <c r="B1009" t="s">
        <v>1823</v>
      </c>
      <c r="C1009" s="16">
        <v>0.91666666666666674</v>
      </c>
    </row>
    <row r="1010" spans="1:3" hidden="1">
      <c r="A1010" t="s">
        <v>1199</v>
      </c>
      <c r="C1010" s="16">
        <v>0</v>
      </c>
    </row>
    <row r="1011" spans="1:3" hidden="1">
      <c r="A1011" t="s">
        <v>974</v>
      </c>
      <c r="C1011" s="16">
        <v>0</v>
      </c>
    </row>
    <row r="1012" spans="1:3">
      <c r="A1012" t="s">
        <v>885</v>
      </c>
      <c r="B1012" t="s">
        <v>1824</v>
      </c>
      <c r="C1012" s="16">
        <v>0.91666666666666674</v>
      </c>
    </row>
    <row r="1013" spans="1:3" hidden="1">
      <c r="A1013" t="s">
        <v>983</v>
      </c>
      <c r="C1013" s="16">
        <v>0</v>
      </c>
    </row>
    <row r="1014" spans="1:3">
      <c r="A1014" t="s">
        <v>278</v>
      </c>
      <c r="B1014" t="s">
        <v>1823</v>
      </c>
      <c r="C1014" s="16">
        <v>0.91666666666666674</v>
      </c>
    </row>
    <row r="1015" spans="1:3">
      <c r="A1015" t="s">
        <v>1101</v>
      </c>
      <c r="B1015" t="s">
        <v>1824</v>
      </c>
      <c r="C1015" s="16">
        <v>0.91666666666666674</v>
      </c>
    </row>
    <row r="1016" spans="1:3" hidden="1">
      <c r="A1016">
        <v>1845</v>
      </c>
      <c r="C1016" s="16">
        <v>0</v>
      </c>
    </row>
    <row r="1017" spans="1:3" hidden="1">
      <c r="A1017" t="s">
        <v>106</v>
      </c>
      <c r="C1017" s="16">
        <v>0</v>
      </c>
    </row>
    <row r="1018" spans="1:3" hidden="1">
      <c r="A1018">
        <v>1843</v>
      </c>
      <c r="C1018" s="16">
        <v>0</v>
      </c>
    </row>
    <row r="1019" spans="1:3">
      <c r="A1019" t="s">
        <v>293</v>
      </c>
      <c r="B1019" t="s">
        <v>623</v>
      </c>
      <c r="C1019" s="16">
        <v>0.91666666666666674</v>
      </c>
    </row>
    <row r="1020" spans="1:3" hidden="1">
      <c r="A1020" t="s">
        <v>1432</v>
      </c>
      <c r="C1020" s="16">
        <v>0</v>
      </c>
    </row>
    <row r="1021" spans="1:3" hidden="1">
      <c r="A1021" t="s">
        <v>1004</v>
      </c>
      <c r="C1021" s="16">
        <v>0</v>
      </c>
    </row>
    <row r="1022" spans="1:3" hidden="1">
      <c r="A1022" t="s">
        <v>751</v>
      </c>
      <c r="C1022" s="16">
        <v>0</v>
      </c>
    </row>
    <row r="1023" spans="1:3" hidden="1">
      <c r="A1023" t="s">
        <v>1427</v>
      </c>
      <c r="C1023" s="16">
        <v>0</v>
      </c>
    </row>
    <row r="1024" spans="1:3" hidden="1">
      <c r="A1024" t="s">
        <v>1431</v>
      </c>
      <c r="C1024" s="16">
        <v>0</v>
      </c>
    </row>
    <row r="1025" spans="1:3" hidden="1">
      <c r="A1025" t="s">
        <v>759</v>
      </c>
      <c r="C1025" s="16">
        <v>0</v>
      </c>
    </row>
    <row r="1026" spans="1:3" hidden="1">
      <c r="A1026" t="s">
        <v>751</v>
      </c>
      <c r="C1026" s="16">
        <v>0</v>
      </c>
    </row>
    <row r="1027" spans="1:3">
      <c r="A1027" t="s">
        <v>292</v>
      </c>
      <c r="B1027" t="s">
        <v>623</v>
      </c>
      <c r="C1027" s="16">
        <v>0.91666666666666674</v>
      </c>
    </row>
    <row r="1028" spans="1:3" hidden="1">
      <c r="A1028" t="s">
        <v>1433</v>
      </c>
      <c r="C1028" s="16">
        <v>0</v>
      </c>
    </row>
    <row r="1029" spans="1:3" hidden="1">
      <c r="A1029" t="s">
        <v>115</v>
      </c>
      <c r="C1029" s="16">
        <v>0</v>
      </c>
    </row>
    <row r="1030" spans="1:3">
      <c r="A1030" t="s">
        <v>1372</v>
      </c>
      <c r="B1030" t="s">
        <v>1726</v>
      </c>
      <c r="C1030" s="16">
        <v>0.91666666666666674</v>
      </c>
    </row>
    <row r="1031" spans="1:3" hidden="1">
      <c r="A1031" t="s">
        <v>1434</v>
      </c>
      <c r="C1031" s="16">
        <v>0</v>
      </c>
    </row>
    <row r="1032" spans="1:3">
      <c r="A1032" t="s">
        <v>1110</v>
      </c>
      <c r="B1032" t="s">
        <v>1724</v>
      </c>
      <c r="C1032" s="16">
        <v>0.91666666666666674</v>
      </c>
    </row>
    <row r="1033" spans="1:3">
      <c r="A1033" t="s">
        <v>909</v>
      </c>
      <c r="B1033" t="s">
        <v>1781</v>
      </c>
      <c r="C1033" s="16">
        <v>0.91666666666666674</v>
      </c>
    </row>
    <row r="1034" spans="1:3" hidden="1">
      <c r="A1034" t="s">
        <v>1429</v>
      </c>
      <c r="C1034" s="16">
        <v>0</v>
      </c>
    </row>
    <row r="1035" spans="1:3">
      <c r="A1035" t="s">
        <v>1118</v>
      </c>
      <c r="B1035" t="s">
        <v>1780</v>
      </c>
      <c r="C1035" s="16">
        <v>0.91666666666666674</v>
      </c>
    </row>
    <row r="1036" spans="1:3" hidden="1">
      <c r="A1036" t="s">
        <v>1428</v>
      </c>
      <c r="C1036" s="16">
        <v>0</v>
      </c>
    </row>
    <row r="1037" spans="1:3" hidden="1">
      <c r="A1037" t="s">
        <v>1430</v>
      </c>
      <c r="C1037" s="16">
        <v>0</v>
      </c>
    </row>
    <row r="1038" spans="1:3">
      <c r="A1038" t="s">
        <v>905</v>
      </c>
      <c r="B1038" t="s">
        <v>1780</v>
      </c>
      <c r="C1038" s="16">
        <v>0.91666666666666674</v>
      </c>
    </row>
    <row r="1039" spans="1:3" hidden="1">
      <c r="A1039" t="s">
        <v>116</v>
      </c>
      <c r="C1039" s="16">
        <v>0</v>
      </c>
    </row>
    <row r="1040" spans="1:3">
      <c r="A1040" t="s">
        <v>1150</v>
      </c>
      <c r="B1040" t="s">
        <v>1967</v>
      </c>
      <c r="C1040" s="16">
        <v>0.91666666666666674</v>
      </c>
    </row>
    <row r="1041" spans="1:3" hidden="1">
      <c r="A1041" t="s">
        <v>1452</v>
      </c>
      <c r="C1041" s="16">
        <v>0</v>
      </c>
    </row>
    <row r="1042" spans="1:3">
      <c r="A1042" t="s">
        <v>360</v>
      </c>
      <c r="B1042" t="s">
        <v>1880</v>
      </c>
      <c r="C1042" s="16">
        <v>0.91666666666666674</v>
      </c>
    </row>
    <row r="1043" spans="1:3">
      <c r="A1043" t="s">
        <v>945</v>
      </c>
      <c r="B1043" t="s">
        <v>1878</v>
      </c>
      <c r="C1043" s="16">
        <v>0.91666666666666674</v>
      </c>
    </row>
    <row r="1044" spans="1:3" hidden="1">
      <c r="A1044" t="s">
        <v>113</v>
      </c>
      <c r="C1044" s="16">
        <v>0</v>
      </c>
    </row>
    <row r="1045" spans="1:3">
      <c r="A1045" t="s">
        <v>944</v>
      </c>
      <c r="B1045" t="s">
        <v>1878</v>
      </c>
      <c r="C1045" s="16">
        <v>0.91666666666666674</v>
      </c>
    </row>
    <row r="1046" spans="1:3">
      <c r="A1046" t="s">
        <v>1153</v>
      </c>
      <c r="B1046" t="s">
        <v>1880</v>
      </c>
      <c r="C1046" s="16">
        <v>0.91666666666666674</v>
      </c>
    </row>
    <row r="1047" spans="1:3">
      <c r="A1047" t="s">
        <v>943</v>
      </c>
      <c r="B1047" t="s">
        <v>1878</v>
      </c>
      <c r="C1047" s="16">
        <v>0.91666666666666674</v>
      </c>
    </row>
    <row r="1048" spans="1:3" hidden="1">
      <c r="A1048" t="s">
        <v>1218</v>
      </c>
      <c r="C1048" s="16">
        <v>0</v>
      </c>
    </row>
    <row r="1049" spans="1:3">
      <c r="A1049" t="s">
        <v>357</v>
      </c>
      <c r="B1049" t="s">
        <v>1878</v>
      </c>
      <c r="C1049" s="16">
        <v>0.91666666666666674</v>
      </c>
    </row>
    <row r="1050" spans="1:3">
      <c r="A1050" t="s">
        <v>1180</v>
      </c>
      <c r="B1050" t="s">
        <v>1918</v>
      </c>
      <c r="C1050" s="16">
        <v>0.91666666666666674</v>
      </c>
    </row>
    <row r="1051" spans="1:3">
      <c r="A1051" t="s">
        <v>401</v>
      </c>
      <c r="B1051" t="s">
        <v>1930</v>
      </c>
      <c r="C1051" s="16">
        <v>0.91666666666666674</v>
      </c>
    </row>
    <row r="1052" spans="1:3">
      <c r="A1052" t="s">
        <v>1451</v>
      </c>
      <c r="B1052" t="s">
        <v>1655</v>
      </c>
      <c r="C1052" s="16">
        <v>0.91666666666666674</v>
      </c>
    </row>
    <row r="1053" spans="1:3">
      <c r="A1053" t="s">
        <v>1213</v>
      </c>
      <c r="B1053" t="s">
        <v>754</v>
      </c>
      <c r="C1053" s="16">
        <v>0.91666666666666674</v>
      </c>
    </row>
    <row r="1054" spans="1:3" hidden="1">
      <c r="A1054" t="s">
        <v>753</v>
      </c>
      <c r="C1054" s="16">
        <v>0</v>
      </c>
    </row>
    <row r="1055" spans="1:3">
      <c r="A1055" t="s">
        <v>1223</v>
      </c>
      <c r="B1055" t="s">
        <v>2090</v>
      </c>
      <c r="C1055" s="16">
        <v>0.91666666666666674</v>
      </c>
    </row>
    <row r="1056" spans="1:3">
      <c r="A1056" t="s">
        <v>1178</v>
      </c>
      <c r="B1056" t="s">
        <v>1918</v>
      </c>
      <c r="C1056" s="16">
        <v>0.91790048477823427</v>
      </c>
    </row>
    <row r="1057" spans="1:3">
      <c r="A1057" t="s">
        <v>1009</v>
      </c>
      <c r="B1057" t="s">
        <v>1852</v>
      </c>
      <c r="C1057" s="16">
        <v>0.91808021455307598</v>
      </c>
    </row>
    <row r="1058" spans="1:3" hidden="1">
      <c r="A1058" t="s">
        <v>1447</v>
      </c>
      <c r="C1058" s="16">
        <v>0</v>
      </c>
    </row>
    <row r="1059" spans="1:3">
      <c r="A1059" t="s">
        <v>768</v>
      </c>
      <c r="B1059" t="s">
        <v>1852</v>
      </c>
      <c r="C1059" s="16">
        <v>0.91808021455307598</v>
      </c>
    </row>
    <row r="1060" spans="1:3" hidden="1">
      <c r="A1060" t="s">
        <v>1216</v>
      </c>
      <c r="C1060" s="16">
        <v>0</v>
      </c>
    </row>
    <row r="1061" spans="1:3">
      <c r="A1061" t="s">
        <v>420</v>
      </c>
      <c r="B1061" t="s">
        <v>1551</v>
      </c>
      <c r="C1061" s="16">
        <v>0.91882987418724138</v>
      </c>
    </row>
    <row r="1062" spans="1:3">
      <c r="A1062" t="s">
        <v>299</v>
      </c>
      <c r="B1062" t="s">
        <v>2109</v>
      </c>
      <c r="C1062" s="16">
        <v>0.92088028556287682</v>
      </c>
    </row>
    <row r="1063" spans="1:3">
      <c r="A1063" t="s">
        <v>1160</v>
      </c>
      <c r="B1063" t="s">
        <v>1155</v>
      </c>
      <c r="C1063" s="16">
        <v>0.92088028556287682</v>
      </c>
    </row>
    <row r="1064" spans="1:3">
      <c r="A1064" t="s">
        <v>1441</v>
      </c>
      <c r="B1064" t="s">
        <v>2079</v>
      </c>
      <c r="C1064" s="16">
        <v>0.92272727272727273</v>
      </c>
    </row>
    <row r="1065" spans="1:3">
      <c r="A1065" t="s">
        <v>543</v>
      </c>
      <c r="B1065" t="s">
        <v>1972</v>
      </c>
      <c r="C1065" s="16">
        <v>0.92500000000000004</v>
      </c>
    </row>
    <row r="1066" spans="1:3">
      <c r="A1066" t="s">
        <v>851</v>
      </c>
      <c r="B1066" t="s">
        <v>1571</v>
      </c>
      <c r="C1066" s="16">
        <v>0.92682926829268297</v>
      </c>
    </row>
    <row r="1067" spans="1:3">
      <c r="A1067" t="s">
        <v>834</v>
      </c>
      <c r="B1067" t="s">
        <v>1633</v>
      </c>
      <c r="C1067" s="16">
        <v>0.92727272727272725</v>
      </c>
    </row>
    <row r="1068" spans="1:3">
      <c r="A1068" t="s">
        <v>621</v>
      </c>
      <c r="B1068" t="s">
        <v>1837</v>
      </c>
      <c r="C1068" s="16">
        <v>0.93012438257568386</v>
      </c>
    </row>
    <row r="1069" spans="1:3">
      <c r="A1069" t="s">
        <v>990</v>
      </c>
      <c r="B1069" t="s">
        <v>1655</v>
      </c>
      <c r="C1069" s="16">
        <v>0.93023255813953487</v>
      </c>
    </row>
    <row r="1070" spans="1:3">
      <c r="A1070" t="s">
        <v>268</v>
      </c>
      <c r="B1070" t="s">
        <v>1526</v>
      </c>
      <c r="C1070" s="16">
        <v>0.93157894736842106</v>
      </c>
    </row>
    <row r="1071" spans="1:3" hidden="1">
      <c r="A1071" t="s">
        <v>1217</v>
      </c>
      <c r="C1071" s="16">
        <v>0</v>
      </c>
    </row>
    <row r="1072" spans="1:3" hidden="1">
      <c r="A1072" t="s">
        <v>993</v>
      </c>
      <c r="C1072" s="16">
        <v>0</v>
      </c>
    </row>
    <row r="1073" spans="1:3">
      <c r="A1073" t="s">
        <v>131</v>
      </c>
      <c r="B1073">
        <v>5</v>
      </c>
      <c r="C1073" s="16">
        <v>0.93333333333333335</v>
      </c>
    </row>
    <row r="1074" spans="1:3" hidden="1">
      <c r="A1074" t="s">
        <v>1003</v>
      </c>
      <c r="C1074" s="16">
        <v>0</v>
      </c>
    </row>
    <row r="1075" spans="1:3">
      <c r="A1075" t="s">
        <v>1039</v>
      </c>
      <c r="B1075">
        <v>5</v>
      </c>
      <c r="C1075" s="16">
        <v>0.93333333333333335</v>
      </c>
    </row>
    <row r="1076" spans="1:3" hidden="1">
      <c r="A1076" t="s">
        <v>989</v>
      </c>
      <c r="C1076" s="16">
        <v>0</v>
      </c>
    </row>
    <row r="1077" spans="1:3">
      <c r="A1077" t="s">
        <v>846</v>
      </c>
      <c r="B1077">
        <v>5</v>
      </c>
      <c r="C1077" s="16">
        <v>0.93333333333333335</v>
      </c>
    </row>
    <row r="1078" spans="1:3" hidden="1">
      <c r="A1078" t="s">
        <v>1211</v>
      </c>
      <c r="C1078" s="16">
        <v>0</v>
      </c>
    </row>
    <row r="1079" spans="1:3" hidden="1">
      <c r="A1079" t="s">
        <v>1000</v>
      </c>
      <c r="C1079" s="16">
        <v>0</v>
      </c>
    </row>
    <row r="1080" spans="1:3" hidden="1">
      <c r="A1080" t="s">
        <v>999</v>
      </c>
      <c r="C1080" s="16">
        <v>0</v>
      </c>
    </row>
    <row r="1081" spans="1:3">
      <c r="A1081" t="s">
        <v>1182</v>
      </c>
      <c r="B1081">
        <v>5</v>
      </c>
      <c r="C1081" s="16">
        <v>0.93333333333333335</v>
      </c>
    </row>
    <row r="1082" spans="1:3" hidden="1">
      <c r="A1082" t="s">
        <v>482</v>
      </c>
      <c r="C1082" s="16">
        <v>0</v>
      </c>
    </row>
    <row r="1083" spans="1:3" hidden="1">
      <c r="A1083" t="s">
        <v>1214</v>
      </c>
      <c r="C1083" s="16">
        <v>0</v>
      </c>
    </row>
    <row r="1084" spans="1:3" hidden="1">
      <c r="A1084" t="s">
        <v>755</v>
      </c>
      <c r="C1084" s="16">
        <v>0</v>
      </c>
    </row>
    <row r="1085" spans="1:3">
      <c r="A1085" t="s">
        <v>172</v>
      </c>
      <c r="B1085" t="s">
        <v>1630</v>
      </c>
      <c r="C1085" s="16">
        <v>0.93629330950372525</v>
      </c>
    </row>
    <row r="1086" spans="1:3" hidden="1">
      <c r="A1086" t="s">
        <v>1209</v>
      </c>
      <c r="C1086" s="16">
        <v>0</v>
      </c>
    </row>
    <row r="1087" spans="1:3" hidden="1">
      <c r="A1087" t="s">
        <v>1444</v>
      </c>
      <c r="C1087" s="16">
        <v>0</v>
      </c>
    </row>
    <row r="1088" spans="1:3">
      <c r="A1088" t="s">
        <v>264</v>
      </c>
      <c r="B1088" t="s">
        <v>1525</v>
      </c>
      <c r="C1088" s="16">
        <v>0.93629330950372525</v>
      </c>
    </row>
    <row r="1089" spans="1:3">
      <c r="A1089" t="s">
        <v>1371</v>
      </c>
      <c r="B1089" t="s">
        <v>1725</v>
      </c>
      <c r="C1089" s="16">
        <v>0.93629330950372525</v>
      </c>
    </row>
    <row r="1090" spans="1:3">
      <c r="A1090" t="s">
        <v>132</v>
      </c>
      <c r="B1090">
        <v>6</v>
      </c>
      <c r="C1090" s="16">
        <v>0.9375</v>
      </c>
    </row>
    <row r="1091" spans="1:3" hidden="1">
      <c r="A1091" t="s">
        <v>479</v>
      </c>
      <c r="C1091" s="16">
        <v>0</v>
      </c>
    </row>
    <row r="1092" spans="1:3">
      <c r="A1092" t="s">
        <v>819</v>
      </c>
      <c r="B1092">
        <v>3</v>
      </c>
      <c r="C1092" s="16">
        <v>0.9375</v>
      </c>
    </row>
    <row r="1093" spans="1:3" hidden="1">
      <c r="A1093" t="s">
        <v>1208</v>
      </c>
      <c r="C1093" s="16">
        <v>0</v>
      </c>
    </row>
    <row r="1094" spans="1:3" hidden="1">
      <c r="A1094" t="s">
        <v>481</v>
      </c>
      <c r="C1094" s="16">
        <v>0</v>
      </c>
    </row>
    <row r="1095" spans="1:3" hidden="1">
      <c r="A1095" t="s">
        <v>1443</v>
      </c>
      <c r="C1095" s="16">
        <v>0</v>
      </c>
    </row>
    <row r="1096" spans="1:3">
      <c r="A1096" t="s">
        <v>130</v>
      </c>
      <c r="B1096">
        <v>3</v>
      </c>
      <c r="C1096" s="16">
        <v>0.9375</v>
      </c>
    </row>
    <row r="1097" spans="1:3">
      <c r="A1097" t="s">
        <v>1061</v>
      </c>
      <c r="B1097">
        <v>3</v>
      </c>
      <c r="C1097" s="16">
        <v>0.9375</v>
      </c>
    </row>
    <row r="1098" spans="1:3">
      <c r="A1098" t="s">
        <v>1077</v>
      </c>
      <c r="B1098" t="s">
        <v>1678</v>
      </c>
      <c r="C1098" s="16">
        <v>0.93952196690403544</v>
      </c>
    </row>
    <row r="1099" spans="1:3">
      <c r="A1099" t="s">
        <v>500</v>
      </c>
      <c r="B1099" t="s">
        <v>1852</v>
      </c>
      <c r="C1099" s="16">
        <v>0.94032395046038597</v>
      </c>
    </row>
    <row r="1100" spans="1:3" hidden="1">
      <c r="A1100" t="s">
        <v>1440</v>
      </c>
      <c r="C1100" s="16">
        <v>0</v>
      </c>
    </row>
    <row r="1101" spans="1:3">
      <c r="A1101" t="s">
        <v>502</v>
      </c>
      <c r="B1101" t="s">
        <v>1852</v>
      </c>
      <c r="C1101" s="16">
        <v>0.94032395046038597</v>
      </c>
    </row>
    <row r="1102" spans="1:3" hidden="1">
      <c r="A1102" t="s">
        <v>1204</v>
      </c>
      <c r="C1102" s="16">
        <v>0</v>
      </c>
    </row>
    <row r="1103" spans="1:3">
      <c r="A1103" t="s">
        <v>418</v>
      </c>
      <c r="B1103" t="s">
        <v>1551</v>
      </c>
      <c r="C1103" s="16">
        <v>0.94285714285714284</v>
      </c>
    </row>
    <row r="1104" spans="1:3">
      <c r="A1104" t="s">
        <v>852</v>
      </c>
      <c r="B1104" t="s">
        <v>1571</v>
      </c>
      <c r="C1104" s="16">
        <v>0.94444444444444442</v>
      </c>
    </row>
    <row r="1105" spans="1:3">
      <c r="A1105" t="s">
        <v>1064</v>
      </c>
      <c r="B1105" t="s">
        <v>1571</v>
      </c>
      <c r="C1105" s="16">
        <v>0.94444444444444442</v>
      </c>
    </row>
    <row r="1106" spans="1:3" hidden="1">
      <c r="A1106" t="s">
        <v>1456</v>
      </c>
      <c r="C1106" s="16">
        <v>0</v>
      </c>
    </row>
    <row r="1107" spans="1:3" hidden="1">
      <c r="A1107" t="s">
        <v>1234</v>
      </c>
      <c r="C1107" s="16">
        <v>0</v>
      </c>
    </row>
    <row r="1108" spans="1:3" hidden="1">
      <c r="A1108" t="s">
        <v>763</v>
      </c>
      <c r="C1108" s="16">
        <v>0</v>
      </c>
    </row>
    <row r="1109" spans="1:3" hidden="1">
      <c r="A1109" t="s">
        <v>763</v>
      </c>
      <c r="C1109" s="16">
        <v>0</v>
      </c>
    </row>
    <row r="1110" spans="1:3" hidden="1">
      <c r="A1110" t="s">
        <v>122</v>
      </c>
      <c r="C1110" s="16">
        <v>0</v>
      </c>
    </row>
    <row r="1111" spans="1:3" hidden="1">
      <c r="A1111" t="s">
        <v>1232</v>
      </c>
      <c r="C1111" s="16">
        <v>0</v>
      </c>
    </row>
    <row r="1112" spans="1:3" hidden="1">
      <c r="A1112" t="s">
        <v>766</v>
      </c>
      <c r="C1112" s="16">
        <v>0</v>
      </c>
    </row>
    <row r="1113" spans="1:3" hidden="1">
      <c r="A1113" t="s">
        <v>764</v>
      </c>
      <c r="C1113" s="16">
        <v>0</v>
      </c>
    </row>
    <row r="1114" spans="1:3" hidden="1">
      <c r="A1114" t="s">
        <v>1454</v>
      </c>
      <c r="C1114" s="16">
        <v>0</v>
      </c>
    </row>
    <row r="1115" spans="1:3" hidden="1">
      <c r="A1115" t="s">
        <v>767</v>
      </c>
      <c r="C1115" s="16">
        <v>0</v>
      </c>
    </row>
    <row r="1116" spans="1:3" hidden="1">
      <c r="A1116" t="s">
        <v>1014</v>
      </c>
      <c r="C1116" s="16">
        <v>0</v>
      </c>
    </row>
    <row r="1117" spans="1:3" hidden="1">
      <c r="A1117" t="s">
        <v>765</v>
      </c>
      <c r="C1117" s="16">
        <v>0</v>
      </c>
    </row>
    <row r="1118" spans="1:3" hidden="1">
      <c r="A1118" t="s">
        <v>774</v>
      </c>
      <c r="C1118" s="16">
        <v>0</v>
      </c>
    </row>
    <row r="1119" spans="1:3" hidden="1">
      <c r="A1119" t="s">
        <v>1226</v>
      </c>
      <c r="C1119" s="16">
        <v>0</v>
      </c>
    </row>
    <row r="1120" spans="1:3" hidden="1">
      <c r="A1120" t="s">
        <v>503</v>
      </c>
      <c r="C1120" s="16">
        <v>0</v>
      </c>
    </row>
    <row r="1121" spans="1:3">
      <c r="A1121" t="s">
        <v>155</v>
      </c>
      <c r="B1121" t="s">
        <v>1631</v>
      </c>
      <c r="C1121" s="16">
        <v>0.94736842105263164</v>
      </c>
    </row>
    <row r="1122" spans="1:3" hidden="1">
      <c r="A1122" t="s">
        <v>494</v>
      </c>
      <c r="C1122" s="16">
        <v>0</v>
      </c>
    </row>
    <row r="1123" spans="1:3">
      <c r="A1123" t="s">
        <v>156</v>
      </c>
      <c r="B1123" t="s">
        <v>1631</v>
      </c>
      <c r="C1123" s="16">
        <v>0.94736842105263164</v>
      </c>
    </row>
    <row r="1124" spans="1:3" hidden="1">
      <c r="A1124" t="s">
        <v>505</v>
      </c>
      <c r="C1124" s="16">
        <v>0</v>
      </c>
    </row>
    <row r="1125" spans="1:3" hidden="1">
      <c r="A1125" t="s">
        <v>1457</v>
      </c>
      <c r="C1125" s="16">
        <v>0</v>
      </c>
    </row>
    <row r="1126" spans="1:3">
      <c r="A1126" t="s">
        <v>840</v>
      </c>
      <c r="B1126" t="s">
        <v>1632</v>
      </c>
      <c r="C1126" s="16">
        <v>0.94736842105263164</v>
      </c>
    </row>
    <row r="1127" spans="1:3">
      <c r="A1127" t="s">
        <v>837</v>
      </c>
      <c r="B1127">
        <v>718</v>
      </c>
      <c r="C1127" s="16">
        <v>0.94736842105263164</v>
      </c>
    </row>
    <row r="1128" spans="1:3" hidden="1">
      <c r="A1128" t="s">
        <v>1458</v>
      </c>
      <c r="C1128" s="16">
        <v>0</v>
      </c>
    </row>
    <row r="1129" spans="1:3" hidden="1">
      <c r="A1129" t="s">
        <v>1227</v>
      </c>
      <c r="C1129" s="16">
        <v>0</v>
      </c>
    </row>
    <row r="1130" spans="1:3">
      <c r="A1130" t="s">
        <v>858</v>
      </c>
      <c r="B1130">
        <v>3008</v>
      </c>
      <c r="C1130" s="16">
        <v>0.94736842105263164</v>
      </c>
    </row>
    <row r="1131" spans="1:3" hidden="1">
      <c r="A1131" t="s">
        <v>1235</v>
      </c>
      <c r="C1131" s="16">
        <v>0</v>
      </c>
    </row>
    <row r="1132" spans="1:3" hidden="1">
      <c r="A1132" t="s">
        <v>1012</v>
      </c>
      <c r="C1132" s="16">
        <v>0</v>
      </c>
    </row>
    <row r="1133" spans="1:3" hidden="1">
      <c r="A1133" t="s">
        <v>504</v>
      </c>
      <c r="C1133" s="16">
        <v>0</v>
      </c>
    </row>
    <row r="1134" spans="1:3" hidden="1">
      <c r="A1134" t="s">
        <v>1231</v>
      </c>
      <c r="C1134" s="16">
        <v>0</v>
      </c>
    </row>
    <row r="1135" spans="1:3">
      <c r="A1135" t="s">
        <v>1306</v>
      </c>
      <c r="B1135">
        <v>3008</v>
      </c>
      <c r="C1135" s="16">
        <v>0.94736842105263164</v>
      </c>
    </row>
    <row r="1136" spans="1:3" hidden="1">
      <c r="A1136" t="s">
        <v>1233</v>
      </c>
      <c r="C1136" s="16">
        <v>0</v>
      </c>
    </row>
    <row r="1137" spans="1:3" hidden="1">
      <c r="A1137" t="s">
        <v>1230</v>
      </c>
      <c r="C1137" s="16">
        <v>0</v>
      </c>
    </row>
    <row r="1138" spans="1:3" hidden="1">
      <c r="A1138" t="s">
        <v>1228</v>
      </c>
      <c r="C1138" s="16">
        <v>0</v>
      </c>
    </row>
    <row r="1139" spans="1:3">
      <c r="A1139" t="s">
        <v>1067</v>
      </c>
      <c r="B1139" t="s">
        <v>1634</v>
      </c>
      <c r="C1139" s="16">
        <v>0.94736842105263164</v>
      </c>
    </row>
    <row r="1140" spans="1:3">
      <c r="A1140" t="s">
        <v>1307</v>
      </c>
      <c r="B1140">
        <v>2008</v>
      </c>
      <c r="C1140" s="16">
        <v>0.94736842105263164</v>
      </c>
    </row>
    <row r="1141" spans="1:3" hidden="1">
      <c r="A1141" t="s">
        <v>1011</v>
      </c>
      <c r="C1141" s="16">
        <v>0</v>
      </c>
    </row>
    <row r="1142" spans="1:3">
      <c r="A1142" t="s">
        <v>618</v>
      </c>
      <c r="B1142" t="s">
        <v>287</v>
      </c>
      <c r="C1142" s="16">
        <v>0.94736842105263164</v>
      </c>
    </row>
    <row r="1143" spans="1:3" hidden="1">
      <c r="A1143" t="s">
        <v>1229</v>
      </c>
      <c r="C1143" s="16">
        <v>0</v>
      </c>
    </row>
    <row r="1144" spans="1:3" hidden="1">
      <c r="A1144" t="s">
        <v>776</v>
      </c>
      <c r="C1144" s="16">
        <v>0</v>
      </c>
    </row>
    <row r="1145" spans="1:3" hidden="1">
      <c r="A1145" t="s">
        <v>1006</v>
      </c>
      <c r="C1145" s="16">
        <v>0</v>
      </c>
    </row>
    <row r="1146" spans="1:3">
      <c r="A1146" t="s">
        <v>642</v>
      </c>
      <c r="B1146" t="s">
        <v>1773</v>
      </c>
      <c r="C1146" s="16">
        <v>0.94736842105263164</v>
      </c>
    </row>
    <row r="1147" spans="1:3">
      <c r="A1147" t="s">
        <v>641</v>
      </c>
      <c r="B1147" t="s">
        <v>1773</v>
      </c>
      <c r="C1147" s="16">
        <v>0.94736842105263164</v>
      </c>
    </row>
    <row r="1148" spans="1:3">
      <c r="A1148" t="s">
        <v>1378</v>
      </c>
      <c r="B1148" t="s">
        <v>1810</v>
      </c>
      <c r="C1148" s="16">
        <v>0.94736842105263164</v>
      </c>
    </row>
    <row r="1149" spans="1:3" hidden="1">
      <c r="A1149" t="s">
        <v>1461</v>
      </c>
      <c r="C1149" s="16">
        <v>0</v>
      </c>
    </row>
    <row r="1150" spans="1:3">
      <c r="A1150" t="s">
        <v>1149</v>
      </c>
      <c r="B1150" t="s">
        <v>1967</v>
      </c>
      <c r="C1150" s="16">
        <v>0.94736842105263164</v>
      </c>
    </row>
    <row r="1151" spans="1:3" hidden="1">
      <c r="A1151" t="s">
        <v>1013</v>
      </c>
      <c r="C1151" s="16">
        <v>0</v>
      </c>
    </row>
    <row r="1152" spans="1:3" hidden="1">
      <c r="A1152" t="s">
        <v>775</v>
      </c>
      <c r="C1152" s="16">
        <v>0</v>
      </c>
    </row>
    <row r="1153" spans="1:3" hidden="1">
      <c r="A1153" t="s">
        <v>785</v>
      </c>
      <c r="C1153" s="16">
        <v>0</v>
      </c>
    </row>
    <row r="1154" spans="1:3">
      <c r="A1154" t="s">
        <v>937</v>
      </c>
      <c r="B1154" t="s">
        <v>1965</v>
      </c>
      <c r="C1154" s="16">
        <v>0.94736842105263164</v>
      </c>
    </row>
    <row r="1155" spans="1:3">
      <c r="A1155" t="s">
        <v>675</v>
      </c>
      <c r="B1155" t="s">
        <v>1155</v>
      </c>
      <c r="C1155" s="16">
        <v>0.94736842105263164</v>
      </c>
    </row>
    <row r="1156" spans="1:3" hidden="1">
      <c r="A1156" t="s">
        <v>491</v>
      </c>
      <c r="C1156" s="16">
        <v>0</v>
      </c>
    </row>
    <row r="1157" spans="1:3" hidden="1">
      <c r="A1157" t="s">
        <v>486</v>
      </c>
      <c r="C1157" s="16">
        <v>0</v>
      </c>
    </row>
    <row r="1158" spans="1:3">
      <c r="A1158" t="s">
        <v>1154</v>
      </c>
      <c r="B1158" t="s">
        <v>1880</v>
      </c>
      <c r="C1158" s="16">
        <v>0.94736842105263164</v>
      </c>
    </row>
    <row r="1159" spans="1:3" hidden="1">
      <c r="A1159" t="s">
        <v>485</v>
      </c>
      <c r="C1159" s="16">
        <v>0</v>
      </c>
    </row>
    <row r="1160" spans="1:3">
      <c r="A1160" t="s">
        <v>356</v>
      </c>
      <c r="B1160" t="s">
        <v>1878</v>
      </c>
      <c r="C1160" s="16">
        <v>0.94736842105263164</v>
      </c>
    </row>
    <row r="1161" spans="1:3">
      <c r="A1161" t="s">
        <v>386</v>
      </c>
      <c r="B1161" t="s">
        <v>1913</v>
      </c>
      <c r="C1161" s="16">
        <v>0.94736842105263164</v>
      </c>
    </row>
    <row r="1162" spans="1:3">
      <c r="A1162" t="s">
        <v>475</v>
      </c>
      <c r="B1162" t="s">
        <v>754</v>
      </c>
      <c r="C1162" s="16">
        <v>0.94736842105263164</v>
      </c>
    </row>
    <row r="1163" spans="1:3">
      <c r="A1163" t="s">
        <v>1238</v>
      </c>
      <c r="B1163" t="s">
        <v>507</v>
      </c>
      <c r="C1163" s="16">
        <v>0.94736842105263164</v>
      </c>
    </row>
    <row r="1164" spans="1:3">
      <c r="A1164" t="s">
        <v>1225</v>
      </c>
      <c r="B1164" t="s">
        <v>2091</v>
      </c>
      <c r="C1164" s="16">
        <v>0.94736842105263164</v>
      </c>
    </row>
    <row r="1165" spans="1:3">
      <c r="A1165" t="s">
        <v>1224</v>
      </c>
      <c r="B1165" t="s">
        <v>2091</v>
      </c>
      <c r="C1165" s="16">
        <v>0.94736842105263164</v>
      </c>
    </row>
    <row r="1166" spans="1:3">
      <c r="A1166" t="s">
        <v>1010</v>
      </c>
      <c r="B1166" t="s">
        <v>2091</v>
      </c>
      <c r="C1166" s="16">
        <v>0.94736842105263164</v>
      </c>
    </row>
    <row r="1167" spans="1:3">
      <c r="A1167" t="s">
        <v>780</v>
      </c>
      <c r="B1167" t="s">
        <v>2096</v>
      </c>
      <c r="C1167" s="16">
        <v>0.94736842105263164</v>
      </c>
    </row>
    <row r="1168" spans="1:3">
      <c r="A1168" t="s">
        <v>1236</v>
      </c>
      <c r="B1168" t="s">
        <v>2097</v>
      </c>
      <c r="C1168" s="16">
        <v>0.94736842105263164</v>
      </c>
    </row>
    <row r="1169" spans="1:3" hidden="1">
      <c r="A1169" t="s">
        <v>1007</v>
      </c>
      <c r="C1169" s="16">
        <v>0</v>
      </c>
    </row>
    <row r="1170" spans="1:3">
      <c r="A1170" t="s">
        <v>781</v>
      </c>
      <c r="B1170" t="s">
        <v>2097</v>
      </c>
      <c r="C1170" s="16">
        <v>0.94736842105263164</v>
      </c>
    </row>
    <row r="1171" spans="1:3" hidden="1">
      <c r="A1171" t="s">
        <v>1008</v>
      </c>
      <c r="C1171" s="16">
        <v>0</v>
      </c>
    </row>
    <row r="1172" spans="1:3">
      <c r="A1172" t="s">
        <v>794</v>
      </c>
      <c r="B1172" t="s">
        <v>2108</v>
      </c>
      <c r="C1172" s="16">
        <v>0.94736842105263164</v>
      </c>
    </row>
    <row r="1173" spans="1:3">
      <c r="A1173" t="s">
        <v>803</v>
      </c>
      <c r="B1173" t="s">
        <v>802</v>
      </c>
      <c r="C1173" s="16">
        <v>0.94736842105263164</v>
      </c>
    </row>
    <row r="1174" spans="1:3">
      <c r="A1174" t="s">
        <v>1471</v>
      </c>
      <c r="B1174" t="s">
        <v>802</v>
      </c>
      <c r="C1174" s="16">
        <v>0.94736842105263164</v>
      </c>
    </row>
    <row r="1175" spans="1:3">
      <c r="A1175" t="s">
        <v>636</v>
      </c>
      <c r="B1175" t="s">
        <v>1737</v>
      </c>
      <c r="C1175" s="16">
        <v>0.94877117199575389</v>
      </c>
    </row>
    <row r="1176" spans="1:3">
      <c r="A1176" t="s">
        <v>393</v>
      </c>
      <c r="B1176" t="s">
        <v>1921</v>
      </c>
      <c r="C1176" s="16">
        <v>0.94877117199575389</v>
      </c>
    </row>
    <row r="1177" spans="1:3" hidden="1">
      <c r="A1177" t="s">
        <v>784</v>
      </c>
      <c r="C1177" s="16">
        <v>0</v>
      </c>
    </row>
    <row r="1178" spans="1:3">
      <c r="A1178" t="s">
        <v>1020</v>
      </c>
      <c r="B1178" t="s">
        <v>2119</v>
      </c>
      <c r="C1178" s="16">
        <v>0.948771171995754</v>
      </c>
    </row>
    <row r="1179" spans="1:3">
      <c r="A1179" t="s">
        <v>1020</v>
      </c>
      <c r="B1179" t="s">
        <v>2119</v>
      </c>
      <c r="C1179" s="16">
        <v>0.948771171995754</v>
      </c>
    </row>
    <row r="1180" spans="1:3" hidden="1">
      <c r="A1180" t="s">
        <v>496</v>
      </c>
      <c r="C1180" s="16">
        <v>0</v>
      </c>
    </row>
    <row r="1181" spans="1:3">
      <c r="A1181" t="s">
        <v>284</v>
      </c>
      <c r="B1181" t="s">
        <v>1826</v>
      </c>
      <c r="C1181" s="16">
        <v>0.9492544172826326</v>
      </c>
    </row>
    <row r="1182" spans="1:3">
      <c r="A1182" t="s">
        <v>616</v>
      </c>
      <c r="B1182" t="s">
        <v>1825</v>
      </c>
      <c r="C1182" s="16">
        <v>0.9492544172826326</v>
      </c>
    </row>
    <row r="1183" spans="1:3">
      <c r="A1183" t="s">
        <v>476</v>
      </c>
      <c r="B1183" t="s">
        <v>2086</v>
      </c>
      <c r="C1183" s="16">
        <v>0.95179649453228454</v>
      </c>
    </row>
    <row r="1184" spans="1:3">
      <c r="A1184" t="s">
        <v>476</v>
      </c>
      <c r="B1184" t="s">
        <v>2086</v>
      </c>
      <c r="C1184" s="16">
        <v>0.95179649453228454</v>
      </c>
    </row>
    <row r="1185" spans="1:3">
      <c r="A1185" t="s">
        <v>1049</v>
      </c>
      <c r="B1185" t="s">
        <v>1629</v>
      </c>
      <c r="C1185" s="16">
        <v>0.95767628767520641</v>
      </c>
    </row>
    <row r="1186" spans="1:3">
      <c r="A1186" t="s">
        <v>25</v>
      </c>
      <c r="B1186" t="s">
        <v>1629</v>
      </c>
      <c r="C1186" s="16">
        <v>0.95767628767520641</v>
      </c>
    </row>
    <row r="1187" spans="1:3" hidden="1">
      <c r="A1187" t="s">
        <v>498</v>
      </c>
      <c r="C1187" s="16">
        <v>0</v>
      </c>
    </row>
    <row r="1188" spans="1:3">
      <c r="A1188" t="s">
        <v>1133</v>
      </c>
      <c r="B1188" t="s">
        <v>1854</v>
      </c>
      <c r="C1188" s="16">
        <v>0.95767628767520641</v>
      </c>
    </row>
    <row r="1189" spans="1:3">
      <c r="A1189" t="s">
        <v>1383</v>
      </c>
      <c r="B1189" t="s">
        <v>1840</v>
      </c>
      <c r="C1189" s="16">
        <v>0.96666666666666667</v>
      </c>
    </row>
    <row r="1190" spans="1:3">
      <c r="A1190" t="s">
        <v>582</v>
      </c>
      <c r="B1190" t="s">
        <v>1571</v>
      </c>
      <c r="C1190" s="16">
        <v>0.967741935483871</v>
      </c>
    </row>
    <row r="1191" spans="1:3">
      <c r="A1191" t="s">
        <v>835</v>
      </c>
      <c r="B1191" t="s">
        <v>1633</v>
      </c>
      <c r="C1191" s="16">
        <v>0.96969696969696972</v>
      </c>
    </row>
    <row r="1192" spans="1:3" hidden="1">
      <c r="A1192" t="s">
        <v>511</v>
      </c>
      <c r="C1192" s="16">
        <v>0</v>
      </c>
    </row>
    <row r="1193" spans="1:3">
      <c r="A1193" t="s">
        <v>620</v>
      </c>
      <c r="B1193" t="s">
        <v>1524</v>
      </c>
      <c r="C1193" s="16">
        <v>0.970873786407767</v>
      </c>
    </row>
    <row r="1194" spans="1:3">
      <c r="A1194" t="s">
        <v>1388</v>
      </c>
      <c r="B1194" t="s">
        <v>1817</v>
      </c>
      <c r="C1194" s="16">
        <v>0.970873786407767</v>
      </c>
    </row>
    <row r="1195" spans="1:3">
      <c r="A1195" t="s">
        <v>924</v>
      </c>
      <c r="B1195" t="s">
        <v>1812</v>
      </c>
      <c r="C1195" s="16">
        <v>0.970873786407767</v>
      </c>
    </row>
    <row r="1196" spans="1:3" hidden="1">
      <c r="A1196" t="s">
        <v>786</v>
      </c>
      <c r="C1196" s="16">
        <v>0</v>
      </c>
    </row>
    <row r="1197" spans="1:3">
      <c r="A1197" t="s">
        <v>1382</v>
      </c>
      <c r="B1197" t="s">
        <v>1819</v>
      </c>
      <c r="C1197" s="16">
        <v>0.970873786407767</v>
      </c>
    </row>
    <row r="1198" spans="1:3">
      <c r="A1198" t="s">
        <v>1381</v>
      </c>
      <c r="B1198" t="s">
        <v>1818</v>
      </c>
      <c r="C1198" s="16">
        <v>0.970873786407767</v>
      </c>
    </row>
    <row r="1199" spans="1:3">
      <c r="A1199" t="s">
        <v>635</v>
      </c>
      <c r="B1199" t="s">
        <v>1551</v>
      </c>
      <c r="C1199" s="16">
        <v>0.97436762076350669</v>
      </c>
    </row>
    <row r="1200" spans="1:3">
      <c r="A1200" t="s">
        <v>1282</v>
      </c>
      <c r="B1200" t="s">
        <v>1282</v>
      </c>
      <c r="C1200" s="16">
        <v>1</v>
      </c>
    </row>
    <row r="1201" spans="1:3" hidden="1">
      <c r="A1201" t="s">
        <v>796</v>
      </c>
      <c r="C1201" s="16">
        <v>0</v>
      </c>
    </row>
    <row r="1202" spans="1:3" hidden="1">
      <c r="A1202" t="s">
        <v>518</v>
      </c>
      <c r="C1202" s="16">
        <v>0</v>
      </c>
    </row>
    <row r="1203" spans="1:3">
      <c r="A1203" t="s">
        <v>838</v>
      </c>
      <c r="B1203" t="s">
        <v>1631</v>
      </c>
      <c r="C1203" s="16">
        <v>1</v>
      </c>
    </row>
    <row r="1204" spans="1:3">
      <c r="A1204" t="s">
        <v>833</v>
      </c>
      <c r="B1204" t="s">
        <v>1633</v>
      </c>
      <c r="C1204" s="16">
        <v>1</v>
      </c>
    </row>
    <row r="1205" spans="1:3" hidden="1">
      <c r="A1205" t="s">
        <v>513</v>
      </c>
      <c r="C1205" s="16">
        <v>0</v>
      </c>
    </row>
    <row r="1206" spans="1:3" hidden="1">
      <c r="A1206" t="s">
        <v>788</v>
      </c>
      <c r="C1206" s="16">
        <v>0</v>
      </c>
    </row>
    <row r="1207" spans="1:3" hidden="1">
      <c r="A1207" t="s">
        <v>790</v>
      </c>
      <c r="C1207" s="16">
        <v>0</v>
      </c>
    </row>
    <row r="1208" spans="1:3">
      <c r="A1208" t="s">
        <v>157</v>
      </c>
      <c r="B1208" t="s">
        <v>1632</v>
      </c>
      <c r="C1208" s="16">
        <v>1</v>
      </c>
    </row>
    <row r="1209" spans="1:3">
      <c r="A1209" t="s">
        <v>850</v>
      </c>
      <c r="B1209" t="s">
        <v>1571</v>
      </c>
      <c r="C1209" s="16">
        <v>1</v>
      </c>
    </row>
    <row r="1210" spans="1:3" hidden="1">
      <c r="A1210" t="s">
        <v>515</v>
      </c>
      <c r="C1210" s="16">
        <v>0</v>
      </c>
    </row>
    <row r="1211" spans="1:3">
      <c r="A1211" t="s">
        <v>866</v>
      </c>
      <c r="B1211" t="s">
        <v>866</v>
      </c>
      <c r="C1211" s="16">
        <v>1</v>
      </c>
    </row>
    <row r="1212" spans="1:3" hidden="1">
      <c r="A1212" t="s">
        <v>1017</v>
      </c>
      <c r="C1212" s="16">
        <v>0</v>
      </c>
    </row>
    <row r="1213" spans="1:3" hidden="1">
      <c r="A1213" t="s">
        <v>1239</v>
      </c>
      <c r="C1213" s="16">
        <v>0</v>
      </c>
    </row>
    <row r="1214" spans="1:3">
      <c r="A1214" t="s">
        <v>181</v>
      </c>
      <c r="B1214" t="s">
        <v>1640</v>
      </c>
      <c r="C1214" s="16">
        <v>1</v>
      </c>
    </row>
    <row r="1215" spans="1:3" hidden="1">
      <c r="A1215" t="s">
        <v>1241</v>
      </c>
      <c r="C1215" s="16">
        <v>0</v>
      </c>
    </row>
    <row r="1216" spans="1:3">
      <c r="A1216" t="s">
        <v>48</v>
      </c>
      <c r="B1216" t="s">
        <v>48</v>
      </c>
      <c r="C1216" s="16">
        <v>1</v>
      </c>
    </row>
    <row r="1217" spans="1:3" hidden="1">
      <c r="A1217" t="s">
        <v>1240</v>
      </c>
      <c r="C1217" s="16">
        <v>0</v>
      </c>
    </row>
    <row r="1218" spans="1:3">
      <c r="A1218" t="s">
        <v>291</v>
      </c>
      <c r="B1218" t="s">
        <v>1833</v>
      </c>
      <c r="C1218" s="16">
        <v>1</v>
      </c>
    </row>
    <row r="1219" spans="1:3">
      <c r="A1219" t="s">
        <v>601</v>
      </c>
      <c r="B1219" t="s">
        <v>1525</v>
      </c>
      <c r="C1219" s="16">
        <v>1</v>
      </c>
    </row>
    <row r="1220" spans="1:3">
      <c r="A1220" t="s">
        <v>615</v>
      </c>
      <c r="B1220" t="s">
        <v>1824</v>
      </c>
      <c r="C1220" s="16">
        <v>1</v>
      </c>
    </row>
    <row r="1221" spans="1:3">
      <c r="A1221" t="s">
        <v>266</v>
      </c>
      <c r="B1221" t="s">
        <v>266</v>
      </c>
      <c r="C1221" s="16">
        <v>1</v>
      </c>
    </row>
    <row r="1222" spans="1:3" hidden="1">
      <c r="A1222" t="s">
        <v>795</v>
      </c>
      <c r="C1222" s="16">
        <v>0</v>
      </c>
    </row>
    <row r="1223" spans="1:3" hidden="1">
      <c r="A1223" t="s">
        <v>520</v>
      </c>
      <c r="C1223" s="16">
        <v>0</v>
      </c>
    </row>
    <row r="1224" spans="1:3" hidden="1">
      <c r="A1224" t="s">
        <v>124</v>
      </c>
      <c r="C1224" s="16">
        <v>0</v>
      </c>
    </row>
    <row r="1225" spans="1:3" hidden="1">
      <c r="A1225" t="s">
        <v>1253</v>
      </c>
      <c r="C1225" s="16">
        <v>0</v>
      </c>
    </row>
    <row r="1226" spans="1:3" hidden="1">
      <c r="A1226" t="s">
        <v>1022</v>
      </c>
      <c r="C1226" s="16">
        <v>0</v>
      </c>
    </row>
    <row r="1227" spans="1:3" hidden="1">
      <c r="A1227" t="s">
        <v>1249</v>
      </c>
      <c r="C1227" s="16">
        <v>0</v>
      </c>
    </row>
    <row r="1228" spans="1:3" hidden="1">
      <c r="A1228" t="s">
        <v>1248</v>
      </c>
      <c r="C1228" s="16">
        <v>0</v>
      </c>
    </row>
    <row r="1229" spans="1:3" hidden="1">
      <c r="A1229" t="s">
        <v>1247</v>
      </c>
      <c r="C1229" s="16">
        <v>0</v>
      </c>
    </row>
    <row r="1230" spans="1:3" hidden="1">
      <c r="A1230" t="s">
        <v>542</v>
      </c>
      <c r="C1230" s="16">
        <v>0</v>
      </c>
    </row>
    <row r="1231" spans="1:3" hidden="1">
      <c r="A1231" t="s">
        <v>549</v>
      </c>
      <c r="C1231" s="16">
        <v>0</v>
      </c>
    </row>
    <row r="1232" spans="1:3">
      <c r="A1232" t="s">
        <v>623</v>
      </c>
      <c r="B1232" t="s">
        <v>623</v>
      </c>
      <c r="C1232" s="16">
        <v>1</v>
      </c>
    </row>
    <row r="1233" spans="1:3" hidden="1">
      <c r="A1233" t="s">
        <v>548</v>
      </c>
      <c r="C1233" s="16">
        <v>0</v>
      </c>
    </row>
    <row r="1234" spans="1:3" hidden="1">
      <c r="A1234" t="s">
        <v>550</v>
      </c>
      <c r="C1234" s="16">
        <v>0</v>
      </c>
    </row>
    <row r="1235" spans="1:3">
      <c r="A1235" t="s">
        <v>1361</v>
      </c>
      <c r="B1235" t="s">
        <v>1361</v>
      </c>
      <c r="C1235" s="16">
        <v>1</v>
      </c>
    </row>
    <row r="1236" spans="1:3">
      <c r="A1236" t="s">
        <v>287</v>
      </c>
      <c r="B1236" t="s">
        <v>287</v>
      </c>
      <c r="C1236" s="16">
        <v>1</v>
      </c>
    </row>
    <row r="1237" spans="1:3" hidden="1">
      <c r="A1237" t="s">
        <v>1470</v>
      </c>
      <c r="C1237" s="16">
        <v>0</v>
      </c>
    </row>
    <row r="1238" spans="1:3">
      <c r="A1238" t="s">
        <v>1111</v>
      </c>
      <c r="B1238" t="s">
        <v>1111</v>
      </c>
      <c r="C1238" s="16">
        <v>1</v>
      </c>
    </row>
    <row r="1239" spans="1:3" hidden="1">
      <c r="A1239" t="s">
        <v>1462</v>
      </c>
      <c r="C1239" s="16">
        <v>0</v>
      </c>
    </row>
    <row r="1240" spans="1:3" hidden="1">
      <c r="A1240" t="s">
        <v>1465</v>
      </c>
      <c r="C1240" s="16">
        <v>0</v>
      </c>
    </row>
    <row r="1241" spans="1:3">
      <c r="A1241" t="s">
        <v>303</v>
      </c>
      <c r="B1241" t="s">
        <v>1741</v>
      </c>
      <c r="C1241" s="16">
        <v>1</v>
      </c>
    </row>
    <row r="1242" spans="1:3">
      <c r="A1242" t="s">
        <v>637</v>
      </c>
      <c r="B1242" t="s">
        <v>637</v>
      </c>
      <c r="C1242" s="16">
        <v>1</v>
      </c>
    </row>
    <row r="1243" spans="1:3">
      <c r="A1243" t="s">
        <v>637</v>
      </c>
      <c r="B1243" t="s">
        <v>637</v>
      </c>
      <c r="C1243" s="16">
        <v>1</v>
      </c>
    </row>
    <row r="1244" spans="1:3">
      <c r="A1244" t="s">
        <v>1116</v>
      </c>
      <c r="B1244" t="s">
        <v>1116</v>
      </c>
      <c r="C1244" s="16">
        <v>1</v>
      </c>
    </row>
    <row r="1245" spans="1:3">
      <c r="A1245" t="s">
        <v>901</v>
      </c>
      <c r="B1245" t="s">
        <v>1776</v>
      </c>
      <c r="C1245" s="16">
        <v>1</v>
      </c>
    </row>
    <row r="1246" spans="1:3">
      <c r="A1246" t="s">
        <v>903</v>
      </c>
      <c r="B1246" t="s">
        <v>903</v>
      </c>
      <c r="C1246" s="16">
        <v>1</v>
      </c>
    </row>
    <row r="1247" spans="1:3">
      <c r="A1247" t="s">
        <v>926</v>
      </c>
      <c r="B1247" t="s">
        <v>926</v>
      </c>
      <c r="C1247" s="16">
        <v>1</v>
      </c>
    </row>
    <row r="1248" spans="1:3" hidden="1">
      <c r="A1248" t="s">
        <v>539</v>
      </c>
      <c r="C1248" s="16">
        <v>0</v>
      </c>
    </row>
    <row r="1249" spans="1:3">
      <c r="A1249" t="s">
        <v>1152</v>
      </c>
      <c r="B1249" t="s">
        <v>1964</v>
      </c>
      <c r="C1249" s="16">
        <v>1</v>
      </c>
    </row>
    <row r="1250" spans="1:3" hidden="1">
      <c r="A1250" t="s">
        <v>800</v>
      </c>
      <c r="C1250" s="16">
        <v>0</v>
      </c>
    </row>
    <row r="1251" spans="1:3" hidden="1">
      <c r="A1251" t="s">
        <v>545</v>
      </c>
      <c r="C1251" s="16">
        <v>0</v>
      </c>
    </row>
    <row r="1252" spans="1:3" hidden="1">
      <c r="A1252" t="s">
        <v>1023</v>
      </c>
      <c r="C1252" s="16">
        <v>0</v>
      </c>
    </row>
    <row r="1253" spans="1:3">
      <c r="A1253" t="s">
        <v>1151</v>
      </c>
      <c r="B1253" t="s">
        <v>1151</v>
      </c>
      <c r="C1253" s="16">
        <v>1</v>
      </c>
    </row>
    <row r="1254" spans="1:3">
      <c r="A1254" t="s">
        <v>932</v>
      </c>
      <c r="B1254" t="s">
        <v>932</v>
      </c>
      <c r="C1254" s="16">
        <v>1</v>
      </c>
    </row>
    <row r="1255" spans="1:3">
      <c r="A1255" t="s">
        <v>1156</v>
      </c>
      <c r="B1255" t="s">
        <v>1882</v>
      </c>
      <c r="C1255" s="16">
        <v>1</v>
      </c>
    </row>
    <row r="1256" spans="1:3" hidden="1">
      <c r="A1256" t="s">
        <v>1246</v>
      </c>
      <c r="C1256" s="16">
        <v>0</v>
      </c>
    </row>
    <row r="1257" spans="1:3" hidden="1">
      <c r="A1257" t="s">
        <v>546</v>
      </c>
      <c r="C1257" s="16">
        <v>0</v>
      </c>
    </row>
    <row r="1258" spans="1:3" hidden="1">
      <c r="A1258" t="s">
        <v>527</v>
      </c>
      <c r="C1258" s="16">
        <v>0</v>
      </c>
    </row>
    <row r="1259" spans="1:3">
      <c r="A1259" t="s">
        <v>1155</v>
      </c>
      <c r="B1259" t="s">
        <v>1155</v>
      </c>
      <c r="C1259" s="16">
        <v>1</v>
      </c>
    </row>
    <row r="1260" spans="1:3" hidden="1">
      <c r="A1260" t="s">
        <v>531</v>
      </c>
      <c r="C1260" s="16">
        <v>0</v>
      </c>
    </row>
    <row r="1261" spans="1:3" hidden="1">
      <c r="A1261" t="s">
        <v>531</v>
      </c>
      <c r="C1261" s="16">
        <v>0</v>
      </c>
    </row>
    <row r="1262" spans="1:3" hidden="1">
      <c r="A1262" t="s">
        <v>8</v>
      </c>
      <c r="C1262" s="16">
        <v>0</v>
      </c>
    </row>
    <row r="1263" spans="1:3">
      <c r="A1263">
        <v>500</v>
      </c>
      <c r="B1263">
        <v>500</v>
      </c>
      <c r="C1263" s="16">
        <v>1</v>
      </c>
    </row>
    <row r="1264" spans="1:3">
      <c r="A1264" t="s">
        <v>390</v>
      </c>
      <c r="B1264" t="s">
        <v>390</v>
      </c>
      <c r="C1264" s="16">
        <v>1</v>
      </c>
    </row>
    <row r="1265" spans="1:3">
      <c r="A1265" t="s">
        <v>959</v>
      </c>
      <c r="B1265" t="s">
        <v>959</v>
      </c>
      <c r="C1265" s="16">
        <v>1</v>
      </c>
    </row>
    <row r="1266" spans="1:3">
      <c r="A1266" t="s">
        <v>394</v>
      </c>
      <c r="B1266" t="s">
        <v>394</v>
      </c>
      <c r="C1266" s="16">
        <v>1</v>
      </c>
    </row>
    <row r="1267" spans="1:3" hidden="1">
      <c r="A1267" t="s">
        <v>530</v>
      </c>
      <c r="C1267" s="16">
        <v>0</v>
      </c>
    </row>
    <row r="1268" spans="1:3" hidden="1">
      <c r="A1268" t="s">
        <v>1250</v>
      </c>
      <c r="C1268" s="16">
        <v>0</v>
      </c>
    </row>
    <row r="1269" spans="1:3">
      <c r="A1269" t="s">
        <v>961</v>
      </c>
      <c r="B1269" t="s">
        <v>961</v>
      </c>
      <c r="C1269" s="16">
        <v>1</v>
      </c>
    </row>
    <row r="1270" spans="1:3" hidden="1">
      <c r="A1270" t="s">
        <v>1251</v>
      </c>
      <c r="C1270" s="16">
        <v>0</v>
      </c>
    </row>
    <row r="1271" spans="1:3" hidden="1">
      <c r="A1271" t="s">
        <v>541</v>
      </c>
      <c r="C1271" s="16">
        <v>0</v>
      </c>
    </row>
    <row r="1272" spans="1:3">
      <c r="A1272" t="s">
        <v>957</v>
      </c>
      <c r="B1272" t="s">
        <v>1912</v>
      </c>
      <c r="C1272" s="16">
        <v>1</v>
      </c>
    </row>
    <row r="1273" spans="1:3">
      <c r="A1273" t="s">
        <v>963</v>
      </c>
      <c r="B1273" t="s">
        <v>1925</v>
      </c>
      <c r="C1273" s="16">
        <v>1</v>
      </c>
    </row>
    <row r="1274" spans="1:3">
      <c r="A1274">
        <v>6</v>
      </c>
      <c r="B1274">
        <v>6</v>
      </c>
      <c r="C1274" s="16">
        <v>1</v>
      </c>
    </row>
    <row r="1275" spans="1:3">
      <c r="A1275">
        <v>3</v>
      </c>
      <c r="B1275">
        <v>3</v>
      </c>
      <c r="C1275" s="16">
        <v>1</v>
      </c>
    </row>
    <row r="1276" spans="1:3" hidden="1">
      <c r="A1276" t="s">
        <v>535</v>
      </c>
      <c r="C1276" s="16">
        <v>0</v>
      </c>
    </row>
    <row r="1277" spans="1:3">
      <c r="A1277" t="s">
        <v>754</v>
      </c>
      <c r="B1277" t="s">
        <v>754</v>
      </c>
      <c r="C1277" s="16">
        <v>1</v>
      </c>
    </row>
    <row r="1278" spans="1:3" hidden="1">
      <c r="A1278" t="s">
        <v>528</v>
      </c>
      <c r="C1278" s="16">
        <v>0</v>
      </c>
    </row>
    <row r="1279" spans="1:3">
      <c r="A1279" t="s">
        <v>1205</v>
      </c>
      <c r="B1279" t="s">
        <v>2078</v>
      </c>
      <c r="C1279" s="16">
        <v>1</v>
      </c>
    </row>
    <row r="1280" spans="1:3">
      <c r="A1280" t="s">
        <v>474</v>
      </c>
      <c r="B1280" t="s">
        <v>474</v>
      </c>
      <c r="C1280" s="16">
        <v>1</v>
      </c>
    </row>
    <row r="1281" spans="1:3" hidden="1">
      <c r="A1281" t="s">
        <v>529</v>
      </c>
      <c r="C1281" s="16">
        <v>0</v>
      </c>
    </row>
    <row r="1282" spans="1:3">
      <c r="A1282" t="s">
        <v>474</v>
      </c>
      <c r="B1282" t="s">
        <v>474</v>
      </c>
      <c r="C1282" s="16">
        <v>1</v>
      </c>
    </row>
    <row r="1283" spans="1:3">
      <c r="A1283" t="s">
        <v>507</v>
      </c>
      <c r="B1283" t="s">
        <v>507</v>
      </c>
      <c r="C1283" s="16">
        <v>1</v>
      </c>
    </row>
    <row r="1284" spans="1:3" hidden="1">
      <c r="A1284" t="s">
        <v>1466</v>
      </c>
      <c r="C1284" s="16">
        <v>0</v>
      </c>
    </row>
    <row r="1285" spans="1:3" hidden="1">
      <c r="A1285" t="s">
        <v>534</v>
      </c>
      <c r="C1285" s="16">
        <v>0</v>
      </c>
    </row>
    <row r="1286" spans="1:3" hidden="1">
      <c r="A1286" t="s">
        <v>1257</v>
      </c>
      <c r="C1286" s="16">
        <v>0</v>
      </c>
    </row>
    <row r="1287" spans="1:3">
      <c r="A1287" t="s">
        <v>506</v>
      </c>
      <c r="B1287" t="s">
        <v>2098</v>
      </c>
      <c r="C1287" s="16">
        <v>1</v>
      </c>
    </row>
    <row r="1288" spans="1:3" hidden="1">
      <c r="A1288" t="s">
        <v>554</v>
      </c>
      <c r="C1288" s="16">
        <v>0</v>
      </c>
    </row>
    <row r="1289" spans="1:3" hidden="1">
      <c r="A1289" t="s">
        <v>555</v>
      </c>
      <c r="C1289" s="16">
        <v>0</v>
      </c>
    </row>
    <row r="1290" spans="1:3">
      <c r="A1290" t="s">
        <v>497</v>
      </c>
      <c r="B1290" t="s">
        <v>2097</v>
      </c>
      <c r="C1290" s="16">
        <v>1</v>
      </c>
    </row>
    <row r="1291" spans="1:3">
      <c r="A1291" t="s">
        <v>1467</v>
      </c>
      <c r="B1291" t="s">
        <v>1467</v>
      </c>
      <c r="C1291" s="16">
        <v>1</v>
      </c>
    </row>
    <row r="1292" spans="1:3" hidden="1">
      <c r="A1292" t="s">
        <v>1261</v>
      </c>
      <c r="C1292" s="16">
        <v>0</v>
      </c>
    </row>
    <row r="1293" spans="1:3">
      <c r="A1293" t="s">
        <v>801</v>
      </c>
      <c r="B1293" t="s">
        <v>2122</v>
      </c>
      <c r="C1293" s="16">
        <v>1</v>
      </c>
    </row>
    <row r="1294" spans="1:3" hidden="1">
      <c r="A1294" t="s">
        <v>1258</v>
      </c>
      <c r="C1294" s="16">
        <v>0</v>
      </c>
    </row>
    <row r="1295" spans="1:3" hidden="1">
      <c r="A1295" t="s">
        <v>1025</v>
      </c>
      <c r="C1295" s="16">
        <v>0</v>
      </c>
    </row>
    <row r="1296" spans="1:3" hidden="1">
      <c r="A1296" t="s">
        <v>1473</v>
      </c>
      <c r="C1296" s="16">
        <v>0</v>
      </c>
    </row>
    <row r="1297" spans="1:3" hidden="1">
      <c r="A1297" t="s">
        <v>1262</v>
      </c>
      <c r="C1297" s="16">
        <v>0</v>
      </c>
    </row>
    <row r="1298" spans="1:3" hidden="1">
      <c r="A1298" t="s">
        <v>1260</v>
      </c>
      <c r="C1298" s="16">
        <v>0</v>
      </c>
    </row>
    <row r="1299" spans="1:3" hidden="1">
      <c r="A1299" t="s">
        <v>806</v>
      </c>
      <c r="C1299" s="16">
        <v>0</v>
      </c>
    </row>
    <row r="1300" spans="1:3" hidden="1">
      <c r="A1300" t="s">
        <v>1029</v>
      </c>
      <c r="C1300" s="16">
        <v>0</v>
      </c>
    </row>
    <row r="1301" spans="1:3" hidden="1">
      <c r="A1301" t="s">
        <v>1026</v>
      </c>
      <c r="C1301" s="16">
        <v>0</v>
      </c>
    </row>
    <row r="1302" spans="1:3" hidden="1">
      <c r="A1302" t="s">
        <v>1259</v>
      </c>
      <c r="C1302" s="16">
        <v>0</v>
      </c>
    </row>
    <row r="1303" spans="1:3" hidden="1">
      <c r="A1303" t="s">
        <v>804</v>
      </c>
      <c r="C1303" s="16">
        <v>0</v>
      </c>
    </row>
    <row r="1304" spans="1:3" hidden="1">
      <c r="A1304" t="s">
        <v>1028</v>
      </c>
      <c r="C1304" s="16">
        <v>0</v>
      </c>
    </row>
    <row r="1305" spans="1:3" hidden="1">
      <c r="A1305" t="s">
        <v>807</v>
      </c>
      <c r="C1305" s="16">
        <v>0</v>
      </c>
    </row>
    <row r="1306" spans="1:3" hidden="1">
      <c r="A1306" t="s">
        <v>557</v>
      </c>
      <c r="C1306" s="16">
        <v>0</v>
      </c>
    </row>
    <row r="1307" spans="1:3" hidden="1">
      <c r="A1307" t="s">
        <v>558</v>
      </c>
      <c r="C1307" s="16">
        <v>0</v>
      </c>
    </row>
    <row r="1308" spans="1:3" hidden="1">
      <c r="A1308" t="s">
        <v>808</v>
      </c>
      <c r="C1308" s="16">
        <v>0</v>
      </c>
    </row>
    <row r="1309" spans="1:3" hidden="1">
      <c r="A1309" t="s">
        <v>1263</v>
      </c>
      <c r="C1309" s="16">
        <v>0</v>
      </c>
    </row>
    <row r="1310" spans="1:3" hidden="1">
      <c r="A1310" t="s">
        <v>809</v>
      </c>
      <c r="C1310" s="16">
        <v>0</v>
      </c>
    </row>
    <row r="1311" spans="1:3" hidden="1">
      <c r="A1311" t="s">
        <v>811</v>
      </c>
      <c r="C1311" s="16">
        <v>0</v>
      </c>
    </row>
    <row r="1312" spans="1:3" hidden="1">
      <c r="A1312" t="s">
        <v>810</v>
      </c>
      <c r="C1312" s="16">
        <v>0</v>
      </c>
    </row>
    <row r="1313" spans="1:3" hidden="1">
      <c r="A1313" t="s">
        <v>1030</v>
      </c>
      <c r="C1313" s="16">
        <v>0</v>
      </c>
    </row>
    <row r="1314" spans="1:3">
      <c r="A1314" t="s">
        <v>802</v>
      </c>
      <c r="B1314" t="s">
        <v>802</v>
      </c>
      <c r="C1314" s="16">
        <v>1</v>
      </c>
    </row>
    <row r="1315" spans="1:3">
      <c r="A1315" t="s">
        <v>798</v>
      </c>
      <c r="B1315" t="s">
        <v>798</v>
      </c>
      <c r="C1315" s="16">
        <v>1</v>
      </c>
    </row>
    <row r="1316" spans="1:3" hidden="1">
      <c r="A1316" t="s">
        <v>1266</v>
      </c>
      <c r="C1316" s="16">
        <v>0</v>
      </c>
    </row>
    <row r="1317" spans="1:3" hidden="1">
      <c r="A1317" t="s">
        <v>1265</v>
      </c>
      <c r="C1317" s="16">
        <v>0</v>
      </c>
    </row>
  </sheetData>
  <autoFilter ref="A1:C1317" xr:uid="{2CCA6961-F10D-46D5-96B8-A5CAB1CE47A4}">
    <filterColumn colId="2">
      <filters>
        <filter val="0.7523"/>
        <filter val="0.7538"/>
        <filter val="0.7540"/>
        <filter val="0.7546"/>
        <filter val="0.7581"/>
        <filter val="0.7592"/>
        <filter val="0.7619"/>
        <filter val="0.7639"/>
        <filter val="0.7642"/>
        <filter val="0.7643"/>
        <filter val="0.7652"/>
        <filter val="0.7663"/>
        <filter val="0.7664"/>
        <filter val="0.7685"/>
        <filter val="0.7695"/>
        <filter val="0.7720"/>
        <filter val="0.7737"/>
        <filter val="0.7758"/>
        <filter val="0.7764"/>
        <filter val="0.7837"/>
        <filter val="0.7855"/>
        <filter val="0.7869"/>
        <filter val="0.7874"/>
        <filter val="0.7898"/>
        <filter val="0.7927"/>
        <filter val="0.7943"/>
        <filter val="0.7950"/>
        <filter val="0.7965"/>
        <filter val="0.7970"/>
        <filter val="0.7995"/>
        <filter val="0.8000"/>
        <filter val="0.8022"/>
        <filter val="0.8029"/>
        <filter val="0.8041"/>
        <filter val="0.8049"/>
        <filter val="0.8109"/>
        <filter val="0.8166"/>
        <filter val="0.8167"/>
        <filter val="0.8189"/>
        <filter val="0.8198"/>
        <filter val="0.8207"/>
        <filter val="0.8225"/>
        <filter val="0.8237"/>
        <filter val="0.8273"/>
        <filter val="0.8281"/>
        <filter val="0.8296"/>
        <filter val="0.8298"/>
        <filter val="0.8308"/>
        <filter val="0.8313"/>
        <filter val="0.8357"/>
        <filter val="0.8358"/>
        <filter val="0.8369"/>
        <filter val="0.8373"/>
        <filter val="0.8381"/>
        <filter val="0.8386"/>
        <filter val="0.8390"/>
        <filter val="0.8393"/>
        <filter val="0.8400"/>
        <filter val="0.8406"/>
        <filter val="0.8407"/>
        <filter val="0.8417"/>
        <filter val="0.8418"/>
        <filter val="0.8419"/>
        <filter val="0.8422"/>
        <filter val="0.8424"/>
        <filter val="0.8425"/>
        <filter val="0.8426"/>
        <filter val="0.8431"/>
        <filter val="0.8435"/>
        <filter val="0.8437"/>
        <filter val="0.8438"/>
        <filter val="0.8440"/>
        <filter val="0.8448"/>
        <filter val="0.8449"/>
        <filter val="0.8452"/>
        <filter val="0.8461"/>
        <filter val="0.8465"/>
        <filter val="0.8467"/>
        <filter val="0.8472"/>
        <filter val="0.8475"/>
        <filter val="0.8476"/>
        <filter val="0.8483"/>
        <filter val="0.8485"/>
        <filter val="0.8488"/>
        <filter val="0.8500"/>
        <filter val="0.8505"/>
        <filter val="0.8509"/>
        <filter val="0.8517"/>
        <filter val="0.8525"/>
        <filter val="0.8528"/>
        <filter val="0.8531"/>
        <filter val="0.8535"/>
        <filter val="0.8537"/>
        <filter val="0.8538"/>
        <filter val="0.8549"/>
        <filter val="0.8553"/>
        <filter val="0.8560"/>
        <filter val="0.8565"/>
        <filter val="0.8571"/>
        <filter val="0.8574"/>
        <filter val="0.8583"/>
        <filter val="0.8590"/>
        <filter val="0.8595"/>
        <filter val="0.8596"/>
        <filter val="0.8602"/>
        <filter val="0.8609"/>
        <filter val="0.8611"/>
        <filter val="0.8621"/>
        <filter val="0.8622"/>
        <filter val="0.8634"/>
        <filter val="0.8636"/>
        <filter val="0.8637"/>
        <filter val="0.8652"/>
        <filter val="0.8654"/>
        <filter val="0.8659"/>
        <filter val="0.8667"/>
        <filter val="0.8675"/>
        <filter val="0.8683"/>
        <filter val="0.8684"/>
        <filter val="0.8688"/>
        <filter val="0.8689"/>
        <filter val="0.8700"/>
        <filter val="0.8710"/>
        <filter val="0.8718"/>
        <filter val="0.8719"/>
        <filter val="0.8728"/>
        <filter val="0.8737"/>
        <filter val="0.8740"/>
        <filter val="0.8743"/>
        <filter val="0.8757"/>
        <filter val="0.8759"/>
        <filter val="0.8761"/>
        <filter val="0.8773"/>
        <filter val="0.8778"/>
        <filter val="0.8785"/>
        <filter val="0.8789"/>
        <filter val="0.8792"/>
        <filter val="0.8800"/>
        <filter val="0.8815"/>
        <filter val="0.8824"/>
        <filter val="0.8829"/>
        <filter val="0.8836"/>
        <filter val="0.8839"/>
        <filter val="0.8843"/>
        <filter val="0.8844"/>
        <filter val="0.8846"/>
        <filter val="0.8848"/>
        <filter val="0.8855"/>
        <filter val="0.8868"/>
        <filter val="0.8875"/>
        <filter val="0.8879"/>
        <filter val="0.8903"/>
        <filter val="0.8905"/>
        <filter val="0.8914"/>
        <filter val="0.8929"/>
        <filter val="0.8933"/>
        <filter val="0.8962"/>
        <filter val="0.8966"/>
        <filter val="0.8974"/>
        <filter val="0.8982"/>
        <filter val="0.8983"/>
        <filter val="0.8985"/>
        <filter val="0.8989"/>
        <filter val="0.8993"/>
        <filter val="0.9000"/>
        <filter val="0.9012"/>
        <filter val="0.9017"/>
        <filter val="0.9037"/>
        <filter val="0.9048"/>
        <filter val="0.9077"/>
        <filter val="0.9083"/>
        <filter val="0.9084"/>
        <filter val="0.9094"/>
        <filter val="0.9115"/>
        <filter val="0.9120"/>
        <filter val="0.9130"/>
        <filter val="0.9167"/>
        <filter val="0.9179"/>
        <filter val="0.9181"/>
        <filter val="0.9188"/>
        <filter val="0.9209"/>
        <filter val="0.9227"/>
        <filter val="0.9250"/>
        <filter val="0.9268"/>
        <filter val="0.9273"/>
        <filter val="0.9301"/>
        <filter val="0.9302"/>
        <filter val="0.9316"/>
        <filter val="0.9333"/>
        <filter val="0.9363"/>
        <filter val="0.9375"/>
        <filter val="0.9395"/>
        <filter val="0.9403"/>
        <filter val="0.9429"/>
        <filter val="0.9444"/>
        <filter val="0.9474"/>
        <filter val="0.9488"/>
        <filter val="0.9493"/>
        <filter val="0.9518"/>
        <filter val="0.9577"/>
        <filter val="0.9667"/>
        <filter val="0.9677"/>
        <filter val="0.9697"/>
        <filter val="0.9709"/>
        <filter val="0.9744"/>
        <filter val="1.0000"/>
      </filters>
    </filterColumn>
  </autoFilter>
  <sortState xmlns:xlrd2="http://schemas.microsoft.com/office/spreadsheetml/2017/richdata2" ref="A10:C1326">
    <sortCondition ref="C1:C132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57"/>
  <sheetViews>
    <sheetView topLeftCell="B30" workbookViewId="0">
      <selection activeCell="I89" sqref="I89"/>
    </sheetView>
  </sheetViews>
  <sheetFormatPr defaultRowHeight="13.2"/>
  <cols>
    <col min="1" max="1" width="30.88671875" customWidth="1"/>
    <col min="4" max="4" width="17.6640625" customWidth="1"/>
    <col min="5" max="5" width="17.109375" customWidth="1"/>
    <col min="6" max="6" width="12.33203125" customWidth="1"/>
    <col min="7" max="7" width="13.44140625" customWidth="1"/>
    <col min="10" max="10" width="23.33203125" customWidth="1"/>
    <col min="11" max="11" width="23.109375" customWidth="1"/>
    <col min="16" max="16" width="26.88671875" customWidth="1"/>
  </cols>
  <sheetData>
    <row r="1" spans="1:16">
      <c r="A1" s="14" t="s">
        <v>3938</v>
      </c>
      <c r="D1" s="14" t="s">
        <v>3939</v>
      </c>
      <c r="E1" s="40" t="s">
        <v>3940</v>
      </c>
      <c r="F1" s="40"/>
      <c r="G1" s="40"/>
      <c r="J1" s="40" t="s">
        <v>3941</v>
      </c>
      <c r="K1" s="40"/>
      <c r="L1" s="40"/>
      <c r="P1" s="14" t="s">
        <v>3942</v>
      </c>
    </row>
    <row r="2" spans="1:16" ht="15.6">
      <c r="A2" s="12"/>
      <c r="D2" s="2" t="s">
        <v>1474</v>
      </c>
      <c r="E2" s="2" t="s">
        <v>3935</v>
      </c>
      <c r="F2" s="2" t="s">
        <v>3936</v>
      </c>
      <c r="G2" s="9" t="s">
        <v>3937</v>
      </c>
      <c r="J2" s="15" t="s">
        <v>0</v>
      </c>
      <c r="K2" s="15" t="s">
        <v>2139</v>
      </c>
      <c r="P2" s="13" t="s">
        <v>1479</v>
      </c>
    </row>
    <row r="3" spans="1:16" ht="15.6">
      <c r="A3" s="12"/>
      <c r="D3" s="4" t="s">
        <v>1476</v>
      </c>
      <c r="J3" t="s">
        <v>8</v>
      </c>
      <c r="P3" s="13" t="s">
        <v>1514</v>
      </c>
    </row>
    <row r="4" spans="1:16" ht="15.6">
      <c r="D4" s="4" t="s">
        <v>1479</v>
      </c>
      <c r="E4" t="s">
        <v>158</v>
      </c>
      <c r="F4" t="s">
        <v>1479</v>
      </c>
      <c r="J4" t="s">
        <v>2140</v>
      </c>
      <c r="P4" s="13" t="s">
        <v>1516</v>
      </c>
    </row>
    <row r="5" spans="1:16" ht="15.6">
      <c r="A5" s="12" t="s">
        <v>2285</v>
      </c>
      <c r="D5" s="4" t="s">
        <v>1514</v>
      </c>
      <c r="E5" t="s">
        <v>1514</v>
      </c>
      <c r="J5" t="s">
        <v>2141</v>
      </c>
      <c r="K5" t="s">
        <v>2141</v>
      </c>
      <c r="P5" s="13" t="s">
        <v>1272</v>
      </c>
    </row>
    <row r="6" spans="1:16" ht="15.6">
      <c r="A6" s="12" t="s">
        <v>2286</v>
      </c>
      <c r="D6" s="4" t="s">
        <v>1516</v>
      </c>
      <c r="E6" t="s">
        <v>1516</v>
      </c>
      <c r="F6" t="s">
        <v>2823</v>
      </c>
      <c r="J6" t="s">
        <v>2142</v>
      </c>
      <c r="K6" t="s">
        <v>2142</v>
      </c>
      <c r="P6" s="13" t="s">
        <v>559</v>
      </c>
    </row>
    <row r="7" spans="1:16" ht="15.6">
      <c r="D7" s="4" t="s">
        <v>1272</v>
      </c>
      <c r="E7" t="s">
        <v>1272</v>
      </c>
      <c r="F7" t="s">
        <v>2851</v>
      </c>
      <c r="J7" t="s">
        <v>2143</v>
      </c>
      <c r="K7" t="s">
        <v>2143</v>
      </c>
      <c r="P7" s="13" t="s">
        <v>125</v>
      </c>
    </row>
    <row r="8" spans="1:16" ht="15.6">
      <c r="A8" s="12" t="s">
        <v>2298</v>
      </c>
      <c r="D8" s="4" t="s">
        <v>1538</v>
      </c>
      <c r="J8" t="s">
        <v>2137</v>
      </c>
      <c r="K8" t="s">
        <v>2137</v>
      </c>
      <c r="P8" s="13" t="s">
        <v>7</v>
      </c>
    </row>
    <row r="9" spans="1:16" ht="15.6">
      <c r="A9" s="12" t="s">
        <v>2302</v>
      </c>
      <c r="D9" s="4" t="s">
        <v>1546</v>
      </c>
      <c r="J9" t="s">
        <v>1479</v>
      </c>
      <c r="K9" t="s">
        <v>1479</v>
      </c>
      <c r="P9" s="13" t="s">
        <v>1295</v>
      </c>
    </row>
    <row r="10" spans="1:16" ht="15.6">
      <c r="A10" s="12" t="s">
        <v>2303</v>
      </c>
      <c r="D10" s="4" t="s">
        <v>1556</v>
      </c>
      <c r="J10" t="s">
        <v>1269</v>
      </c>
      <c r="K10" t="s">
        <v>1269</v>
      </c>
      <c r="P10" s="13" t="s">
        <v>24</v>
      </c>
    </row>
    <row r="11" spans="1:16" ht="15.6">
      <c r="D11" s="4" t="s">
        <v>1560</v>
      </c>
      <c r="E11" t="s">
        <v>2337</v>
      </c>
      <c r="J11" t="s">
        <v>2144</v>
      </c>
      <c r="K11" t="s">
        <v>2144</v>
      </c>
      <c r="P11" s="13" t="s">
        <v>2138</v>
      </c>
    </row>
    <row r="12" spans="1:16" ht="15.6">
      <c r="A12" s="12" t="s">
        <v>3276</v>
      </c>
      <c r="D12" s="4" t="s">
        <v>1567</v>
      </c>
      <c r="E12" t="s">
        <v>3676</v>
      </c>
      <c r="J12" t="s">
        <v>2145</v>
      </c>
      <c r="K12" t="s">
        <v>2145</v>
      </c>
      <c r="P12" s="13" t="s">
        <v>27</v>
      </c>
    </row>
    <row r="13" spans="1:16" ht="15.6">
      <c r="A13" s="12" t="s">
        <v>3328</v>
      </c>
      <c r="D13" s="4" t="s">
        <v>1572</v>
      </c>
      <c r="E13" t="s">
        <v>559</v>
      </c>
      <c r="J13" t="s">
        <v>2146</v>
      </c>
      <c r="K13" t="s">
        <v>2146</v>
      </c>
      <c r="P13" s="13" t="s">
        <v>599</v>
      </c>
    </row>
    <row r="14" spans="1:16" ht="15.6">
      <c r="D14" s="4" t="s">
        <v>1581</v>
      </c>
      <c r="E14" t="s">
        <v>2142</v>
      </c>
      <c r="J14" t="s">
        <v>2147</v>
      </c>
      <c r="K14" t="s">
        <v>2147</v>
      </c>
      <c r="P14" s="13" t="s">
        <v>300</v>
      </c>
    </row>
    <row r="15" spans="1:16" ht="15.6">
      <c r="A15" s="12" t="s">
        <v>3393</v>
      </c>
      <c r="D15" s="4" t="s">
        <v>125</v>
      </c>
      <c r="E15" t="s">
        <v>2323</v>
      </c>
      <c r="F15" t="s">
        <v>125</v>
      </c>
      <c r="G15" t="s">
        <v>2325</v>
      </c>
      <c r="J15" t="s">
        <v>2148</v>
      </c>
      <c r="K15" t="s">
        <v>2148</v>
      </c>
      <c r="P15" s="13" t="s">
        <v>1735</v>
      </c>
    </row>
    <row r="16" spans="1:16" ht="15.6">
      <c r="A16" s="12" t="s">
        <v>3394</v>
      </c>
      <c r="D16" s="4" t="s">
        <v>1587</v>
      </c>
      <c r="J16" t="s">
        <v>2149</v>
      </c>
      <c r="K16" t="s">
        <v>2149</v>
      </c>
      <c r="P16" s="13" t="s">
        <v>68</v>
      </c>
    </row>
    <row r="17" spans="1:16" ht="15.6">
      <c r="A17" s="12" t="s">
        <v>3436</v>
      </c>
      <c r="D17" s="4" t="s">
        <v>127</v>
      </c>
      <c r="E17" s="11" t="s">
        <v>2136</v>
      </c>
      <c r="F17" s="11" t="s">
        <v>2137</v>
      </c>
      <c r="J17" t="s">
        <v>2150</v>
      </c>
      <c r="K17" t="s">
        <v>2150</v>
      </c>
      <c r="P17" s="13" t="s">
        <v>904</v>
      </c>
    </row>
    <row r="18" spans="1:16" ht="15.6">
      <c r="D18" s="4" t="s">
        <v>7</v>
      </c>
      <c r="J18" t="s">
        <v>2151</v>
      </c>
      <c r="K18" t="s">
        <v>2151</v>
      </c>
      <c r="P18" s="13" t="s">
        <v>1783</v>
      </c>
    </row>
    <row r="19" spans="1:16" ht="15.6">
      <c r="D19" s="4" t="s">
        <v>1619</v>
      </c>
      <c r="E19" t="s">
        <v>1295</v>
      </c>
      <c r="J19" t="s">
        <v>2152</v>
      </c>
      <c r="K19" t="s">
        <v>2152</v>
      </c>
      <c r="P19" s="13" t="s">
        <v>323</v>
      </c>
    </row>
    <row r="20" spans="1:16" ht="15.6">
      <c r="D20" s="4" t="s">
        <v>1624</v>
      </c>
      <c r="E20" t="s">
        <v>313</v>
      </c>
      <c r="J20" t="s">
        <v>2153</v>
      </c>
      <c r="K20" t="s">
        <v>2153</v>
      </c>
      <c r="P20" s="13" t="s">
        <v>73</v>
      </c>
    </row>
    <row r="21" spans="1:16" ht="15.6">
      <c r="D21" s="4" t="s">
        <v>24</v>
      </c>
      <c r="E21" t="s">
        <v>24</v>
      </c>
      <c r="J21" t="s">
        <v>1514</v>
      </c>
      <c r="K21" t="s">
        <v>1514</v>
      </c>
      <c r="P21" s="13" t="s">
        <v>80</v>
      </c>
    </row>
    <row r="22" spans="1:16" ht="15.6">
      <c r="D22" s="4" t="s">
        <v>171</v>
      </c>
      <c r="E22" t="s">
        <v>170</v>
      </c>
      <c r="J22" t="s">
        <v>1516</v>
      </c>
      <c r="K22" t="s">
        <v>1516</v>
      </c>
      <c r="P22" s="13" t="s">
        <v>439</v>
      </c>
    </row>
    <row r="23" spans="1:16" ht="15.6">
      <c r="D23" s="4" t="s">
        <v>1635</v>
      </c>
      <c r="E23" t="s">
        <v>2138</v>
      </c>
      <c r="J23" t="s">
        <v>2154</v>
      </c>
      <c r="K23" t="s">
        <v>2154</v>
      </c>
      <c r="P23" s="13" t="s">
        <v>670</v>
      </c>
    </row>
    <row r="24" spans="1:16" ht="15.6">
      <c r="D24" s="4" t="s">
        <v>1710</v>
      </c>
      <c r="E24" t="s">
        <v>27</v>
      </c>
      <c r="J24" t="s">
        <v>1272</v>
      </c>
      <c r="K24" t="s">
        <v>1272</v>
      </c>
      <c r="P24" s="13" t="s">
        <v>409</v>
      </c>
    </row>
    <row r="25" spans="1:16" ht="15.6">
      <c r="D25" s="4" t="s">
        <v>1714</v>
      </c>
      <c r="J25" t="s">
        <v>2155</v>
      </c>
      <c r="K25" t="s">
        <v>2155</v>
      </c>
      <c r="P25" s="13" t="s">
        <v>104</v>
      </c>
    </row>
    <row r="26" spans="1:16" ht="15.6">
      <c r="D26" s="4" t="s">
        <v>599</v>
      </c>
      <c r="E26" t="s">
        <v>599</v>
      </c>
      <c r="J26" t="s">
        <v>2156</v>
      </c>
      <c r="K26" t="s">
        <v>2156</v>
      </c>
      <c r="P26" s="13" t="s">
        <v>120</v>
      </c>
    </row>
    <row r="27" spans="1:16" ht="15.6">
      <c r="D27" s="4" t="s">
        <v>300</v>
      </c>
      <c r="E27" t="s">
        <v>300</v>
      </c>
      <c r="J27" t="s">
        <v>2157</v>
      </c>
      <c r="K27" t="s">
        <v>2157</v>
      </c>
      <c r="P27" s="13" t="s">
        <v>508</v>
      </c>
    </row>
    <row r="28" spans="1:16" ht="15.6">
      <c r="D28" s="4" t="s">
        <v>1727</v>
      </c>
      <c r="J28" t="s">
        <v>2158</v>
      </c>
      <c r="K28" t="s">
        <v>2158</v>
      </c>
    </row>
    <row r="29" spans="1:16" ht="15.6">
      <c r="D29" s="4" t="s">
        <v>1733</v>
      </c>
      <c r="J29" t="s">
        <v>2159</v>
      </c>
      <c r="K29" t="s">
        <v>2159</v>
      </c>
    </row>
    <row r="30" spans="1:16" ht="15.6">
      <c r="D30" s="4" t="s">
        <v>1735</v>
      </c>
      <c r="E30" t="s">
        <v>1735</v>
      </c>
      <c r="F30" t="s">
        <v>62</v>
      </c>
      <c r="J30" t="s">
        <v>2160</v>
      </c>
      <c r="K30" t="s">
        <v>2160</v>
      </c>
    </row>
    <row r="31" spans="1:16" ht="15.6">
      <c r="D31" s="4" t="s">
        <v>1757</v>
      </c>
      <c r="J31" t="s">
        <v>1274</v>
      </c>
      <c r="K31" t="s">
        <v>1274</v>
      </c>
    </row>
    <row r="32" spans="1:16" ht="15.6">
      <c r="D32" s="4" t="s">
        <v>1766</v>
      </c>
      <c r="J32" t="s">
        <v>2161</v>
      </c>
      <c r="K32" t="s">
        <v>2161</v>
      </c>
    </row>
    <row r="33" spans="4:11" ht="15.6">
      <c r="D33" s="4" t="s">
        <v>1771</v>
      </c>
      <c r="E33" t="s">
        <v>68</v>
      </c>
      <c r="J33" t="s">
        <v>2162</v>
      </c>
      <c r="K33" t="s">
        <v>2162</v>
      </c>
    </row>
    <row r="34" spans="4:11" ht="15.6">
      <c r="D34" s="6" t="s">
        <v>1777</v>
      </c>
      <c r="J34" t="s">
        <v>2163</v>
      </c>
      <c r="K34" t="s">
        <v>2163</v>
      </c>
    </row>
    <row r="35" spans="4:11" ht="15.6">
      <c r="D35" s="4" t="s">
        <v>904</v>
      </c>
      <c r="F35" t="s">
        <v>904</v>
      </c>
      <c r="J35" t="s">
        <v>2164</v>
      </c>
      <c r="K35" t="s">
        <v>2164</v>
      </c>
    </row>
    <row r="36" spans="4:11" ht="15.6">
      <c r="D36" s="4" t="s">
        <v>1783</v>
      </c>
      <c r="E36" t="s">
        <v>1783</v>
      </c>
      <c r="F36" t="s">
        <v>3078</v>
      </c>
      <c r="J36" t="s">
        <v>1277</v>
      </c>
      <c r="K36" t="s">
        <v>1277</v>
      </c>
    </row>
    <row r="37" spans="4:11" ht="15.6">
      <c r="D37" s="4" t="s">
        <v>323</v>
      </c>
      <c r="E37" t="s">
        <v>323</v>
      </c>
      <c r="F37" t="s">
        <v>3098</v>
      </c>
      <c r="J37" t="s">
        <v>2165</v>
      </c>
      <c r="K37" t="s">
        <v>2165</v>
      </c>
    </row>
    <row r="38" spans="4:11" ht="15.6">
      <c r="D38" s="4" t="s">
        <v>1795</v>
      </c>
      <c r="E38" t="s">
        <v>2169</v>
      </c>
      <c r="F38" t="s">
        <v>71</v>
      </c>
      <c r="J38" t="s">
        <v>2166</v>
      </c>
      <c r="K38" t="s">
        <v>2166</v>
      </c>
    </row>
    <row r="39" spans="4:11" ht="15.6">
      <c r="D39" s="4" t="s">
        <v>328</v>
      </c>
      <c r="E39" t="s">
        <v>2144</v>
      </c>
      <c r="J39" t="s">
        <v>2167</v>
      </c>
      <c r="K39" t="s">
        <v>2167</v>
      </c>
    </row>
    <row r="40" spans="4:11" ht="15.6">
      <c r="D40" s="4" t="s">
        <v>925</v>
      </c>
      <c r="E40" t="s">
        <v>2145</v>
      </c>
      <c r="F40" t="s">
        <v>922</v>
      </c>
      <c r="J40" t="s">
        <v>2168</v>
      </c>
      <c r="K40" t="s">
        <v>2168</v>
      </c>
    </row>
    <row r="41" spans="4:11" ht="15.6">
      <c r="D41" s="4" t="s">
        <v>1822</v>
      </c>
      <c r="E41" t="s">
        <v>2146</v>
      </c>
      <c r="J41" t="s">
        <v>2169</v>
      </c>
      <c r="K41" t="s">
        <v>2169</v>
      </c>
    </row>
    <row r="42" spans="4:11" ht="15.6">
      <c r="D42" s="4" t="s">
        <v>1839</v>
      </c>
      <c r="J42" t="s">
        <v>2170</v>
      </c>
      <c r="K42" t="s">
        <v>2170</v>
      </c>
    </row>
    <row r="43" spans="4:11" ht="15.6">
      <c r="D43" s="4" t="s">
        <v>1841</v>
      </c>
      <c r="J43" t="s">
        <v>2206</v>
      </c>
      <c r="K43" t="s">
        <v>2207</v>
      </c>
    </row>
    <row r="44" spans="4:11" ht="15.6">
      <c r="D44" s="4" t="s">
        <v>73</v>
      </c>
      <c r="E44" t="s">
        <v>73</v>
      </c>
      <c r="F44" t="s">
        <v>2152</v>
      </c>
      <c r="J44" t="s">
        <v>2208</v>
      </c>
    </row>
    <row r="45" spans="4:11" ht="15.6">
      <c r="D45" s="4" t="s">
        <v>1872</v>
      </c>
      <c r="E45" t="s">
        <v>80</v>
      </c>
      <c r="J45" t="s">
        <v>2209</v>
      </c>
    </row>
    <row r="46" spans="4:11" ht="15.6">
      <c r="D46" s="4" t="s">
        <v>1875</v>
      </c>
      <c r="J46" t="s">
        <v>2210</v>
      </c>
    </row>
    <row r="47" spans="4:11" ht="15.6">
      <c r="D47" s="4" t="s">
        <v>1883</v>
      </c>
      <c r="J47" t="s">
        <v>2211</v>
      </c>
      <c r="K47" t="s">
        <v>2212</v>
      </c>
    </row>
    <row r="48" spans="4:11" ht="15.6">
      <c r="D48" s="4" t="s">
        <v>1887</v>
      </c>
      <c r="E48" t="s">
        <v>369</v>
      </c>
      <c r="J48" t="s">
        <v>2213</v>
      </c>
    </row>
    <row r="49" spans="4:11" ht="15.6">
      <c r="D49" s="4" t="s">
        <v>54</v>
      </c>
      <c r="E49" t="s">
        <v>1269</v>
      </c>
      <c r="J49" t="s">
        <v>2214</v>
      </c>
    </row>
    <row r="50" spans="4:11" ht="15.6">
      <c r="D50" s="4" t="s">
        <v>439</v>
      </c>
      <c r="J50" t="s">
        <v>2215</v>
      </c>
    </row>
    <row r="51" spans="4:11" ht="15.6">
      <c r="D51" s="4" t="s">
        <v>387</v>
      </c>
      <c r="E51" t="s">
        <v>2160</v>
      </c>
      <c r="F51" t="s">
        <v>384</v>
      </c>
      <c r="J51" t="s">
        <v>2216</v>
      </c>
    </row>
    <row r="52" spans="4:11" ht="15.6">
      <c r="D52" s="4" t="s">
        <v>1923</v>
      </c>
      <c r="E52" t="s">
        <v>1274</v>
      </c>
      <c r="F52" t="s">
        <v>93</v>
      </c>
      <c r="J52" t="s">
        <v>2217</v>
      </c>
    </row>
    <row r="53" spans="4:11" ht="15.6">
      <c r="D53" s="4" t="s">
        <v>40</v>
      </c>
      <c r="J53" t="s">
        <v>2218</v>
      </c>
      <c r="K53" t="s">
        <v>2219</v>
      </c>
    </row>
    <row r="54" spans="4:11" ht="15.6">
      <c r="D54" s="6" t="s">
        <v>1961</v>
      </c>
      <c r="J54" t="s">
        <v>2220</v>
      </c>
    </row>
    <row r="55" spans="4:11" ht="15.6">
      <c r="D55" s="4" t="s">
        <v>670</v>
      </c>
      <c r="E55" t="s">
        <v>670</v>
      </c>
      <c r="F55" t="s">
        <v>2161</v>
      </c>
      <c r="J55" t="s">
        <v>2221</v>
      </c>
    </row>
    <row r="56" spans="4:11" ht="15.6">
      <c r="D56" s="4" t="s">
        <v>409</v>
      </c>
      <c r="E56" t="s">
        <v>409</v>
      </c>
      <c r="J56" t="s">
        <v>2222</v>
      </c>
    </row>
    <row r="57" spans="4:11" ht="15.6">
      <c r="D57" s="4" t="s">
        <v>1977</v>
      </c>
      <c r="J57" t="s">
        <v>2223</v>
      </c>
      <c r="K57" t="s">
        <v>2224</v>
      </c>
    </row>
    <row r="58" spans="4:11" ht="15.6">
      <c r="D58" s="4" t="s">
        <v>1990</v>
      </c>
      <c r="J58" t="s">
        <v>2225</v>
      </c>
      <c r="K58" t="s">
        <v>2226</v>
      </c>
    </row>
    <row r="59" spans="4:11" ht="15.6">
      <c r="D59" s="4" t="s">
        <v>1993</v>
      </c>
      <c r="J59" t="s">
        <v>2227</v>
      </c>
      <c r="K59" t="s">
        <v>2228</v>
      </c>
    </row>
    <row r="60" spans="4:11" ht="15.6">
      <c r="D60" s="4" t="s">
        <v>104</v>
      </c>
      <c r="E60" t="s">
        <v>104</v>
      </c>
      <c r="J60" t="s">
        <v>2229</v>
      </c>
    </row>
    <row r="61" spans="4:11" ht="15.6">
      <c r="D61" s="4" t="s">
        <v>2074</v>
      </c>
      <c r="E61" t="s">
        <v>2162</v>
      </c>
      <c r="J61" t="s">
        <v>2230</v>
      </c>
    </row>
    <row r="62" spans="4:11" ht="15.6">
      <c r="D62" s="4" t="s">
        <v>2077</v>
      </c>
      <c r="E62" t="s">
        <v>2163</v>
      </c>
      <c r="F62" t="s">
        <v>2164</v>
      </c>
      <c r="J62" t="s">
        <v>2231</v>
      </c>
      <c r="K62" t="s">
        <v>2232</v>
      </c>
    </row>
    <row r="63" spans="4:11" ht="15.6">
      <c r="D63" s="4" t="s">
        <v>120</v>
      </c>
      <c r="E63" t="s">
        <v>1277</v>
      </c>
      <c r="F63" t="s">
        <v>120</v>
      </c>
      <c r="J63" t="s">
        <v>2233</v>
      </c>
    </row>
    <row r="64" spans="4:11" ht="15.6">
      <c r="D64" s="4" t="s">
        <v>2102</v>
      </c>
      <c r="J64" t="s">
        <v>2234</v>
      </c>
      <c r="K64" t="s">
        <v>2235</v>
      </c>
    </row>
    <row r="65" spans="4:11" ht="15.6">
      <c r="D65" s="4" t="s">
        <v>508</v>
      </c>
      <c r="E65" t="s">
        <v>508</v>
      </c>
      <c r="F65" t="s">
        <v>2156</v>
      </c>
      <c r="J65" t="s">
        <v>2236</v>
      </c>
    </row>
    <row r="66" spans="4:11" ht="15.6">
      <c r="D66" s="4" t="s">
        <v>2112</v>
      </c>
      <c r="J66" t="s">
        <v>2237</v>
      </c>
    </row>
    <row r="67" spans="4:11" ht="15.6">
      <c r="D67" s="4" t="s">
        <v>2117</v>
      </c>
      <c r="E67" t="s">
        <v>2157</v>
      </c>
      <c r="J67" t="s">
        <v>2238</v>
      </c>
    </row>
    <row r="68" spans="4:11">
      <c r="D68" s="10"/>
      <c r="J68" t="s">
        <v>2239</v>
      </c>
    </row>
    <row r="69" spans="4:11">
      <c r="J69" t="s">
        <v>2240</v>
      </c>
    </row>
    <row r="70" spans="4:11">
      <c r="J70" t="s">
        <v>2241</v>
      </c>
    </row>
    <row r="71" spans="4:11">
      <c r="J71" t="s">
        <v>2242</v>
      </c>
    </row>
    <row r="72" spans="4:11">
      <c r="J72" t="s">
        <v>2243</v>
      </c>
    </row>
    <row r="73" spans="4:11">
      <c r="J73" t="s">
        <v>2244</v>
      </c>
    </row>
    <row r="74" spans="4:11">
      <c r="J74" t="s">
        <v>2245</v>
      </c>
    </row>
    <row r="75" spans="4:11">
      <c r="J75" t="s">
        <v>2246</v>
      </c>
    </row>
    <row r="76" spans="4:11">
      <c r="J76" t="s">
        <v>2247</v>
      </c>
      <c r="K76" t="s">
        <v>2248</v>
      </c>
    </row>
    <row r="77" spans="4:11">
      <c r="J77" t="s">
        <v>2249</v>
      </c>
    </row>
    <row r="78" spans="4:11">
      <c r="J78" t="s">
        <v>2249</v>
      </c>
      <c r="K78" t="s">
        <v>2250</v>
      </c>
    </row>
    <row r="79" spans="4:11">
      <c r="J79" t="s">
        <v>2251</v>
      </c>
    </row>
    <row r="80" spans="4:11">
      <c r="J80" t="s">
        <v>2252</v>
      </c>
      <c r="K80" t="s">
        <v>2253</v>
      </c>
    </row>
    <row r="81" spans="10:11">
      <c r="J81" t="s">
        <v>2254</v>
      </c>
    </row>
    <row r="82" spans="10:11">
      <c r="J82" t="s">
        <v>2255</v>
      </c>
      <c r="K82" t="s">
        <v>2256</v>
      </c>
    </row>
    <row r="83" spans="10:11">
      <c r="J83" t="s">
        <v>2257</v>
      </c>
    </row>
    <row r="84" spans="10:11">
      <c r="J84" t="s">
        <v>2258</v>
      </c>
    </row>
    <row r="85" spans="10:11">
      <c r="J85" t="s">
        <v>2259</v>
      </c>
    </row>
    <row r="86" spans="10:11">
      <c r="J86" t="s">
        <v>559</v>
      </c>
      <c r="K86" t="s">
        <v>2260</v>
      </c>
    </row>
    <row r="87" spans="10:11">
      <c r="J87" t="s">
        <v>2261</v>
      </c>
    </row>
    <row r="88" spans="10:11">
      <c r="J88" t="s">
        <v>2262</v>
      </c>
    </row>
    <row r="89" spans="10:11">
      <c r="J89" t="s">
        <v>2263</v>
      </c>
    </row>
    <row r="90" spans="10:11">
      <c r="J90" t="s">
        <v>1850</v>
      </c>
    </row>
    <row r="91" spans="10:11">
      <c r="J91" t="s">
        <v>2264</v>
      </c>
    </row>
    <row r="92" spans="10:11">
      <c r="J92" t="s">
        <v>2265</v>
      </c>
      <c r="K92" t="s">
        <v>2266</v>
      </c>
    </row>
    <row r="93" spans="10:11">
      <c r="J93" t="s">
        <v>3</v>
      </c>
    </row>
    <row r="94" spans="10:11">
      <c r="J94" t="s">
        <v>2267</v>
      </c>
    </row>
    <row r="95" spans="10:11">
      <c r="J95" t="s">
        <v>2268</v>
      </c>
    </row>
    <row r="96" spans="10:11">
      <c r="J96" t="s">
        <v>2269</v>
      </c>
    </row>
    <row r="97" spans="10:11">
      <c r="J97" t="s">
        <v>2270</v>
      </c>
      <c r="K97" t="s">
        <v>2271</v>
      </c>
    </row>
    <row r="98" spans="10:11">
      <c r="J98" t="s">
        <v>2272</v>
      </c>
    </row>
    <row r="99" spans="10:11">
      <c r="J99" t="s">
        <v>1281</v>
      </c>
      <c r="K99" t="s">
        <v>2273</v>
      </c>
    </row>
    <row r="100" spans="10:11">
      <c r="J100" t="s">
        <v>2274</v>
      </c>
      <c r="K100" t="s">
        <v>2275</v>
      </c>
    </row>
    <row r="101" spans="10:11">
      <c r="J101" t="s">
        <v>2276</v>
      </c>
    </row>
    <row r="102" spans="10:11">
      <c r="J102" t="s">
        <v>2277</v>
      </c>
    </row>
    <row r="103" spans="10:11">
      <c r="J103" t="s">
        <v>2278</v>
      </c>
    </row>
    <row r="104" spans="10:11">
      <c r="J104" t="s">
        <v>2279</v>
      </c>
    </row>
    <row r="105" spans="10:11">
      <c r="J105" t="s">
        <v>2280</v>
      </c>
    </row>
    <row r="106" spans="10:11">
      <c r="J106" t="s">
        <v>2281</v>
      </c>
    </row>
    <row r="107" spans="10:11">
      <c r="J107" t="s">
        <v>2282</v>
      </c>
    </row>
    <row r="108" spans="10:11">
      <c r="J108" t="s">
        <v>2283</v>
      </c>
    </row>
    <row r="109" spans="10:11">
      <c r="J109" t="s">
        <v>2284</v>
      </c>
    </row>
    <row r="110" spans="10:11">
      <c r="J110" t="s">
        <v>2285</v>
      </c>
    </row>
    <row r="111" spans="10:11">
      <c r="J111" t="s">
        <v>2286</v>
      </c>
    </row>
    <row r="112" spans="10:11">
      <c r="J112" t="s">
        <v>2287</v>
      </c>
    </row>
    <row r="113" spans="10:11">
      <c r="J113" t="s">
        <v>2288</v>
      </c>
    </row>
    <row r="114" spans="10:11">
      <c r="J114" t="s">
        <v>2289</v>
      </c>
    </row>
    <row r="115" spans="10:11">
      <c r="J115" t="s">
        <v>2290</v>
      </c>
      <c r="K115" t="s">
        <v>2291</v>
      </c>
    </row>
    <row r="116" spans="10:11">
      <c r="J116" t="s">
        <v>2292</v>
      </c>
    </row>
    <row r="117" spans="10:11">
      <c r="J117" t="s">
        <v>2293</v>
      </c>
    </row>
    <row r="118" spans="10:11">
      <c r="J118" t="s">
        <v>2294</v>
      </c>
      <c r="K118" t="s">
        <v>2295</v>
      </c>
    </row>
    <row r="119" spans="10:11">
      <c r="J119" t="s">
        <v>2296</v>
      </c>
    </row>
    <row r="120" spans="10:11">
      <c r="J120" t="s">
        <v>2297</v>
      </c>
    </row>
    <row r="121" spans="10:11">
      <c r="J121" t="s">
        <v>2298</v>
      </c>
    </row>
    <row r="122" spans="10:11">
      <c r="J122" t="s">
        <v>2299</v>
      </c>
      <c r="K122" t="s">
        <v>2300</v>
      </c>
    </row>
    <row r="123" spans="10:11">
      <c r="J123" t="s">
        <v>2301</v>
      </c>
    </row>
    <row r="124" spans="10:11">
      <c r="J124" t="s">
        <v>2302</v>
      </c>
    </row>
    <row r="125" spans="10:11">
      <c r="J125" t="s">
        <v>2303</v>
      </c>
      <c r="K125" t="s">
        <v>2304</v>
      </c>
    </row>
    <row r="126" spans="10:11">
      <c r="J126" t="s">
        <v>2305</v>
      </c>
    </row>
    <row r="127" spans="10:11">
      <c r="J127" t="s">
        <v>2306</v>
      </c>
    </row>
    <row r="128" spans="10:11">
      <c r="J128" t="s">
        <v>2307</v>
      </c>
      <c r="K128" t="s">
        <v>2308</v>
      </c>
    </row>
    <row r="129" spans="10:11">
      <c r="J129" t="s">
        <v>2309</v>
      </c>
      <c r="K129" t="s">
        <v>2310</v>
      </c>
    </row>
    <row r="130" spans="10:11">
      <c r="J130" t="s">
        <v>2311</v>
      </c>
    </row>
    <row r="131" spans="10:11">
      <c r="J131" t="s">
        <v>2312</v>
      </c>
      <c r="K131" t="s">
        <v>2313</v>
      </c>
    </row>
    <row r="132" spans="10:11">
      <c r="J132" t="s">
        <v>2314</v>
      </c>
      <c r="K132" t="s">
        <v>2315</v>
      </c>
    </row>
    <row r="133" spans="10:11">
      <c r="J133" t="s">
        <v>2316</v>
      </c>
      <c r="K133" t="s">
        <v>2317</v>
      </c>
    </row>
    <row r="134" spans="10:11">
      <c r="J134" t="s">
        <v>2318</v>
      </c>
    </row>
    <row r="135" spans="10:11">
      <c r="J135" t="s">
        <v>2319</v>
      </c>
    </row>
    <row r="136" spans="10:11">
      <c r="J136" t="s">
        <v>812</v>
      </c>
    </row>
    <row r="137" spans="10:11">
      <c r="J137" t="s">
        <v>2320</v>
      </c>
    </row>
    <row r="138" spans="10:11">
      <c r="J138" t="s">
        <v>2321</v>
      </c>
    </row>
    <row r="139" spans="10:11">
      <c r="J139" t="s">
        <v>2322</v>
      </c>
    </row>
    <row r="140" spans="10:11">
      <c r="J140" t="s">
        <v>2323</v>
      </c>
    </row>
    <row r="141" spans="10:11">
      <c r="J141" t="s">
        <v>125</v>
      </c>
      <c r="K141" t="s">
        <v>2324</v>
      </c>
    </row>
    <row r="142" spans="10:11">
      <c r="J142" t="s">
        <v>2325</v>
      </c>
    </row>
    <row r="143" spans="10:11">
      <c r="J143" t="s">
        <v>2326</v>
      </c>
    </row>
    <row r="144" spans="10:11">
      <c r="J144" t="s">
        <v>2327</v>
      </c>
    </row>
    <row r="145" spans="10:11">
      <c r="J145" t="s">
        <v>2328</v>
      </c>
    </row>
    <row r="146" spans="10:11">
      <c r="J146" t="s">
        <v>2329</v>
      </c>
      <c r="K146" t="s">
        <v>2330</v>
      </c>
    </row>
    <row r="147" spans="10:11">
      <c r="J147" t="s">
        <v>2331</v>
      </c>
    </row>
    <row r="148" spans="10:11">
      <c r="J148" t="s">
        <v>2332</v>
      </c>
    </row>
    <row r="149" spans="10:11">
      <c r="J149" t="s">
        <v>2333</v>
      </c>
      <c r="K149" t="s">
        <v>2334</v>
      </c>
    </row>
    <row r="150" spans="10:11">
      <c r="J150" t="s">
        <v>2335</v>
      </c>
      <c r="K150" t="s">
        <v>2336</v>
      </c>
    </row>
    <row r="151" spans="10:11">
      <c r="J151" t="s">
        <v>2337</v>
      </c>
    </row>
    <row r="152" spans="10:11">
      <c r="J152" t="s">
        <v>814</v>
      </c>
      <c r="K152" t="s">
        <v>2338</v>
      </c>
    </row>
    <row r="153" spans="10:11">
      <c r="J153" t="s">
        <v>2339</v>
      </c>
      <c r="K153" t="s">
        <v>2340</v>
      </c>
    </row>
    <row r="154" spans="10:11">
      <c r="J154" t="s">
        <v>2341</v>
      </c>
    </row>
    <row r="155" spans="10:11">
      <c r="J155" t="s">
        <v>2342</v>
      </c>
      <c r="K155" t="s">
        <v>2343</v>
      </c>
    </row>
    <row r="156" spans="10:11">
      <c r="J156" t="s">
        <v>2344</v>
      </c>
    </row>
    <row r="157" spans="10:11">
      <c r="J157" t="s">
        <v>2345</v>
      </c>
    </row>
    <row r="158" spans="10:11">
      <c r="J158" t="s">
        <v>2346</v>
      </c>
    </row>
    <row r="159" spans="10:11">
      <c r="J159" t="s">
        <v>2347</v>
      </c>
    </row>
    <row r="160" spans="10:11">
      <c r="J160" t="s">
        <v>2348</v>
      </c>
    </row>
    <row r="161" spans="10:11">
      <c r="J161" t="s">
        <v>2349</v>
      </c>
    </row>
    <row r="162" spans="10:11">
      <c r="J162" t="s">
        <v>2350</v>
      </c>
    </row>
    <row r="163" spans="10:11">
      <c r="J163" t="s">
        <v>2351</v>
      </c>
      <c r="K163" t="s">
        <v>2352</v>
      </c>
    </row>
    <row r="164" spans="10:11">
      <c r="J164" t="s">
        <v>2353</v>
      </c>
    </row>
    <row r="165" spans="10:11">
      <c r="J165" t="s">
        <v>2354</v>
      </c>
    </row>
    <row r="166" spans="10:11">
      <c r="J166" t="s">
        <v>2355</v>
      </c>
    </row>
    <row r="167" spans="10:11">
      <c r="J167" t="s">
        <v>2356</v>
      </c>
      <c r="K167" t="s">
        <v>2357</v>
      </c>
    </row>
    <row r="168" spans="10:11">
      <c r="J168" t="s">
        <v>2358</v>
      </c>
    </row>
    <row r="169" spans="10:11">
      <c r="J169" t="s">
        <v>2359</v>
      </c>
    </row>
    <row r="170" spans="10:11">
      <c r="J170" t="s">
        <v>2360</v>
      </c>
    </row>
    <row r="171" spans="10:11">
      <c r="J171" t="s">
        <v>2361</v>
      </c>
    </row>
    <row r="172" spans="10:11">
      <c r="J172" t="s">
        <v>1033</v>
      </c>
    </row>
    <row r="173" spans="10:11">
      <c r="J173" t="s">
        <v>2362</v>
      </c>
      <c r="K173" t="s">
        <v>2363</v>
      </c>
    </row>
    <row r="174" spans="10:11">
      <c r="J174" t="s">
        <v>2364</v>
      </c>
      <c r="K174" t="s">
        <v>2365</v>
      </c>
    </row>
    <row r="175" spans="10:11">
      <c r="J175" t="s">
        <v>2366</v>
      </c>
    </row>
    <row r="176" spans="10:11">
      <c r="J176" t="s">
        <v>2367</v>
      </c>
      <c r="K176" t="s">
        <v>2368</v>
      </c>
    </row>
    <row r="177" spans="10:11">
      <c r="J177" t="s">
        <v>121</v>
      </c>
      <c r="K177" t="s">
        <v>2369</v>
      </c>
    </row>
    <row r="178" spans="10:11">
      <c r="J178" t="s">
        <v>2370</v>
      </c>
      <c r="K178" t="s">
        <v>1476</v>
      </c>
    </row>
    <row r="179" spans="10:11">
      <c r="J179" t="s">
        <v>2371</v>
      </c>
      <c r="K179" t="s">
        <v>2372</v>
      </c>
    </row>
    <row r="180" spans="10:11">
      <c r="J180" t="s">
        <v>2373</v>
      </c>
      <c r="K180" t="s">
        <v>2374</v>
      </c>
    </row>
    <row r="181" spans="10:11">
      <c r="J181" t="s">
        <v>2375</v>
      </c>
    </row>
    <row r="182" spans="10:11">
      <c r="J182" t="s">
        <v>1035</v>
      </c>
    </row>
    <row r="183" spans="10:11">
      <c r="J183" t="s">
        <v>2376</v>
      </c>
    </row>
    <row r="184" spans="10:11">
      <c r="J184" t="s">
        <v>2377</v>
      </c>
    </row>
    <row r="185" spans="10:11">
      <c r="J185" t="s">
        <v>2378</v>
      </c>
    </row>
    <row r="186" spans="10:11">
      <c r="J186" t="s">
        <v>2379</v>
      </c>
    </row>
    <row r="187" spans="10:11">
      <c r="J187" t="s">
        <v>2380</v>
      </c>
    </row>
    <row r="188" spans="10:11">
      <c r="J188" t="s">
        <v>2381</v>
      </c>
    </row>
    <row r="189" spans="10:11">
      <c r="J189" t="s">
        <v>2382</v>
      </c>
    </row>
    <row r="190" spans="10:11">
      <c r="J190" t="s">
        <v>2383</v>
      </c>
    </row>
    <row r="191" spans="10:11">
      <c r="J191" t="s">
        <v>2384</v>
      </c>
    </row>
    <row r="192" spans="10:11">
      <c r="J192" t="s">
        <v>2385</v>
      </c>
    </row>
    <row r="193" spans="10:11">
      <c r="J193" t="s">
        <v>2386</v>
      </c>
    </row>
    <row r="194" spans="10:11">
      <c r="J194" t="s">
        <v>2387</v>
      </c>
    </row>
    <row r="195" spans="10:11">
      <c r="J195" t="s">
        <v>2388</v>
      </c>
    </row>
    <row r="196" spans="10:11">
      <c r="J196" t="s">
        <v>2389</v>
      </c>
    </row>
    <row r="197" spans="10:11">
      <c r="J197" t="s">
        <v>2390</v>
      </c>
      <c r="K197" t="s">
        <v>2391</v>
      </c>
    </row>
    <row r="198" spans="10:11">
      <c r="J198" t="s">
        <v>2392</v>
      </c>
    </row>
    <row r="199" spans="10:11">
      <c r="J199" t="s">
        <v>2393</v>
      </c>
      <c r="K199" t="s">
        <v>2394</v>
      </c>
    </row>
    <row r="200" spans="10:11">
      <c r="J200" t="s">
        <v>2395</v>
      </c>
    </row>
    <row r="201" spans="10:11">
      <c r="J201" t="s">
        <v>2396</v>
      </c>
    </row>
    <row r="202" spans="10:11">
      <c r="J202" t="s">
        <v>2397</v>
      </c>
    </row>
    <row r="203" spans="10:11">
      <c r="J203" t="s">
        <v>2398</v>
      </c>
      <c r="K203" t="s">
        <v>2399</v>
      </c>
    </row>
    <row r="204" spans="10:11">
      <c r="J204" t="s">
        <v>2400</v>
      </c>
      <c r="K204" t="s">
        <v>2401</v>
      </c>
    </row>
    <row r="205" spans="10:11">
      <c r="J205" t="s">
        <v>2402</v>
      </c>
      <c r="K205" t="s">
        <v>2403</v>
      </c>
    </row>
    <row r="206" spans="10:11">
      <c r="J206" t="s">
        <v>2404</v>
      </c>
      <c r="K206" t="s">
        <v>2405</v>
      </c>
    </row>
    <row r="207" spans="10:11">
      <c r="J207" t="s">
        <v>2406</v>
      </c>
      <c r="K207" t="s">
        <v>2407</v>
      </c>
    </row>
    <row r="208" spans="10:11">
      <c r="J208" t="s">
        <v>2408</v>
      </c>
      <c r="K208" t="s">
        <v>2409</v>
      </c>
    </row>
    <row r="209" spans="10:11">
      <c r="J209" t="s">
        <v>2410</v>
      </c>
    </row>
    <row r="210" spans="10:11">
      <c r="J210" t="s">
        <v>2411</v>
      </c>
      <c r="K210" t="s">
        <v>2412</v>
      </c>
    </row>
    <row r="211" spans="10:11">
      <c r="J211" t="s">
        <v>2413</v>
      </c>
    </row>
    <row r="212" spans="10:11">
      <c r="J212" t="s">
        <v>2414</v>
      </c>
    </row>
    <row r="213" spans="10:11">
      <c r="J213" t="s">
        <v>2415</v>
      </c>
    </row>
    <row r="214" spans="10:11">
      <c r="J214" t="s">
        <v>2416</v>
      </c>
    </row>
    <row r="215" spans="10:11">
      <c r="J215" t="s">
        <v>2417</v>
      </c>
    </row>
    <row r="216" spans="10:11">
      <c r="J216" t="s">
        <v>2418</v>
      </c>
    </row>
    <row r="217" spans="10:11">
      <c r="J217" t="s">
        <v>2419</v>
      </c>
      <c r="K217" t="s">
        <v>2420</v>
      </c>
    </row>
    <row r="218" spans="10:11">
      <c r="J218" t="s">
        <v>2421</v>
      </c>
    </row>
    <row r="219" spans="10:11">
      <c r="J219" t="s">
        <v>7</v>
      </c>
      <c r="K219" t="s">
        <v>2422</v>
      </c>
    </row>
    <row r="220" spans="10:11">
      <c r="J220" t="s">
        <v>22</v>
      </c>
    </row>
    <row r="221" spans="10:11">
      <c r="J221" t="s">
        <v>2423</v>
      </c>
    </row>
    <row r="222" spans="10:11">
      <c r="J222" t="s">
        <v>2424</v>
      </c>
      <c r="K222" t="s">
        <v>2425</v>
      </c>
    </row>
    <row r="223" spans="10:11">
      <c r="J223" t="s">
        <v>2426</v>
      </c>
      <c r="K223" t="s">
        <v>2427</v>
      </c>
    </row>
    <row r="224" spans="10:11">
      <c r="J224" t="s">
        <v>2428</v>
      </c>
    </row>
    <row r="225" spans="10:11">
      <c r="J225" t="s">
        <v>2429</v>
      </c>
    </row>
    <row r="226" spans="10:11">
      <c r="J226" t="s">
        <v>2430</v>
      </c>
    </row>
    <row r="227" spans="10:11">
      <c r="J227" t="s">
        <v>2431</v>
      </c>
      <c r="K227" t="s">
        <v>2432</v>
      </c>
    </row>
    <row r="228" spans="10:11">
      <c r="J228" t="s">
        <v>2433</v>
      </c>
    </row>
    <row r="229" spans="10:11">
      <c r="J229" t="s">
        <v>2434</v>
      </c>
    </row>
    <row r="230" spans="10:11">
      <c r="J230" t="s">
        <v>2435</v>
      </c>
    </row>
    <row r="231" spans="10:11">
      <c r="J231" t="s">
        <v>2436</v>
      </c>
      <c r="K231" t="s">
        <v>2437</v>
      </c>
    </row>
    <row r="232" spans="10:11">
      <c r="J232" t="s">
        <v>2438</v>
      </c>
    </row>
    <row r="233" spans="10:11">
      <c r="J233" t="s">
        <v>2439</v>
      </c>
    </row>
    <row r="234" spans="10:11">
      <c r="J234" t="s">
        <v>2193</v>
      </c>
      <c r="K234" t="s">
        <v>2194</v>
      </c>
    </row>
    <row r="235" spans="10:11">
      <c r="J235" t="s">
        <v>2195</v>
      </c>
      <c r="K235" t="s">
        <v>2196</v>
      </c>
    </row>
    <row r="236" spans="10:11">
      <c r="J236" t="s">
        <v>2197</v>
      </c>
    </row>
    <row r="237" spans="10:11">
      <c r="J237" t="s">
        <v>2198</v>
      </c>
    </row>
    <row r="238" spans="10:11">
      <c r="J238" t="s">
        <v>2199</v>
      </c>
    </row>
    <row r="239" spans="10:11">
      <c r="J239" t="s">
        <v>2200</v>
      </c>
      <c r="K239" t="s">
        <v>2201</v>
      </c>
    </row>
    <row r="240" spans="10:11">
      <c r="J240" t="s">
        <v>2202</v>
      </c>
      <c r="K240" t="s">
        <v>2203</v>
      </c>
    </row>
    <row r="241" spans="10:11">
      <c r="J241" t="s">
        <v>2204</v>
      </c>
    </row>
    <row r="242" spans="10:11">
      <c r="J242" t="s">
        <v>2205</v>
      </c>
    </row>
    <row r="243" spans="10:11">
      <c r="J243" t="s">
        <v>2172</v>
      </c>
    </row>
    <row r="244" spans="10:11">
      <c r="J244" t="s">
        <v>2173</v>
      </c>
    </row>
    <row r="245" spans="10:11">
      <c r="J245" t="s">
        <v>2174</v>
      </c>
    </row>
    <row r="246" spans="10:11">
      <c r="J246" t="s">
        <v>2176</v>
      </c>
    </row>
    <row r="247" spans="10:11">
      <c r="J247" t="s">
        <v>2175</v>
      </c>
    </row>
    <row r="248" spans="10:11">
      <c r="J248" t="s">
        <v>2177</v>
      </c>
    </row>
    <row r="249" spans="10:11">
      <c r="J249" t="s">
        <v>2178</v>
      </c>
    </row>
    <row r="250" spans="10:11">
      <c r="J250" t="s">
        <v>2179</v>
      </c>
    </row>
    <row r="251" spans="10:11">
      <c r="J251" t="s">
        <v>2180</v>
      </c>
    </row>
    <row r="252" spans="10:11">
      <c r="J252" t="s">
        <v>2181</v>
      </c>
    </row>
    <row r="253" spans="10:11">
      <c r="J253" t="s">
        <v>2182</v>
      </c>
      <c r="K253" t="s">
        <v>2183</v>
      </c>
    </row>
    <row r="254" spans="10:11">
      <c r="J254" t="s">
        <v>2184</v>
      </c>
    </row>
    <row r="255" spans="10:11">
      <c r="J255" t="s">
        <v>2185</v>
      </c>
    </row>
    <row r="256" spans="10:11">
      <c r="J256" t="s">
        <v>2136</v>
      </c>
    </row>
    <row r="257" spans="10:11">
      <c r="J257" t="s">
        <v>2186</v>
      </c>
    </row>
    <row r="258" spans="10:11">
      <c r="J258" t="s">
        <v>2187</v>
      </c>
      <c r="K258" t="s">
        <v>2188</v>
      </c>
    </row>
    <row r="259" spans="10:11">
      <c r="J259" t="s">
        <v>2190</v>
      </c>
    </row>
    <row r="260" spans="10:11">
      <c r="J260" t="s">
        <v>2189</v>
      </c>
    </row>
    <row r="261" spans="10:11">
      <c r="J261" t="s">
        <v>2191</v>
      </c>
    </row>
    <row r="262" spans="10:11">
      <c r="J262" t="s">
        <v>2192</v>
      </c>
    </row>
    <row r="263" spans="10:11">
      <c r="J263" t="s">
        <v>2171</v>
      </c>
    </row>
    <row r="264" spans="10:11">
      <c r="J264" t="s">
        <v>2440</v>
      </c>
    </row>
    <row r="265" spans="10:11">
      <c r="J265" t="s">
        <v>2441</v>
      </c>
    </row>
    <row r="266" spans="10:11">
      <c r="J266" t="s">
        <v>2442</v>
      </c>
    </row>
    <row r="267" spans="10:11">
      <c r="J267" t="s">
        <v>2443</v>
      </c>
    </row>
    <row r="268" spans="10:11">
      <c r="J268" t="s">
        <v>2444</v>
      </c>
    </row>
    <row r="269" spans="10:11">
      <c r="J269" t="s">
        <v>2445</v>
      </c>
      <c r="K269" t="s">
        <v>2446</v>
      </c>
    </row>
    <row r="270" spans="10:11">
      <c r="J270" t="s">
        <v>2447</v>
      </c>
      <c r="K270" t="s">
        <v>2448</v>
      </c>
    </row>
    <row r="271" spans="10:11">
      <c r="J271" t="s">
        <v>2449</v>
      </c>
    </row>
    <row r="272" spans="10:11">
      <c r="J272" t="s">
        <v>2450</v>
      </c>
    </row>
    <row r="273" spans="10:11">
      <c r="J273" t="s">
        <v>2451</v>
      </c>
      <c r="K273" t="s">
        <v>2452</v>
      </c>
    </row>
    <row r="274" spans="10:11">
      <c r="J274" t="s">
        <v>2453</v>
      </c>
    </row>
    <row r="275" spans="10:11">
      <c r="J275" t="s">
        <v>2454</v>
      </c>
    </row>
    <row r="276" spans="10:11">
      <c r="J276" t="s">
        <v>2455</v>
      </c>
      <c r="K276" t="s">
        <v>2456</v>
      </c>
    </row>
    <row r="277" spans="10:11">
      <c r="J277" t="s">
        <v>2457</v>
      </c>
    </row>
    <row r="278" spans="10:11">
      <c r="J278" t="s">
        <v>2458</v>
      </c>
    </row>
    <row r="279" spans="10:11">
      <c r="J279" t="s">
        <v>2459</v>
      </c>
    </row>
    <row r="280" spans="10:11">
      <c r="J280" t="s">
        <v>2460</v>
      </c>
    </row>
    <row r="281" spans="10:11">
      <c r="J281" t="s">
        <v>2461</v>
      </c>
      <c r="K281" t="s">
        <v>2462</v>
      </c>
    </row>
    <row r="282" spans="10:11">
      <c r="J282" t="s">
        <v>2463</v>
      </c>
    </row>
    <row r="283" spans="10:11">
      <c r="J283" t="s">
        <v>2464</v>
      </c>
    </row>
    <row r="284" spans="10:11">
      <c r="J284" t="s">
        <v>2465</v>
      </c>
    </row>
    <row r="285" spans="10:11">
      <c r="J285" t="s">
        <v>2466</v>
      </c>
    </row>
    <row r="286" spans="10:11">
      <c r="J286" t="s">
        <v>2467</v>
      </c>
    </row>
    <row r="287" spans="10:11">
      <c r="J287" t="s">
        <v>2468</v>
      </c>
    </row>
    <row r="288" spans="10:11">
      <c r="J288" t="s">
        <v>2469</v>
      </c>
      <c r="K288" t="s">
        <v>2470</v>
      </c>
    </row>
    <row r="289" spans="10:11">
      <c r="J289" t="s">
        <v>2471</v>
      </c>
    </row>
    <row r="290" spans="10:11">
      <c r="J290" t="s">
        <v>2472</v>
      </c>
    </row>
    <row r="291" spans="10:11">
      <c r="J291" t="s">
        <v>2473</v>
      </c>
    </row>
    <row r="292" spans="10:11">
      <c r="J292" t="s">
        <v>2474</v>
      </c>
    </row>
    <row r="293" spans="10:11">
      <c r="J293" t="s">
        <v>2475</v>
      </c>
    </row>
    <row r="294" spans="10:11">
      <c r="J294" t="s">
        <v>2476</v>
      </c>
    </row>
    <row r="295" spans="10:11">
      <c r="J295" t="s">
        <v>2477</v>
      </c>
      <c r="K295" t="s">
        <v>2478</v>
      </c>
    </row>
    <row r="296" spans="10:11">
      <c r="J296" t="s">
        <v>2479</v>
      </c>
    </row>
    <row r="297" spans="10:11">
      <c r="J297" t="s">
        <v>1295</v>
      </c>
    </row>
    <row r="298" spans="10:11">
      <c r="J298" t="s">
        <v>2480</v>
      </c>
    </row>
    <row r="299" spans="10:11">
      <c r="J299" t="s">
        <v>2481</v>
      </c>
    </row>
    <row r="300" spans="10:11">
      <c r="J300" t="s">
        <v>2482</v>
      </c>
      <c r="K300" t="s">
        <v>2483</v>
      </c>
    </row>
    <row r="301" spans="10:11">
      <c r="J301" t="s">
        <v>2484</v>
      </c>
      <c r="K301" t="s">
        <v>2485</v>
      </c>
    </row>
    <row r="302" spans="10:11">
      <c r="J302" t="s">
        <v>2486</v>
      </c>
    </row>
    <row r="303" spans="10:11">
      <c r="J303" t="s">
        <v>2487</v>
      </c>
    </row>
    <row r="304" spans="10:11">
      <c r="J304" t="s">
        <v>2488</v>
      </c>
    </row>
    <row r="305" spans="10:11">
      <c r="J305" t="s">
        <v>2489</v>
      </c>
      <c r="K305" t="s">
        <v>2490</v>
      </c>
    </row>
    <row r="306" spans="10:11">
      <c r="J306" t="s">
        <v>2491</v>
      </c>
    </row>
    <row r="307" spans="10:11">
      <c r="J307" t="s">
        <v>2492</v>
      </c>
    </row>
    <row r="308" spans="10:11">
      <c r="J308" t="s">
        <v>2493</v>
      </c>
    </row>
    <row r="309" spans="10:11">
      <c r="J309" t="s">
        <v>2494</v>
      </c>
    </row>
    <row r="310" spans="10:11">
      <c r="J310" t="s">
        <v>2495</v>
      </c>
      <c r="K310" t="s">
        <v>2496</v>
      </c>
    </row>
    <row r="311" spans="10:11">
      <c r="J311" t="s">
        <v>2497</v>
      </c>
    </row>
    <row r="312" spans="10:11">
      <c r="J312" t="s">
        <v>2498</v>
      </c>
    </row>
    <row r="313" spans="10:11">
      <c r="J313" t="s">
        <v>2499</v>
      </c>
      <c r="K313" t="s">
        <v>2500</v>
      </c>
    </row>
    <row r="314" spans="10:11">
      <c r="J314" t="s">
        <v>2501</v>
      </c>
    </row>
    <row r="315" spans="10:11">
      <c r="J315" t="s">
        <v>2502</v>
      </c>
    </row>
    <row r="316" spans="10:11">
      <c r="J316" t="s">
        <v>2503</v>
      </c>
    </row>
    <row r="317" spans="10:11">
      <c r="J317" t="s">
        <v>2504</v>
      </c>
      <c r="K317" t="s">
        <v>2505</v>
      </c>
    </row>
    <row r="318" spans="10:11">
      <c r="J318" t="s">
        <v>2506</v>
      </c>
    </row>
    <row r="319" spans="10:11">
      <c r="J319" t="s">
        <v>2507</v>
      </c>
    </row>
    <row r="320" spans="10:11">
      <c r="J320" t="s">
        <v>2508</v>
      </c>
    </row>
    <row r="321" spans="10:11">
      <c r="J321" t="s">
        <v>2509</v>
      </c>
      <c r="K321" t="s">
        <v>2510</v>
      </c>
    </row>
    <row r="322" spans="10:11">
      <c r="J322" t="s">
        <v>2511</v>
      </c>
    </row>
    <row r="323" spans="10:11">
      <c r="J323" t="s">
        <v>2512</v>
      </c>
    </row>
    <row r="324" spans="10:11">
      <c r="J324" t="s">
        <v>2513</v>
      </c>
    </row>
    <row r="325" spans="10:11">
      <c r="J325" t="s">
        <v>2514</v>
      </c>
    </row>
    <row r="326" spans="10:11">
      <c r="J326" t="s">
        <v>2515</v>
      </c>
    </row>
    <row r="327" spans="10:11">
      <c r="J327" t="s">
        <v>2516</v>
      </c>
    </row>
    <row r="328" spans="10:11">
      <c r="J328" t="s">
        <v>2517</v>
      </c>
    </row>
    <row r="329" spans="10:11">
      <c r="J329" t="s">
        <v>2518</v>
      </c>
    </row>
    <row r="330" spans="10:11">
      <c r="J330" t="s">
        <v>2519</v>
      </c>
    </row>
    <row r="331" spans="10:11">
      <c r="J331" t="s">
        <v>2520</v>
      </c>
    </row>
    <row r="332" spans="10:11">
      <c r="J332" t="s">
        <v>2521</v>
      </c>
      <c r="K332" t="s">
        <v>2522</v>
      </c>
    </row>
    <row r="333" spans="10:11">
      <c r="J333" t="s">
        <v>2523</v>
      </c>
      <c r="K333" t="s">
        <v>2524</v>
      </c>
    </row>
    <row r="334" spans="10:11">
      <c r="J334" t="s">
        <v>2525</v>
      </c>
    </row>
    <row r="335" spans="10:11">
      <c r="J335" t="s">
        <v>2526</v>
      </c>
    </row>
    <row r="336" spans="10:11">
      <c r="J336" t="s">
        <v>2527</v>
      </c>
    </row>
    <row r="337" spans="10:11">
      <c r="J337" t="s">
        <v>2528</v>
      </c>
    </row>
    <row r="338" spans="10:11">
      <c r="J338" t="s">
        <v>2529</v>
      </c>
    </row>
    <row r="339" spans="10:11">
      <c r="J339" t="s">
        <v>2530</v>
      </c>
    </row>
    <row r="340" spans="10:11">
      <c r="J340" t="s">
        <v>2531</v>
      </c>
    </row>
    <row r="341" spans="10:11">
      <c r="J341" t="s">
        <v>2532</v>
      </c>
    </row>
    <row r="342" spans="10:11">
      <c r="J342" t="s">
        <v>2533</v>
      </c>
    </row>
    <row r="343" spans="10:11">
      <c r="J343" t="s">
        <v>2534</v>
      </c>
      <c r="K343" t="s">
        <v>2535</v>
      </c>
    </row>
    <row r="344" spans="10:11">
      <c r="J344" t="s">
        <v>2536</v>
      </c>
    </row>
    <row r="345" spans="10:11">
      <c r="J345" t="s">
        <v>2537</v>
      </c>
      <c r="K345" t="s">
        <v>2538</v>
      </c>
    </row>
    <row r="346" spans="10:11">
      <c r="J346" t="s">
        <v>2539</v>
      </c>
      <c r="K346" t="s">
        <v>2540</v>
      </c>
    </row>
    <row r="347" spans="10:11">
      <c r="J347" t="s">
        <v>2541</v>
      </c>
      <c r="K347" t="s">
        <v>2542</v>
      </c>
    </row>
    <row r="348" spans="10:11">
      <c r="J348" t="s">
        <v>2543</v>
      </c>
      <c r="K348" t="s">
        <v>2544</v>
      </c>
    </row>
    <row r="349" spans="10:11">
      <c r="J349" t="s">
        <v>2545</v>
      </c>
      <c r="K349" t="s">
        <v>2546</v>
      </c>
    </row>
    <row r="350" spans="10:11">
      <c r="J350" t="s">
        <v>2547</v>
      </c>
      <c r="K350" t="s">
        <v>2548</v>
      </c>
    </row>
    <row r="351" spans="10:11">
      <c r="J351" t="s">
        <v>24</v>
      </c>
    </row>
    <row r="352" spans="10:11">
      <c r="J352" t="s">
        <v>2549</v>
      </c>
      <c r="K352" t="s">
        <v>2550</v>
      </c>
    </row>
    <row r="353" spans="10:11">
      <c r="J353" t="s">
        <v>2551</v>
      </c>
    </row>
    <row r="354" spans="10:11">
      <c r="J354" t="s">
        <v>2552</v>
      </c>
      <c r="K354" t="s">
        <v>2553</v>
      </c>
    </row>
    <row r="355" spans="10:11">
      <c r="J355" t="s">
        <v>2554</v>
      </c>
      <c r="K355" t="s">
        <v>2510</v>
      </c>
    </row>
    <row r="356" spans="10:11">
      <c r="J356" t="s">
        <v>2555</v>
      </c>
      <c r="K356" t="s">
        <v>2556</v>
      </c>
    </row>
    <row r="357" spans="10:11">
      <c r="J357" t="s">
        <v>2557</v>
      </c>
    </row>
    <row r="358" spans="10:11">
      <c r="J358" t="s">
        <v>2558</v>
      </c>
      <c r="K358" t="s">
        <v>2556</v>
      </c>
    </row>
    <row r="359" spans="10:11">
      <c r="J359" t="s">
        <v>2559</v>
      </c>
    </row>
    <row r="360" spans="10:11">
      <c r="J360" t="s">
        <v>2560</v>
      </c>
      <c r="K360" t="s">
        <v>2561</v>
      </c>
    </row>
    <row r="361" spans="10:11">
      <c r="J361" t="s">
        <v>2562</v>
      </c>
    </row>
    <row r="362" spans="10:11">
      <c r="J362" t="s">
        <v>2563</v>
      </c>
    </row>
    <row r="363" spans="10:11">
      <c r="J363" t="s">
        <v>2564</v>
      </c>
    </row>
    <row r="364" spans="10:11">
      <c r="J364" t="s">
        <v>1052</v>
      </c>
    </row>
    <row r="365" spans="10:11">
      <c r="J365" t="s">
        <v>2565</v>
      </c>
    </row>
    <row r="366" spans="10:11">
      <c r="J366" t="s">
        <v>2566</v>
      </c>
    </row>
    <row r="367" spans="10:11">
      <c r="J367" t="s">
        <v>2567</v>
      </c>
    </row>
    <row r="368" spans="10:11">
      <c r="J368" t="s">
        <v>2568</v>
      </c>
    </row>
    <row r="369" spans="10:11">
      <c r="J369" t="s">
        <v>2569</v>
      </c>
      <c r="K369" t="s">
        <v>2570</v>
      </c>
    </row>
    <row r="370" spans="10:11">
      <c r="J370" t="s">
        <v>2571</v>
      </c>
    </row>
    <row r="371" spans="10:11">
      <c r="J371" t="s">
        <v>2572</v>
      </c>
    </row>
    <row r="372" spans="10:11">
      <c r="J372" t="s">
        <v>2573</v>
      </c>
    </row>
    <row r="373" spans="10:11">
      <c r="J373" t="s">
        <v>158</v>
      </c>
    </row>
    <row r="374" spans="10:11">
      <c r="J374" t="s">
        <v>2574</v>
      </c>
    </row>
    <row r="375" spans="10:11">
      <c r="J375" t="s">
        <v>2575</v>
      </c>
    </row>
    <row r="376" spans="10:11">
      <c r="J376" t="s">
        <v>2576</v>
      </c>
    </row>
    <row r="377" spans="10:11">
      <c r="J377" t="s">
        <v>2577</v>
      </c>
      <c r="K377" t="s">
        <v>2578</v>
      </c>
    </row>
    <row r="378" spans="10:11">
      <c r="J378" t="s">
        <v>2579</v>
      </c>
    </row>
    <row r="379" spans="10:11">
      <c r="J379" t="s">
        <v>2580</v>
      </c>
      <c r="K379" t="s">
        <v>2581</v>
      </c>
    </row>
    <row r="380" spans="10:11">
      <c r="J380" t="s">
        <v>2582</v>
      </c>
      <c r="K380" t="s">
        <v>2583</v>
      </c>
    </row>
    <row r="381" spans="10:11">
      <c r="J381" t="s">
        <v>2584</v>
      </c>
    </row>
    <row r="382" spans="10:11">
      <c r="J382" t="s">
        <v>2585</v>
      </c>
    </row>
    <row r="383" spans="10:11">
      <c r="J383" t="s">
        <v>2586</v>
      </c>
    </row>
    <row r="384" spans="10:11">
      <c r="J384" t="s">
        <v>2587</v>
      </c>
    </row>
    <row r="385" spans="10:11">
      <c r="J385" t="s">
        <v>2588</v>
      </c>
    </row>
    <row r="386" spans="10:11">
      <c r="J386" t="s">
        <v>2589</v>
      </c>
    </row>
    <row r="387" spans="10:11">
      <c r="J387" t="s">
        <v>2590</v>
      </c>
    </row>
    <row r="388" spans="10:11">
      <c r="J388" t="s">
        <v>2591</v>
      </c>
    </row>
    <row r="389" spans="10:11">
      <c r="J389" t="s">
        <v>2592</v>
      </c>
    </row>
    <row r="390" spans="10:11">
      <c r="J390" t="s">
        <v>2593</v>
      </c>
    </row>
    <row r="391" spans="10:11">
      <c r="J391" t="s">
        <v>2594</v>
      </c>
    </row>
    <row r="392" spans="10:11">
      <c r="J392" t="s">
        <v>2595</v>
      </c>
    </row>
    <row r="393" spans="10:11">
      <c r="J393" t="s">
        <v>2596</v>
      </c>
    </row>
    <row r="394" spans="10:11">
      <c r="J394" t="s">
        <v>2597</v>
      </c>
      <c r="K394" t="s">
        <v>2598</v>
      </c>
    </row>
    <row r="395" spans="10:11">
      <c r="J395" t="s">
        <v>2599</v>
      </c>
    </row>
    <row r="396" spans="10:11">
      <c r="J396" t="s">
        <v>2600</v>
      </c>
    </row>
    <row r="397" spans="10:11">
      <c r="J397" t="s">
        <v>2601</v>
      </c>
      <c r="K397" t="s">
        <v>2602</v>
      </c>
    </row>
    <row r="398" spans="10:11">
      <c r="J398" t="s">
        <v>2603</v>
      </c>
      <c r="K398" t="s">
        <v>2604</v>
      </c>
    </row>
    <row r="399" spans="10:11">
      <c r="J399" t="s">
        <v>2605</v>
      </c>
    </row>
    <row r="400" spans="10:11">
      <c r="J400" t="s">
        <v>2606</v>
      </c>
    </row>
    <row r="401" spans="10:11">
      <c r="J401" t="s">
        <v>2607</v>
      </c>
      <c r="K401" t="s">
        <v>2608</v>
      </c>
    </row>
    <row r="402" spans="10:11">
      <c r="J402" t="s">
        <v>170</v>
      </c>
      <c r="K402" t="s">
        <v>2609</v>
      </c>
    </row>
    <row r="403" spans="10:11">
      <c r="J403" t="s">
        <v>2610</v>
      </c>
    </row>
    <row r="404" spans="10:11">
      <c r="J404" t="s">
        <v>2611</v>
      </c>
    </row>
    <row r="405" spans="10:11">
      <c r="J405" t="s">
        <v>2612</v>
      </c>
    </row>
    <row r="406" spans="10:11">
      <c r="J406" t="s">
        <v>2613</v>
      </c>
    </row>
    <row r="407" spans="10:11">
      <c r="J407" t="s">
        <v>2614</v>
      </c>
    </row>
    <row r="408" spans="10:11">
      <c r="J408" t="s">
        <v>2615</v>
      </c>
      <c r="K408" t="s">
        <v>2616</v>
      </c>
    </row>
    <row r="409" spans="10:11">
      <c r="J409" t="s">
        <v>2617</v>
      </c>
    </row>
    <row r="410" spans="10:11">
      <c r="J410" t="s">
        <v>2618</v>
      </c>
    </row>
    <row r="411" spans="10:11">
      <c r="J411" t="s">
        <v>2619</v>
      </c>
      <c r="K411" t="s">
        <v>2620</v>
      </c>
    </row>
    <row r="412" spans="10:11">
      <c r="J412" t="s">
        <v>2621</v>
      </c>
    </row>
    <row r="413" spans="10:11">
      <c r="J413" t="s">
        <v>2622</v>
      </c>
    </row>
    <row r="414" spans="10:11">
      <c r="J414" t="s">
        <v>2623</v>
      </c>
    </row>
    <row r="415" spans="10:11">
      <c r="J415" t="s">
        <v>2624</v>
      </c>
    </row>
    <row r="416" spans="10:11">
      <c r="J416" t="s">
        <v>2625</v>
      </c>
      <c r="K416" t="s">
        <v>2626</v>
      </c>
    </row>
    <row r="417" spans="10:11">
      <c r="J417" t="s">
        <v>2627</v>
      </c>
    </row>
    <row r="418" spans="10:11">
      <c r="J418" t="s">
        <v>2628</v>
      </c>
    </row>
    <row r="419" spans="10:11">
      <c r="J419" t="s">
        <v>2629</v>
      </c>
    </row>
    <row r="420" spans="10:11">
      <c r="J420" t="s">
        <v>174</v>
      </c>
      <c r="K420" t="s">
        <v>2630</v>
      </c>
    </row>
    <row r="421" spans="10:11">
      <c r="J421" t="s">
        <v>2631</v>
      </c>
    </row>
    <row r="422" spans="10:11">
      <c r="J422" t="s">
        <v>2632</v>
      </c>
      <c r="K422" t="s">
        <v>2633</v>
      </c>
    </row>
    <row r="423" spans="10:11">
      <c r="J423" t="s">
        <v>2634</v>
      </c>
    </row>
    <row r="424" spans="10:11">
      <c r="J424" t="s">
        <v>2635</v>
      </c>
    </row>
    <row r="425" spans="10:11">
      <c r="J425" t="s">
        <v>861</v>
      </c>
    </row>
    <row r="426" spans="10:11">
      <c r="J426" t="s">
        <v>1073</v>
      </c>
    </row>
    <row r="427" spans="10:11">
      <c r="J427" t="s">
        <v>2636</v>
      </c>
    </row>
    <row r="428" spans="10:11">
      <c r="J428" t="s">
        <v>2637</v>
      </c>
    </row>
    <row r="429" spans="10:11">
      <c r="J429" t="s">
        <v>2638</v>
      </c>
    </row>
    <row r="430" spans="10:11">
      <c r="J430" t="s">
        <v>2639</v>
      </c>
    </row>
    <row r="431" spans="10:11">
      <c r="J431" t="s">
        <v>2640</v>
      </c>
    </row>
    <row r="432" spans="10:11">
      <c r="J432" t="s">
        <v>2641</v>
      </c>
      <c r="K432" t="s">
        <v>2642</v>
      </c>
    </row>
    <row r="433" spans="10:11">
      <c r="J433" t="s">
        <v>2643</v>
      </c>
    </row>
    <row r="434" spans="10:11">
      <c r="J434" t="s">
        <v>2644</v>
      </c>
      <c r="K434" t="s">
        <v>2645</v>
      </c>
    </row>
    <row r="435" spans="10:11">
      <c r="J435" t="s">
        <v>2646</v>
      </c>
    </row>
    <row r="436" spans="10:11">
      <c r="J436" t="s">
        <v>2647</v>
      </c>
    </row>
    <row r="437" spans="10:11">
      <c r="J437" t="s">
        <v>2648</v>
      </c>
    </row>
    <row r="438" spans="10:11">
      <c r="J438" t="s">
        <v>2649</v>
      </c>
    </row>
    <row r="439" spans="10:11">
      <c r="J439" t="s">
        <v>2650</v>
      </c>
      <c r="K439" t="s">
        <v>2651</v>
      </c>
    </row>
    <row r="440" spans="10:11">
      <c r="J440" t="s">
        <v>2652</v>
      </c>
      <c r="K440" t="s">
        <v>2653</v>
      </c>
    </row>
    <row r="441" spans="10:11">
      <c r="J441" t="s">
        <v>2654</v>
      </c>
    </row>
    <row r="442" spans="10:11">
      <c r="J442" t="s">
        <v>2655</v>
      </c>
    </row>
    <row r="443" spans="10:11">
      <c r="J443" t="s">
        <v>2656</v>
      </c>
    </row>
    <row r="444" spans="10:11">
      <c r="J444" t="s">
        <v>2657</v>
      </c>
    </row>
    <row r="445" spans="10:11">
      <c r="J445" t="s">
        <v>2658</v>
      </c>
    </row>
    <row r="446" spans="10:11">
      <c r="J446" t="s">
        <v>2659</v>
      </c>
    </row>
    <row r="447" spans="10:11">
      <c r="J447" t="s">
        <v>2660</v>
      </c>
    </row>
    <row r="448" spans="10:11">
      <c r="J448" t="s">
        <v>2661</v>
      </c>
    </row>
    <row r="449" spans="10:11">
      <c r="J449" t="s">
        <v>2662</v>
      </c>
    </row>
    <row r="450" spans="10:11">
      <c r="J450" t="s">
        <v>2663</v>
      </c>
    </row>
    <row r="451" spans="10:11">
      <c r="J451" t="s">
        <v>2664</v>
      </c>
    </row>
    <row r="452" spans="10:11">
      <c r="J452" t="s">
        <v>2665</v>
      </c>
    </row>
    <row r="453" spans="10:11">
      <c r="J453" t="s">
        <v>2666</v>
      </c>
      <c r="K453" t="s">
        <v>2667</v>
      </c>
    </row>
    <row r="454" spans="10:11">
      <c r="J454" t="s">
        <v>2668</v>
      </c>
    </row>
    <row r="455" spans="10:11">
      <c r="J455" t="s">
        <v>2669</v>
      </c>
    </row>
    <row r="456" spans="10:11">
      <c r="J456" t="s">
        <v>2670</v>
      </c>
    </row>
    <row r="457" spans="10:11">
      <c r="J457" t="s">
        <v>2671</v>
      </c>
    </row>
    <row r="458" spans="10:11">
      <c r="J458" t="s">
        <v>2672</v>
      </c>
    </row>
    <row r="459" spans="10:11">
      <c r="J459" t="s">
        <v>2673</v>
      </c>
    </row>
    <row r="460" spans="10:11">
      <c r="J460" t="s">
        <v>2674</v>
      </c>
    </row>
    <row r="461" spans="10:11">
      <c r="J461" t="s">
        <v>2675</v>
      </c>
    </row>
    <row r="462" spans="10:11">
      <c r="J462" t="s">
        <v>2676</v>
      </c>
    </row>
    <row r="463" spans="10:11">
      <c r="J463" t="s">
        <v>2677</v>
      </c>
    </row>
    <row r="464" spans="10:11">
      <c r="J464" t="s">
        <v>2678</v>
      </c>
    </row>
    <row r="465" spans="10:11">
      <c r="J465" t="s">
        <v>2679</v>
      </c>
      <c r="K465" t="s">
        <v>2680</v>
      </c>
    </row>
    <row r="466" spans="10:11">
      <c r="J466" t="s">
        <v>2681</v>
      </c>
      <c r="K466" t="s">
        <v>2682</v>
      </c>
    </row>
    <row r="467" spans="10:11">
      <c r="J467" t="s">
        <v>2683</v>
      </c>
    </row>
    <row r="468" spans="10:11">
      <c r="J468" t="s">
        <v>2684</v>
      </c>
      <c r="K468" t="s">
        <v>2685</v>
      </c>
    </row>
    <row r="469" spans="10:11">
      <c r="J469" t="s">
        <v>2138</v>
      </c>
      <c r="K469" t="s">
        <v>2686</v>
      </c>
    </row>
    <row r="470" spans="10:11">
      <c r="J470" t="s">
        <v>2687</v>
      </c>
    </row>
    <row r="471" spans="10:11">
      <c r="J471" t="s">
        <v>2688</v>
      </c>
    </row>
    <row r="472" spans="10:11">
      <c r="J472" t="s">
        <v>2689</v>
      </c>
      <c r="K472" t="s">
        <v>2690</v>
      </c>
    </row>
    <row r="473" spans="10:11">
      <c r="J473" t="s">
        <v>2691</v>
      </c>
    </row>
    <row r="474" spans="10:11">
      <c r="J474" t="s">
        <v>2692</v>
      </c>
    </row>
    <row r="475" spans="10:11">
      <c r="J475" t="s">
        <v>2693</v>
      </c>
    </row>
    <row r="476" spans="10:11">
      <c r="J476" t="s">
        <v>2694</v>
      </c>
      <c r="K476" t="s">
        <v>2695</v>
      </c>
    </row>
    <row r="477" spans="10:11">
      <c r="J477" t="s">
        <v>2696</v>
      </c>
    </row>
    <row r="478" spans="10:11">
      <c r="J478" t="s">
        <v>2697</v>
      </c>
      <c r="K478" t="s">
        <v>2698</v>
      </c>
    </row>
    <row r="479" spans="10:11">
      <c r="J479" t="s">
        <v>2699</v>
      </c>
    </row>
    <row r="480" spans="10:11">
      <c r="J480" t="s">
        <v>2700</v>
      </c>
      <c r="K480" t="s">
        <v>2701</v>
      </c>
    </row>
    <row r="481" spans="10:11">
      <c r="J481" t="s">
        <v>2702</v>
      </c>
    </row>
    <row r="482" spans="10:11">
      <c r="J482" t="s">
        <v>2703</v>
      </c>
      <c r="K482" t="s">
        <v>2704</v>
      </c>
    </row>
    <row r="483" spans="10:11">
      <c r="J483" t="s">
        <v>2705</v>
      </c>
    </row>
    <row r="484" spans="10:11">
      <c r="J484" t="s">
        <v>2706</v>
      </c>
      <c r="K484" t="s">
        <v>2707</v>
      </c>
    </row>
    <row r="485" spans="10:11">
      <c r="J485" t="s">
        <v>2708</v>
      </c>
    </row>
    <row r="486" spans="10:11">
      <c r="J486" t="s">
        <v>2709</v>
      </c>
    </row>
    <row r="487" spans="10:11">
      <c r="J487" t="s">
        <v>2710</v>
      </c>
    </row>
    <row r="488" spans="10:11">
      <c r="J488" t="s">
        <v>2711</v>
      </c>
      <c r="K488" t="s">
        <v>2712</v>
      </c>
    </row>
    <row r="489" spans="10:11">
      <c r="J489" t="s">
        <v>2713</v>
      </c>
    </row>
    <row r="490" spans="10:11">
      <c r="J490" t="s">
        <v>2714</v>
      </c>
    </row>
    <row r="491" spans="10:11">
      <c r="J491" t="s">
        <v>2715</v>
      </c>
      <c r="K491" t="s">
        <v>2716</v>
      </c>
    </row>
    <row r="492" spans="10:11">
      <c r="J492" t="s">
        <v>2717</v>
      </c>
    </row>
    <row r="493" spans="10:11">
      <c r="J493" t="s">
        <v>2718</v>
      </c>
    </row>
    <row r="494" spans="10:11">
      <c r="J494" t="s">
        <v>2719</v>
      </c>
    </row>
    <row r="495" spans="10:11">
      <c r="J495" t="s">
        <v>2720</v>
      </c>
    </row>
    <row r="496" spans="10:11">
      <c r="J496" t="s">
        <v>2721</v>
      </c>
      <c r="K496" t="s">
        <v>2722</v>
      </c>
    </row>
    <row r="497" spans="10:11">
      <c r="J497" t="s">
        <v>2723</v>
      </c>
    </row>
    <row r="498" spans="10:11">
      <c r="J498" t="s">
        <v>27</v>
      </c>
    </row>
    <row r="499" spans="10:11">
      <c r="J499" t="s">
        <v>2724</v>
      </c>
    </row>
    <row r="500" spans="10:11">
      <c r="J500" t="s">
        <v>2725</v>
      </c>
      <c r="K500" t="s">
        <v>2726</v>
      </c>
    </row>
    <row r="501" spans="10:11">
      <c r="J501" t="s">
        <v>2727</v>
      </c>
      <c r="K501" t="s">
        <v>2728</v>
      </c>
    </row>
    <row r="502" spans="10:11">
      <c r="J502" t="s">
        <v>2729</v>
      </c>
      <c r="K502" t="s">
        <v>2730</v>
      </c>
    </row>
    <row r="503" spans="10:11">
      <c r="J503" t="s">
        <v>2731</v>
      </c>
    </row>
    <row r="504" spans="10:11">
      <c r="J504" t="s">
        <v>2732</v>
      </c>
    </row>
    <row r="505" spans="10:11">
      <c r="J505" t="s">
        <v>2733</v>
      </c>
    </row>
    <row r="506" spans="10:11">
      <c r="J506" t="s">
        <v>2734</v>
      </c>
    </row>
    <row r="507" spans="10:11">
      <c r="J507" t="s">
        <v>2735</v>
      </c>
    </row>
    <row r="508" spans="10:11">
      <c r="J508" t="s">
        <v>2736</v>
      </c>
    </row>
    <row r="509" spans="10:11">
      <c r="J509" t="s">
        <v>2737</v>
      </c>
      <c r="K509" t="s">
        <v>2738</v>
      </c>
    </row>
    <row r="510" spans="10:11">
      <c r="J510" t="s">
        <v>2739</v>
      </c>
    </row>
    <row r="511" spans="10:11">
      <c r="J511" t="s">
        <v>2740</v>
      </c>
      <c r="K511" t="s">
        <v>2741</v>
      </c>
    </row>
    <row r="512" spans="10:11">
      <c r="J512" t="s">
        <v>2742</v>
      </c>
    </row>
    <row r="513" spans="10:11">
      <c r="J513" t="s">
        <v>2743</v>
      </c>
    </row>
    <row r="514" spans="10:11">
      <c r="J514" t="s">
        <v>2744</v>
      </c>
    </row>
    <row r="515" spans="10:11">
      <c r="J515" t="s">
        <v>2747</v>
      </c>
    </row>
    <row r="516" spans="10:11">
      <c r="J516" t="s">
        <v>2745</v>
      </c>
      <c r="K516" t="s">
        <v>2746</v>
      </c>
    </row>
    <row r="517" spans="10:11">
      <c r="J517" t="s">
        <v>2748</v>
      </c>
    </row>
    <row r="518" spans="10:11">
      <c r="J518" t="s">
        <v>2749</v>
      </c>
    </row>
    <row r="519" spans="10:11">
      <c r="J519" t="s">
        <v>2750</v>
      </c>
    </row>
    <row r="520" spans="10:11">
      <c r="J520" t="s">
        <v>2751</v>
      </c>
    </row>
    <row r="521" spans="10:11">
      <c r="J521" t="s">
        <v>2752</v>
      </c>
      <c r="K521" t="s">
        <v>2712</v>
      </c>
    </row>
    <row r="522" spans="10:11">
      <c r="J522" t="s">
        <v>2753</v>
      </c>
    </row>
    <row r="523" spans="10:11">
      <c r="J523" t="s">
        <v>2754</v>
      </c>
    </row>
    <row r="524" spans="10:11">
      <c r="J524" t="s">
        <v>2755</v>
      </c>
    </row>
    <row r="525" spans="10:11">
      <c r="J525" t="s">
        <v>2756</v>
      </c>
      <c r="K525" t="s">
        <v>2757</v>
      </c>
    </row>
    <row r="526" spans="10:11">
      <c r="J526" t="s">
        <v>2758</v>
      </c>
    </row>
    <row r="527" spans="10:11">
      <c r="J527" t="s">
        <v>2759</v>
      </c>
    </row>
    <row r="528" spans="10:11">
      <c r="J528" t="s">
        <v>1036</v>
      </c>
    </row>
    <row r="529" spans="10:11">
      <c r="J529" t="s">
        <v>2760</v>
      </c>
    </row>
    <row r="530" spans="10:11">
      <c r="J530" t="s">
        <v>256</v>
      </c>
    </row>
    <row r="531" spans="10:11">
      <c r="J531" t="s">
        <v>2761</v>
      </c>
      <c r="K531" t="s">
        <v>2762</v>
      </c>
    </row>
    <row r="532" spans="10:11">
      <c r="J532" t="s">
        <v>2763</v>
      </c>
    </row>
    <row r="533" spans="10:11">
      <c r="J533" t="s">
        <v>2764</v>
      </c>
    </row>
    <row r="534" spans="10:11">
      <c r="J534" t="s">
        <v>2765</v>
      </c>
      <c r="K534" t="s">
        <v>2766</v>
      </c>
    </row>
    <row r="535" spans="10:11">
      <c r="J535" t="s">
        <v>2767</v>
      </c>
      <c r="K535" t="s">
        <v>2768</v>
      </c>
    </row>
    <row r="536" spans="10:11">
      <c r="J536" t="s">
        <v>2769</v>
      </c>
    </row>
    <row r="537" spans="10:11">
      <c r="J537" t="s">
        <v>2770</v>
      </c>
    </row>
    <row r="538" spans="10:11">
      <c r="J538" t="s">
        <v>2771</v>
      </c>
    </row>
    <row r="539" spans="10:11">
      <c r="J539" t="s">
        <v>2772</v>
      </c>
    </row>
    <row r="540" spans="10:11">
      <c r="J540" t="s">
        <v>2773</v>
      </c>
    </row>
    <row r="541" spans="10:11">
      <c r="J541" t="s">
        <v>2774</v>
      </c>
    </row>
    <row r="542" spans="10:11">
      <c r="J542" t="s">
        <v>599</v>
      </c>
    </row>
    <row r="543" spans="10:11">
      <c r="J543" t="s">
        <v>2775</v>
      </c>
    </row>
    <row r="544" spans="10:11">
      <c r="J544" t="s">
        <v>2776</v>
      </c>
    </row>
    <row r="545" spans="10:11">
      <c r="J545" t="s">
        <v>2777</v>
      </c>
    </row>
    <row r="546" spans="10:11">
      <c r="J546" t="s">
        <v>2778</v>
      </c>
    </row>
    <row r="547" spans="10:11">
      <c r="J547" t="s">
        <v>2779</v>
      </c>
    </row>
    <row r="548" spans="10:11">
      <c r="J548" t="s">
        <v>53</v>
      </c>
    </row>
    <row r="549" spans="10:11">
      <c r="J549" t="s">
        <v>2780</v>
      </c>
    </row>
    <row r="550" spans="10:11">
      <c r="J550" t="s">
        <v>2781</v>
      </c>
    </row>
    <row r="551" spans="10:11">
      <c r="J551" t="s">
        <v>2782</v>
      </c>
    </row>
    <row r="552" spans="10:11">
      <c r="J552" t="s">
        <v>625</v>
      </c>
    </row>
    <row r="553" spans="10:11">
      <c r="J553" t="s">
        <v>2783</v>
      </c>
    </row>
    <row r="554" spans="10:11">
      <c r="J554" t="s">
        <v>2784</v>
      </c>
      <c r="K554" t="s">
        <v>2785</v>
      </c>
    </row>
    <row r="555" spans="10:11">
      <c r="J555" t="s">
        <v>2786</v>
      </c>
      <c r="K555" t="s">
        <v>2787</v>
      </c>
    </row>
    <row r="556" spans="10:11">
      <c r="J556" t="s">
        <v>2788</v>
      </c>
    </row>
    <row r="557" spans="10:11">
      <c r="J557" t="s">
        <v>2789</v>
      </c>
    </row>
    <row r="558" spans="10:11">
      <c r="J558" t="s">
        <v>2790</v>
      </c>
    </row>
    <row r="559" spans="10:11">
      <c r="J559" t="s">
        <v>2791</v>
      </c>
    </row>
    <row r="560" spans="10:11">
      <c r="J560" t="s">
        <v>2792</v>
      </c>
    </row>
    <row r="561" spans="10:11">
      <c r="J561" t="s">
        <v>2793</v>
      </c>
    </row>
    <row r="562" spans="10:11">
      <c r="J562" t="s">
        <v>2794</v>
      </c>
    </row>
    <row r="563" spans="10:11">
      <c r="J563" t="s">
        <v>2795</v>
      </c>
    </row>
    <row r="564" spans="10:11">
      <c r="J564" t="s">
        <v>2796</v>
      </c>
    </row>
    <row r="565" spans="10:11">
      <c r="J565" t="s">
        <v>2797</v>
      </c>
    </row>
    <row r="566" spans="10:11">
      <c r="J566" t="s">
        <v>2798</v>
      </c>
    </row>
    <row r="567" spans="10:11">
      <c r="J567" t="s">
        <v>2799</v>
      </c>
      <c r="K567" t="s">
        <v>2800</v>
      </c>
    </row>
    <row r="568" spans="10:11">
      <c r="J568" t="s">
        <v>2801</v>
      </c>
      <c r="K568" t="s">
        <v>2802</v>
      </c>
    </row>
    <row r="569" spans="10:11">
      <c r="J569" t="s">
        <v>2803</v>
      </c>
    </row>
    <row r="570" spans="10:11">
      <c r="J570" t="s">
        <v>2804</v>
      </c>
    </row>
    <row r="571" spans="10:11">
      <c r="J571" t="s">
        <v>2805</v>
      </c>
    </row>
    <row r="572" spans="10:11">
      <c r="J572" t="s">
        <v>2806</v>
      </c>
    </row>
    <row r="573" spans="10:11">
      <c r="J573" t="s">
        <v>2807</v>
      </c>
      <c r="K573" t="s">
        <v>2808</v>
      </c>
    </row>
    <row r="574" spans="10:11">
      <c r="J574" t="s">
        <v>2809</v>
      </c>
    </row>
    <row r="575" spans="10:11">
      <c r="J575" t="s">
        <v>2810</v>
      </c>
    </row>
    <row r="576" spans="10:11">
      <c r="J576" t="s">
        <v>2811</v>
      </c>
    </row>
    <row r="577" spans="10:11">
      <c r="J577" t="s">
        <v>2812</v>
      </c>
    </row>
    <row r="578" spans="10:11">
      <c r="J578" t="s">
        <v>2813</v>
      </c>
    </row>
    <row r="579" spans="10:11">
      <c r="J579" t="s">
        <v>2814</v>
      </c>
    </row>
    <row r="580" spans="10:11">
      <c r="J580" t="s">
        <v>2815</v>
      </c>
    </row>
    <row r="581" spans="10:11">
      <c r="J581" t="s">
        <v>2816</v>
      </c>
      <c r="K581" t="s">
        <v>2817</v>
      </c>
    </row>
    <row r="582" spans="10:11">
      <c r="J582" t="s">
        <v>2819</v>
      </c>
    </row>
    <row r="583" spans="10:11">
      <c r="J583" t="s">
        <v>2820</v>
      </c>
      <c r="K583" t="s">
        <v>2821</v>
      </c>
    </row>
    <row r="584" spans="10:11">
      <c r="J584" t="s">
        <v>2822</v>
      </c>
    </row>
    <row r="585" spans="10:11">
      <c r="J585" t="s">
        <v>2823</v>
      </c>
    </row>
    <row r="586" spans="10:11">
      <c r="J586" t="s">
        <v>2824</v>
      </c>
    </row>
    <row r="587" spans="10:11">
      <c r="J587" t="s">
        <v>2825</v>
      </c>
    </row>
    <row r="588" spans="10:11">
      <c r="J588" t="s">
        <v>2826</v>
      </c>
    </row>
    <row r="589" spans="10:11">
      <c r="J589" t="s">
        <v>2818</v>
      </c>
    </row>
    <row r="590" spans="10:11">
      <c r="J590" t="s">
        <v>2827</v>
      </c>
    </row>
    <row r="591" spans="10:11">
      <c r="J591" t="s">
        <v>56</v>
      </c>
    </row>
    <row r="592" spans="10:11">
      <c r="J592" t="s">
        <v>2828</v>
      </c>
    </row>
    <row r="593" spans="10:11">
      <c r="J593" t="s">
        <v>2829</v>
      </c>
    </row>
    <row r="594" spans="10:11">
      <c r="J594" t="s">
        <v>2830</v>
      </c>
    </row>
    <row r="595" spans="10:11">
      <c r="J595" t="s">
        <v>2831</v>
      </c>
      <c r="K595" t="s">
        <v>2832</v>
      </c>
    </row>
    <row r="596" spans="10:11">
      <c r="J596" t="s">
        <v>2833</v>
      </c>
      <c r="K596" t="s">
        <v>2834</v>
      </c>
    </row>
    <row r="597" spans="10:11">
      <c r="J597" t="s">
        <v>2835</v>
      </c>
    </row>
    <row r="598" spans="10:11">
      <c r="J598" t="s">
        <v>2836</v>
      </c>
    </row>
    <row r="599" spans="10:11">
      <c r="J599" t="s">
        <v>300</v>
      </c>
      <c r="K599" t="s">
        <v>2837</v>
      </c>
    </row>
    <row r="600" spans="10:11">
      <c r="J600" t="s">
        <v>2838</v>
      </c>
    </row>
    <row r="601" spans="10:11">
      <c r="J601" t="s">
        <v>2839</v>
      </c>
    </row>
    <row r="602" spans="10:11">
      <c r="J602" t="s">
        <v>2840</v>
      </c>
    </row>
    <row r="603" spans="10:11">
      <c r="J603" t="s">
        <v>2841</v>
      </c>
    </row>
    <row r="604" spans="10:11">
      <c r="J604" t="s">
        <v>2842</v>
      </c>
      <c r="K604" t="s">
        <v>2843</v>
      </c>
    </row>
    <row r="605" spans="10:11">
      <c r="J605" t="s">
        <v>2844</v>
      </c>
      <c r="K605" t="s">
        <v>2845</v>
      </c>
    </row>
    <row r="606" spans="10:11">
      <c r="J606" t="s">
        <v>2846</v>
      </c>
    </row>
    <row r="607" spans="10:11">
      <c r="J607" t="s">
        <v>2846</v>
      </c>
      <c r="K607" t="s">
        <v>2847</v>
      </c>
    </row>
    <row r="608" spans="10:11">
      <c r="J608" t="s">
        <v>2848</v>
      </c>
    </row>
    <row r="609" spans="10:11">
      <c r="J609" t="s">
        <v>59</v>
      </c>
    </row>
    <row r="610" spans="10:11">
      <c r="J610" t="s">
        <v>59</v>
      </c>
      <c r="K610" t="s">
        <v>2159</v>
      </c>
    </row>
    <row r="611" spans="10:11">
      <c r="J611" t="s">
        <v>2850</v>
      </c>
    </row>
    <row r="612" spans="10:11">
      <c r="J612" t="s">
        <v>2849</v>
      </c>
    </row>
    <row r="613" spans="10:11">
      <c r="J613" t="s">
        <v>2851</v>
      </c>
    </row>
    <row r="614" spans="10:11">
      <c r="J614" t="s">
        <v>2852</v>
      </c>
      <c r="K614" t="s">
        <v>2853</v>
      </c>
    </row>
    <row r="615" spans="10:11">
      <c r="J615" t="s">
        <v>2854</v>
      </c>
    </row>
    <row r="616" spans="10:11">
      <c r="J616" t="s">
        <v>2855</v>
      </c>
    </row>
    <row r="617" spans="10:11">
      <c r="J617" t="s">
        <v>2856</v>
      </c>
    </row>
    <row r="618" spans="10:11">
      <c r="J618" t="s">
        <v>2857</v>
      </c>
    </row>
    <row r="619" spans="10:11">
      <c r="J619" t="s">
        <v>2858</v>
      </c>
    </row>
    <row r="620" spans="10:11">
      <c r="J620" t="s">
        <v>2859</v>
      </c>
    </row>
    <row r="621" spans="10:11">
      <c r="J621" t="s">
        <v>2860</v>
      </c>
    </row>
    <row r="622" spans="10:11">
      <c r="J622" t="s">
        <v>2861</v>
      </c>
    </row>
    <row r="623" spans="10:11">
      <c r="J623" t="s">
        <v>2862</v>
      </c>
    </row>
    <row r="624" spans="10:11">
      <c r="J624" t="s">
        <v>2863</v>
      </c>
    </row>
    <row r="625" spans="10:11">
      <c r="J625" t="s">
        <v>2864</v>
      </c>
    </row>
    <row r="626" spans="10:11">
      <c r="J626" t="s">
        <v>2865</v>
      </c>
    </row>
    <row r="627" spans="10:11">
      <c r="J627" t="s">
        <v>2866</v>
      </c>
    </row>
    <row r="628" spans="10:11">
      <c r="J628" t="s">
        <v>2867</v>
      </c>
    </row>
    <row r="629" spans="10:11">
      <c r="J629" t="s">
        <v>2868</v>
      </c>
    </row>
    <row r="630" spans="10:11">
      <c r="J630" t="s">
        <v>2869</v>
      </c>
      <c r="K630" t="s">
        <v>2870</v>
      </c>
    </row>
    <row r="631" spans="10:11">
      <c r="J631" t="s">
        <v>2871</v>
      </c>
    </row>
    <row r="632" spans="10:11">
      <c r="J632" t="s">
        <v>2872</v>
      </c>
    </row>
    <row r="633" spans="10:11">
      <c r="J633" t="s">
        <v>2873</v>
      </c>
    </row>
    <row r="634" spans="10:11">
      <c r="J634" t="s">
        <v>2874</v>
      </c>
    </row>
    <row r="635" spans="10:11">
      <c r="J635" t="s">
        <v>2875</v>
      </c>
    </row>
    <row r="636" spans="10:11">
      <c r="J636" t="s">
        <v>2876</v>
      </c>
    </row>
    <row r="637" spans="10:11">
      <c r="J637" t="s">
        <v>2877</v>
      </c>
    </row>
    <row r="638" spans="10:11">
      <c r="J638" t="s">
        <v>2878</v>
      </c>
    </row>
    <row r="639" spans="10:11">
      <c r="J639" t="s">
        <v>2879</v>
      </c>
    </row>
    <row r="640" spans="10:11">
      <c r="J640" t="s">
        <v>2879</v>
      </c>
      <c r="K640" t="s">
        <v>2880</v>
      </c>
    </row>
    <row r="641" spans="10:11">
      <c r="J641" t="s">
        <v>2881</v>
      </c>
    </row>
    <row r="642" spans="10:11">
      <c r="J642" t="s">
        <v>2882</v>
      </c>
    </row>
    <row r="643" spans="10:11">
      <c r="J643" t="s">
        <v>2883</v>
      </c>
    </row>
    <row r="644" spans="10:11">
      <c r="J644" t="s">
        <v>2884</v>
      </c>
    </row>
    <row r="645" spans="10:11">
      <c r="J645" t="s">
        <v>2885</v>
      </c>
    </row>
    <row r="646" spans="10:11">
      <c r="J646" t="s">
        <v>2886</v>
      </c>
    </row>
    <row r="647" spans="10:11">
      <c r="J647" t="s">
        <v>2887</v>
      </c>
    </row>
    <row r="648" spans="10:11">
      <c r="J648" t="s">
        <v>2888</v>
      </c>
      <c r="K648" t="s">
        <v>2889</v>
      </c>
    </row>
    <row r="649" spans="10:11">
      <c r="J649" t="s">
        <v>2890</v>
      </c>
    </row>
    <row r="650" spans="10:11">
      <c r="J650" t="s">
        <v>2891</v>
      </c>
      <c r="K650" t="s">
        <v>2892</v>
      </c>
    </row>
    <row r="651" spans="10:11">
      <c r="J651" t="s">
        <v>2893</v>
      </c>
    </row>
    <row r="652" spans="10:11">
      <c r="J652" t="s">
        <v>2894</v>
      </c>
    </row>
    <row r="653" spans="10:11">
      <c r="J653" t="s">
        <v>2895</v>
      </c>
    </row>
    <row r="654" spans="10:11">
      <c r="J654" t="s">
        <v>2896</v>
      </c>
    </row>
    <row r="655" spans="10:11">
      <c r="J655" t="s">
        <v>2897</v>
      </c>
      <c r="K655" t="s">
        <v>2898</v>
      </c>
    </row>
    <row r="656" spans="10:11">
      <c r="J656" t="s">
        <v>1735</v>
      </c>
    </row>
    <row r="657" spans="10:11">
      <c r="J657" t="s">
        <v>62</v>
      </c>
    </row>
    <row r="658" spans="10:11">
      <c r="J658" t="s">
        <v>65</v>
      </c>
    </row>
    <row r="659" spans="10:11">
      <c r="J659" t="s">
        <v>2899</v>
      </c>
    </row>
    <row r="660" spans="10:11">
      <c r="J660" t="s">
        <v>2900</v>
      </c>
    </row>
    <row r="661" spans="10:11">
      <c r="J661" t="s">
        <v>2901</v>
      </c>
    </row>
    <row r="662" spans="10:11">
      <c r="J662" t="s">
        <v>306</v>
      </c>
    </row>
    <row r="663" spans="10:11">
      <c r="J663" t="s">
        <v>2902</v>
      </c>
    </row>
    <row r="664" spans="10:11">
      <c r="J664" t="s">
        <v>2903</v>
      </c>
    </row>
    <row r="665" spans="10:11">
      <c r="J665" t="s">
        <v>2904</v>
      </c>
    </row>
    <row r="666" spans="10:11">
      <c r="J666" t="s">
        <v>2905</v>
      </c>
    </row>
    <row r="667" spans="10:11">
      <c r="J667" t="s">
        <v>2906</v>
      </c>
      <c r="K667" t="s">
        <v>2907</v>
      </c>
    </row>
    <row r="668" spans="10:11">
      <c r="J668" t="s">
        <v>2908</v>
      </c>
      <c r="K668" t="s">
        <v>2149</v>
      </c>
    </row>
    <row r="669" spans="10:11">
      <c r="J669" t="s">
        <v>2909</v>
      </c>
    </row>
    <row r="670" spans="10:11">
      <c r="J670" t="s">
        <v>2910</v>
      </c>
    </row>
    <row r="671" spans="10:11">
      <c r="J671" t="s">
        <v>2911</v>
      </c>
    </row>
    <row r="672" spans="10:11">
      <c r="J672" t="s">
        <v>2912</v>
      </c>
    </row>
    <row r="673" spans="10:11">
      <c r="J673" t="s">
        <v>2913</v>
      </c>
    </row>
    <row r="674" spans="10:11">
      <c r="J674" t="s">
        <v>2914</v>
      </c>
    </row>
    <row r="675" spans="10:11">
      <c r="J675" t="s">
        <v>2915</v>
      </c>
    </row>
    <row r="676" spans="10:11">
      <c r="J676" t="s">
        <v>2916</v>
      </c>
      <c r="K676" t="s">
        <v>2889</v>
      </c>
    </row>
    <row r="677" spans="10:11">
      <c r="J677" t="s">
        <v>2917</v>
      </c>
    </row>
    <row r="678" spans="10:11">
      <c r="J678" t="s">
        <v>2918</v>
      </c>
    </row>
    <row r="679" spans="10:11">
      <c r="J679" t="s">
        <v>2919</v>
      </c>
    </row>
    <row r="680" spans="10:11">
      <c r="J680" t="s">
        <v>2920</v>
      </c>
    </row>
    <row r="681" spans="10:11">
      <c r="J681" t="s">
        <v>2921</v>
      </c>
    </row>
    <row r="682" spans="10:11">
      <c r="J682" t="s">
        <v>2922</v>
      </c>
    </row>
    <row r="683" spans="10:11">
      <c r="J683" t="s">
        <v>2923</v>
      </c>
    </row>
    <row r="684" spans="10:11">
      <c r="J684" t="s">
        <v>2924</v>
      </c>
    </row>
    <row r="685" spans="10:11">
      <c r="J685" t="s">
        <v>2925</v>
      </c>
    </row>
    <row r="686" spans="10:11">
      <c r="J686" t="s">
        <v>634</v>
      </c>
    </row>
    <row r="687" spans="10:11">
      <c r="J687" t="s">
        <v>2926</v>
      </c>
    </row>
    <row r="688" spans="10:11">
      <c r="J688" t="s">
        <v>2927</v>
      </c>
    </row>
    <row r="689" spans="10:11">
      <c r="J689" t="s">
        <v>2928</v>
      </c>
    </row>
    <row r="690" spans="10:11">
      <c r="J690" t="s">
        <v>2929</v>
      </c>
    </row>
    <row r="691" spans="10:11">
      <c r="J691" t="s">
        <v>2930</v>
      </c>
    </row>
    <row r="692" spans="10:11">
      <c r="J692" t="s">
        <v>2931</v>
      </c>
    </row>
    <row r="693" spans="10:11">
      <c r="J693" t="s">
        <v>2932</v>
      </c>
    </row>
    <row r="694" spans="10:11">
      <c r="J694" t="s">
        <v>2933</v>
      </c>
    </row>
    <row r="695" spans="10:11">
      <c r="J695" t="s">
        <v>63</v>
      </c>
    </row>
    <row r="696" spans="10:11">
      <c r="J696" t="s">
        <v>2934</v>
      </c>
    </row>
    <row r="697" spans="10:11">
      <c r="J697" t="s">
        <v>2935</v>
      </c>
    </row>
    <row r="698" spans="10:11">
      <c r="J698" t="s">
        <v>397</v>
      </c>
    </row>
    <row r="699" spans="10:11">
      <c r="J699" t="s">
        <v>2936</v>
      </c>
    </row>
    <row r="700" spans="10:11">
      <c r="J700" t="s">
        <v>2937</v>
      </c>
      <c r="K700" t="s">
        <v>2938</v>
      </c>
    </row>
    <row r="701" spans="10:11">
      <c r="J701" t="s">
        <v>2939</v>
      </c>
    </row>
    <row r="702" spans="10:11">
      <c r="J702" t="s">
        <v>2940</v>
      </c>
    </row>
    <row r="703" spans="10:11">
      <c r="J703" t="s">
        <v>2941</v>
      </c>
    </row>
    <row r="704" spans="10:11">
      <c r="J704" t="s">
        <v>2942</v>
      </c>
    </row>
    <row r="705" spans="10:11">
      <c r="J705" t="s">
        <v>2943</v>
      </c>
    </row>
    <row r="706" spans="10:11">
      <c r="J706" t="s">
        <v>2944</v>
      </c>
      <c r="K706" t="s">
        <v>2945</v>
      </c>
    </row>
    <row r="707" spans="10:11">
      <c r="J707" t="s">
        <v>2946</v>
      </c>
    </row>
    <row r="708" spans="10:11">
      <c r="J708" t="s">
        <v>2947</v>
      </c>
    </row>
    <row r="709" spans="10:11">
      <c r="J709" t="s">
        <v>2948</v>
      </c>
      <c r="K709" t="s">
        <v>2949</v>
      </c>
    </row>
    <row r="710" spans="10:11">
      <c r="J710" t="s">
        <v>2950</v>
      </c>
    </row>
    <row r="711" spans="10:11">
      <c r="J711" t="s">
        <v>2951</v>
      </c>
    </row>
    <row r="712" spans="10:11">
      <c r="J712" t="s">
        <v>2952</v>
      </c>
    </row>
    <row r="713" spans="10:11">
      <c r="J713" t="s">
        <v>2953</v>
      </c>
    </row>
    <row r="714" spans="10:11">
      <c r="J714" t="s">
        <v>2954</v>
      </c>
    </row>
    <row r="715" spans="10:11">
      <c r="J715" t="s">
        <v>2955</v>
      </c>
    </row>
    <row r="716" spans="10:11">
      <c r="J716" t="s">
        <v>2956</v>
      </c>
    </row>
    <row r="717" spans="10:11">
      <c r="J717" t="s">
        <v>2957</v>
      </c>
    </row>
    <row r="718" spans="10:11">
      <c r="J718" t="s">
        <v>2958</v>
      </c>
      <c r="K718" t="s">
        <v>2959</v>
      </c>
    </row>
    <row r="719" spans="10:11">
      <c r="J719" t="s">
        <v>311</v>
      </c>
      <c r="K719" t="s">
        <v>2960</v>
      </c>
    </row>
    <row r="720" spans="10:11">
      <c r="J720" t="s">
        <v>313</v>
      </c>
    </row>
    <row r="721" spans="10:11">
      <c r="J721" t="s">
        <v>2961</v>
      </c>
    </row>
    <row r="722" spans="10:11">
      <c r="J722" t="s">
        <v>2962</v>
      </c>
    </row>
    <row r="723" spans="10:11">
      <c r="J723" t="s">
        <v>2963</v>
      </c>
      <c r="K723" t="s">
        <v>2964</v>
      </c>
    </row>
    <row r="724" spans="10:11">
      <c r="J724" t="s">
        <v>2965</v>
      </c>
    </row>
    <row r="725" spans="10:11">
      <c r="J725" t="s">
        <v>2966</v>
      </c>
    </row>
    <row r="726" spans="10:11">
      <c r="J726" t="s">
        <v>2967</v>
      </c>
    </row>
    <row r="727" spans="10:11">
      <c r="J727" t="s">
        <v>2968</v>
      </c>
      <c r="K727" t="s">
        <v>2969</v>
      </c>
    </row>
    <row r="728" spans="10:11">
      <c r="J728" t="s">
        <v>2970</v>
      </c>
      <c r="K728" t="s">
        <v>2971</v>
      </c>
    </row>
    <row r="729" spans="10:11">
      <c r="J729" t="s">
        <v>2972</v>
      </c>
      <c r="K729" t="s">
        <v>2973</v>
      </c>
    </row>
    <row r="730" spans="10:11">
      <c r="J730" t="s">
        <v>68</v>
      </c>
    </row>
    <row r="731" spans="10:11">
      <c r="J731" t="s">
        <v>2974</v>
      </c>
      <c r="K731" t="s">
        <v>2166</v>
      </c>
    </row>
    <row r="732" spans="10:11">
      <c r="J732" t="s">
        <v>385</v>
      </c>
    </row>
    <row r="733" spans="10:11">
      <c r="J733" t="s">
        <v>2975</v>
      </c>
    </row>
    <row r="734" spans="10:11">
      <c r="J734" t="s">
        <v>2976</v>
      </c>
    </row>
    <row r="735" spans="10:11">
      <c r="J735" t="s">
        <v>2977</v>
      </c>
    </row>
    <row r="736" spans="10:11">
      <c r="J736" t="s">
        <v>2978</v>
      </c>
    </row>
    <row r="737" spans="10:11">
      <c r="J737" t="s">
        <v>2979</v>
      </c>
    </row>
    <row r="738" spans="10:11">
      <c r="J738" t="s">
        <v>2980</v>
      </c>
    </row>
    <row r="739" spans="10:11">
      <c r="J739" t="s">
        <v>2981</v>
      </c>
    </row>
    <row r="740" spans="10:11">
      <c r="J740" t="s">
        <v>2982</v>
      </c>
    </row>
    <row r="741" spans="10:11">
      <c r="J741" t="s">
        <v>2983</v>
      </c>
    </row>
    <row r="742" spans="10:11">
      <c r="J742" t="s">
        <v>2984</v>
      </c>
    </row>
    <row r="743" spans="10:11">
      <c r="J743" t="s">
        <v>2985</v>
      </c>
    </row>
    <row r="744" spans="10:11">
      <c r="J744" t="s">
        <v>2986</v>
      </c>
      <c r="K744" t="s">
        <v>2987</v>
      </c>
    </row>
    <row r="745" spans="10:11">
      <c r="J745" t="s">
        <v>2988</v>
      </c>
    </row>
    <row r="746" spans="10:11">
      <c r="J746" t="s">
        <v>2989</v>
      </c>
    </row>
    <row r="747" spans="10:11">
      <c r="J747" t="s">
        <v>2990</v>
      </c>
    </row>
    <row r="748" spans="10:11">
      <c r="J748" t="s">
        <v>2991</v>
      </c>
    </row>
    <row r="749" spans="10:11">
      <c r="J749" t="s">
        <v>2992</v>
      </c>
      <c r="K749" t="s">
        <v>2993</v>
      </c>
    </row>
    <row r="750" spans="10:11">
      <c r="J750" t="s">
        <v>2994</v>
      </c>
    </row>
    <row r="751" spans="10:11">
      <c r="J751" t="s">
        <v>2994</v>
      </c>
      <c r="K751" t="s">
        <v>2993</v>
      </c>
    </row>
    <row r="752" spans="10:11">
      <c r="J752" t="s">
        <v>2995</v>
      </c>
    </row>
    <row r="753" spans="10:11">
      <c r="J753" t="s">
        <v>2996</v>
      </c>
    </row>
    <row r="754" spans="10:11">
      <c r="J754" t="s">
        <v>2997</v>
      </c>
    </row>
    <row r="755" spans="10:11">
      <c r="J755" t="s">
        <v>2998</v>
      </c>
    </row>
    <row r="756" spans="10:11">
      <c r="J756" t="s">
        <v>2999</v>
      </c>
    </row>
    <row r="757" spans="10:11">
      <c r="J757" t="s">
        <v>3000</v>
      </c>
    </row>
    <row r="758" spans="10:11">
      <c r="J758" t="s">
        <v>3001</v>
      </c>
      <c r="K758" t="s">
        <v>3002</v>
      </c>
    </row>
    <row r="759" spans="10:11">
      <c r="J759" t="s">
        <v>3003</v>
      </c>
    </row>
    <row r="760" spans="10:11">
      <c r="J760" t="s">
        <v>3004</v>
      </c>
      <c r="K760" t="s">
        <v>3005</v>
      </c>
    </row>
    <row r="761" spans="10:11">
      <c r="J761" t="s">
        <v>3006</v>
      </c>
    </row>
    <row r="762" spans="10:11">
      <c r="J762" t="s">
        <v>3007</v>
      </c>
    </row>
    <row r="763" spans="10:11">
      <c r="J763" t="s">
        <v>3008</v>
      </c>
    </row>
    <row r="764" spans="10:11">
      <c r="J764" t="s">
        <v>3009</v>
      </c>
    </row>
    <row r="765" spans="10:11">
      <c r="J765" t="s">
        <v>3010</v>
      </c>
    </row>
    <row r="766" spans="10:11">
      <c r="J766" t="s">
        <v>3011</v>
      </c>
      <c r="K766" t="s">
        <v>3012</v>
      </c>
    </row>
    <row r="767" spans="10:11">
      <c r="J767" t="s">
        <v>3013</v>
      </c>
      <c r="K767" t="s">
        <v>3014</v>
      </c>
    </row>
    <row r="768" spans="10:11">
      <c r="J768" t="s">
        <v>3015</v>
      </c>
      <c r="K768" t="s">
        <v>3016</v>
      </c>
    </row>
    <row r="769" spans="10:11">
      <c r="J769" t="s">
        <v>3017</v>
      </c>
    </row>
    <row r="770" spans="10:11">
      <c r="J770" t="s">
        <v>3018</v>
      </c>
    </row>
    <row r="771" spans="10:11">
      <c r="J771" t="s">
        <v>3019</v>
      </c>
    </row>
    <row r="772" spans="10:11">
      <c r="J772" t="s">
        <v>3020</v>
      </c>
    </row>
    <row r="773" spans="10:11">
      <c r="J773" t="s">
        <v>3021</v>
      </c>
    </row>
    <row r="774" spans="10:11">
      <c r="J774" t="s">
        <v>904</v>
      </c>
      <c r="K774" t="s">
        <v>3022</v>
      </c>
    </row>
    <row r="775" spans="10:11">
      <c r="J775" t="s">
        <v>3023</v>
      </c>
    </row>
    <row r="776" spans="10:11">
      <c r="J776" t="s">
        <v>3024</v>
      </c>
    </row>
    <row r="777" spans="10:11">
      <c r="J777" t="s">
        <v>3025</v>
      </c>
    </row>
    <row r="778" spans="10:11">
      <c r="J778" t="s">
        <v>3026</v>
      </c>
      <c r="K778" t="s">
        <v>3027</v>
      </c>
    </row>
    <row r="779" spans="10:11">
      <c r="J779" t="s">
        <v>3028</v>
      </c>
      <c r="K779" t="s">
        <v>3029</v>
      </c>
    </row>
    <row r="780" spans="10:11">
      <c r="J780" t="s">
        <v>3030</v>
      </c>
    </row>
    <row r="781" spans="10:11">
      <c r="J781" t="s">
        <v>3031</v>
      </c>
      <c r="K781" t="s">
        <v>3032</v>
      </c>
    </row>
    <row r="782" spans="10:11">
      <c r="J782" t="s">
        <v>3033</v>
      </c>
      <c r="K782" t="s">
        <v>3034</v>
      </c>
    </row>
    <row r="783" spans="10:11">
      <c r="J783" t="s">
        <v>3035</v>
      </c>
    </row>
    <row r="784" spans="10:11">
      <c r="J784" t="s">
        <v>3036</v>
      </c>
    </row>
    <row r="785" spans="10:11">
      <c r="J785" t="s">
        <v>3037</v>
      </c>
    </row>
    <row r="786" spans="10:11">
      <c r="J786" t="s">
        <v>3038</v>
      </c>
    </row>
    <row r="787" spans="10:11">
      <c r="J787" t="s">
        <v>3039</v>
      </c>
      <c r="K787" t="s">
        <v>3040</v>
      </c>
    </row>
    <row r="788" spans="10:11">
      <c r="J788" t="s">
        <v>321</v>
      </c>
      <c r="K788" t="s">
        <v>3041</v>
      </c>
    </row>
    <row r="789" spans="10:11">
      <c r="J789" t="s">
        <v>3042</v>
      </c>
    </row>
    <row r="790" spans="10:11">
      <c r="J790" t="s">
        <v>3043</v>
      </c>
    </row>
    <row r="791" spans="10:11">
      <c r="J791" t="s">
        <v>3044</v>
      </c>
    </row>
    <row r="792" spans="10:11">
      <c r="J792" t="s">
        <v>3045</v>
      </c>
    </row>
    <row r="793" spans="10:11">
      <c r="J793" t="s">
        <v>3046</v>
      </c>
    </row>
    <row r="794" spans="10:11">
      <c r="J794" t="s">
        <v>3047</v>
      </c>
    </row>
    <row r="795" spans="10:11">
      <c r="J795" t="s">
        <v>3048</v>
      </c>
    </row>
    <row r="796" spans="10:11">
      <c r="J796" t="s">
        <v>3049</v>
      </c>
    </row>
    <row r="797" spans="10:11">
      <c r="J797" t="s">
        <v>3050</v>
      </c>
      <c r="K797" t="s">
        <v>3051</v>
      </c>
    </row>
    <row r="798" spans="10:11">
      <c r="J798" t="s">
        <v>3052</v>
      </c>
    </row>
    <row r="799" spans="10:11">
      <c r="J799" t="s">
        <v>3053</v>
      </c>
    </row>
    <row r="800" spans="10:11">
      <c r="J800" t="s">
        <v>3054</v>
      </c>
    </row>
    <row r="801" spans="10:11">
      <c r="J801" t="s">
        <v>3055</v>
      </c>
    </row>
    <row r="802" spans="10:11">
      <c r="J802" t="s">
        <v>3056</v>
      </c>
    </row>
    <row r="803" spans="10:11">
      <c r="J803" t="s">
        <v>3057</v>
      </c>
      <c r="K803" t="s">
        <v>3058</v>
      </c>
    </row>
    <row r="804" spans="10:11">
      <c r="J804" t="s">
        <v>3059</v>
      </c>
    </row>
    <row r="805" spans="10:11">
      <c r="J805" t="s">
        <v>3060</v>
      </c>
    </row>
    <row r="806" spans="10:11">
      <c r="J806" t="s">
        <v>3061</v>
      </c>
    </row>
    <row r="807" spans="10:11">
      <c r="J807" t="s">
        <v>3062</v>
      </c>
    </row>
    <row r="808" spans="10:11">
      <c r="J808" t="s">
        <v>3063</v>
      </c>
      <c r="K808" t="s">
        <v>3064</v>
      </c>
    </row>
    <row r="809" spans="10:11">
      <c r="J809" t="s">
        <v>3065</v>
      </c>
      <c r="K809" t="s">
        <v>3066</v>
      </c>
    </row>
    <row r="810" spans="10:11">
      <c r="J810" t="s">
        <v>3067</v>
      </c>
      <c r="K810" t="s">
        <v>3068</v>
      </c>
    </row>
    <row r="811" spans="10:11">
      <c r="J811" t="s">
        <v>3069</v>
      </c>
    </row>
    <row r="812" spans="10:11">
      <c r="J812" t="s">
        <v>3070</v>
      </c>
      <c r="K812" t="s">
        <v>3071</v>
      </c>
    </row>
    <row r="813" spans="10:11">
      <c r="J813" t="s">
        <v>3072</v>
      </c>
    </row>
    <row r="814" spans="10:11">
      <c r="J814" t="s">
        <v>3073</v>
      </c>
      <c r="K814" t="s">
        <v>3074</v>
      </c>
    </row>
    <row r="815" spans="10:11">
      <c r="J815" t="s">
        <v>3075</v>
      </c>
    </row>
    <row r="816" spans="10:11">
      <c r="J816" t="s">
        <v>3076</v>
      </c>
    </row>
    <row r="817" spans="10:11">
      <c r="J817" t="s">
        <v>3077</v>
      </c>
    </row>
    <row r="818" spans="10:11">
      <c r="J818" t="s">
        <v>1783</v>
      </c>
    </row>
    <row r="819" spans="10:11">
      <c r="J819" t="s">
        <v>3078</v>
      </c>
    </row>
    <row r="820" spans="10:11">
      <c r="J820" t="s">
        <v>3079</v>
      </c>
    </row>
    <row r="821" spans="10:11">
      <c r="J821" t="s">
        <v>3080</v>
      </c>
      <c r="K821" t="s">
        <v>3081</v>
      </c>
    </row>
    <row r="822" spans="10:11">
      <c r="J822" t="s">
        <v>3082</v>
      </c>
    </row>
    <row r="823" spans="10:11">
      <c r="J823" t="s">
        <v>3083</v>
      </c>
    </row>
    <row r="824" spans="10:11">
      <c r="J824" t="s">
        <v>3084</v>
      </c>
    </row>
    <row r="825" spans="10:11">
      <c r="J825" t="s">
        <v>3085</v>
      </c>
    </row>
    <row r="826" spans="10:11">
      <c r="J826" t="s">
        <v>3086</v>
      </c>
      <c r="K826" t="s">
        <v>3087</v>
      </c>
    </row>
    <row r="827" spans="10:11">
      <c r="J827" t="s">
        <v>3088</v>
      </c>
    </row>
    <row r="828" spans="10:11">
      <c r="J828" t="s">
        <v>3089</v>
      </c>
    </row>
    <row r="829" spans="10:11">
      <c r="J829" t="s">
        <v>3090</v>
      </c>
      <c r="K829" t="s">
        <v>3091</v>
      </c>
    </row>
    <row r="830" spans="10:11">
      <c r="J830" t="s">
        <v>3092</v>
      </c>
    </row>
    <row r="831" spans="10:11">
      <c r="J831" t="s">
        <v>3093</v>
      </c>
    </row>
    <row r="832" spans="10:11">
      <c r="J832" t="s">
        <v>3094</v>
      </c>
      <c r="K832" t="s">
        <v>3095</v>
      </c>
    </row>
    <row r="833" spans="10:11">
      <c r="J833" t="s">
        <v>3096</v>
      </c>
    </row>
    <row r="834" spans="10:11">
      <c r="J834" t="s">
        <v>323</v>
      </c>
      <c r="K834" t="s">
        <v>3097</v>
      </c>
    </row>
    <row r="835" spans="10:11">
      <c r="J835" t="s">
        <v>3098</v>
      </c>
    </row>
    <row r="836" spans="10:11">
      <c r="J836" t="s">
        <v>71</v>
      </c>
      <c r="K836" t="s">
        <v>3099</v>
      </c>
    </row>
    <row r="837" spans="10:11">
      <c r="J837" t="s">
        <v>3100</v>
      </c>
      <c r="K837" t="s">
        <v>3101</v>
      </c>
    </row>
    <row r="838" spans="10:11">
      <c r="J838" t="s">
        <v>3102</v>
      </c>
    </row>
    <row r="839" spans="10:11">
      <c r="J839" t="s">
        <v>3103</v>
      </c>
      <c r="K839" t="s">
        <v>3104</v>
      </c>
    </row>
    <row r="840" spans="10:11">
      <c r="J840" t="s">
        <v>3105</v>
      </c>
      <c r="K840" t="s">
        <v>3106</v>
      </c>
    </row>
    <row r="841" spans="10:11">
      <c r="J841" t="s">
        <v>3107</v>
      </c>
      <c r="K841" t="s">
        <v>3108</v>
      </c>
    </row>
    <row r="842" spans="10:11">
      <c r="J842" t="s">
        <v>3109</v>
      </c>
    </row>
    <row r="843" spans="10:11">
      <c r="J843" t="s">
        <v>918</v>
      </c>
    </row>
    <row r="844" spans="10:11">
      <c r="J844" t="s">
        <v>3110</v>
      </c>
      <c r="K844" t="s">
        <v>3111</v>
      </c>
    </row>
    <row r="845" spans="10:11">
      <c r="J845" t="s">
        <v>3112</v>
      </c>
      <c r="K845" t="s">
        <v>3113</v>
      </c>
    </row>
    <row r="846" spans="10:11">
      <c r="J846" t="s">
        <v>3114</v>
      </c>
    </row>
    <row r="847" spans="10:11">
      <c r="J847" t="s">
        <v>3115</v>
      </c>
      <c r="K847" t="s">
        <v>3116</v>
      </c>
    </row>
    <row r="848" spans="10:11">
      <c r="J848" t="s">
        <v>3117</v>
      </c>
    </row>
    <row r="849" spans="10:11">
      <c r="J849" t="s">
        <v>325</v>
      </c>
    </row>
    <row r="850" spans="10:11">
      <c r="J850" t="s">
        <v>3118</v>
      </c>
    </row>
    <row r="851" spans="10:11">
      <c r="J851" t="s">
        <v>3119</v>
      </c>
    </row>
    <row r="852" spans="10:11">
      <c r="J852" t="s">
        <v>3122</v>
      </c>
    </row>
    <row r="853" spans="10:11">
      <c r="J853" t="s">
        <v>3123</v>
      </c>
      <c r="K853" t="s">
        <v>3124</v>
      </c>
    </row>
    <row r="854" spans="10:11">
      <c r="J854" t="s">
        <v>3125</v>
      </c>
    </row>
    <row r="855" spans="10:11">
      <c r="J855" t="s">
        <v>3126</v>
      </c>
      <c r="K855" t="s">
        <v>3127</v>
      </c>
    </row>
    <row r="856" spans="10:11">
      <c r="J856" t="s">
        <v>3128</v>
      </c>
    </row>
    <row r="857" spans="10:11">
      <c r="J857" t="s">
        <v>3129</v>
      </c>
      <c r="K857" t="s">
        <v>3130</v>
      </c>
    </row>
    <row r="858" spans="10:11">
      <c r="J858" t="s">
        <v>3131</v>
      </c>
    </row>
    <row r="859" spans="10:11">
      <c r="J859" t="s">
        <v>3132</v>
      </c>
    </row>
    <row r="860" spans="10:11">
      <c r="J860" t="s">
        <v>3133</v>
      </c>
      <c r="K860" t="s">
        <v>3134</v>
      </c>
    </row>
    <row r="861" spans="10:11">
      <c r="J861" t="s">
        <v>3135</v>
      </c>
      <c r="K861" t="s">
        <v>3136</v>
      </c>
    </row>
    <row r="862" spans="10:11">
      <c r="J862" t="s">
        <v>3120</v>
      </c>
      <c r="K862" t="s">
        <v>3121</v>
      </c>
    </row>
    <row r="863" spans="10:11">
      <c r="J863" t="s">
        <v>3137</v>
      </c>
    </row>
    <row r="864" spans="10:11">
      <c r="J864" t="s">
        <v>3138</v>
      </c>
    </row>
    <row r="865" spans="10:11">
      <c r="J865" t="s">
        <v>3139</v>
      </c>
    </row>
    <row r="866" spans="10:11">
      <c r="J866" t="s">
        <v>3140</v>
      </c>
    </row>
    <row r="867" spans="10:11">
      <c r="J867" t="s">
        <v>3141</v>
      </c>
    </row>
    <row r="868" spans="10:11">
      <c r="J868" t="s">
        <v>3142</v>
      </c>
    </row>
    <row r="869" spans="10:11">
      <c r="J869" t="s">
        <v>3143</v>
      </c>
    </row>
    <row r="870" spans="10:11">
      <c r="J870" t="s">
        <v>3144</v>
      </c>
    </row>
    <row r="871" spans="10:11">
      <c r="J871" t="s">
        <v>3145</v>
      </c>
    </row>
    <row r="872" spans="10:11">
      <c r="J872" t="s">
        <v>3146</v>
      </c>
    </row>
    <row r="873" spans="10:11">
      <c r="J873" t="s">
        <v>3147</v>
      </c>
      <c r="K873" t="s">
        <v>3148</v>
      </c>
    </row>
    <row r="874" spans="10:11">
      <c r="J874" t="s">
        <v>3149</v>
      </c>
    </row>
    <row r="875" spans="10:11">
      <c r="J875" t="s">
        <v>3150</v>
      </c>
    </row>
    <row r="876" spans="10:11">
      <c r="J876" t="s">
        <v>3151</v>
      </c>
    </row>
    <row r="877" spans="10:11">
      <c r="J877" t="s">
        <v>3152</v>
      </c>
    </row>
    <row r="878" spans="10:11">
      <c r="J878" t="s">
        <v>3153</v>
      </c>
    </row>
    <row r="879" spans="10:11">
      <c r="J879" t="s">
        <v>3154</v>
      </c>
    </row>
    <row r="880" spans="10:11">
      <c r="J880" t="s">
        <v>3155</v>
      </c>
    </row>
    <row r="881" spans="10:11">
      <c r="J881" t="s">
        <v>3156</v>
      </c>
      <c r="K881" t="s">
        <v>3157</v>
      </c>
    </row>
    <row r="882" spans="10:11">
      <c r="J882" t="s">
        <v>3158</v>
      </c>
    </row>
    <row r="883" spans="10:11">
      <c r="J883" t="s">
        <v>3159</v>
      </c>
    </row>
    <row r="884" spans="10:11">
      <c r="J884" t="s">
        <v>3160</v>
      </c>
    </row>
    <row r="885" spans="10:11">
      <c r="J885" t="s">
        <v>3161</v>
      </c>
    </row>
    <row r="886" spans="10:11">
      <c r="J886" t="s">
        <v>3162</v>
      </c>
    </row>
    <row r="887" spans="10:11">
      <c r="J887" t="s">
        <v>3163</v>
      </c>
    </row>
    <row r="888" spans="10:11">
      <c r="J888" t="s">
        <v>3164</v>
      </c>
    </row>
    <row r="889" spans="10:11">
      <c r="J889" t="s">
        <v>3165</v>
      </c>
    </row>
    <row r="890" spans="10:11">
      <c r="J890" t="s">
        <v>3166</v>
      </c>
    </row>
    <row r="891" spans="10:11">
      <c r="J891" t="s">
        <v>3167</v>
      </c>
    </row>
    <row r="892" spans="10:11">
      <c r="J892" t="s">
        <v>3168</v>
      </c>
    </row>
    <row r="893" spans="10:11">
      <c r="J893" t="s">
        <v>3169</v>
      </c>
    </row>
    <row r="894" spans="10:11">
      <c r="J894" t="s">
        <v>3170</v>
      </c>
    </row>
    <row r="895" spans="10:11">
      <c r="J895" t="s">
        <v>3171</v>
      </c>
      <c r="K895" t="s">
        <v>3087</v>
      </c>
    </row>
    <row r="896" spans="10:11">
      <c r="J896" t="s">
        <v>3172</v>
      </c>
    </row>
    <row r="897" spans="10:11">
      <c r="J897" t="s">
        <v>3173</v>
      </c>
    </row>
    <row r="898" spans="10:11">
      <c r="J898" t="s">
        <v>3174</v>
      </c>
    </row>
    <row r="899" spans="10:11">
      <c r="J899" t="s">
        <v>3175</v>
      </c>
    </row>
    <row r="900" spans="10:11">
      <c r="J900" t="s">
        <v>3176</v>
      </c>
      <c r="K900" t="s">
        <v>3177</v>
      </c>
    </row>
    <row r="901" spans="10:11">
      <c r="J901" t="s">
        <v>3178</v>
      </c>
    </row>
    <row r="902" spans="10:11">
      <c r="J902" t="s">
        <v>3179</v>
      </c>
      <c r="K902" t="s">
        <v>3180</v>
      </c>
    </row>
    <row r="903" spans="10:11">
      <c r="J903" t="s">
        <v>3181</v>
      </c>
    </row>
    <row r="904" spans="10:11">
      <c r="J904" t="s">
        <v>3182</v>
      </c>
    </row>
    <row r="905" spans="10:11">
      <c r="J905" t="s">
        <v>3183</v>
      </c>
    </row>
    <row r="906" spans="10:11">
      <c r="J906" t="s">
        <v>3184</v>
      </c>
      <c r="K906" t="s">
        <v>3185</v>
      </c>
    </row>
    <row r="907" spans="10:11">
      <c r="J907" t="s">
        <v>3186</v>
      </c>
    </row>
    <row r="908" spans="10:11">
      <c r="J908" t="s">
        <v>3187</v>
      </c>
    </row>
    <row r="909" spans="10:11">
      <c r="J909" t="s">
        <v>3188</v>
      </c>
    </row>
    <row r="910" spans="10:11">
      <c r="J910" t="s">
        <v>327</v>
      </c>
    </row>
    <row r="911" spans="10:11">
      <c r="J911" t="s">
        <v>3189</v>
      </c>
    </row>
    <row r="912" spans="10:11">
      <c r="J912" t="s">
        <v>3190</v>
      </c>
    </row>
    <row r="913" spans="10:11">
      <c r="J913" t="s">
        <v>3191</v>
      </c>
    </row>
    <row r="914" spans="10:11">
      <c r="J914" t="s">
        <v>3192</v>
      </c>
    </row>
    <row r="915" spans="10:11">
      <c r="J915" t="s">
        <v>3193</v>
      </c>
      <c r="K915" t="s">
        <v>2167</v>
      </c>
    </row>
    <row r="916" spans="10:11">
      <c r="J916" t="s">
        <v>3194</v>
      </c>
    </row>
    <row r="917" spans="10:11">
      <c r="J917" t="s">
        <v>3195</v>
      </c>
      <c r="K917" t="s">
        <v>3196</v>
      </c>
    </row>
    <row r="918" spans="10:11">
      <c r="J918" t="s">
        <v>3197</v>
      </c>
    </row>
    <row r="919" spans="10:11">
      <c r="J919" t="s">
        <v>3198</v>
      </c>
      <c r="K919" t="s">
        <v>3199</v>
      </c>
    </row>
    <row r="920" spans="10:11">
      <c r="J920" t="s">
        <v>3200</v>
      </c>
    </row>
    <row r="921" spans="10:11">
      <c r="J921" t="s">
        <v>3201</v>
      </c>
    </row>
    <row r="922" spans="10:11">
      <c r="J922" t="s">
        <v>3202</v>
      </c>
      <c r="K922" t="s">
        <v>3203</v>
      </c>
    </row>
    <row r="923" spans="10:11">
      <c r="J923" t="s">
        <v>3204</v>
      </c>
      <c r="K923" t="s">
        <v>3205</v>
      </c>
    </row>
    <row r="924" spans="10:11">
      <c r="J924" t="s">
        <v>3206</v>
      </c>
    </row>
    <row r="925" spans="10:11">
      <c r="J925" t="s">
        <v>3207</v>
      </c>
    </row>
    <row r="926" spans="10:11">
      <c r="J926" t="s">
        <v>3208</v>
      </c>
      <c r="K926" t="s">
        <v>3209</v>
      </c>
    </row>
    <row r="927" spans="10:11">
      <c r="J927" t="s">
        <v>3210</v>
      </c>
    </row>
    <row r="928" spans="10:11">
      <c r="J928" t="s">
        <v>3211</v>
      </c>
    </row>
    <row r="929" spans="10:11">
      <c r="J929" t="s">
        <v>3212</v>
      </c>
    </row>
    <row r="930" spans="10:11">
      <c r="J930" t="s">
        <v>3213</v>
      </c>
    </row>
    <row r="931" spans="10:11">
      <c r="J931" t="s">
        <v>3214</v>
      </c>
    </row>
    <row r="932" spans="10:11">
      <c r="J932" t="s">
        <v>3215</v>
      </c>
    </row>
    <row r="933" spans="10:11">
      <c r="J933" t="s">
        <v>3216</v>
      </c>
      <c r="K933" t="s">
        <v>3217</v>
      </c>
    </row>
    <row r="934" spans="10:11">
      <c r="J934" t="s">
        <v>3218</v>
      </c>
    </row>
    <row r="935" spans="10:11">
      <c r="J935" t="s">
        <v>3219</v>
      </c>
    </row>
    <row r="936" spans="10:11">
      <c r="J936" t="s">
        <v>3220</v>
      </c>
    </row>
    <row r="937" spans="10:11">
      <c r="J937" t="s">
        <v>3221</v>
      </c>
    </row>
    <row r="938" spans="10:11">
      <c r="J938" t="s">
        <v>3222</v>
      </c>
    </row>
    <row r="939" spans="10:11">
      <c r="J939" t="s">
        <v>3223</v>
      </c>
    </row>
    <row r="940" spans="10:11">
      <c r="J940" t="s">
        <v>3224</v>
      </c>
    </row>
    <row r="941" spans="10:11">
      <c r="J941" t="s">
        <v>3225</v>
      </c>
      <c r="K941" t="s">
        <v>3226</v>
      </c>
    </row>
    <row r="942" spans="10:11">
      <c r="J942" t="s">
        <v>3227</v>
      </c>
    </row>
    <row r="943" spans="10:11">
      <c r="J943" t="s">
        <v>3228</v>
      </c>
    </row>
    <row r="944" spans="10:11">
      <c r="J944" t="s">
        <v>3229</v>
      </c>
    </row>
    <row r="945" spans="10:11">
      <c r="J945" t="s">
        <v>3230</v>
      </c>
    </row>
    <row r="946" spans="10:11">
      <c r="J946" t="s">
        <v>3231</v>
      </c>
    </row>
    <row r="947" spans="10:11">
      <c r="J947" t="s">
        <v>3232</v>
      </c>
    </row>
    <row r="948" spans="10:11">
      <c r="J948" t="s">
        <v>3233</v>
      </c>
    </row>
    <row r="949" spans="10:11">
      <c r="J949" t="s">
        <v>3234</v>
      </c>
      <c r="K949" t="s">
        <v>3235</v>
      </c>
    </row>
    <row r="950" spans="10:11">
      <c r="J950" t="s">
        <v>922</v>
      </c>
    </row>
    <row r="951" spans="10:11">
      <c r="J951" t="s">
        <v>3236</v>
      </c>
    </row>
    <row r="952" spans="10:11">
      <c r="J952" t="s">
        <v>3237</v>
      </c>
    </row>
    <row r="953" spans="10:11">
      <c r="J953" t="s">
        <v>3238</v>
      </c>
    </row>
    <row r="954" spans="10:11">
      <c r="J954" t="s">
        <v>3239</v>
      </c>
      <c r="K954" t="s">
        <v>3240</v>
      </c>
    </row>
    <row r="955" spans="10:11">
      <c r="J955" t="s">
        <v>3241</v>
      </c>
    </row>
    <row r="956" spans="10:11">
      <c r="J956" t="s">
        <v>3242</v>
      </c>
    </row>
    <row r="957" spans="10:11">
      <c r="J957" t="s">
        <v>3243</v>
      </c>
      <c r="K957" t="s">
        <v>3244</v>
      </c>
    </row>
    <row r="958" spans="10:11">
      <c r="J958" t="s">
        <v>3245</v>
      </c>
      <c r="K958" t="s">
        <v>3205</v>
      </c>
    </row>
    <row r="959" spans="10:11">
      <c r="J959" t="s">
        <v>3246</v>
      </c>
    </row>
    <row r="960" spans="10:11">
      <c r="J960" t="s">
        <v>3247</v>
      </c>
    </row>
    <row r="961" spans="10:11">
      <c r="J961" t="s">
        <v>3248</v>
      </c>
    </row>
    <row r="962" spans="10:11">
      <c r="J962" t="s">
        <v>3249</v>
      </c>
      <c r="K962" t="s">
        <v>3250</v>
      </c>
    </row>
    <row r="963" spans="10:11">
      <c r="J963" t="s">
        <v>3251</v>
      </c>
    </row>
    <row r="964" spans="10:11">
      <c r="J964" t="s">
        <v>3252</v>
      </c>
    </row>
    <row r="965" spans="10:11">
      <c r="J965" t="s">
        <v>3253</v>
      </c>
    </row>
    <row r="966" spans="10:11">
      <c r="J966" t="s">
        <v>3254</v>
      </c>
    </row>
    <row r="967" spans="10:11">
      <c r="J967" t="s">
        <v>3255</v>
      </c>
    </row>
    <row r="968" spans="10:11">
      <c r="J968" t="s">
        <v>3256</v>
      </c>
    </row>
    <row r="969" spans="10:11">
      <c r="J969" t="s">
        <v>3257</v>
      </c>
    </row>
    <row r="970" spans="10:11">
      <c r="J970" t="s">
        <v>3258</v>
      </c>
      <c r="K970" t="s">
        <v>3259</v>
      </c>
    </row>
    <row r="971" spans="10:11">
      <c r="J971" t="s">
        <v>3260</v>
      </c>
    </row>
    <row r="972" spans="10:11">
      <c r="J972" t="s">
        <v>3261</v>
      </c>
    </row>
    <row r="973" spans="10:11">
      <c r="J973" t="s">
        <v>3262</v>
      </c>
    </row>
    <row r="974" spans="10:11">
      <c r="J974" t="s">
        <v>3263</v>
      </c>
    </row>
    <row r="975" spans="10:11">
      <c r="J975" t="s">
        <v>3264</v>
      </c>
    </row>
    <row r="976" spans="10:11">
      <c r="J976" t="s">
        <v>3265</v>
      </c>
    </row>
    <row r="977" spans="10:11">
      <c r="J977" t="s">
        <v>3266</v>
      </c>
    </row>
    <row r="978" spans="10:11">
      <c r="J978" t="s">
        <v>3267</v>
      </c>
    </row>
    <row r="979" spans="10:11">
      <c r="J979" t="s">
        <v>3268</v>
      </c>
      <c r="K979" t="s">
        <v>3269</v>
      </c>
    </row>
    <row r="980" spans="10:11">
      <c r="J980" t="s">
        <v>3270</v>
      </c>
    </row>
    <row r="981" spans="10:11">
      <c r="J981" t="s">
        <v>3271</v>
      </c>
    </row>
    <row r="982" spans="10:11">
      <c r="J982" t="s">
        <v>3272</v>
      </c>
    </row>
    <row r="983" spans="10:11">
      <c r="J983" t="s">
        <v>1123</v>
      </c>
    </row>
    <row r="984" spans="10:11">
      <c r="J984" t="s">
        <v>3273</v>
      </c>
    </row>
    <row r="985" spans="10:11">
      <c r="J985" t="s">
        <v>3274</v>
      </c>
    </row>
    <row r="986" spans="10:11">
      <c r="J986" t="s">
        <v>3275</v>
      </c>
    </row>
    <row r="987" spans="10:11">
      <c r="J987" t="s">
        <v>3276</v>
      </c>
    </row>
    <row r="988" spans="10:11">
      <c r="J988" t="s">
        <v>3277</v>
      </c>
    </row>
    <row r="989" spans="10:11">
      <c r="J989" t="s">
        <v>3278</v>
      </c>
    </row>
    <row r="990" spans="10:11">
      <c r="J990" t="s">
        <v>3279</v>
      </c>
    </row>
    <row r="991" spans="10:11">
      <c r="J991" t="s">
        <v>3280</v>
      </c>
    </row>
    <row r="992" spans="10:11">
      <c r="J992" t="s">
        <v>3281</v>
      </c>
    </row>
    <row r="993" spans="10:11">
      <c r="J993" t="s">
        <v>3282</v>
      </c>
    </row>
    <row r="994" spans="10:11">
      <c r="J994" t="s">
        <v>3283</v>
      </c>
      <c r="K994" t="s">
        <v>3284</v>
      </c>
    </row>
    <row r="995" spans="10:11">
      <c r="J995" t="s">
        <v>3285</v>
      </c>
    </row>
    <row r="996" spans="10:11">
      <c r="J996" t="s">
        <v>3286</v>
      </c>
    </row>
    <row r="997" spans="10:11">
      <c r="J997" t="s">
        <v>3287</v>
      </c>
    </row>
    <row r="998" spans="10:11">
      <c r="J998" t="s">
        <v>3288</v>
      </c>
    </row>
    <row r="999" spans="10:11">
      <c r="J999" t="s">
        <v>3289</v>
      </c>
    </row>
    <row r="1000" spans="10:11">
      <c r="J1000" t="s">
        <v>3290</v>
      </c>
    </row>
    <row r="1001" spans="10:11">
      <c r="J1001" t="s">
        <v>3291</v>
      </c>
      <c r="K1001" t="s">
        <v>3292</v>
      </c>
    </row>
    <row r="1002" spans="10:11">
      <c r="J1002" t="s">
        <v>3293</v>
      </c>
    </row>
    <row r="1003" spans="10:11">
      <c r="J1003" t="s">
        <v>3294</v>
      </c>
    </row>
    <row r="1004" spans="10:11">
      <c r="J1004" t="s">
        <v>3295</v>
      </c>
      <c r="K1004" t="s">
        <v>3296</v>
      </c>
    </row>
    <row r="1005" spans="10:11">
      <c r="J1005" t="s">
        <v>3297</v>
      </c>
    </row>
    <row r="1006" spans="10:11">
      <c r="J1006" t="s">
        <v>3298</v>
      </c>
    </row>
    <row r="1007" spans="10:11">
      <c r="J1007" t="s">
        <v>3299</v>
      </c>
    </row>
    <row r="1008" spans="10:11">
      <c r="J1008" t="s">
        <v>3300</v>
      </c>
    </row>
    <row r="1009" spans="10:11">
      <c r="J1009" t="s">
        <v>3301</v>
      </c>
    </row>
    <row r="1010" spans="10:11">
      <c r="J1010" t="s">
        <v>3302</v>
      </c>
    </row>
    <row r="1011" spans="10:11">
      <c r="J1011" t="s">
        <v>3303</v>
      </c>
    </row>
    <row r="1012" spans="10:11">
      <c r="J1012" t="s">
        <v>3304</v>
      </c>
    </row>
    <row r="1013" spans="10:11">
      <c r="J1013" t="s">
        <v>3305</v>
      </c>
    </row>
    <row r="1014" spans="10:11">
      <c r="J1014" t="s">
        <v>3306</v>
      </c>
    </row>
    <row r="1015" spans="10:11">
      <c r="J1015" t="s">
        <v>3307</v>
      </c>
    </row>
    <row r="1016" spans="10:11">
      <c r="J1016" t="s">
        <v>3308</v>
      </c>
    </row>
    <row r="1017" spans="10:11">
      <c r="J1017" t="s">
        <v>73</v>
      </c>
    </row>
    <row r="1018" spans="10:11">
      <c r="J1018" t="s">
        <v>3309</v>
      </c>
    </row>
    <row r="1019" spans="10:11">
      <c r="J1019" t="s">
        <v>3310</v>
      </c>
    </row>
    <row r="1020" spans="10:11">
      <c r="J1020" t="s">
        <v>3311</v>
      </c>
      <c r="K1020" t="s">
        <v>3312</v>
      </c>
    </row>
    <row r="1021" spans="10:11">
      <c r="J1021" t="s">
        <v>3313</v>
      </c>
    </row>
    <row r="1022" spans="10:11">
      <c r="J1022" t="s">
        <v>3314</v>
      </c>
      <c r="K1022" t="s">
        <v>3315</v>
      </c>
    </row>
    <row r="1023" spans="10:11">
      <c r="J1023" t="s">
        <v>3316</v>
      </c>
    </row>
    <row r="1024" spans="10:11">
      <c r="J1024" t="s">
        <v>3317</v>
      </c>
    </row>
    <row r="1025" spans="10:11">
      <c r="J1025" t="s">
        <v>1869</v>
      </c>
    </row>
    <row r="1026" spans="10:11">
      <c r="J1026" t="s">
        <v>3318</v>
      </c>
    </row>
    <row r="1027" spans="10:11">
      <c r="J1027" t="s">
        <v>3319</v>
      </c>
    </row>
    <row r="1028" spans="10:11">
      <c r="J1028" t="s">
        <v>80</v>
      </c>
      <c r="K1028" t="s">
        <v>3320</v>
      </c>
    </row>
    <row r="1029" spans="10:11">
      <c r="J1029" t="s">
        <v>353</v>
      </c>
    </row>
    <row r="1030" spans="10:11">
      <c r="J1030" t="s">
        <v>3321</v>
      </c>
    </row>
    <row r="1031" spans="10:11">
      <c r="J1031" t="s">
        <v>3322</v>
      </c>
      <c r="K1031" t="s">
        <v>3323</v>
      </c>
    </row>
    <row r="1032" spans="10:11">
      <c r="J1032" t="s">
        <v>678</v>
      </c>
    </row>
    <row r="1033" spans="10:11">
      <c r="J1033" t="s">
        <v>82</v>
      </c>
      <c r="K1033" t="s">
        <v>3324</v>
      </c>
    </row>
    <row r="1034" spans="10:11">
      <c r="J1034" t="s">
        <v>3325</v>
      </c>
    </row>
    <row r="1035" spans="10:11">
      <c r="J1035" t="s">
        <v>3326</v>
      </c>
      <c r="K1035" t="s">
        <v>3327</v>
      </c>
    </row>
    <row r="1036" spans="10:11">
      <c r="J1036" t="s">
        <v>3328</v>
      </c>
      <c r="K1036" t="s">
        <v>3329</v>
      </c>
    </row>
    <row r="1037" spans="10:11">
      <c r="J1037" t="s">
        <v>3330</v>
      </c>
    </row>
    <row r="1038" spans="10:11">
      <c r="J1038" t="s">
        <v>3331</v>
      </c>
    </row>
    <row r="1039" spans="10:11">
      <c r="J1039" t="s">
        <v>3332</v>
      </c>
    </row>
    <row r="1040" spans="10:11">
      <c r="J1040" t="s">
        <v>3333</v>
      </c>
    </row>
    <row r="1041" spans="10:11">
      <c r="J1041" t="s">
        <v>3334</v>
      </c>
    </row>
    <row r="1042" spans="10:11">
      <c r="J1042" t="s">
        <v>369</v>
      </c>
    </row>
    <row r="1043" spans="10:11">
      <c r="J1043" t="s">
        <v>3335</v>
      </c>
    </row>
    <row r="1044" spans="10:11">
      <c r="J1044" t="s">
        <v>3336</v>
      </c>
    </row>
    <row r="1045" spans="10:11">
      <c r="J1045" t="s">
        <v>3337</v>
      </c>
    </row>
    <row r="1046" spans="10:11">
      <c r="J1046" t="s">
        <v>3338</v>
      </c>
    </row>
    <row r="1047" spans="10:11">
      <c r="J1047" t="s">
        <v>3339</v>
      </c>
    </row>
    <row r="1048" spans="10:11">
      <c r="J1048" t="s">
        <v>3340</v>
      </c>
    </row>
    <row r="1049" spans="10:11">
      <c r="J1049" t="s">
        <v>3341</v>
      </c>
      <c r="K1049" t="s">
        <v>3342</v>
      </c>
    </row>
    <row r="1050" spans="10:11">
      <c r="J1050" t="s">
        <v>3343</v>
      </c>
    </row>
    <row r="1051" spans="10:11">
      <c r="J1051" t="s">
        <v>3344</v>
      </c>
    </row>
    <row r="1052" spans="10:11">
      <c r="J1052" t="s">
        <v>3345</v>
      </c>
    </row>
    <row r="1053" spans="10:11">
      <c r="J1053" t="s">
        <v>3346</v>
      </c>
    </row>
    <row r="1054" spans="10:11">
      <c r="J1054" t="s">
        <v>3347</v>
      </c>
    </row>
    <row r="1055" spans="10:11">
      <c r="J1055" t="s">
        <v>3348</v>
      </c>
      <c r="K1055" t="s">
        <v>3349</v>
      </c>
    </row>
    <row r="1056" spans="10:11">
      <c r="J1056" t="s">
        <v>3350</v>
      </c>
    </row>
    <row r="1057" spans="10:11">
      <c r="J1057" t="s">
        <v>3351</v>
      </c>
      <c r="K1057" t="s">
        <v>3352</v>
      </c>
    </row>
    <row r="1058" spans="10:11">
      <c r="J1058" t="s">
        <v>3353</v>
      </c>
    </row>
    <row r="1059" spans="10:11">
      <c r="J1059" t="s">
        <v>3354</v>
      </c>
      <c r="K1059" t="s">
        <v>3355</v>
      </c>
    </row>
    <row r="1060" spans="10:11">
      <c r="J1060" t="s">
        <v>3356</v>
      </c>
      <c r="K1060" t="s">
        <v>3357</v>
      </c>
    </row>
    <row r="1061" spans="10:11">
      <c r="J1061" t="s">
        <v>3358</v>
      </c>
    </row>
    <row r="1062" spans="10:11">
      <c r="J1062" t="s">
        <v>3359</v>
      </c>
    </row>
    <row r="1063" spans="10:11">
      <c r="J1063" t="s">
        <v>3360</v>
      </c>
    </row>
    <row r="1064" spans="10:11">
      <c r="J1064" t="s">
        <v>3361</v>
      </c>
      <c r="K1064" t="s">
        <v>3362</v>
      </c>
    </row>
    <row r="1065" spans="10:11">
      <c r="J1065" t="s">
        <v>3363</v>
      </c>
      <c r="K1065" t="s">
        <v>3364</v>
      </c>
    </row>
    <row r="1066" spans="10:11">
      <c r="J1066" t="s">
        <v>3365</v>
      </c>
    </row>
    <row r="1067" spans="10:11">
      <c r="J1067" t="s">
        <v>3366</v>
      </c>
    </row>
    <row r="1068" spans="10:11">
      <c r="J1068" t="s">
        <v>3367</v>
      </c>
    </row>
    <row r="1069" spans="10:11">
      <c r="J1069" t="s">
        <v>3368</v>
      </c>
    </row>
    <row r="1070" spans="10:11">
      <c r="J1070" t="s">
        <v>3369</v>
      </c>
    </row>
    <row r="1071" spans="10:11">
      <c r="J1071" t="s">
        <v>3370</v>
      </c>
    </row>
    <row r="1072" spans="10:11">
      <c r="J1072" t="s">
        <v>3371</v>
      </c>
    </row>
    <row r="1073" spans="10:11">
      <c r="J1073" t="s">
        <v>3372</v>
      </c>
    </row>
    <row r="1074" spans="10:11">
      <c r="J1074" t="s">
        <v>3373</v>
      </c>
      <c r="K1074" t="s">
        <v>3374</v>
      </c>
    </row>
    <row r="1075" spans="10:11">
      <c r="J1075" t="s">
        <v>3375</v>
      </c>
    </row>
    <row r="1076" spans="10:11">
      <c r="J1076" t="s">
        <v>3376</v>
      </c>
    </row>
    <row r="1077" spans="10:11">
      <c r="J1077" t="s">
        <v>3377</v>
      </c>
    </row>
    <row r="1078" spans="10:11">
      <c r="J1078" t="s">
        <v>3378</v>
      </c>
    </row>
    <row r="1079" spans="10:11">
      <c r="J1079" t="s">
        <v>3379</v>
      </c>
    </row>
    <row r="1080" spans="10:11">
      <c r="J1080" t="s">
        <v>3380</v>
      </c>
    </row>
    <row r="1081" spans="10:11">
      <c r="J1081" t="s">
        <v>3381</v>
      </c>
      <c r="K1081" t="s">
        <v>3382</v>
      </c>
    </row>
    <row r="1082" spans="10:11">
      <c r="J1082" t="s">
        <v>3383</v>
      </c>
    </row>
    <row r="1083" spans="10:11">
      <c r="J1083" t="s">
        <v>3384</v>
      </c>
      <c r="K1083" t="s">
        <v>3385</v>
      </c>
    </row>
    <row r="1084" spans="10:11">
      <c r="J1084" t="s">
        <v>3386</v>
      </c>
    </row>
    <row r="1085" spans="10:11">
      <c r="J1085" t="s">
        <v>3387</v>
      </c>
      <c r="K1085" t="s">
        <v>3388</v>
      </c>
    </row>
    <row r="1086" spans="10:11">
      <c r="J1086" t="s">
        <v>3389</v>
      </c>
    </row>
    <row r="1087" spans="10:11">
      <c r="J1087" t="s">
        <v>3390</v>
      </c>
    </row>
    <row r="1088" spans="10:11">
      <c r="J1088" t="s">
        <v>3391</v>
      </c>
    </row>
    <row r="1089" spans="10:11">
      <c r="J1089" t="s">
        <v>3392</v>
      </c>
    </row>
    <row r="1090" spans="10:11">
      <c r="J1090" t="s">
        <v>3393</v>
      </c>
    </row>
    <row r="1091" spans="10:11">
      <c r="J1091" t="s">
        <v>3394</v>
      </c>
    </row>
    <row r="1092" spans="10:11">
      <c r="J1092" t="s">
        <v>3395</v>
      </c>
    </row>
    <row r="1093" spans="10:11">
      <c r="J1093" t="s">
        <v>3396</v>
      </c>
    </row>
    <row r="1094" spans="10:11">
      <c r="J1094" t="s">
        <v>3397</v>
      </c>
    </row>
    <row r="1095" spans="10:11">
      <c r="J1095" t="s">
        <v>3398</v>
      </c>
      <c r="K1095" t="s">
        <v>3399</v>
      </c>
    </row>
    <row r="1096" spans="10:11">
      <c r="J1096" t="s">
        <v>3400</v>
      </c>
      <c r="K1096" t="s">
        <v>3401</v>
      </c>
    </row>
    <row r="1097" spans="10:11">
      <c r="J1097" t="s">
        <v>3402</v>
      </c>
      <c r="K1097" t="s">
        <v>3403</v>
      </c>
    </row>
    <row r="1098" spans="10:11">
      <c r="J1098" t="s">
        <v>3404</v>
      </c>
    </row>
    <row r="1099" spans="10:11">
      <c r="J1099" t="s">
        <v>3405</v>
      </c>
    </row>
    <row r="1100" spans="10:11">
      <c r="J1100" t="s">
        <v>3406</v>
      </c>
    </row>
    <row r="1101" spans="10:11">
      <c r="J1101" t="s">
        <v>3407</v>
      </c>
    </row>
    <row r="1102" spans="10:11">
      <c r="J1102" t="s">
        <v>3408</v>
      </c>
    </row>
    <row r="1103" spans="10:11">
      <c r="J1103" t="s">
        <v>3409</v>
      </c>
    </row>
    <row r="1104" spans="10:11">
      <c r="J1104" t="s">
        <v>3410</v>
      </c>
    </row>
    <row r="1105" spans="10:11">
      <c r="J1105" t="s">
        <v>3411</v>
      </c>
    </row>
    <row r="1106" spans="10:11">
      <c r="J1106" t="s">
        <v>3412</v>
      </c>
    </row>
    <row r="1107" spans="10:11">
      <c r="J1107" t="s">
        <v>3413</v>
      </c>
    </row>
    <row r="1108" spans="10:11">
      <c r="J1108" t="s">
        <v>3414</v>
      </c>
      <c r="K1108" t="s">
        <v>3415</v>
      </c>
    </row>
    <row r="1109" spans="10:11">
      <c r="J1109" t="s">
        <v>3416</v>
      </c>
    </row>
    <row r="1110" spans="10:11">
      <c r="J1110" t="s">
        <v>3417</v>
      </c>
      <c r="K1110" t="s">
        <v>3418</v>
      </c>
    </row>
    <row r="1111" spans="10:11">
      <c r="J1111" t="s">
        <v>3419</v>
      </c>
    </row>
    <row r="1112" spans="10:11">
      <c r="J1112" t="s">
        <v>3420</v>
      </c>
      <c r="K1112" t="s">
        <v>3421</v>
      </c>
    </row>
    <row r="1113" spans="10:11">
      <c r="J1113" t="s">
        <v>3422</v>
      </c>
    </row>
    <row r="1114" spans="10:11">
      <c r="J1114" t="s">
        <v>3423</v>
      </c>
      <c r="K1114" t="s">
        <v>3424</v>
      </c>
    </row>
    <row r="1115" spans="10:11">
      <c r="J1115" t="s">
        <v>3425</v>
      </c>
    </row>
    <row r="1116" spans="10:11">
      <c r="J1116" t="s">
        <v>3426</v>
      </c>
    </row>
    <row r="1117" spans="10:11">
      <c r="J1117" t="s">
        <v>85</v>
      </c>
    </row>
    <row r="1118" spans="10:11">
      <c r="J1118" t="s">
        <v>3427</v>
      </c>
    </row>
    <row r="1119" spans="10:11">
      <c r="J1119" t="s">
        <v>3428</v>
      </c>
    </row>
    <row r="1120" spans="10:11">
      <c r="J1120" t="s">
        <v>3429</v>
      </c>
    </row>
    <row r="1121" spans="10:10">
      <c r="J1121" t="s">
        <v>439</v>
      </c>
    </row>
    <row r="1122" spans="10:10">
      <c r="J1122" t="s">
        <v>3430</v>
      </c>
    </row>
    <row r="1123" spans="10:10">
      <c r="J1123" t="s">
        <v>3431</v>
      </c>
    </row>
    <row r="1124" spans="10:10">
      <c r="J1124" t="s">
        <v>3432</v>
      </c>
    </row>
    <row r="1125" spans="10:10">
      <c r="J1125" t="s">
        <v>3433</v>
      </c>
    </row>
    <row r="1126" spans="10:10">
      <c r="J1126" t="s">
        <v>3434</v>
      </c>
    </row>
    <row r="1127" spans="10:10">
      <c r="J1127" t="s">
        <v>3435</v>
      </c>
    </row>
    <row r="1128" spans="10:10">
      <c r="J1128" t="s">
        <v>3436</v>
      </c>
    </row>
    <row r="1129" spans="10:10">
      <c r="J1129" t="s">
        <v>3437</v>
      </c>
    </row>
    <row r="1130" spans="10:10">
      <c r="J1130" t="s">
        <v>3438</v>
      </c>
    </row>
    <row r="1131" spans="10:10">
      <c r="J1131" t="s">
        <v>3439</v>
      </c>
    </row>
    <row r="1132" spans="10:10">
      <c r="J1132" t="s">
        <v>3440</v>
      </c>
    </row>
    <row r="1133" spans="10:10">
      <c r="J1133" t="s">
        <v>3441</v>
      </c>
    </row>
    <row r="1134" spans="10:10">
      <c r="J1134" t="s">
        <v>3442</v>
      </c>
    </row>
    <row r="1135" spans="10:10">
      <c r="J1135" t="s">
        <v>3443</v>
      </c>
    </row>
    <row r="1136" spans="10:10">
      <c r="J1136" t="s">
        <v>3444</v>
      </c>
    </row>
    <row r="1137" spans="10:11">
      <c r="J1137" t="s">
        <v>3445</v>
      </c>
    </row>
    <row r="1138" spans="10:11">
      <c r="J1138" t="s">
        <v>3446</v>
      </c>
    </row>
    <row r="1139" spans="10:11">
      <c r="J1139" t="s">
        <v>3447</v>
      </c>
    </row>
    <row r="1140" spans="10:11">
      <c r="J1140" t="s">
        <v>3448</v>
      </c>
    </row>
    <row r="1141" spans="10:11">
      <c r="J1141" t="s">
        <v>3449</v>
      </c>
    </row>
    <row r="1142" spans="10:11">
      <c r="J1142" t="s">
        <v>3450</v>
      </c>
    </row>
    <row r="1143" spans="10:11">
      <c r="J1143" t="s">
        <v>3451</v>
      </c>
    </row>
    <row r="1144" spans="10:11">
      <c r="J1144" t="s">
        <v>3452</v>
      </c>
    </row>
    <row r="1145" spans="10:11">
      <c r="J1145" t="s">
        <v>3453</v>
      </c>
    </row>
    <row r="1146" spans="10:11">
      <c r="J1146" t="s">
        <v>3454</v>
      </c>
    </row>
    <row r="1147" spans="10:11">
      <c r="J1147" t="s">
        <v>3455</v>
      </c>
    </row>
    <row r="1148" spans="10:11">
      <c r="J1148" t="s">
        <v>3456</v>
      </c>
    </row>
    <row r="1149" spans="10:11">
      <c r="J1149" t="s">
        <v>3457</v>
      </c>
      <c r="K1149" t="s">
        <v>3458</v>
      </c>
    </row>
    <row r="1150" spans="10:11">
      <c r="J1150" t="s">
        <v>3459</v>
      </c>
    </row>
    <row r="1151" spans="10:11">
      <c r="J1151" t="s">
        <v>3460</v>
      </c>
    </row>
    <row r="1152" spans="10:11">
      <c r="J1152" t="s">
        <v>3461</v>
      </c>
      <c r="K1152" t="s">
        <v>3462</v>
      </c>
    </row>
    <row r="1153" spans="10:11">
      <c r="J1153" t="s">
        <v>3463</v>
      </c>
    </row>
    <row r="1154" spans="10:11">
      <c r="J1154" t="s">
        <v>3464</v>
      </c>
      <c r="K1154" t="s">
        <v>3465</v>
      </c>
    </row>
    <row r="1155" spans="10:11">
      <c r="J1155" t="s">
        <v>3466</v>
      </c>
      <c r="K1155" t="s">
        <v>3467</v>
      </c>
    </row>
    <row r="1156" spans="10:11">
      <c r="J1156" t="s">
        <v>3468</v>
      </c>
    </row>
    <row r="1157" spans="10:11">
      <c r="J1157" t="s">
        <v>3469</v>
      </c>
    </row>
    <row r="1158" spans="10:11">
      <c r="J1158" t="s">
        <v>3470</v>
      </c>
    </row>
    <row r="1159" spans="10:11">
      <c r="J1159" t="s">
        <v>3471</v>
      </c>
    </row>
    <row r="1160" spans="10:11">
      <c r="J1160" t="s">
        <v>3472</v>
      </c>
    </row>
    <row r="1161" spans="10:11">
      <c r="J1161" t="s">
        <v>3473</v>
      </c>
    </row>
    <row r="1162" spans="10:11">
      <c r="J1162" t="s">
        <v>3474</v>
      </c>
    </row>
    <row r="1163" spans="10:11">
      <c r="J1163" t="s">
        <v>3475</v>
      </c>
    </row>
    <row r="1164" spans="10:11">
      <c r="J1164" t="s">
        <v>3476</v>
      </c>
    </row>
    <row r="1165" spans="10:11">
      <c r="J1165" t="s">
        <v>3477</v>
      </c>
    </row>
    <row r="1166" spans="10:11">
      <c r="J1166" t="s">
        <v>3478</v>
      </c>
      <c r="K1166" t="s">
        <v>3479</v>
      </c>
    </row>
    <row r="1167" spans="10:11">
      <c r="J1167" t="s">
        <v>3480</v>
      </c>
    </row>
    <row r="1168" spans="10:11">
      <c r="J1168" t="s">
        <v>3481</v>
      </c>
    </row>
    <row r="1169" spans="10:11">
      <c r="J1169" t="s">
        <v>3482</v>
      </c>
    </row>
    <row r="1170" spans="10:11">
      <c r="J1170" t="s">
        <v>3483</v>
      </c>
    </row>
    <row r="1171" spans="10:11">
      <c r="J1171" t="s">
        <v>3484</v>
      </c>
    </row>
    <row r="1172" spans="10:11">
      <c r="J1172" t="s">
        <v>3485</v>
      </c>
    </row>
    <row r="1173" spans="10:11">
      <c r="J1173" t="s">
        <v>3486</v>
      </c>
    </row>
    <row r="1174" spans="10:11">
      <c r="J1174" t="s">
        <v>3487</v>
      </c>
    </row>
    <row r="1175" spans="10:11">
      <c r="J1175" t="s">
        <v>3488</v>
      </c>
      <c r="K1175" t="s">
        <v>3489</v>
      </c>
    </row>
    <row r="1176" spans="10:11">
      <c r="J1176" t="s">
        <v>3490</v>
      </c>
    </row>
    <row r="1177" spans="10:11">
      <c r="J1177" t="s">
        <v>3491</v>
      </c>
    </row>
    <row r="1178" spans="10:11">
      <c r="J1178" t="s">
        <v>3492</v>
      </c>
      <c r="K1178" t="s">
        <v>3489</v>
      </c>
    </row>
    <row r="1179" spans="10:11">
      <c r="J1179" t="s">
        <v>3493</v>
      </c>
      <c r="K1179" t="s">
        <v>3494</v>
      </c>
    </row>
    <row r="1180" spans="10:11">
      <c r="J1180" t="s">
        <v>3495</v>
      </c>
      <c r="K1180" t="s">
        <v>3496</v>
      </c>
    </row>
    <row r="1181" spans="10:11">
      <c r="J1181" t="s">
        <v>3497</v>
      </c>
    </row>
    <row r="1182" spans="10:11">
      <c r="J1182" t="s">
        <v>3498</v>
      </c>
      <c r="K1182" t="s">
        <v>3499</v>
      </c>
    </row>
    <row r="1183" spans="10:11">
      <c r="J1183" t="s">
        <v>3500</v>
      </c>
      <c r="K1183" t="s">
        <v>3501</v>
      </c>
    </row>
    <row r="1184" spans="10:11">
      <c r="J1184" t="s">
        <v>3502</v>
      </c>
    </row>
    <row r="1185" spans="10:11">
      <c r="J1185" t="s">
        <v>384</v>
      </c>
    </row>
    <row r="1186" spans="10:11">
      <c r="J1186" t="s">
        <v>3503</v>
      </c>
      <c r="K1186" t="s">
        <v>3504</v>
      </c>
    </row>
    <row r="1187" spans="10:11">
      <c r="J1187" t="s">
        <v>3505</v>
      </c>
    </row>
    <row r="1188" spans="10:11">
      <c r="J1188" t="s">
        <v>395</v>
      </c>
    </row>
    <row r="1189" spans="10:11">
      <c r="J1189" t="s">
        <v>3506</v>
      </c>
    </row>
    <row r="1190" spans="10:11">
      <c r="J1190" t="s">
        <v>3507</v>
      </c>
    </row>
    <row r="1191" spans="10:11">
      <c r="J1191" t="s">
        <v>3508</v>
      </c>
    </row>
    <row r="1192" spans="10:11">
      <c r="J1192" t="s">
        <v>3509</v>
      </c>
    </row>
    <row r="1193" spans="10:11">
      <c r="J1193" t="s">
        <v>3510</v>
      </c>
      <c r="K1193" t="s">
        <v>3511</v>
      </c>
    </row>
    <row r="1194" spans="10:11">
      <c r="J1194" t="s">
        <v>3512</v>
      </c>
    </row>
    <row r="1195" spans="10:11">
      <c r="J1195" t="s">
        <v>3513</v>
      </c>
    </row>
    <row r="1196" spans="10:11">
      <c r="J1196" t="s">
        <v>3514</v>
      </c>
    </row>
    <row r="1197" spans="10:11">
      <c r="J1197" t="s">
        <v>3515</v>
      </c>
    </row>
    <row r="1198" spans="10:11">
      <c r="J1198" t="s">
        <v>3516</v>
      </c>
      <c r="K1198" t="s">
        <v>3517</v>
      </c>
    </row>
    <row r="1199" spans="10:11">
      <c r="J1199" t="s">
        <v>3518</v>
      </c>
      <c r="K1199" t="s">
        <v>3519</v>
      </c>
    </row>
    <row r="1200" spans="10:11">
      <c r="J1200" t="s">
        <v>3520</v>
      </c>
    </row>
    <row r="1201" spans="10:11">
      <c r="J1201" t="s">
        <v>3521</v>
      </c>
    </row>
    <row r="1202" spans="10:11">
      <c r="J1202" t="s">
        <v>93</v>
      </c>
    </row>
    <row r="1203" spans="10:11">
      <c r="J1203" t="s">
        <v>3522</v>
      </c>
      <c r="K1203" t="s">
        <v>3523</v>
      </c>
    </row>
    <row r="1204" spans="10:11">
      <c r="J1204" t="s">
        <v>3524</v>
      </c>
    </row>
    <row r="1205" spans="10:11">
      <c r="J1205" t="s">
        <v>3525</v>
      </c>
      <c r="K1205" t="s">
        <v>3526</v>
      </c>
    </row>
    <row r="1206" spans="10:11">
      <c r="J1206" t="s">
        <v>3527</v>
      </c>
    </row>
    <row r="1207" spans="10:11">
      <c r="J1207" t="s">
        <v>3528</v>
      </c>
    </row>
    <row r="1208" spans="10:11">
      <c r="J1208" t="s">
        <v>3529</v>
      </c>
      <c r="K1208" t="s">
        <v>3530</v>
      </c>
    </row>
    <row r="1209" spans="10:11">
      <c r="J1209" t="s">
        <v>3531</v>
      </c>
    </row>
    <row r="1210" spans="10:11">
      <c r="J1210" t="s">
        <v>3532</v>
      </c>
    </row>
    <row r="1211" spans="10:11">
      <c r="J1211" t="s">
        <v>3533</v>
      </c>
    </row>
    <row r="1212" spans="10:11">
      <c r="J1212" t="s">
        <v>407</v>
      </c>
    </row>
    <row r="1213" spans="10:11">
      <c r="J1213" t="s">
        <v>3534</v>
      </c>
    </row>
    <row r="1214" spans="10:11">
      <c r="J1214" t="s">
        <v>3535</v>
      </c>
    </row>
    <row r="1215" spans="10:11">
      <c r="J1215" t="s">
        <v>3536</v>
      </c>
    </row>
    <row r="1216" spans="10:11">
      <c r="J1216" t="s">
        <v>3537</v>
      </c>
    </row>
    <row r="1217" spans="10:11">
      <c r="J1217" t="s">
        <v>3538</v>
      </c>
    </row>
    <row r="1218" spans="10:11">
      <c r="J1218" t="s">
        <v>3539</v>
      </c>
    </row>
    <row r="1219" spans="10:11">
      <c r="J1219" t="s">
        <v>3540</v>
      </c>
      <c r="K1219" t="s">
        <v>3541</v>
      </c>
    </row>
    <row r="1220" spans="10:11">
      <c r="J1220" t="s">
        <v>3542</v>
      </c>
    </row>
    <row r="1221" spans="10:11">
      <c r="J1221" t="s">
        <v>3543</v>
      </c>
    </row>
    <row r="1222" spans="10:11">
      <c r="J1222" t="s">
        <v>3544</v>
      </c>
    </row>
    <row r="1223" spans="10:11">
      <c r="J1223" t="s">
        <v>3545</v>
      </c>
    </row>
    <row r="1224" spans="10:11">
      <c r="J1224" t="s">
        <v>3546</v>
      </c>
    </row>
    <row r="1225" spans="10:11">
      <c r="J1225" t="s">
        <v>3547</v>
      </c>
    </row>
    <row r="1226" spans="10:11">
      <c r="J1226" t="s">
        <v>3548</v>
      </c>
    </row>
    <row r="1227" spans="10:11">
      <c r="J1227" t="s">
        <v>3549</v>
      </c>
    </row>
    <row r="1228" spans="10:11">
      <c r="J1228" t="s">
        <v>3550</v>
      </c>
    </row>
    <row r="1229" spans="10:11">
      <c r="J1229" t="s">
        <v>3551</v>
      </c>
    </row>
    <row r="1230" spans="10:11">
      <c r="J1230" t="s">
        <v>3552</v>
      </c>
    </row>
    <row r="1231" spans="10:11">
      <c r="J1231" t="s">
        <v>3553</v>
      </c>
    </row>
    <row r="1232" spans="10:11">
      <c r="J1232" t="s">
        <v>3554</v>
      </c>
    </row>
    <row r="1233" spans="10:11">
      <c r="J1233" t="s">
        <v>3555</v>
      </c>
    </row>
    <row r="1234" spans="10:11">
      <c r="J1234" t="s">
        <v>3556</v>
      </c>
      <c r="K1234" t="s">
        <v>3557</v>
      </c>
    </row>
    <row r="1235" spans="10:11">
      <c r="J1235" t="s">
        <v>3558</v>
      </c>
    </row>
    <row r="1236" spans="10:11">
      <c r="J1236" t="s">
        <v>3559</v>
      </c>
      <c r="K1236" t="s">
        <v>3560</v>
      </c>
    </row>
    <row r="1237" spans="10:11">
      <c r="J1237" t="s">
        <v>3561</v>
      </c>
    </row>
    <row r="1238" spans="10:11">
      <c r="J1238" t="s">
        <v>3562</v>
      </c>
      <c r="K1238" t="s">
        <v>3563</v>
      </c>
    </row>
    <row r="1239" spans="10:11">
      <c r="J1239" t="s">
        <v>3564</v>
      </c>
      <c r="K1239" t="s">
        <v>3565</v>
      </c>
    </row>
    <row r="1240" spans="10:11">
      <c r="J1240" t="s">
        <v>3566</v>
      </c>
    </row>
    <row r="1241" spans="10:11">
      <c r="J1241" t="s">
        <v>3567</v>
      </c>
    </row>
    <row r="1242" spans="10:11">
      <c r="J1242" t="s">
        <v>3568</v>
      </c>
    </row>
    <row r="1243" spans="10:11">
      <c r="J1243" t="s">
        <v>3569</v>
      </c>
      <c r="K1243" t="s">
        <v>3570</v>
      </c>
    </row>
    <row r="1244" spans="10:11">
      <c r="J1244" t="s">
        <v>3571</v>
      </c>
    </row>
    <row r="1245" spans="10:11">
      <c r="J1245" t="s">
        <v>3572</v>
      </c>
    </row>
    <row r="1246" spans="10:11">
      <c r="J1246" t="s">
        <v>3573</v>
      </c>
    </row>
    <row r="1247" spans="10:11">
      <c r="J1247" t="s">
        <v>3574</v>
      </c>
    </row>
    <row r="1248" spans="10:11">
      <c r="J1248" t="s">
        <v>3575</v>
      </c>
    </row>
    <row r="1249" spans="10:11">
      <c r="J1249" t="s">
        <v>3576</v>
      </c>
      <c r="K1249" t="s">
        <v>3530</v>
      </c>
    </row>
    <row r="1250" spans="10:11">
      <c r="J1250" t="s">
        <v>3577</v>
      </c>
    </row>
    <row r="1251" spans="10:11">
      <c r="J1251" t="s">
        <v>3578</v>
      </c>
    </row>
    <row r="1252" spans="10:11">
      <c r="J1252" t="s">
        <v>670</v>
      </c>
    </row>
    <row r="1253" spans="10:11">
      <c r="J1253" t="s">
        <v>710</v>
      </c>
    </row>
    <row r="1254" spans="10:11">
      <c r="J1254" t="s">
        <v>3579</v>
      </c>
    </row>
    <row r="1255" spans="10:11">
      <c r="J1255" t="s">
        <v>3580</v>
      </c>
    </row>
    <row r="1256" spans="10:11">
      <c r="J1256" t="s">
        <v>3581</v>
      </c>
      <c r="K1256" t="s">
        <v>3582</v>
      </c>
    </row>
    <row r="1257" spans="10:11">
      <c r="J1257" t="s">
        <v>3583</v>
      </c>
    </row>
    <row r="1258" spans="10:11">
      <c r="J1258" t="s">
        <v>3584</v>
      </c>
    </row>
    <row r="1259" spans="10:11">
      <c r="J1259" t="s">
        <v>3585</v>
      </c>
    </row>
    <row r="1260" spans="10:11">
      <c r="J1260" t="s">
        <v>3586</v>
      </c>
    </row>
    <row r="1261" spans="10:11">
      <c r="J1261" t="s">
        <v>3587</v>
      </c>
    </row>
    <row r="1262" spans="10:11">
      <c r="J1262" t="s">
        <v>3588</v>
      </c>
      <c r="K1262" t="s">
        <v>3589</v>
      </c>
    </row>
    <row r="1263" spans="10:11">
      <c r="J1263" t="s">
        <v>3590</v>
      </c>
    </row>
    <row r="1264" spans="10:11">
      <c r="J1264" t="s">
        <v>3591</v>
      </c>
      <c r="K1264" t="s">
        <v>3592</v>
      </c>
    </row>
    <row r="1265" spans="10:11">
      <c r="J1265" t="s">
        <v>3593</v>
      </c>
    </row>
    <row r="1266" spans="10:11">
      <c r="J1266" t="s">
        <v>3594</v>
      </c>
    </row>
    <row r="1267" spans="10:11">
      <c r="J1267" t="s">
        <v>3595</v>
      </c>
      <c r="K1267" t="s">
        <v>3596</v>
      </c>
    </row>
    <row r="1268" spans="10:11">
      <c r="J1268" t="s">
        <v>3597</v>
      </c>
    </row>
    <row r="1269" spans="10:11">
      <c r="J1269" t="s">
        <v>3598</v>
      </c>
    </row>
    <row r="1270" spans="10:11">
      <c r="J1270" t="s">
        <v>3599</v>
      </c>
      <c r="K1270" t="s">
        <v>3600</v>
      </c>
    </row>
    <row r="1271" spans="10:11">
      <c r="J1271" t="s">
        <v>409</v>
      </c>
      <c r="K1271" t="s">
        <v>3601</v>
      </c>
    </row>
    <row r="1272" spans="10:11">
      <c r="J1272" t="s">
        <v>96</v>
      </c>
    </row>
    <row r="1273" spans="10:11">
      <c r="J1273" t="s">
        <v>3602</v>
      </c>
    </row>
    <row r="1274" spans="10:11">
      <c r="J1274" t="s">
        <v>3603</v>
      </c>
    </row>
    <row r="1275" spans="10:11">
      <c r="J1275" t="s">
        <v>3604</v>
      </c>
      <c r="K1275" t="s">
        <v>3605</v>
      </c>
    </row>
    <row r="1276" spans="10:11">
      <c r="J1276" t="s">
        <v>3606</v>
      </c>
    </row>
    <row r="1277" spans="10:11">
      <c r="J1277" t="s">
        <v>3607</v>
      </c>
      <c r="K1277" t="s">
        <v>3608</v>
      </c>
    </row>
    <row r="1278" spans="10:11">
      <c r="J1278" t="s">
        <v>3609</v>
      </c>
    </row>
    <row r="1279" spans="10:11">
      <c r="J1279" t="s">
        <v>3610</v>
      </c>
    </row>
    <row r="1280" spans="10:11">
      <c r="J1280" t="s">
        <v>3611</v>
      </c>
      <c r="K1280" t="s">
        <v>3612</v>
      </c>
    </row>
    <row r="1281" spans="10:11">
      <c r="J1281" t="s">
        <v>3613</v>
      </c>
    </row>
    <row r="1282" spans="10:11">
      <c r="J1282" t="s">
        <v>3614</v>
      </c>
    </row>
    <row r="1283" spans="10:11">
      <c r="J1283" t="s">
        <v>3615</v>
      </c>
    </row>
    <row r="1284" spans="10:11">
      <c r="J1284" t="s">
        <v>3616</v>
      </c>
    </row>
    <row r="1285" spans="10:11">
      <c r="J1285" t="s">
        <v>3617</v>
      </c>
    </row>
    <row r="1286" spans="10:11">
      <c r="J1286" t="s">
        <v>3618</v>
      </c>
    </row>
    <row r="1287" spans="10:11">
      <c r="J1287" t="s">
        <v>98</v>
      </c>
    </row>
    <row r="1288" spans="10:11">
      <c r="J1288" t="s">
        <v>3619</v>
      </c>
    </row>
    <row r="1289" spans="10:11">
      <c r="J1289" t="s">
        <v>3620</v>
      </c>
    </row>
    <row r="1290" spans="10:11">
      <c r="J1290" t="s">
        <v>3621</v>
      </c>
      <c r="K1290" t="s">
        <v>3622</v>
      </c>
    </row>
    <row r="1291" spans="10:11">
      <c r="J1291" t="s">
        <v>3623</v>
      </c>
    </row>
    <row r="1292" spans="10:11">
      <c r="J1292" t="s">
        <v>3624</v>
      </c>
      <c r="K1292" t="s">
        <v>3625</v>
      </c>
    </row>
    <row r="1293" spans="10:11">
      <c r="J1293" t="s">
        <v>3626</v>
      </c>
    </row>
    <row r="1294" spans="10:11">
      <c r="J1294" t="s">
        <v>3627</v>
      </c>
    </row>
    <row r="1295" spans="10:11">
      <c r="J1295" t="s">
        <v>3628</v>
      </c>
    </row>
    <row r="1296" spans="10:11">
      <c r="J1296" t="s">
        <v>3629</v>
      </c>
    </row>
    <row r="1297" spans="10:11">
      <c r="J1297" t="s">
        <v>3630</v>
      </c>
    </row>
    <row r="1298" spans="10:11">
      <c r="J1298" t="s">
        <v>3631</v>
      </c>
      <c r="K1298" t="s">
        <v>3632</v>
      </c>
    </row>
    <row r="1299" spans="10:11">
      <c r="J1299" t="s">
        <v>101</v>
      </c>
    </row>
    <row r="1300" spans="10:11">
      <c r="J1300" t="s">
        <v>3633</v>
      </c>
    </row>
    <row r="1301" spans="10:11">
      <c r="J1301" t="s">
        <v>104</v>
      </c>
    </row>
    <row r="1302" spans="10:11">
      <c r="J1302" t="s">
        <v>3634</v>
      </c>
    </row>
    <row r="1303" spans="10:11">
      <c r="J1303" t="s">
        <v>3635</v>
      </c>
    </row>
    <row r="1304" spans="10:11">
      <c r="J1304" t="s">
        <v>3636</v>
      </c>
    </row>
    <row r="1305" spans="10:11">
      <c r="J1305" t="s">
        <v>3637</v>
      </c>
    </row>
    <row r="1306" spans="10:11">
      <c r="J1306" t="s">
        <v>3638</v>
      </c>
    </row>
    <row r="1307" spans="10:11">
      <c r="J1307" t="s">
        <v>3639</v>
      </c>
    </row>
    <row r="1308" spans="10:11">
      <c r="J1308" t="s">
        <v>3640</v>
      </c>
    </row>
    <row r="1309" spans="10:11">
      <c r="J1309" t="s">
        <v>3641</v>
      </c>
    </row>
    <row r="1310" spans="10:11">
      <c r="J1310" t="s">
        <v>3642</v>
      </c>
    </row>
    <row r="1311" spans="10:11">
      <c r="J1311" t="s">
        <v>3643</v>
      </c>
    </row>
    <row r="1312" spans="10:11">
      <c r="J1312" t="s">
        <v>3644</v>
      </c>
    </row>
    <row r="1313" spans="10:11">
      <c r="J1313" t="s">
        <v>3645</v>
      </c>
    </row>
    <row r="1314" spans="10:11">
      <c r="J1314" t="s">
        <v>3646</v>
      </c>
    </row>
    <row r="1315" spans="10:11">
      <c r="J1315" t="s">
        <v>3647</v>
      </c>
    </row>
    <row r="1316" spans="10:11">
      <c r="J1316" t="s">
        <v>3648</v>
      </c>
    </row>
    <row r="1317" spans="10:11">
      <c r="J1317" t="s">
        <v>3649</v>
      </c>
    </row>
    <row r="1318" spans="10:11">
      <c r="J1318" t="s">
        <v>3650</v>
      </c>
    </row>
    <row r="1319" spans="10:11">
      <c r="J1319" t="s">
        <v>3651</v>
      </c>
    </row>
    <row r="1320" spans="10:11">
      <c r="J1320" t="s">
        <v>3652</v>
      </c>
    </row>
    <row r="1321" spans="10:11">
      <c r="J1321" t="s">
        <v>672</v>
      </c>
    </row>
    <row r="1322" spans="10:11">
      <c r="J1322" t="s">
        <v>3653</v>
      </c>
    </row>
    <row r="1323" spans="10:11">
      <c r="J1323" t="s">
        <v>3654</v>
      </c>
      <c r="K1323" t="s">
        <v>3655</v>
      </c>
    </row>
    <row r="1324" spans="10:11">
      <c r="J1324" t="s">
        <v>3656</v>
      </c>
      <c r="K1324" t="s">
        <v>3657</v>
      </c>
    </row>
    <row r="1325" spans="10:11">
      <c r="J1325" t="s">
        <v>3658</v>
      </c>
      <c r="K1325" t="s">
        <v>3659</v>
      </c>
    </row>
    <row r="1326" spans="10:11">
      <c r="J1326" t="s">
        <v>3660</v>
      </c>
    </row>
    <row r="1327" spans="10:11">
      <c r="J1327" t="s">
        <v>3661</v>
      </c>
      <c r="K1327" t="s">
        <v>3662</v>
      </c>
    </row>
    <row r="1328" spans="10:11">
      <c r="J1328" t="s">
        <v>3663</v>
      </c>
    </row>
    <row r="1329" spans="10:11">
      <c r="J1329" t="s">
        <v>3664</v>
      </c>
    </row>
    <row r="1330" spans="10:11">
      <c r="J1330" t="s">
        <v>3665</v>
      </c>
    </row>
    <row r="1331" spans="10:11">
      <c r="J1331" t="s">
        <v>111</v>
      </c>
      <c r="K1331" t="s">
        <v>3666</v>
      </c>
    </row>
    <row r="1332" spans="10:11">
      <c r="J1332" t="s">
        <v>3667</v>
      </c>
      <c r="K1332" t="s">
        <v>3668</v>
      </c>
    </row>
    <row r="1333" spans="10:11">
      <c r="J1333" t="s">
        <v>3669</v>
      </c>
    </row>
    <row r="1334" spans="10:11">
      <c r="J1334" t="s">
        <v>3670</v>
      </c>
    </row>
    <row r="1335" spans="10:11">
      <c r="J1335" t="s">
        <v>3671</v>
      </c>
    </row>
    <row r="1336" spans="10:11">
      <c r="J1336" t="s">
        <v>3672</v>
      </c>
    </row>
    <row r="1337" spans="10:11">
      <c r="J1337" t="s">
        <v>3673</v>
      </c>
    </row>
    <row r="1338" spans="10:11">
      <c r="J1338" t="s">
        <v>3674</v>
      </c>
    </row>
    <row r="1339" spans="10:11">
      <c r="J1339" t="s">
        <v>3675</v>
      </c>
    </row>
    <row r="1340" spans="10:11">
      <c r="J1340" t="s">
        <v>3676</v>
      </c>
    </row>
    <row r="1341" spans="10:11">
      <c r="J1341" t="s">
        <v>3677</v>
      </c>
    </row>
    <row r="1342" spans="10:11">
      <c r="J1342" t="s">
        <v>3678</v>
      </c>
    </row>
    <row r="1343" spans="10:11">
      <c r="J1343" t="s">
        <v>3679</v>
      </c>
      <c r="K1343" t="s">
        <v>3680</v>
      </c>
    </row>
    <row r="1344" spans="10:11">
      <c r="J1344" t="s">
        <v>3681</v>
      </c>
      <c r="K1344" t="s">
        <v>3682</v>
      </c>
    </row>
    <row r="1345" spans="10:11">
      <c r="J1345" t="s">
        <v>3683</v>
      </c>
      <c r="K1345" t="s">
        <v>3684</v>
      </c>
    </row>
    <row r="1346" spans="10:11">
      <c r="J1346" t="s">
        <v>3685</v>
      </c>
    </row>
    <row r="1347" spans="10:11">
      <c r="J1347" t="s">
        <v>3686</v>
      </c>
      <c r="K1347" t="s">
        <v>3687</v>
      </c>
    </row>
    <row r="1348" spans="10:11">
      <c r="J1348" t="s">
        <v>3688</v>
      </c>
    </row>
    <row r="1349" spans="10:11">
      <c r="J1349" t="s">
        <v>3689</v>
      </c>
    </row>
    <row r="1350" spans="10:11">
      <c r="J1350" t="s">
        <v>3690</v>
      </c>
    </row>
    <row r="1351" spans="10:11">
      <c r="J1351" t="s">
        <v>3691</v>
      </c>
    </row>
    <row r="1352" spans="10:11">
      <c r="J1352" t="s">
        <v>3692</v>
      </c>
    </row>
    <row r="1353" spans="10:11">
      <c r="J1353" t="s">
        <v>3693</v>
      </c>
    </row>
    <row r="1354" spans="10:11">
      <c r="J1354" t="s">
        <v>120</v>
      </c>
      <c r="K1354" t="s">
        <v>3694</v>
      </c>
    </row>
    <row r="1355" spans="10:11">
      <c r="J1355" t="s">
        <v>3695</v>
      </c>
    </row>
    <row r="1356" spans="10:11">
      <c r="J1356" t="s">
        <v>3696</v>
      </c>
    </row>
    <row r="1357" spans="10:11">
      <c r="J1357" t="s">
        <v>3697</v>
      </c>
    </row>
    <row r="1358" spans="10:11">
      <c r="J1358" t="s">
        <v>3698</v>
      </c>
    </row>
    <row r="1359" spans="10:11">
      <c r="J1359" t="s">
        <v>3699</v>
      </c>
    </row>
    <row r="1360" spans="10:11">
      <c r="J1360" t="s">
        <v>3700</v>
      </c>
    </row>
    <row r="1361" spans="10:11">
      <c r="J1361" t="s">
        <v>3701</v>
      </c>
    </row>
    <row r="1362" spans="10:11">
      <c r="J1362" t="s">
        <v>3702</v>
      </c>
    </row>
    <row r="1363" spans="10:11">
      <c r="J1363" t="s">
        <v>3703</v>
      </c>
    </row>
    <row r="1364" spans="10:11">
      <c r="J1364" t="s">
        <v>3704</v>
      </c>
    </row>
    <row r="1365" spans="10:11">
      <c r="J1365" t="s">
        <v>3705</v>
      </c>
    </row>
    <row r="1366" spans="10:11">
      <c r="J1366" t="s">
        <v>3706</v>
      </c>
      <c r="K1366" t="s">
        <v>3707</v>
      </c>
    </row>
    <row r="1367" spans="10:11">
      <c r="J1367" t="s">
        <v>3708</v>
      </c>
    </row>
    <row r="1368" spans="10:11">
      <c r="J1368" t="s">
        <v>3709</v>
      </c>
    </row>
    <row r="1369" spans="10:11">
      <c r="J1369" t="s">
        <v>3710</v>
      </c>
      <c r="K1369" t="s">
        <v>3711</v>
      </c>
    </row>
    <row r="1370" spans="10:11">
      <c r="J1370" t="s">
        <v>3712</v>
      </c>
    </row>
    <row r="1371" spans="10:11">
      <c r="J1371" t="s">
        <v>3713</v>
      </c>
    </row>
    <row r="1372" spans="10:11">
      <c r="J1372" t="s">
        <v>3714</v>
      </c>
    </row>
    <row r="1373" spans="10:11">
      <c r="J1373" t="s">
        <v>3715</v>
      </c>
      <c r="K1373" t="s">
        <v>3716</v>
      </c>
    </row>
    <row r="1374" spans="10:11">
      <c r="J1374" t="s">
        <v>3717</v>
      </c>
    </row>
    <row r="1375" spans="10:11">
      <c r="J1375" t="s">
        <v>3718</v>
      </c>
    </row>
    <row r="1376" spans="10:11">
      <c r="J1376" t="s">
        <v>3719</v>
      </c>
      <c r="K1376" t="s">
        <v>3720</v>
      </c>
    </row>
    <row r="1377" spans="10:11">
      <c r="J1377" t="s">
        <v>3721</v>
      </c>
    </row>
    <row r="1378" spans="10:11">
      <c r="J1378" t="s">
        <v>3722</v>
      </c>
      <c r="K1378" t="s">
        <v>3723</v>
      </c>
    </row>
    <row r="1379" spans="10:11">
      <c r="J1379" t="s">
        <v>3724</v>
      </c>
      <c r="K1379" t="s">
        <v>3725</v>
      </c>
    </row>
    <row r="1380" spans="10:11">
      <c r="J1380" t="s">
        <v>3726</v>
      </c>
    </row>
    <row r="1381" spans="10:11">
      <c r="J1381" t="s">
        <v>3727</v>
      </c>
      <c r="K1381" t="s">
        <v>3728</v>
      </c>
    </row>
    <row r="1382" spans="10:11">
      <c r="J1382" t="s">
        <v>3729</v>
      </c>
    </row>
    <row r="1383" spans="10:11">
      <c r="J1383" t="s">
        <v>3730</v>
      </c>
    </row>
    <row r="1384" spans="10:11">
      <c r="J1384" t="s">
        <v>3731</v>
      </c>
    </row>
    <row r="1385" spans="10:11">
      <c r="J1385" t="s">
        <v>3732</v>
      </c>
    </row>
    <row r="1386" spans="10:11">
      <c r="J1386" t="s">
        <v>3733</v>
      </c>
    </row>
    <row r="1387" spans="10:11">
      <c r="J1387" t="s">
        <v>3734</v>
      </c>
    </row>
    <row r="1388" spans="10:11">
      <c r="J1388" t="s">
        <v>3735</v>
      </c>
    </row>
    <row r="1389" spans="10:11">
      <c r="J1389" t="s">
        <v>3736</v>
      </c>
    </row>
    <row r="1390" spans="10:11">
      <c r="J1390" t="s">
        <v>3737</v>
      </c>
    </row>
    <row r="1391" spans="10:11">
      <c r="J1391" t="s">
        <v>3738</v>
      </c>
    </row>
    <row r="1392" spans="10:11">
      <c r="J1392" t="s">
        <v>3739</v>
      </c>
      <c r="K1392" t="s">
        <v>3740</v>
      </c>
    </row>
    <row r="1393" spans="10:11">
      <c r="J1393" t="s">
        <v>3741</v>
      </c>
    </row>
    <row r="1394" spans="10:11">
      <c r="J1394" t="s">
        <v>3742</v>
      </c>
    </row>
    <row r="1395" spans="10:11">
      <c r="J1395" t="s">
        <v>3743</v>
      </c>
      <c r="K1395" t="s">
        <v>3744</v>
      </c>
    </row>
    <row r="1396" spans="10:11">
      <c r="J1396" t="s">
        <v>3745</v>
      </c>
    </row>
    <row r="1397" spans="10:11">
      <c r="J1397" t="s">
        <v>3746</v>
      </c>
    </row>
    <row r="1398" spans="10:11">
      <c r="J1398" t="s">
        <v>3747</v>
      </c>
      <c r="K1398" t="s">
        <v>3748</v>
      </c>
    </row>
    <row r="1399" spans="10:11">
      <c r="J1399" t="s">
        <v>3749</v>
      </c>
    </row>
    <row r="1400" spans="10:11">
      <c r="J1400" t="s">
        <v>3750</v>
      </c>
    </row>
    <row r="1401" spans="10:11">
      <c r="J1401" t="s">
        <v>3751</v>
      </c>
    </row>
    <row r="1402" spans="10:11">
      <c r="J1402" t="s">
        <v>3752</v>
      </c>
    </row>
    <row r="1403" spans="10:11">
      <c r="J1403" t="s">
        <v>3753</v>
      </c>
      <c r="K1403" t="s">
        <v>3754</v>
      </c>
    </row>
    <row r="1404" spans="10:11">
      <c r="J1404" t="s">
        <v>3755</v>
      </c>
      <c r="K1404" t="s">
        <v>3756</v>
      </c>
    </row>
    <row r="1405" spans="10:11">
      <c r="J1405" t="s">
        <v>3757</v>
      </c>
    </row>
    <row r="1406" spans="10:11">
      <c r="J1406" t="s">
        <v>3758</v>
      </c>
    </row>
    <row r="1407" spans="10:11">
      <c r="J1407" t="s">
        <v>3759</v>
      </c>
    </row>
    <row r="1408" spans="10:11">
      <c r="J1408" t="s">
        <v>3760</v>
      </c>
      <c r="K1408" t="s">
        <v>3761</v>
      </c>
    </row>
    <row r="1409" spans="10:11">
      <c r="J1409" t="s">
        <v>3762</v>
      </c>
    </row>
    <row r="1410" spans="10:11">
      <c r="J1410" t="s">
        <v>3763</v>
      </c>
    </row>
    <row r="1411" spans="10:11">
      <c r="J1411" t="s">
        <v>3764</v>
      </c>
    </row>
    <row r="1412" spans="10:11">
      <c r="J1412" t="s">
        <v>3765</v>
      </c>
    </row>
    <row r="1413" spans="10:11">
      <c r="J1413" t="s">
        <v>3766</v>
      </c>
    </row>
    <row r="1414" spans="10:11">
      <c r="J1414" t="s">
        <v>3767</v>
      </c>
    </row>
    <row r="1415" spans="10:11">
      <c r="J1415" t="s">
        <v>3768</v>
      </c>
    </row>
    <row r="1416" spans="10:11">
      <c r="J1416" t="s">
        <v>3769</v>
      </c>
    </row>
    <row r="1417" spans="10:11">
      <c r="J1417" t="s">
        <v>3770</v>
      </c>
      <c r="K1417" t="s">
        <v>3771</v>
      </c>
    </row>
    <row r="1418" spans="10:11">
      <c r="J1418" t="s">
        <v>3772</v>
      </c>
    </row>
    <row r="1419" spans="10:11">
      <c r="J1419" t="s">
        <v>3773</v>
      </c>
    </row>
    <row r="1420" spans="10:11">
      <c r="J1420" t="s">
        <v>3774</v>
      </c>
    </row>
    <row r="1421" spans="10:11">
      <c r="J1421" t="s">
        <v>3775</v>
      </c>
    </row>
    <row r="1422" spans="10:11">
      <c r="J1422" t="s">
        <v>3776</v>
      </c>
    </row>
    <row r="1423" spans="10:11">
      <c r="J1423" t="s">
        <v>3777</v>
      </c>
    </row>
    <row r="1424" spans="10:11">
      <c r="J1424" t="s">
        <v>3778</v>
      </c>
    </row>
    <row r="1425" spans="10:11">
      <c r="J1425" t="s">
        <v>3779</v>
      </c>
    </row>
    <row r="1426" spans="10:11">
      <c r="J1426" t="s">
        <v>3780</v>
      </c>
    </row>
    <row r="1427" spans="10:11">
      <c r="J1427" t="s">
        <v>3781</v>
      </c>
    </row>
    <row r="1428" spans="10:11">
      <c r="J1428" t="s">
        <v>3782</v>
      </c>
    </row>
    <row r="1429" spans="10:11">
      <c r="J1429" t="s">
        <v>3783</v>
      </c>
    </row>
    <row r="1430" spans="10:11">
      <c r="J1430" t="s">
        <v>3784</v>
      </c>
    </row>
    <row r="1431" spans="10:11">
      <c r="J1431" t="s">
        <v>3785</v>
      </c>
    </row>
    <row r="1432" spans="10:11">
      <c r="J1432" t="s">
        <v>3786</v>
      </c>
      <c r="K1432" t="s">
        <v>3787</v>
      </c>
    </row>
    <row r="1433" spans="10:11">
      <c r="J1433" t="s">
        <v>3788</v>
      </c>
    </row>
    <row r="1434" spans="10:11">
      <c r="J1434" t="s">
        <v>3789</v>
      </c>
    </row>
    <row r="1435" spans="10:11">
      <c r="J1435" t="s">
        <v>3790</v>
      </c>
      <c r="K1435" t="s">
        <v>3791</v>
      </c>
    </row>
    <row r="1436" spans="10:11">
      <c r="J1436" t="s">
        <v>3792</v>
      </c>
    </row>
    <row r="1437" spans="10:11">
      <c r="J1437" t="s">
        <v>3793</v>
      </c>
    </row>
    <row r="1438" spans="10:11">
      <c r="J1438" t="s">
        <v>3794</v>
      </c>
    </row>
    <row r="1439" spans="10:11">
      <c r="J1439" t="s">
        <v>3795</v>
      </c>
      <c r="K1439" t="s">
        <v>3796</v>
      </c>
    </row>
    <row r="1440" spans="10:11">
      <c r="J1440" t="s">
        <v>3797</v>
      </c>
      <c r="K1440" t="s">
        <v>3798</v>
      </c>
    </row>
    <row r="1441" spans="10:11">
      <c r="J1441" t="s">
        <v>3799</v>
      </c>
    </row>
    <row r="1442" spans="10:11">
      <c r="J1442" t="s">
        <v>3800</v>
      </c>
    </row>
    <row r="1443" spans="10:11">
      <c r="J1443" t="s">
        <v>3801</v>
      </c>
    </row>
    <row r="1444" spans="10:11">
      <c r="J1444" t="s">
        <v>3802</v>
      </c>
    </row>
    <row r="1445" spans="10:11">
      <c r="J1445" t="s">
        <v>3803</v>
      </c>
    </row>
    <row r="1446" spans="10:11">
      <c r="J1446" t="s">
        <v>3804</v>
      </c>
      <c r="K1446" t="s">
        <v>3805</v>
      </c>
    </row>
    <row r="1447" spans="10:11">
      <c r="J1447" t="s">
        <v>508</v>
      </c>
    </row>
    <row r="1448" spans="10:11">
      <c r="J1448" t="s">
        <v>123</v>
      </c>
    </row>
    <row r="1449" spans="10:11">
      <c r="J1449" t="s">
        <v>3806</v>
      </c>
    </row>
    <row r="1450" spans="10:11">
      <c r="J1450" t="s">
        <v>3807</v>
      </c>
      <c r="K1450" t="s">
        <v>3808</v>
      </c>
    </row>
    <row r="1451" spans="10:11">
      <c r="J1451" t="s">
        <v>3809</v>
      </c>
    </row>
    <row r="1452" spans="10:11">
      <c r="J1452" t="s">
        <v>3810</v>
      </c>
    </row>
    <row r="1453" spans="10:11">
      <c r="J1453" t="s">
        <v>3811</v>
      </c>
    </row>
    <row r="1454" spans="10:11">
      <c r="J1454" t="s">
        <v>1255</v>
      </c>
      <c r="K1454" t="s">
        <v>3812</v>
      </c>
    </row>
    <row r="1455" spans="10:11">
      <c r="J1455" t="s">
        <v>3813</v>
      </c>
    </row>
    <row r="1456" spans="10:11">
      <c r="J1456" t="s">
        <v>3814</v>
      </c>
    </row>
    <row r="1457" spans="10:11">
      <c r="J1457" t="s">
        <v>3815</v>
      </c>
    </row>
    <row r="1458" spans="10:11">
      <c r="J1458" t="s">
        <v>3816</v>
      </c>
    </row>
    <row r="1459" spans="10:11">
      <c r="J1459" t="s">
        <v>3817</v>
      </c>
    </row>
    <row r="1460" spans="10:11">
      <c r="J1460" t="s">
        <v>3818</v>
      </c>
      <c r="K1460" t="s">
        <v>3819</v>
      </c>
    </row>
    <row r="1461" spans="10:11">
      <c r="J1461" t="s">
        <v>3820</v>
      </c>
    </row>
    <row r="1462" spans="10:11">
      <c r="J1462" t="s">
        <v>3821</v>
      </c>
      <c r="K1462" t="s">
        <v>3822</v>
      </c>
    </row>
    <row r="1463" spans="10:11">
      <c r="J1463" t="s">
        <v>3823</v>
      </c>
    </row>
    <row r="1464" spans="10:11">
      <c r="J1464" t="s">
        <v>3824</v>
      </c>
      <c r="K1464" t="s">
        <v>3825</v>
      </c>
    </row>
    <row r="1465" spans="10:11">
      <c r="J1465" t="s">
        <v>551</v>
      </c>
    </row>
    <row r="1466" spans="10:11">
      <c r="J1466" t="s">
        <v>3826</v>
      </c>
    </row>
    <row r="1467" spans="10:11">
      <c r="J1467" t="s">
        <v>553</v>
      </c>
    </row>
    <row r="1468" spans="10:11">
      <c r="J1468" t="s">
        <v>3827</v>
      </c>
    </row>
    <row r="1469" spans="10:11">
      <c r="J1469" t="s">
        <v>3828</v>
      </c>
    </row>
    <row r="1470" spans="10:11">
      <c r="J1470" t="s">
        <v>3829</v>
      </c>
    </row>
    <row r="1471" spans="10:11">
      <c r="J1471" t="s">
        <v>3830</v>
      </c>
      <c r="K1471" t="s">
        <v>3831</v>
      </c>
    </row>
    <row r="1472" spans="10:11">
      <c r="J1472" t="s">
        <v>3832</v>
      </c>
    </row>
    <row r="1473" spans="10:11">
      <c r="J1473" t="s">
        <v>3833</v>
      </c>
    </row>
    <row r="1474" spans="10:11">
      <c r="J1474" t="s">
        <v>3834</v>
      </c>
    </row>
    <row r="1475" spans="10:11">
      <c r="J1475" t="s">
        <v>3835</v>
      </c>
    </row>
    <row r="1476" spans="10:11">
      <c r="J1476" t="s">
        <v>3836</v>
      </c>
    </row>
    <row r="1477" spans="10:11">
      <c r="J1477" t="s">
        <v>3837</v>
      </c>
    </row>
    <row r="1478" spans="10:11">
      <c r="J1478" t="s">
        <v>3838</v>
      </c>
    </row>
    <row r="1479" spans="10:11">
      <c r="J1479" t="s">
        <v>3839</v>
      </c>
    </row>
    <row r="1480" spans="10:11">
      <c r="J1480" t="s">
        <v>3840</v>
      </c>
    </row>
    <row r="1481" spans="10:11">
      <c r="J1481" t="s">
        <v>3841</v>
      </c>
    </row>
    <row r="1482" spans="10:11">
      <c r="J1482" t="s">
        <v>3842</v>
      </c>
    </row>
    <row r="1483" spans="10:11">
      <c r="J1483" t="s">
        <v>3843</v>
      </c>
    </row>
    <row r="1484" spans="10:11">
      <c r="J1484" t="s">
        <v>3844</v>
      </c>
    </row>
    <row r="1485" spans="10:11">
      <c r="J1485" t="s">
        <v>3845</v>
      </c>
      <c r="K1485" t="s">
        <v>3846</v>
      </c>
    </row>
    <row r="1486" spans="10:11">
      <c r="J1486" t="s">
        <v>3847</v>
      </c>
    </row>
    <row r="1487" spans="10:11">
      <c r="J1487" t="s">
        <v>3848</v>
      </c>
    </row>
    <row r="1488" spans="10:11">
      <c r="J1488" t="s">
        <v>3849</v>
      </c>
    </row>
    <row r="1489" spans="10:11">
      <c r="J1489" t="s">
        <v>3850</v>
      </c>
    </row>
    <row r="1490" spans="10:11">
      <c r="J1490" t="s">
        <v>3851</v>
      </c>
      <c r="K1490" t="s">
        <v>3852</v>
      </c>
    </row>
    <row r="1491" spans="10:11">
      <c r="J1491" t="s">
        <v>3853</v>
      </c>
      <c r="K1491" t="s">
        <v>3854</v>
      </c>
    </row>
    <row r="1492" spans="10:11">
      <c r="J1492" t="s">
        <v>3855</v>
      </c>
    </row>
    <row r="1493" spans="10:11">
      <c r="J1493" t="s">
        <v>3856</v>
      </c>
      <c r="K1493" t="s">
        <v>3857</v>
      </c>
    </row>
    <row r="1494" spans="10:11">
      <c r="J1494" t="s">
        <v>3858</v>
      </c>
    </row>
    <row r="1495" spans="10:11">
      <c r="J1495" t="s">
        <v>3859</v>
      </c>
      <c r="K1495" t="s">
        <v>3860</v>
      </c>
    </row>
    <row r="1496" spans="10:11">
      <c r="J1496" t="s">
        <v>3861</v>
      </c>
      <c r="K1496" t="s">
        <v>3862</v>
      </c>
    </row>
    <row r="1497" spans="10:11">
      <c r="J1497" t="s">
        <v>3863</v>
      </c>
    </row>
    <row r="1498" spans="10:11">
      <c r="J1498" t="s">
        <v>3864</v>
      </c>
    </row>
    <row r="1499" spans="10:11">
      <c r="J1499" t="s">
        <v>3865</v>
      </c>
    </row>
    <row r="1500" spans="10:11">
      <c r="J1500" t="s">
        <v>3866</v>
      </c>
    </row>
    <row r="1501" spans="10:11">
      <c r="J1501" t="s">
        <v>3867</v>
      </c>
    </row>
    <row r="1502" spans="10:11">
      <c r="J1502" t="s">
        <v>3868</v>
      </c>
      <c r="K1502" t="s">
        <v>3869</v>
      </c>
    </row>
    <row r="1503" spans="10:11">
      <c r="J1503" t="s">
        <v>3870</v>
      </c>
    </row>
    <row r="1504" spans="10:11">
      <c r="J1504" t="s">
        <v>3871</v>
      </c>
    </row>
    <row r="1505" spans="10:11">
      <c r="J1505" t="s">
        <v>3872</v>
      </c>
    </row>
    <row r="1506" spans="10:11">
      <c r="J1506" t="s">
        <v>3873</v>
      </c>
    </row>
    <row r="1507" spans="10:11">
      <c r="J1507" t="s">
        <v>3874</v>
      </c>
      <c r="K1507" t="s">
        <v>3875</v>
      </c>
    </row>
    <row r="1508" spans="10:11">
      <c r="J1508" t="s">
        <v>3876</v>
      </c>
    </row>
    <row r="1509" spans="10:11">
      <c r="J1509" t="s">
        <v>3877</v>
      </c>
    </row>
    <row r="1510" spans="10:11">
      <c r="J1510" t="s">
        <v>3878</v>
      </c>
    </row>
    <row r="1511" spans="10:11">
      <c r="J1511" t="s">
        <v>556</v>
      </c>
    </row>
    <row r="1512" spans="10:11">
      <c r="J1512" t="s">
        <v>3879</v>
      </c>
    </row>
    <row r="1513" spans="10:11">
      <c r="J1513" t="s">
        <v>3880</v>
      </c>
    </row>
    <row r="1514" spans="10:11">
      <c r="J1514" t="s">
        <v>3881</v>
      </c>
      <c r="K1514" t="s">
        <v>3882</v>
      </c>
    </row>
    <row r="1515" spans="10:11">
      <c r="J1515" t="s">
        <v>3883</v>
      </c>
    </row>
    <row r="1516" spans="10:11">
      <c r="J1516" t="s">
        <v>3884</v>
      </c>
    </row>
    <row r="1517" spans="10:11">
      <c r="J1517" t="s">
        <v>3885</v>
      </c>
    </row>
    <row r="1518" spans="10:11">
      <c r="J1518" t="s">
        <v>3886</v>
      </c>
    </row>
    <row r="1519" spans="10:11">
      <c r="J1519" t="s">
        <v>3887</v>
      </c>
      <c r="K1519" t="s">
        <v>3888</v>
      </c>
    </row>
    <row r="1520" spans="10:11">
      <c r="J1520" t="s">
        <v>3889</v>
      </c>
    </row>
    <row r="1521" spans="10:11">
      <c r="J1521" t="s">
        <v>3890</v>
      </c>
      <c r="K1521" t="s">
        <v>3891</v>
      </c>
    </row>
    <row r="1522" spans="10:11">
      <c r="J1522" t="s">
        <v>3892</v>
      </c>
    </row>
    <row r="1523" spans="10:11">
      <c r="J1523" t="s">
        <v>3893</v>
      </c>
    </row>
    <row r="1524" spans="10:11">
      <c r="J1524" t="s">
        <v>3894</v>
      </c>
    </row>
    <row r="1525" spans="10:11">
      <c r="J1525" t="s">
        <v>3895</v>
      </c>
    </row>
    <row r="1526" spans="10:11">
      <c r="J1526" t="s">
        <v>3896</v>
      </c>
      <c r="K1526" t="s">
        <v>3897</v>
      </c>
    </row>
    <row r="1527" spans="10:11">
      <c r="J1527" t="s">
        <v>3898</v>
      </c>
      <c r="K1527" t="s">
        <v>3899</v>
      </c>
    </row>
    <row r="1528" spans="10:11">
      <c r="J1528" t="s">
        <v>3900</v>
      </c>
    </row>
    <row r="1529" spans="10:11">
      <c r="J1529" t="s">
        <v>3901</v>
      </c>
    </row>
    <row r="1530" spans="10:11">
      <c r="J1530" t="s">
        <v>3902</v>
      </c>
      <c r="K1530" t="s">
        <v>3903</v>
      </c>
    </row>
    <row r="1531" spans="10:11">
      <c r="J1531" t="s">
        <v>1264</v>
      </c>
    </row>
    <row r="1532" spans="10:11">
      <c r="J1532" t="s">
        <v>3904</v>
      </c>
      <c r="K1532" t="s">
        <v>3905</v>
      </c>
    </row>
    <row r="1533" spans="10:11">
      <c r="J1533" t="s">
        <v>3906</v>
      </c>
      <c r="K1533" t="s">
        <v>3907</v>
      </c>
    </row>
    <row r="1534" spans="10:11">
      <c r="J1534" t="s">
        <v>3908</v>
      </c>
    </row>
    <row r="1535" spans="10:11">
      <c r="J1535" t="s">
        <v>3909</v>
      </c>
    </row>
    <row r="1536" spans="10:11">
      <c r="J1536" t="s">
        <v>3910</v>
      </c>
    </row>
    <row r="1537" spans="10:11">
      <c r="J1537" t="s">
        <v>3911</v>
      </c>
    </row>
    <row r="1538" spans="10:11">
      <c r="J1538" t="s">
        <v>3912</v>
      </c>
    </row>
    <row r="1539" spans="10:11">
      <c r="J1539" t="s">
        <v>3913</v>
      </c>
    </row>
    <row r="1540" spans="10:11">
      <c r="J1540" t="s">
        <v>3914</v>
      </c>
      <c r="K1540" t="s">
        <v>3915</v>
      </c>
    </row>
    <row r="1541" spans="10:11">
      <c r="J1541" t="s">
        <v>3916</v>
      </c>
    </row>
    <row r="1542" spans="10:11">
      <c r="J1542" t="s">
        <v>3917</v>
      </c>
    </row>
    <row r="1543" spans="10:11">
      <c r="J1543" t="s">
        <v>3918</v>
      </c>
      <c r="K1543" t="s">
        <v>3919</v>
      </c>
    </row>
    <row r="1544" spans="10:11">
      <c r="J1544" t="s">
        <v>3920</v>
      </c>
    </row>
    <row r="1545" spans="10:11">
      <c r="J1545" t="s">
        <v>3921</v>
      </c>
    </row>
    <row r="1546" spans="10:11">
      <c r="J1546" t="s">
        <v>3922</v>
      </c>
    </row>
    <row r="1547" spans="10:11">
      <c r="J1547" t="s">
        <v>3923</v>
      </c>
    </row>
    <row r="1548" spans="10:11">
      <c r="J1548" t="s">
        <v>3924</v>
      </c>
    </row>
    <row r="1549" spans="10:11">
      <c r="J1549" t="s">
        <v>3925</v>
      </c>
    </row>
    <row r="1550" spans="10:11">
      <c r="J1550" t="s">
        <v>3926</v>
      </c>
    </row>
    <row r="1551" spans="10:11">
      <c r="J1551" t="s">
        <v>3927</v>
      </c>
    </row>
    <row r="1552" spans="10:11">
      <c r="J1552" t="s">
        <v>3928</v>
      </c>
    </row>
    <row r="1553" spans="10:11">
      <c r="J1553" t="s">
        <v>3929</v>
      </c>
    </row>
    <row r="1554" spans="10:11">
      <c r="J1554" t="s">
        <v>3930</v>
      </c>
      <c r="K1554" t="s">
        <v>3931</v>
      </c>
    </row>
    <row r="1555" spans="10:11">
      <c r="J1555" t="s">
        <v>3932</v>
      </c>
    </row>
    <row r="1556" spans="10:11">
      <c r="J1556" t="s">
        <v>3933</v>
      </c>
    </row>
    <row r="1557" spans="10:11">
      <c r="J1557" t="s">
        <v>3934</v>
      </c>
    </row>
  </sheetData>
  <autoFilter ref="J2:K1557" xr:uid="{00000000-0009-0000-0000-000002000000}"/>
  <sortState xmlns:xlrd2="http://schemas.microsoft.com/office/spreadsheetml/2017/richdata2" ref="D2:F1047950">
    <sortCondition ref="D1"/>
  </sortState>
  <mergeCells count="2">
    <mergeCell ref="E1:G1"/>
    <mergeCell ref="J1:L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ref</vt:lpstr>
      <vt:lpstr>raw</vt:lpstr>
      <vt:lpstr>raw_eng</vt:lpstr>
      <vt:lpstr>transelation_style</vt:lpstr>
      <vt:lpstr>matching_transelated_with_ref</vt:lpstr>
      <vt:lpstr>MAKER</vt:lpstr>
      <vt:lpstr>FuzzyLookup_AddIn_Undo_Sheet</vt:lpstr>
      <vt:lpstr>STYLE</vt:lpstr>
      <vt:lpstr>Sheet7</vt:lpstr>
      <vt:lpstr>Sheet4</vt:lpstr>
      <vt:lpstr>matching_arabic_with_ref</vt:lpstr>
      <vt:lpstr>Sheet5</vt:lpstr>
      <vt:lpstr>Sheet4!_FilterDatabase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M. Alshlawi</dc:creator>
  <cp:lastModifiedBy>Norah MK</cp:lastModifiedBy>
  <dcterms:created xsi:type="dcterms:W3CDTF">2022-05-17T11:32:05Z</dcterms:created>
  <dcterms:modified xsi:type="dcterms:W3CDTF">2022-05-22T04:01:06Z</dcterms:modified>
</cp:coreProperties>
</file>