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chool Work\Isotope Data\Dec_Fe_Stack\Calibration\"/>
    </mc:Choice>
  </mc:AlternateContent>
  <bookViews>
    <workbookView xWindow="0" yWindow="0" windowWidth="16380" windowHeight="8190" tabRatio="159"/>
  </bookViews>
  <sheets>
    <sheet name="EfficiencyCurves" sheetId="1" r:id="rId1"/>
  </sheets>
  <calcPr calcId="162913"/>
</workbook>
</file>

<file path=xl/calcChain.xml><?xml version="1.0" encoding="utf-8"?>
<calcChain xmlns="http://schemas.openxmlformats.org/spreadsheetml/2006/main">
  <c r="H32" i="1" l="1"/>
  <c r="H31" i="1"/>
  <c r="H28" i="1"/>
  <c r="H27" i="1"/>
  <c r="D86" i="1" l="1"/>
  <c r="C86" i="1"/>
  <c r="E86" i="1" s="1"/>
  <c r="D85" i="1"/>
  <c r="E85" i="1" s="1"/>
  <c r="C85" i="1"/>
  <c r="E84" i="1"/>
  <c r="D84" i="1"/>
  <c r="C84" i="1"/>
  <c r="D83" i="1"/>
  <c r="C83" i="1"/>
  <c r="E83" i="1" s="1"/>
  <c r="D82" i="1"/>
  <c r="C82" i="1"/>
  <c r="E82" i="1" s="1"/>
  <c r="E81" i="1"/>
  <c r="D81" i="1"/>
  <c r="C81" i="1"/>
  <c r="D80" i="1"/>
  <c r="C80" i="1"/>
  <c r="E80" i="1" s="1"/>
  <c r="D79" i="1"/>
  <c r="C79" i="1"/>
  <c r="E79" i="1" s="1"/>
  <c r="D78" i="1"/>
  <c r="C78" i="1"/>
  <c r="E78" i="1" s="1"/>
  <c r="D77" i="1"/>
  <c r="E77" i="1" s="1"/>
  <c r="C77" i="1"/>
  <c r="E76" i="1"/>
  <c r="D76" i="1"/>
  <c r="C76" i="1"/>
  <c r="D75" i="1"/>
  <c r="H75" i="1" s="1"/>
  <c r="J75" i="1" s="1"/>
  <c r="C75" i="1"/>
  <c r="F75" i="1" s="1"/>
  <c r="G75" i="1" s="1"/>
  <c r="D74" i="1"/>
  <c r="C74" i="1"/>
  <c r="E74" i="1" s="1"/>
  <c r="D73" i="1"/>
  <c r="E73" i="1" s="1"/>
  <c r="C73" i="1"/>
  <c r="D72" i="1"/>
  <c r="C72" i="1"/>
  <c r="E72" i="1" s="1"/>
  <c r="E71" i="1"/>
  <c r="D71" i="1"/>
  <c r="C71" i="1"/>
  <c r="D70" i="1"/>
  <c r="C70" i="1"/>
  <c r="E70" i="1" s="1"/>
  <c r="D69" i="1"/>
  <c r="C69" i="1"/>
  <c r="E69" i="1" s="1"/>
  <c r="E68" i="1"/>
  <c r="D68" i="1"/>
  <c r="C68" i="1"/>
  <c r="D67" i="1"/>
  <c r="C67" i="1"/>
  <c r="E67" i="1" s="1"/>
  <c r="D66" i="1"/>
  <c r="C66" i="1"/>
  <c r="E66" i="1" s="1"/>
  <c r="D65" i="1"/>
  <c r="C65" i="1"/>
  <c r="E65" i="1" s="1"/>
  <c r="D64" i="1"/>
  <c r="E64" i="1" s="1"/>
  <c r="C64" i="1"/>
  <c r="E63" i="1"/>
  <c r="D63" i="1"/>
  <c r="C63" i="1"/>
  <c r="D62" i="1"/>
  <c r="C62" i="1"/>
  <c r="E62" i="1" s="1"/>
  <c r="D61" i="1"/>
  <c r="C61" i="1"/>
  <c r="E61" i="1" s="1"/>
  <c r="E60" i="1"/>
  <c r="D60" i="1"/>
  <c r="C60" i="1"/>
  <c r="D59" i="1"/>
  <c r="C59" i="1"/>
  <c r="E59" i="1" s="1"/>
  <c r="D58" i="1"/>
  <c r="C58" i="1"/>
  <c r="E58" i="1" s="1"/>
  <c r="D57" i="1"/>
  <c r="C57" i="1"/>
  <c r="E57" i="1" s="1"/>
  <c r="D56" i="1"/>
  <c r="E56" i="1" s="1"/>
  <c r="C56" i="1"/>
  <c r="E55" i="1"/>
  <c r="D55" i="1"/>
  <c r="C55" i="1"/>
  <c r="D54" i="1"/>
  <c r="C54" i="1"/>
  <c r="E54" i="1" s="1"/>
  <c r="D53" i="1"/>
  <c r="C53" i="1"/>
  <c r="E53" i="1" s="1"/>
  <c r="E52" i="1"/>
  <c r="D52" i="1"/>
  <c r="C52" i="1"/>
  <c r="D51" i="1"/>
  <c r="C51" i="1"/>
  <c r="E51" i="1" s="1"/>
  <c r="D50" i="1"/>
  <c r="C50" i="1"/>
  <c r="E50" i="1" s="1"/>
  <c r="D49" i="1"/>
  <c r="C49" i="1"/>
  <c r="E49" i="1" s="1"/>
  <c r="D48" i="1"/>
  <c r="E48" i="1" s="1"/>
  <c r="C48" i="1"/>
  <c r="E47" i="1"/>
  <c r="D47" i="1"/>
  <c r="C47" i="1"/>
  <c r="D46" i="1"/>
  <c r="C46" i="1"/>
  <c r="E46" i="1" s="1"/>
  <c r="D45" i="1"/>
  <c r="C45" i="1"/>
  <c r="E45" i="1" s="1"/>
  <c r="E44" i="1"/>
  <c r="D44" i="1"/>
  <c r="C44" i="1"/>
  <c r="D43" i="1"/>
  <c r="C43" i="1"/>
  <c r="E43" i="1" s="1"/>
  <c r="D42" i="1"/>
  <c r="C42" i="1"/>
  <c r="E42" i="1" s="1"/>
  <c r="D41" i="1"/>
  <c r="C41" i="1"/>
  <c r="E41" i="1" s="1"/>
  <c r="D40" i="1"/>
  <c r="E40" i="1" s="1"/>
  <c r="C40" i="1"/>
  <c r="E39" i="1"/>
  <c r="D39" i="1"/>
  <c r="C39" i="1"/>
  <c r="D38" i="1"/>
  <c r="C38" i="1"/>
  <c r="E38" i="1" s="1"/>
  <c r="D37" i="1"/>
  <c r="C37" i="1"/>
  <c r="E37" i="1" s="1"/>
  <c r="E36" i="1"/>
  <c r="D36" i="1"/>
  <c r="C36" i="1"/>
  <c r="D35" i="1"/>
  <c r="C35" i="1"/>
  <c r="E35" i="1" s="1"/>
  <c r="D34" i="1"/>
  <c r="C34" i="1"/>
  <c r="E34" i="1" s="1"/>
  <c r="D33" i="1"/>
  <c r="C33" i="1"/>
  <c r="E33" i="1" s="1"/>
  <c r="D32" i="1"/>
  <c r="C32" i="1"/>
  <c r="E32" i="1" s="1"/>
  <c r="E31" i="1"/>
  <c r="D31" i="1"/>
  <c r="C31" i="1"/>
  <c r="D30" i="1"/>
  <c r="C30" i="1"/>
  <c r="E30" i="1" s="1"/>
  <c r="D29" i="1"/>
  <c r="C29" i="1"/>
  <c r="E29" i="1" s="1"/>
  <c r="D28" i="1"/>
  <c r="C28" i="1"/>
  <c r="E28" i="1" s="1"/>
  <c r="D27" i="1"/>
  <c r="C27" i="1"/>
  <c r="E27" i="1" s="1"/>
  <c r="E23" i="1"/>
  <c r="D23" i="1"/>
  <c r="C23" i="1"/>
  <c r="D22" i="1"/>
  <c r="C22" i="1"/>
  <c r="E22" i="1" s="1"/>
  <c r="F22" i="1" s="1"/>
  <c r="E21" i="1"/>
  <c r="D21" i="1"/>
  <c r="C21" i="1"/>
  <c r="D20" i="1"/>
  <c r="C20" i="1"/>
  <c r="E20" i="1" s="1"/>
  <c r="E19" i="1"/>
  <c r="F19" i="1" s="1"/>
  <c r="D19" i="1"/>
  <c r="C19" i="1"/>
  <c r="F5" i="1"/>
  <c r="B5" i="1"/>
  <c r="G5" i="1" s="1"/>
  <c r="F4" i="1"/>
  <c r="B4" i="1"/>
  <c r="G4" i="1" s="1"/>
  <c r="G3" i="1"/>
  <c r="P3" i="1" s="1"/>
  <c r="F3" i="1"/>
  <c r="M2" i="1"/>
  <c r="G2" i="1"/>
  <c r="Q2" i="1" s="1"/>
  <c r="F2" i="1"/>
  <c r="B2" i="1"/>
  <c r="P4" i="1" l="1"/>
  <c r="O4" i="1"/>
  <c r="O5" i="1"/>
  <c r="N5" i="1"/>
  <c r="M5" i="1"/>
  <c r="Q5" i="1"/>
  <c r="U5" i="1" s="1"/>
  <c r="P5" i="1"/>
  <c r="J72" i="1"/>
  <c r="U2" i="1"/>
  <c r="T5" i="1"/>
  <c r="H71" i="1"/>
  <c r="J71" i="1" s="1"/>
  <c r="G71" i="1"/>
  <c r="G72" i="1" s="1"/>
  <c r="T3" i="1"/>
  <c r="T2" i="1"/>
  <c r="E75" i="1"/>
  <c r="N2" i="1"/>
  <c r="O2" i="1"/>
  <c r="M3" i="1"/>
  <c r="P2" i="1"/>
  <c r="O3" i="1"/>
  <c r="V5" i="1" l="1"/>
  <c r="V2" i="1"/>
  <c r="V3" i="1"/>
  <c r="V4" i="1"/>
  <c r="R2" i="1"/>
  <c r="R5" i="1"/>
  <c r="R4" i="1"/>
  <c r="R3" i="1"/>
  <c r="S2" i="1"/>
  <c r="S5" i="1"/>
  <c r="F20" i="1"/>
  <c r="F23" i="1"/>
  <c r="F21" i="1"/>
</calcChain>
</file>

<file path=xl/sharedStrings.xml><?xml version="1.0" encoding="utf-8"?>
<sst xmlns="http://schemas.openxmlformats.org/spreadsheetml/2006/main" count="77" uniqueCount="49">
  <si>
    <t>Source</t>
  </si>
  <si>
    <t>Reference Activity (Ci)</t>
  </si>
  <si>
    <t>Reference Date</t>
  </si>
  <si>
    <t>Half Life</t>
  </si>
  <si>
    <t>Unit</t>
  </si>
  <si>
    <t>Half Life (d)</t>
  </si>
  <si>
    <t>Activity on 4/19/2016 (Bq)</t>
  </si>
  <si>
    <t>Cal Live Time (s, 18cm)</t>
  </si>
  <si>
    <t>Cal Live Time (s, 10cm)</t>
  </si>
  <si>
    <t>Cal Live Time (s, 29.5cm)</t>
  </si>
  <si>
    <t>Cal Live Time (s, 40cm)</t>
  </si>
  <si>
    <t>Cal Live Time (s, 22cm)</t>
  </si>
  <si>
    <t>Norm Factor (40cm)</t>
  </si>
  <si>
    <t>Norm Factor (29.5cm)</t>
  </si>
  <si>
    <t>Norm Factor (18cm)</t>
  </si>
  <si>
    <t>Norm Factor (10cm)</t>
  </si>
  <si>
    <t>Norm Factor (22cm)</t>
  </si>
  <si>
    <t>NF_Eu / NF_i (18cm)</t>
  </si>
  <si>
    <t>NF_Eu / NF_i (29.5cm)</t>
  </si>
  <si>
    <t>NF_Eu / NF_i (40cm)</t>
  </si>
  <si>
    <t>NF_Eu / NF_i (22cm)</t>
  </si>
  <si>
    <t>NF_Eu / NF_i (10cm)</t>
  </si>
  <si>
    <t>Eu152</t>
  </si>
  <si>
    <t>y</t>
  </si>
  <si>
    <t>Co56</t>
  </si>
  <si>
    <t>d</t>
  </si>
  <si>
    <t>-</t>
  </si>
  <si>
    <t>Ba133</t>
  </si>
  <si>
    <t>Cs137</t>
  </si>
  <si>
    <t>dist</t>
  </si>
  <si>
    <t>A</t>
  </si>
  <si>
    <t>B</t>
  </si>
  <si>
    <t>C</t>
  </si>
  <si>
    <t>D</t>
  </si>
  <si>
    <t>E</t>
  </si>
  <si>
    <t>F</t>
  </si>
  <si>
    <t>G</t>
  </si>
  <si>
    <t>EG1 (keV)</t>
  </si>
  <si>
    <t>EG2 (keV)</t>
  </si>
  <si>
    <t>40cm</t>
  </si>
  <si>
    <t>29.5cm</t>
  </si>
  <si>
    <t>18cm</t>
  </si>
  <si>
    <t>22cm</t>
  </si>
  <si>
    <t>10cm</t>
  </si>
  <si>
    <t>E_Gamma (keV)</t>
  </si>
  <si>
    <t>x</t>
  </si>
  <si>
    <t>Relative Efficiency</t>
  </si>
  <si>
    <t>Absolute Efficiency</t>
  </si>
  <si>
    <t>A_0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</si>
</sst>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E+000"/>
    <numFmt numFmtId="167" formatCode="0.0000000"/>
  </numFmts>
  <fonts count="2" x14ac:knownFonts="1">
    <font>
      <sz val="10"/>
      <name val="Arial"/>
      <family val="2"/>
      <charset val="1"/>
    </font>
    <font>
      <sz val="10"/>
      <color rgb="FF3C3C3C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FF"/>
        <bgColor rgb="FF99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165" fontId="1" fillId="0" borderId="0" xfId="0" applyNumberFormat="1" applyFont="1"/>
    <xf numFmtId="0" fontId="0" fillId="2" borderId="0" xfId="0" applyFill="1"/>
    <xf numFmtId="0" fontId="0" fillId="3" borderId="0" xfId="0" applyFill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5"/>
          </c:marker>
          <c:xVal>
            <c:numRef>
              <c:f>EfficiencyCurves!$B$27:$B$86</c:f>
              <c:numCache>
                <c:formatCode>General</c:formatCode>
                <c:ptCount val="6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</c:numCache>
            </c:numRef>
          </c:xVal>
          <c:yVal>
            <c:numRef>
              <c:f>EfficiencyCurves!$E$27:$E$86</c:f>
              <c:numCache>
                <c:formatCode>General</c:formatCode>
                <c:ptCount val="60"/>
                <c:pt idx="0">
                  <c:v>10.778035941882234</c:v>
                </c:pt>
                <c:pt idx="1">
                  <c:v>10.192792556974734</c:v>
                </c:pt>
                <c:pt idx="2">
                  <c:v>9.0396511498208501</c:v>
                </c:pt>
                <c:pt idx="3">
                  <c:v>7.7144956928146042</c:v>
                </c:pt>
                <c:pt idx="4">
                  <c:v>6.6235401211857745</c:v>
                </c:pt>
                <c:pt idx="5">
                  <c:v>5.7908071228792073</c:v>
                </c:pt>
                <c:pt idx="6">
                  <c:v>5.1489911884734019</c:v>
                </c:pt>
                <c:pt idx="7">
                  <c:v>4.6414839621298549</c:v>
                </c:pt>
                <c:pt idx="8">
                  <c:v>4.2300623761557876</c:v>
                </c:pt>
                <c:pt idx="9">
                  <c:v>3.8893771070010472</c:v>
                </c:pt>
                <c:pt idx="10">
                  <c:v>3.6022382719241963</c:v>
                </c:pt>
                <c:pt idx="11">
                  <c:v>3.3566383319362969</c:v>
                </c:pt>
                <c:pt idx="12">
                  <c:v>3.1439458917120371</c:v>
                </c:pt>
                <c:pt idx="13">
                  <c:v>2.9577952234407956</c:v>
                </c:pt>
                <c:pt idx="14">
                  <c:v>2.7933849395599966</c:v>
                </c:pt>
                <c:pt idx="15">
                  <c:v>2.6470219723704975</c:v>
                </c:pt>
                <c:pt idx="16">
                  <c:v>2.515816699290593</c:v>
                </c:pt>
                <c:pt idx="17">
                  <c:v>2.3974738717716582</c:v>
                </c:pt>
                <c:pt idx="18">
                  <c:v>2.290145926938989</c:v>
                </c:pt>
                <c:pt idx="19">
                  <c:v>2.1923279389307311</c:v>
                </c:pt>
                <c:pt idx="20">
                  <c:v>2.1027809967858246</c:v>
                </c:pt>
                <c:pt idx="21">
                  <c:v>2.0204753875390185</c:v>
                </c:pt>
                <c:pt idx="22">
                  <c:v>1.9445478342025473</c:v>
                </c:pt>
                <c:pt idx="23">
                  <c:v>1.8742688755980474</c:v>
                </c:pt>
                <c:pt idx="24">
                  <c:v>1.8090176761735635</c:v>
                </c:pt>
                <c:pt idx="25">
                  <c:v>1.7482623548036633</c:v>
                </c:pt>
                <c:pt idx="26">
                  <c:v>1.6915444652353944</c:v>
                </c:pt>
                <c:pt idx="27">
                  <c:v>1.6384666360611053</c:v>
                </c:pt>
                <c:pt idx="28">
                  <c:v>1.588682641030428</c:v>
                </c:pt>
                <c:pt idx="29">
                  <c:v>1.5418893573629491</c:v>
                </c:pt>
                <c:pt idx="30">
                  <c:v>1.4978202042381257</c:v>
                </c:pt>
                <c:pt idx="31">
                  <c:v>1.4562397516486156</c:v>
                </c:pt>
                <c:pt idx="32">
                  <c:v>1.4169392620161636</c:v>
                </c:pt>
                <c:pt idx="33">
                  <c:v>1.3797329807314422</c:v>
                </c:pt>
                <c:pt idx="34">
                  <c:v>1.3444550321955919</c:v>
                </c:pt>
                <c:pt idx="35">
                  <c:v>1.3109568086018084</c:v>
                </c:pt>
                <c:pt idx="36">
                  <c:v>1.2791047621541207</c:v>
                </c:pt>
                <c:pt idx="37">
                  <c:v>1.2487785295132841</c:v>
                </c:pt>
                <c:pt idx="38">
                  <c:v>1.2198693313194946</c:v>
                </c:pt>
                <c:pt idx="39">
                  <c:v>1.1922786006453097</c:v>
                </c:pt>
                <c:pt idx="40">
                  <c:v>1.1659168029020111</c:v>
                </c:pt>
                <c:pt idx="41">
                  <c:v>1.1407024165972306</c:v>
                </c:pt>
                <c:pt idx="42">
                  <c:v>1.1165610498255856</c:v>
                </c:pt>
                <c:pt idx="43">
                  <c:v>1.0934246717737581</c:v>
                </c:pt>
                <c:pt idx="44">
                  <c:v>1.0712309420704491</c:v>
                </c:pt>
                <c:pt idx="45">
                  <c:v>1.0499226236892698</c:v>
                </c:pt>
                <c:pt idx="46">
                  <c:v>1.029447067457397</c:v>
                </c:pt>
                <c:pt idx="47">
                  <c:v>1.0097557581423902</c:v>
                </c:pt>
                <c:pt idx="48">
                  <c:v>0.99080391366809484</c:v>
                </c:pt>
                <c:pt idx="49">
                  <c:v>0.97255013031421156</c:v>
                </c:pt>
                <c:pt idx="50">
                  <c:v>0.95495606783516807</c:v>
                </c:pt>
                <c:pt idx="51">
                  <c:v>0.93798616933394852</c:v>
                </c:pt>
                <c:pt idx="52">
                  <c:v>0.92160741147861569</c:v>
                </c:pt>
                <c:pt idx="53">
                  <c:v>0.9057890812800371</c:v>
                </c:pt>
                <c:pt idx="54">
                  <c:v>0.89050257618016893</c:v>
                </c:pt>
                <c:pt idx="55">
                  <c:v>0.87572122464849989</c:v>
                </c:pt>
                <c:pt idx="56">
                  <c:v>0.86142012486397113</c:v>
                </c:pt>
                <c:pt idx="57">
                  <c:v>0.84757599938234363</c:v>
                </c:pt>
                <c:pt idx="58">
                  <c:v>0.83416706396396201</c:v>
                </c:pt>
                <c:pt idx="59">
                  <c:v>0.82117290897190109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2-401B-AD44-335BFE6B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0926"/>
        <c:axId val="35822822"/>
      </c:scatterChart>
      <c:valAx>
        <c:axId val="577309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822822"/>
        <c:crossesAt val="0"/>
        <c:crossBetween val="midCat"/>
      </c:valAx>
      <c:valAx>
        <c:axId val="35822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73092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90720</xdr:colOff>
      <xdr:row>34</xdr:row>
      <xdr:rowOff>18360</xdr:rowOff>
    </xdr:from>
    <xdr:to>
      <xdr:col>11</xdr:col>
      <xdr:colOff>1285920</xdr:colOff>
      <xdr:row>54</xdr:row>
      <xdr:rowOff>5760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abSelected="1" zoomScaleNormal="100" workbookViewId="0">
      <selection activeCell="A5" sqref="A5"/>
    </sheetView>
  </sheetViews>
  <sheetFormatPr defaultRowHeight="12.75" x14ac:dyDescent="0.2"/>
  <cols>
    <col min="1" max="1" width="11.5703125"/>
    <col min="2" max="2" width="20.28515625"/>
    <col min="3" max="3" width="14.140625"/>
    <col min="4" max="4" width="11.5703125"/>
    <col min="5" max="5" width="16.140625"/>
    <col min="6" max="6" width="11.5703125"/>
    <col min="7" max="7" width="21.28515625" customWidth="1"/>
    <col min="8" max="8" width="20.5703125"/>
    <col min="9" max="10" width="22.140625"/>
    <col min="11" max="11" width="20.42578125"/>
    <col min="12" max="12" width="20"/>
    <col min="13" max="13" width="17.7109375"/>
    <col min="14" max="14" width="19"/>
    <col min="15" max="15" width="17.7109375"/>
    <col min="16" max="18" width="18.28515625"/>
    <col min="19" max="19" width="20.28515625"/>
    <col min="20" max="20" width="18.7109375"/>
    <col min="21" max="21" width="19.28515625"/>
    <col min="22" max="22" width="18.28515625"/>
    <col min="23" max="1025" width="11.5703125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</row>
    <row r="2" spans="1:23" x14ac:dyDescent="0.2">
      <c r="A2" t="s">
        <v>22</v>
      </c>
      <c r="B2" s="1">
        <f>39.29*1000/37000000000</f>
        <v>1.0618918918918919E-6</v>
      </c>
      <c r="C2" s="2">
        <v>39814</v>
      </c>
      <c r="D2">
        <v>13.516999999999999</v>
      </c>
      <c r="E2" t="s">
        <v>23</v>
      </c>
      <c r="F2">
        <f>D2*365.25</f>
        <v>4937.0842499999999</v>
      </c>
      <c r="G2">
        <f>B2*37000000000*0.5^(2665/F2)</f>
        <v>27026.409877004658</v>
      </c>
      <c r="H2">
        <v>3252</v>
      </c>
      <c r="I2">
        <v>2675</v>
      </c>
      <c r="J2">
        <v>15456</v>
      </c>
      <c r="K2">
        <v>19349</v>
      </c>
      <c r="L2">
        <v>5436</v>
      </c>
      <c r="M2">
        <f>(0.2087/10000)*G2*K2</f>
        <v>10913.632678301105</v>
      </c>
      <c r="N2">
        <f>(0.2087/10000)*G2*J2</f>
        <v>8717.820387400996</v>
      </c>
      <c r="O2">
        <f>(0.2087/10000)*G2*H2</f>
        <v>1834.2618982807996</v>
      </c>
      <c r="P2">
        <f>(0.2087/10000)*G2*I2</f>
        <v>1508.8101408060081</v>
      </c>
      <c r="Q2">
        <f>(0.2087/10000)*G2*L2</f>
        <v>3066.1278225874621</v>
      </c>
      <c r="R2">
        <f>$O$2/O2</f>
        <v>1</v>
      </c>
      <c r="S2">
        <f>N2/N2</f>
        <v>1</v>
      </c>
      <c r="T2">
        <f>$M$2/M2</f>
        <v>1</v>
      </c>
      <c r="U2">
        <f>$Q$2/Q2</f>
        <v>1</v>
      </c>
      <c r="V2">
        <f>$P$2/P2</f>
        <v>1</v>
      </c>
      <c r="W2" t="s">
        <v>22</v>
      </c>
    </row>
    <row r="3" spans="1:23" x14ac:dyDescent="0.2">
      <c r="A3" t="s">
        <v>24</v>
      </c>
      <c r="B3" s="3">
        <v>1.22E-6</v>
      </c>
      <c r="C3" s="2">
        <v>42353</v>
      </c>
      <c r="D3">
        <v>77.236000000000004</v>
      </c>
      <c r="E3" t="s">
        <v>25</v>
      </c>
      <c r="F3">
        <f>D3</f>
        <v>77.236000000000004</v>
      </c>
      <c r="G3">
        <f>B3*37000000000*0.5^(126/D3)</f>
        <v>14570.423446572779</v>
      </c>
      <c r="H3">
        <v>5154</v>
      </c>
      <c r="I3">
        <v>5966</v>
      </c>
      <c r="J3" s="4" t="s">
        <v>26</v>
      </c>
      <c r="K3">
        <v>28749</v>
      </c>
      <c r="L3" s="4" t="s">
        <v>26</v>
      </c>
      <c r="M3">
        <f>(0.999399/100000)*G3*K3</f>
        <v>4186.3335371821786</v>
      </c>
      <c r="N3" s="4" t="s">
        <v>26</v>
      </c>
      <c r="O3">
        <f>(0.999399/100000)*G3*H3</f>
        <v>750.50829770207486</v>
      </c>
      <c r="P3">
        <f>(0.999399/100000)*G3*I3</f>
        <v>868.74903067337573</v>
      </c>
      <c r="Q3" s="4" t="s">
        <v>26</v>
      </c>
      <c r="R3">
        <f>$O$2/O3</f>
        <v>2.4440261405463319</v>
      </c>
      <c r="S3" s="4" t="s">
        <v>26</v>
      </c>
      <c r="T3">
        <f>$M$2/M3</f>
        <v>2.606966831803629</v>
      </c>
      <c r="U3" s="4" t="s">
        <v>26</v>
      </c>
      <c r="V3">
        <f>$P$2/P3</f>
        <v>1.7367618121386736</v>
      </c>
      <c r="W3" t="s">
        <v>24</v>
      </c>
    </row>
    <row r="4" spans="1:23" x14ac:dyDescent="0.2">
      <c r="A4" t="s">
        <v>27</v>
      </c>
      <c r="B4" s="1">
        <f>39.89*1000/37000000000</f>
        <v>1.0781081081081082E-6</v>
      </c>
      <c r="C4" s="2">
        <v>39814</v>
      </c>
      <c r="D4">
        <v>10.551</v>
      </c>
      <c r="E4" t="s">
        <v>23</v>
      </c>
      <c r="F4">
        <f>D4*365.25</f>
        <v>3853.7527500000001</v>
      </c>
      <c r="G4">
        <f>B4*37000000000*0.5^(2665/F4)</f>
        <v>24699.697909407521</v>
      </c>
      <c r="H4">
        <v>2673</v>
      </c>
      <c r="I4">
        <v>1808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>
        <f>(0.6205/10000)*G4*H4</f>
        <v>4096.6832503600635</v>
      </c>
      <c r="P4">
        <f>(0.6205/10000)*G4*I4</f>
        <v>2770.9701895439562</v>
      </c>
      <c r="Q4" s="4" t="s">
        <v>26</v>
      </c>
      <c r="R4">
        <f>$O$2/O4</f>
        <v>0.44774315859533043</v>
      </c>
      <c r="S4" s="4" t="s">
        <v>26</v>
      </c>
      <c r="T4" s="4" t="s">
        <v>26</v>
      </c>
      <c r="U4" s="4" t="s">
        <v>26</v>
      </c>
      <c r="V4">
        <f>$P$2/P4</f>
        <v>0.54450608905840547</v>
      </c>
      <c r="W4" t="s">
        <v>27</v>
      </c>
    </row>
    <row r="5" spans="1:23" x14ac:dyDescent="0.2">
      <c r="A5" t="s">
        <v>28</v>
      </c>
      <c r="B5">
        <f>38.55*1000/37000000000</f>
        <v>1.0418918918918919E-6</v>
      </c>
      <c r="C5" s="2">
        <v>39814</v>
      </c>
      <c r="D5">
        <v>30.08</v>
      </c>
      <c r="E5" t="s">
        <v>23</v>
      </c>
      <c r="F5">
        <f>D5*265.25</f>
        <v>7978.7199999999993</v>
      </c>
      <c r="G5">
        <f>B5*37000000000*0.5^(2665/F5)</f>
        <v>30582.733988180487</v>
      </c>
      <c r="H5">
        <v>5060</v>
      </c>
      <c r="I5">
        <v>1054</v>
      </c>
      <c r="J5">
        <v>4570</v>
      </c>
      <c r="K5" s="5">
        <v>1304</v>
      </c>
      <c r="L5" s="5">
        <v>1558</v>
      </c>
      <c r="M5">
        <f>(0.851/85)*G5*K5</f>
        <v>399268.02632493927</v>
      </c>
      <c r="N5">
        <f>(0.851/85)*G5*J5</f>
        <v>1399275.2149578009</v>
      </c>
      <c r="O5">
        <f>(0.851/85)*G5*H5</f>
        <v>1549306.9119664056</v>
      </c>
      <c r="P5">
        <f>(0.851/85)*G5*I5</f>
        <v>322721.24213687575</v>
      </c>
      <c r="Q5">
        <f>(0.851/85)*G5*L5</f>
        <v>477039.55906001182</v>
      </c>
      <c r="R5">
        <f>$O$2/O5</f>
        <v>1.1839241690032381E-3</v>
      </c>
      <c r="S5">
        <f>N2/N5</f>
        <v>6.2302399801056341E-3</v>
      </c>
      <c r="T5">
        <f>$M$2/M5</f>
        <v>2.7334101302214423E-2</v>
      </c>
      <c r="U5">
        <f>$Q$2/Q5</f>
        <v>6.4274078833821448E-3</v>
      </c>
      <c r="V5">
        <f>$P$2/P5</f>
        <v>4.6752737155308687E-3</v>
      </c>
      <c r="W5" t="s">
        <v>28</v>
      </c>
    </row>
    <row r="9" spans="1:23" x14ac:dyDescent="0.2">
      <c r="A9" t="s">
        <v>29</v>
      </c>
      <c r="B9" t="s">
        <v>30</v>
      </c>
      <c r="C9" t="s">
        <v>31</v>
      </c>
      <c r="D9" t="s">
        <v>32</v>
      </c>
      <c r="E9" t="s">
        <v>33</v>
      </c>
      <c r="F9" t="s">
        <v>34</v>
      </c>
      <c r="G9" t="s">
        <v>35</v>
      </c>
      <c r="H9" t="s">
        <v>36</v>
      </c>
      <c r="J9" t="s">
        <v>37</v>
      </c>
      <c r="K9" t="s">
        <v>38</v>
      </c>
    </row>
    <row r="10" spans="1:23" x14ac:dyDescent="0.2">
      <c r="A10" t="s">
        <v>39</v>
      </c>
      <c r="B10">
        <v>2.3468764000000002</v>
      </c>
      <c r="C10">
        <v>1.5716218</v>
      </c>
      <c r="D10">
        <v>0</v>
      </c>
      <c r="E10">
        <v>1.1455793000000001</v>
      </c>
      <c r="F10">
        <v>-0.97721654000000002</v>
      </c>
      <c r="G10">
        <v>-7.1123950000000005E-2</v>
      </c>
      <c r="H10">
        <v>15</v>
      </c>
      <c r="J10">
        <v>100</v>
      </c>
      <c r="K10">
        <v>1000</v>
      </c>
    </row>
    <row r="11" spans="1:23" x14ac:dyDescent="0.2">
      <c r="A11" t="s">
        <v>40</v>
      </c>
      <c r="B11" s="3">
        <v>2.7022870000000001</v>
      </c>
      <c r="C11" s="3">
        <v>1.6774589</v>
      </c>
      <c r="D11" s="3">
        <v>0</v>
      </c>
      <c r="E11" s="3">
        <v>1.5240798</v>
      </c>
      <c r="F11" s="3">
        <v>-0.83217417999999999</v>
      </c>
      <c r="G11" s="3">
        <v>-1.7531083999999999E-2</v>
      </c>
      <c r="H11" s="3">
        <v>15</v>
      </c>
      <c r="I11" s="3"/>
      <c r="J11">
        <v>100</v>
      </c>
      <c r="K11">
        <v>1000</v>
      </c>
    </row>
    <row r="12" spans="1:23" x14ac:dyDescent="0.2">
      <c r="A12" t="s">
        <v>41</v>
      </c>
      <c r="B12" s="3">
        <v>2.3651247</v>
      </c>
      <c r="C12" s="3">
        <v>-2.4761146000000001E-2</v>
      </c>
      <c r="D12" s="3">
        <v>0</v>
      </c>
      <c r="E12" s="3">
        <v>0.78496396999999996</v>
      </c>
      <c r="F12" s="6">
        <v>-0.85292941</v>
      </c>
      <c r="G12" s="3">
        <v>-3.7240035999999997E-2</v>
      </c>
      <c r="H12" s="3">
        <v>15</v>
      </c>
      <c r="I12" s="3"/>
      <c r="J12">
        <v>100</v>
      </c>
      <c r="K12">
        <v>1000</v>
      </c>
    </row>
    <row r="13" spans="1:23" x14ac:dyDescent="0.2">
      <c r="A13" t="s">
        <v>42</v>
      </c>
      <c r="B13" s="3">
        <v>2.2339818</v>
      </c>
      <c r="C13" s="3">
        <v>1.8180664</v>
      </c>
      <c r="D13" s="3">
        <v>0</v>
      </c>
      <c r="E13" s="3">
        <v>0.99232905999999999</v>
      </c>
      <c r="F13" s="3">
        <v>-0.82463819000000005</v>
      </c>
      <c r="G13" s="3">
        <v>-3.4420982000000003E-2</v>
      </c>
      <c r="H13" s="3">
        <v>15</v>
      </c>
      <c r="I13" s="3"/>
      <c r="J13">
        <v>100</v>
      </c>
      <c r="K13">
        <v>1000</v>
      </c>
    </row>
    <row r="14" spans="1:23" x14ac:dyDescent="0.2">
      <c r="A14" t="s">
        <v>43</v>
      </c>
      <c r="B14" s="3">
        <v>3.1862948000000002</v>
      </c>
      <c r="C14" s="3">
        <v>4.9441494000000002E-2</v>
      </c>
      <c r="D14" s="3">
        <v>0</v>
      </c>
      <c r="E14" s="3">
        <v>1.4668076999999999</v>
      </c>
      <c r="F14" s="3">
        <v>-0.88876140000000003</v>
      </c>
      <c r="G14" s="3">
        <v>-3.9826918000000003E-2</v>
      </c>
      <c r="H14" s="3">
        <v>15</v>
      </c>
      <c r="J14">
        <v>100</v>
      </c>
      <c r="K14">
        <v>1000</v>
      </c>
    </row>
    <row r="18" spans="1:8" x14ac:dyDescent="0.2">
      <c r="A18" t="s">
        <v>29</v>
      </c>
      <c r="B18" t="s">
        <v>44</v>
      </c>
      <c r="C18" t="s">
        <v>45</v>
      </c>
      <c r="D18" t="s">
        <v>23</v>
      </c>
      <c r="E18" t="s">
        <v>46</v>
      </c>
      <c r="F18" t="s">
        <v>47</v>
      </c>
    </row>
    <row r="19" spans="1:8" x14ac:dyDescent="0.2">
      <c r="A19" t="s">
        <v>39</v>
      </c>
      <c r="B19" s="7">
        <v>1275</v>
      </c>
      <c r="C19">
        <f>LN(B19/J10)</f>
        <v>2.5455312716044354</v>
      </c>
      <c r="D19">
        <f>LN(B19/K10)</f>
        <v>0.24294617861038939</v>
      </c>
      <c r="E19">
        <f>EXP(((B10+C10*C19+D10*C19*C19)^(-H10)+(E10+F10*D19+G10*D19*D19)^(-H10))^(-1/H10))</f>
        <v>2.4693879786297548</v>
      </c>
      <c r="F19" s="8">
        <f>E19/M2</f>
        <v>2.2626636349411733E-4</v>
      </c>
    </row>
    <row r="20" spans="1:8" x14ac:dyDescent="0.2">
      <c r="A20" t="s">
        <v>40</v>
      </c>
      <c r="B20" s="7">
        <v>1275</v>
      </c>
      <c r="C20">
        <f>LN(B20/J11)</f>
        <v>2.5455312716044354</v>
      </c>
      <c r="D20">
        <f>LN(B20/K11)</f>
        <v>0.24294617861038939</v>
      </c>
      <c r="E20">
        <f>EXP(((B11+C11*C20+D11*C20*C20)^(-H11)+(E11+F11*D20+G11*D20*D20)^(-H11))^(-1/H11))</f>
        <v>3.7466852980101324</v>
      </c>
      <c r="F20" s="8">
        <f>E20/N2</f>
        <v>4.2977316938358197E-4</v>
      </c>
    </row>
    <row r="21" spans="1:8" x14ac:dyDescent="0.2">
      <c r="A21" t="s">
        <v>41</v>
      </c>
      <c r="B21" s="7">
        <v>1275</v>
      </c>
      <c r="C21">
        <f>LN(B21/J12)</f>
        <v>2.5455312716044354</v>
      </c>
      <c r="D21">
        <f>LN(B21/K12)</f>
        <v>0.24294617861038939</v>
      </c>
      <c r="E21">
        <f>EXP(((B12+C12*C21+D12*C21*C21)^(-H12)+(E12+F12*D21+G12*D21*D21)^(-H12))^(-1/H12))</f>
        <v>1.7781082464945372</v>
      </c>
      <c r="F21" s="8">
        <f>E21/O2</f>
        <v>9.6938624095125475E-4</v>
      </c>
    </row>
    <row r="22" spans="1:8" x14ac:dyDescent="0.2">
      <c r="A22" t="s">
        <v>42</v>
      </c>
      <c r="B22" s="7">
        <v>1275</v>
      </c>
      <c r="C22">
        <f>LN(B22/J13)</f>
        <v>2.5455312716044354</v>
      </c>
      <c r="D22">
        <f>LN(B22/K13)</f>
        <v>0.24294617861038939</v>
      </c>
      <c r="E22">
        <f>EXP(((B13+C13*C22+D13*C22*C22)^(-H13)+(E13+F13*D22+G13*D22*D22)^(-H13))^(-1/H13))</f>
        <v>2.203296699912574</v>
      </c>
      <c r="F22" s="8">
        <f>E22/Q2</f>
        <v>7.1859257910951771E-4</v>
      </c>
    </row>
    <row r="23" spans="1:8" x14ac:dyDescent="0.2">
      <c r="A23" t="s">
        <v>43</v>
      </c>
      <c r="B23" s="7">
        <v>244.7</v>
      </c>
      <c r="C23">
        <f>LN(B23/J14)</f>
        <v>0.89486278446053469</v>
      </c>
      <c r="D23">
        <f>LN(B23/K14)</f>
        <v>-1.4077223085335111</v>
      </c>
      <c r="E23">
        <f>EXP(((B14+C14*C23+D14*C23*C23)^(-H14)+(E14+F14*D23+G14*D23*D23)^(-H14))^(-1/H14))</f>
        <v>13.884232105809382</v>
      </c>
      <c r="F23" s="8">
        <f>E23/P2</f>
        <v>9.2021068326014893E-3</v>
      </c>
    </row>
    <row r="27" spans="1:8" x14ac:dyDescent="0.2">
      <c r="B27">
        <v>50</v>
      </c>
      <c r="C27">
        <f t="shared" ref="C27:C58" si="0">LN(B27/J$12)</f>
        <v>-0.69314718055994529</v>
      </c>
      <c r="D27">
        <f t="shared" ref="D27:D58" si="1">LN(B27/K$12)</f>
        <v>-2.9957322735539909</v>
      </c>
      <c r="E27">
        <f t="shared" ref="E27:E58" si="2">EXP(((B$12+C$12*C27+D$12*C27*C27)^(-H$12)+(E$12+F$12*D27+G$12*D27*D27)^(-H$12))^(-1/H$12))</f>
        <v>10.778035941882234</v>
      </c>
      <c r="G27" s="9">
        <v>42705.579861111109</v>
      </c>
      <c r="H27" s="10">
        <f>DATEDIF(G28,G27,"Y")</f>
        <v>7</v>
      </c>
    </row>
    <row r="28" spans="1:8" x14ac:dyDescent="0.2">
      <c r="B28">
        <v>100</v>
      </c>
      <c r="C28">
        <f t="shared" si="0"/>
        <v>0</v>
      </c>
      <c r="D28">
        <f t="shared" si="1"/>
        <v>-2.3025850929940455</v>
      </c>
      <c r="E28">
        <f t="shared" si="2"/>
        <v>10.192792556974734</v>
      </c>
      <c r="G28" s="9">
        <v>39814.5</v>
      </c>
      <c r="H28">
        <f>(G27-G28)/365.25</f>
        <v>7.9153452734048173</v>
      </c>
    </row>
    <row r="29" spans="1:8" x14ac:dyDescent="0.2">
      <c r="B29">
        <v>150</v>
      </c>
      <c r="C29">
        <f t="shared" si="0"/>
        <v>0.40546510810816438</v>
      </c>
      <c r="D29">
        <f t="shared" si="1"/>
        <v>-1.8971199848858813</v>
      </c>
      <c r="E29">
        <f t="shared" si="2"/>
        <v>9.0396511498208501</v>
      </c>
    </row>
    <row r="30" spans="1:8" x14ac:dyDescent="0.2">
      <c r="B30">
        <v>200</v>
      </c>
      <c r="C30">
        <f t="shared" si="0"/>
        <v>0.69314718055994529</v>
      </c>
      <c r="D30">
        <f t="shared" si="1"/>
        <v>-1.6094379124341003</v>
      </c>
      <c r="E30">
        <f t="shared" si="2"/>
        <v>7.7144956928146042</v>
      </c>
      <c r="G30" t="s">
        <v>48</v>
      </c>
    </row>
    <row r="31" spans="1:8" x14ac:dyDescent="0.2">
      <c r="B31">
        <v>250</v>
      </c>
      <c r="C31">
        <f t="shared" si="0"/>
        <v>0.91629073187415511</v>
      </c>
      <c r="D31">
        <f t="shared" si="1"/>
        <v>-1.3862943611198906</v>
      </c>
      <c r="E31">
        <f t="shared" si="2"/>
        <v>6.6235401211857745</v>
      </c>
      <c r="G31">
        <v>39.29</v>
      </c>
      <c r="H31">
        <f>G31*0.5^(H28/D2)</f>
        <v>26.182043405635245</v>
      </c>
    </row>
    <row r="32" spans="1:8" x14ac:dyDescent="0.2">
      <c r="B32">
        <v>300</v>
      </c>
      <c r="C32">
        <f t="shared" si="0"/>
        <v>1.0986122886681098</v>
      </c>
      <c r="D32">
        <f t="shared" si="1"/>
        <v>-1.2039728043259361</v>
      </c>
      <c r="E32">
        <f t="shared" si="2"/>
        <v>5.7908071228792073</v>
      </c>
      <c r="G32">
        <v>39.89</v>
      </c>
      <c r="H32">
        <f>G32*0.5^(H28/D4)</f>
        <v>23.715471277066605</v>
      </c>
    </row>
    <row r="33" spans="2:5" x14ac:dyDescent="0.2">
      <c r="B33">
        <v>350</v>
      </c>
      <c r="C33">
        <f t="shared" si="0"/>
        <v>1.2527629684953681</v>
      </c>
      <c r="D33">
        <f t="shared" si="1"/>
        <v>-1.0498221244986778</v>
      </c>
      <c r="E33">
        <f t="shared" si="2"/>
        <v>5.1489911884734019</v>
      </c>
    </row>
    <row r="34" spans="2:5" x14ac:dyDescent="0.2">
      <c r="B34">
        <v>400</v>
      </c>
      <c r="C34">
        <f t="shared" si="0"/>
        <v>1.3862943611198906</v>
      </c>
      <c r="D34">
        <f t="shared" si="1"/>
        <v>-0.916290731874155</v>
      </c>
      <c r="E34">
        <f t="shared" si="2"/>
        <v>4.6414839621298549</v>
      </c>
    </row>
    <row r="35" spans="2:5" x14ac:dyDescent="0.2">
      <c r="B35">
        <v>450</v>
      </c>
      <c r="C35">
        <f t="shared" si="0"/>
        <v>1.5040773967762742</v>
      </c>
      <c r="D35">
        <f t="shared" si="1"/>
        <v>-0.79850769621777162</v>
      </c>
      <c r="E35">
        <f t="shared" si="2"/>
        <v>4.2300623761557876</v>
      </c>
    </row>
    <row r="36" spans="2:5" x14ac:dyDescent="0.2">
      <c r="B36">
        <v>500</v>
      </c>
      <c r="C36">
        <f t="shared" si="0"/>
        <v>1.6094379124341003</v>
      </c>
      <c r="D36">
        <f t="shared" si="1"/>
        <v>-0.69314718055994529</v>
      </c>
      <c r="E36">
        <f t="shared" si="2"/>
        <v>3.8893771070010472</v>
      </c>
    </row>
    <row r="37" spans="2:5" x14ac:dyDescent="0.2">
      <c r="B37">
        <v>550</v>
      </c>
      <c r="C37">
        <f t="shared" si="0"/>
        <v>1.7047480922384253</v>
      </c>
      <c r="D37">
        <f t="shared" si="1"/>
        <v>-0.59783700075562041</v>
      </c>
      <c r="E37">
        <f t="shared" si="2"/>
        <v>3.6022382719241963</v>
      </c>
    </row>
    <row r="38" spans="2:5" x14ac:dyDescent="0.2">
      <c r="B38">
        <v>600</v>
      </c>
      <c r="C38">
        <f t="shared" si="0"/>
        <v>1.791759469228055</v>
      </c>
      <c r="D38">
        <f t="shared" si="1"/>
        <v>-0.51082562376599072</v>
      </c>
      <c r="E38">
        <f t="shared" si="2"/>
        <v>3.3566383319362969</v>
      </c>
    </row>
    <row r="39" spans="2:5" x14ac:dyDescent="0.2">
      <c r="B39">
        <v>650</v>
      </c>
      <c r="C39">
        <f t="shared" si="0"/>
        <v>1.8718021769015913</v>
      </c>
      <c r="D39">
        <f t="shared" si="1"/>
        <v>-0.43078291609245423</v>
      </c>
      <c r="E39">
        <f t="shared" si="2"/>
        <v>3.1439458917120371</v>
      </c>
    </row>
    <row r="40" spans="2:5" x14ac:dyDescent="0.2">
      <c r="B40">
        <v>700</v>
      </c>
      <c r="C40">
        <f t="shared" si="0"/>
        <v>1.9459101490553132</v>
      </c>
      <c r="D40">
        <f t="shared" si="1"/>
        <v>-0.35667494393873245</v>
      </c>
      <c r="E40">
        <f t="shared" si="2"/>
        <v>2.9577952234407956</v>
      </c>
    </row>
    <row r="41" spans="2:5" x14ac:dyDescent="0.2">
      <c r="B41">
        <v>750</v>
      </c>
      <c r="C41">
        <f t="shared" si="0"/>
        <v>2.0149030205422647</v>
      </c>
      <c r="D41">
        <f t="shared" si="1"/>
        <v>-0.2876820724517809</v>
      </c>
      <c r="E41">
        <f t="shared" si="2"/>
        <v>2.7933849395599966</v>
      </c>
    </row>
    <row r="42" spans="2:5" x14ac:dyDescent="0.2">
      <c r="B42">
        <v>800</v>
      </c>
      <c r="C42">
        <f t="shared" si="0"/>
        <v>2.0794415416798357</v>
      </c>
      <c r="D42">
        <f t="shared" si="1"/>
        <v>-0.22314355131420971</v>
      </c>
      <c r="E42">
        <f t="shared" si="2"/>
        <v>2.6470219723704975</v>
      </c>
    </row>
    <row r="43" spans="2:5" x14ac:dyDescent="0.2">
      <c r="B43">
        <v>850</v>
      </c>
      <c r="C43">
        <f t="shared" si="0"/>
        <v>2.1400661634962708</v>
      </c>
      <c r="D43">
        <f t="shared" si="1"/>
        <v>-0.16251892949777494</v>
      </c>
      <c r="E43">
        <f t="shared" si="2"/>
        <v>2.515816699290593</v>
      </c>
    </row>
    <row r="44" spans="2:5" x14ac:dyDescent="0.2">
      <c r="B44">
        <v>900</v>
      </c>
      <c r="C44">
        <f t="shared" si="0"/>
        <v>2.1972245773362196</v>
      </c>
      <c r="D44">
        <f t="shared" si="1"/>
        <v>-0.10536051565782628</v>
      </c>
      <c r="E44">
        <f t="shared" si="2"/>
        <v>2.3974738717716582</v>
      </c>
    </row>
    <row r="45" spans="2:5" x14ac:dyDescent="0.2">
      <c r="B45">
        <v>950</v>
      </c>
      <c r="C45">
        <f t="shared" si="0"/>
        <v>2.2512917986064953</v>
      </c>
      <c r="D45">
        <f t="shared" si="1"/>
        <v>-5.1293294387550578E-2</v>
      </c>
      <c r="E45">
        <f t="shared" si="2"/>
        <v>2.290145926938989</v>
      </c>
    </row>
    <row r="46" spans="2:5" x14ac:dyDescent="0.2">
      <c r="B46">
        <v>1000</v>
      </c>
      <c r="C46">
        <f t="shared" si="0"/>
        <v>2.3025850929940459</v>
      </c>
      <c r="D46">
        <f t="shared" si="1"/>
        <v>0</v>
      </c>
      <c r="E46">
        <f t="shared" si="2"/>
        <v>2.1923279389307311</v>
      </c>
    </row>
    <row r="47" spans="2:5" x14ac:dyDescent="0.2">
      <c r="B47">
        <v>1050</v>
      </c>
      <c r="C47">
        <f t="shared" si="0"/>
        <v>2.3513752571634776</v>
      </c>
      <c r="D47">
        <f t="shared" si="1"/>
        <v>4.8790164169432049E-2</v>
      </c>
      <c r="E47">
        <f t="shared" si="2"/>
        <v>2.1027809967858246</v>
      </c>
    </row>
    <row r="48" spans="2:5" x14ac:dyDescent="0.2">
      <c r="B48">
        <v>1100</v>
      </c>
      <c r="C48">
        <f t="shared" si="0"/>
        <v>2.3978952727983707</v>
      </c>
      <c r="D48">
        <f t="shared" si="1"/>
        <v>9.5310179804324935E-2</v>
      </c>
      <c r="E48">
        <f t="shared" si="2"/>
        <v>2.0204753875390185</v>
      </c>
    </row>
    <row r="49" spans="2:5" x14ac:dyDescent="0.2">
      <c r="B49">
        <v>1150</v>
      </c>
      <c r="C49">
        <f t="shared" si="0"/>
        <v>2.4423470353692043</v>
      </c>
      <c r="D49">
        <f t="shared" si="1"/>
        <v>0.13976194237515863</v>
      </c>
      <c r="E49">
        <f t="shared" si="2"/>
        <v>1.9445478342025473</v>
      </c>
    </row>
    <row r="50" spans="2:5" x14ac:dyDescent="0.2">
      <c r="B50">
        <v>1200</v>
      </c>
      <c r="C50">
        <f t="shared" si="0"/>
        <v>2.4849066497880004</v>
      </c>
      <c r="D50">
        <f t="shared" si="1"/>
        <v>0.18232155679395459</v>
      </c>
      <c r="E50">
        <f t="shared" si="2"/>
        <v>1.8742688755980474</v>
      </c>
    </row>
    <row r="51" spans="2:5" x14ac:dyDescent="0.2">
      <c r="B51">
        <v>1250</v>
      </c>
      <c r="C51">
        <f t="shared" si="0"/>
        <v>2.5257286443082556</v>
      </c>
      <c r="D51">
        <f t="shared" si="1"/>
        <v>0.22314355131420976</v>
      </c>
      <c r="E51">
        <f t="shared" si="2"/>
        <v>1.8090176761735635</v>
      </c>
    </row>
    <row r="52" spans="2:5" x14ac:dyDescent="0.2">
      <c r="B52">
        <v>1300</v>
      </c>
      <c r="C52">
        <f t="shared" si="0"/>
        <v>2.5649493574615367</v>
      </c>
      <c r="D52">
        <f t="shared" si="1"/>
        <v>0.26236426446749106</v>
      </c>
      <c r="E52">
        <f t="shared" si="2"/>
        <v>1.7482623548036633</v>
      </c>
    </row>
    <row r="53" spans="2:5" x14ac:dyDescent="0.2">
      <c r="B53">
        <v>1350</v>
      </c>
      <c r="C53">
        <f t="shared" si="0"/>
        <v>2.6026896854443837</v>
      </c>
      <c r="D53">
        <f t="shared" si="1"/>
        <v>0.30010459245033816</v>
      </c>
      <c r="E53">
        <f t="shared" si="2"/>
        <v>1.6915444652353944</v>
      </c>
    </row>
    <row r="54" spans="2:5" x14ac:dyDescent="0.2">
      <c r="B54">
        <v>1400</v>
      </c>
      <c r="C54">
        <f t="shared" si="0"/>
        <v>2.6390573296152584</v>
      </c>
      <c r="D54">
        <f t="shared" si="1"/>
        <v>0.33647223662121289</v>
      </c>
      <c r="E54">
        <f t="shared" si="2"/>
        <v>1.6384666360611053</v>
      </c>
    </row>
    <row r="55" spans="2:5" x14ac:dyDescent="0.2">
      <c r="B55">
        <v>1450</v>
      </c>
      <c r="C55">
        <f t="shared" si="0"/>
        <v>2.6741486494265287</v>
      </c>
      <c r="D55">
        <f t="shared" si="1"/>
        <v>0.37156355643248301</v>
      </c>
      <c r="E55">
        <f t="shared" si="2"/>
        <v>1.588682641030428</v>
      </c>
    </row>
    <row r="56" spans="2:5" x14ac:dyDescent="0.2">
      <c r="B56">
        <v>1500</v>
      </c>
      <c r="C56">
        <f t="shared" si="0"/>
        <v>2.7080502011022101</v>
      </c>
      <c r="D56">
        <f t="shared" si="1"/>
        <v>0.40546510810816438</v>
      </c>
      <c r="E56">
        <f t="shared" si="2"/>
        <v>1.5418893573629491</v>
      </c>
    </row>
    <row r="57" spans="2:5" x14ac:dyDescent="0.2">
      <c r="B57">
        <v>1550</v>
      </c>
      <c r="C57">
        <f t="shared" si="0"/>
        <v>2.7408400239252009</v>
      </c>
      <c r="D57">
        <f t="shared" si="1"/>
        <v>0.43825493093115531</v>
      </c>
      <c r="E57">
        <f t="shared" si="2"/>
        <v>1.4978202042381257</v>
      </c>
    </row>
    <row r="58" spans="2:5" x14ac:dyDescent="0.2">
      <c r="B58">
        <v>1600</v>
      </c>
      <c r="C58">
        <f t="shared" si="0"/>
        <v>2.7725887222397811</v>
      </c>
      <c r="D58">
        <f t="shared" si="1"/>
        <v>0.47000362924573563</v>
      </c>
      <c r="E58">
        <f t="shared" si="2"/>
        <v>1.4562397516486156</v>
      </c>
    </row>
    <row r="59" spans="2:5" x14ac:dyDescent="0.2">
      <c r="B59">
        <v>1650</v>
      </c>
      <c r="C59">
        <f t="shared" ref="C59:C86" si="3">LN(B59/J$12)</f>
        <v>2.8033603809065348</v>
      </c>
      <c r="D59">
        <f t="shared" ref="D59:D86" si="4">LN(B59/K$12)</f>
        <v>0.50077528791248915</v>
      </c>
      <c r="E59">
        <f t="shared" ref="E59:E86" si="5">EXP(((B$12+C$12*C59+D$12*C59*C59)^(-H$12)+(E$12+F$12*D59+G$12*D59*D59)^(-H$12))^(-1/H$12))</f>
        <v>1.4169392620161636</v>
      </c>
    </row>
    <row r="60" spans="2:5" x14ac:dyDescent="0.2">
      <c r="B60">
        <v>1700</v>
      </c>
      <c r="C60">
        <f t="shared" si="3"/>
        <v>2.8332133440562162</v>
      </c>
      <c r="D60">
        <f t="shared" si="4"/>
        <v>0.53062825106217038</v>
      </c>
      <c r="E60">
        <f t="shared" si="5"/>
        <v>1.3797329807314422</v>
      </c>
    </row>
    <row r="61" spans="2:5" x14ac:dyDescent="0.2">
      <c r="B61">
        <v>1750</v>
      </c>
      <c r="C61">
        <f t="shared" si="3"/>
        <v>2.8622008809294686</v>
      </c>
      <c r="D61">
        <f t="shared" si="4"/>
        <v>0.55961578793542266</v>
      </c>
      <c r="E61">
        <f t="shared" si="5"/>
        <v>1.3444550321955919</v>
      </c>
    </row>
    <row r="62" spans="2:5" x14ac:dyDescent="0.2">
      <c r="B62">
        <v>1800</v>
      </c>
      <c r="C62">
        <f t="shared" si="3"/>
        <v>2.8903717578961645</v>
      </c>
      <c r="D62">
        <f t="shared" si="4"/>
        <v>0.58778666490211906</v>
      </c>
      <c r="E62">
        <f t="shared" si="5"/>
        <v>1.3109568086018084</v>
      </c>
    </row>
    <row r="63" spans="2:5" x14ac:dyDescent="0.2">
      <c r="B63">
        <v>1850</v>
      </c>
      <c r="C63">
        <f t="shared" si="3"/>
        <v>2.917770732084279</v>
      </c>
      <c r="D63">
        <f t="shared" si="4"/>
        <v>0.61518563909023349</v>
      </c>
      <c r="E63">
        <f t="shared" si="5"/>
        <v>1.2791047621541207</v>
      </c>
    </row>
    <row r="64" spans="2:5" x14ac:dyDescent="0.2">
      <c r="B64">
        <v>1900</v>
      </c>
      <c r="C64">
        <f t="shared" si="3"/>
        <v>2.9444389791664403</v>
      </c>
      <c r="D64">
        <f t="shared" si="4"/>
        <v>0.64185388617239469</v>
      </c>
      <c r="E64">
        <f t="shared" si="5"/>
        <v>1.2487785295132841</v>
      </c>
    </row>
    <row r="65" spans="2:10" x14ac:dyDescent="0.2">
      <c r="B65">
        <v>1950</v>
      </c>
      <c r="C65">
        <f t="shared" si="3"/>
        <v>2.9704144655697009</v>
      </c>
      <c r="D65">
        <f t="shared" si="4"/>
        <v>0.66782937257565544</v>
      </c>
      <c r="E65">
        <f t="shared" si="5"/>
        <v>1.2198693313194946</v>
      </c>
    </row>
    <row r="66" spans="2:10" x14ac:dyDescent="0.2">
      <c r="B66">
        <v>2000</v>
      </c>
      <c r="C66">
        <f t="shared" si="3"/>
        <v>2.9957322735539909</v>
      </c>
      <c r="D66">
        <f t="shared" si="4"/>
        <v>0.69314718055994529</v>
      </c>
      <c r="E66">
        <f t="shared" si="5"/>
        <v>1.1922786006453097</v>
      </c>
    </row>
    <row r="67" spans="2:10" x14ac:dyDescent="0.2">
      <c r="B67">
        <v>2050</v>
      </c>
      <c r="C67">
        <f t="shared" si="3"/>
        <v>3.0204248861443626</v>
      </c>
      <c r="D67">
        <f t="shared" si="4"/>
        <v>0.71783979315031676</v>
      </c>
      <c r="E67">
        <f t="shared" si="5"/>
        <v>1.1659168029020111</v>
      </c>
    </row>
    <row r="68" spans="2:10" x14ac:dyDescent="0.2">
      <c r="B68">
        <v>2100</v>
      </c>
      <c r="C68">
        <f t="shared" si="3"/>
        <v>3.044522437723423</v>
      </c>
      <c r="D68">
        <f t="shared" si="4"/>
        <v>0.74193734472937733</v>
      </c>
      <c r="E68">
        <f t="shared" si="5"/>
        <v>1.1407024165972306</v>
      </c>
    </row>
    <row r="69" spans="2:10" x14ac:dyDescent="0.2">
      <c r="B69">
        <v>2150</v>
      </c>
      <c r="C69">
        <f t="shared" si="3"/>
        <v>3.068052935133617</v>
      </c>
      <c r="D69">
        <f t="shared" si="4"/>
        <v>0.76546784213957142</v>
      </c>
      <c r="E69">
        <f t="shared" si="5"/>
        <v>1.1165610498255856</v>
      </c>
    </row>
    <row r="70" spans="2:10" x14ac:dyDescent="0.2">
      <c r="B70">
        <v>2200</v>
      </c>
      <c r="C70">
        <f t="shared" si="3"/>
        <v>3.0910424533583161</v>
      </c>
      <c r="D70">
        <f t="shared" si="4"/>
        <v>0.78845736036427028</v>
      </c>
      <c r="E70">
        <f t="shared" si="5"/>
        <v>1.0934246717737581</v>
      </c>
    </row>
    <row r="71" spans="2:10" x14ac:dyDescent="0.2">
      <c r="B71">
        <v>2250</v>
      </c>
      <c r="C71">
        <f t="shared" si="3"/>
        <v>3.1135153092103742</v>
      </c>
      <c r="D71">
        <f t="shared" si="4"/>
        <v>0.81093021621632877</v>
      </c>
      <c r="E71">
        <f t="shared" si="5"/>
        <v>1.0712309420704491</v>
      </c>
      <c r="G71">
        <f>E72+(E74-E72)*(2754-B72)/(B74-B72)</f>
        <v>0.86756505410643614</v>
      </c>
      <c r="H71">
        <f>E72-E74</f>
        <v>4.0166865546879649E-2</v>
      </c>
      <c r="J71">
        <f>H71*3.54</f>
        <v>0.14219070403595396</v>
      </c>
    </row>
    <row r="72" spans="2:10" x14ac:dyDescent="0.2">
      <c r="B72">
        <v>2300</v>
      </c>
      <c r="C72">
        <f t="shared" si="3"/>
        <v>3.1354942159291497</v>
      </c>
      <c r="D72">
        <f t="shared" si="4"/>
        <v>0.83290912293510388</v>
      </c>
      <c r="E72">
        <f t="shared" si="5"/>
        <v>1.0499226236892698</v>
      </c>
      <c r="G72">
        <f>G71/O2</f>
        <v>4.7297774375599236E-4</v>
      </c>
      <c r="J72">
        <f>E74-J71</f>
        <v>0.86756505410643614</v>
      </c>
    </row>
    <row r="73" spans="2:10" x14ac:dyDescent="0.2">
      <c r="B73">
        <v>2350</v>
      </c>
      <c r="C73">
        <f t="shared" si="3"/>
        <v>3.1570004211501135</v>
      </c>
      <c r="D73">
        <f t="shared" si="4"/>
        <v>0.85441532815606758</v>
      </c>
      <c r="E73">
        <f t="shared" si="5"/>
        <v>1.029447067457397</v>
      </c>
    </row>
    <row r="74" spans="2:10" x14ac:dyDescent="0.2">
      <c r="B74">
        <v>2400</v>
      </c>
      <c r="C74">
        <f t="shared" si="3"/>
        <v>3.1780538303479458</v>
      </c>
      <c r="D74">
        <f t="shared" si="4"/>
        <v>0.87546873735389985</v>
      </c>
      <c r="E74">
        <f t="shared" si="5"/>
        <v>1.0097557581423902</v>
      </c>
    </row>
    <row r="75" spans="2:10" x14ac:dyDescent="0.2">
      <c r="B75">
        <v>2450</v>
      </c>
      <c r="C75">
        <f t="shared" si="3"/>
        <v>3.1986731175506815</v>
      </c>
      <c r="D75">
        <f t="shared" si="4"/>
        <v>0.89608802455663572</v>
      </c>
      <c r="E75">
        <f t="shared" si="5"/>
        <v>0.99080391366809484</v>
      </c>
      <c r="F75">
        <f>B$12+C$12*C75+D$12*C75*C75</f>
        <v>2.2859218879300522</v>
      </c>
      <c r="G75" s="3">
        <f>F75^(-H12)</f>
        <v>4.1122471565963541E-6</v>
      </c>
      <c r="H75">
        <f>E$12+F$12*D75+G$12*D75*D75</f>
        <v>-9.2386313665638146E-3</v>
      </c>
      <c r="J75">
        <f>H75^(-H12)</f>
        <v>-3.2800874453125482E+30</v>
      </c>
    </row>
    <row r="76" spans="2:10" x14ac:dyDescent="0.2">
      <c r="B76">
        <v>2500</v>
      </c>
      <c r="C76">
        <f t="shared" si="3"/>
        <v>3.2188758248682006</v>
      </c>
      <c r="D76">
        <f t="shared" si="4"/>
        <v>0.91629073187415511</v>
      </c>
      <c r="E76">
        <f t="shared" si="5"/>
        <v>0.97255013031421156</v>
      </c>
    </row>
    <row r="77" spans="2:10" x14ac:dyDescent="0.2">
      <c r="B77">
        <v>2550</v>
      </c>
      <c r="C77">
        <f t="shared" si="3"/>
        <v>3.2386784521643803</v>
      </c>
      <c r="D77">
        <f t="shared" si="4"/>
        <v>0.93609335917033476</v>
      </c>
      <c r="E77">
        <f t="shared" si="5"/>
        <v>0.95495606783516807</v>
      </c>
    </row>
    <row r="78" spans="2:10" x14ac:dyDescent="0.2">
      <c r="B78">
        <v>2600</v>
      </c>
      <c r="C78">
        <f t="shared" si="3"/>
        <v>3.2580965380214821</v>
      </c>
      <c r="D78">
        <f t="shared" si="4"/>
        <v>0.95551144502743635</v>
      </c>
      <c r="E78">
        <f t="shared" si="5"/>
        <v>0.93798616933394852</v>
      </c>
    </row>
    <row r="79" spans="2:10" x14ac:dyDescent="0.2">
      <c r="B79">
        <v>2650</v>
      </c>
      <c r="C79">
        <f t="shared" si="3"/>
        <v>3.2771447329921766</v>
      </c>
      <c r="D79">
        <f t="shared" si="4"/>
        <v>0.97455963999813078</v>
      </c>
      <c r="E79">
        <f t="shared" si="5"/>
        <v>0.92160741147861569</v>
      </c>
    </row>
    <row r="80" spans="2:10" x14ac:dyDescent="0.2">
      <c r="B80">
        <v>2700</v>
      </c>
      <c r="C80">
        <f t="shared" si="3"/>
        <v>3.2958368660043291</v>
      </c>
      <c r="D80">
        <f t="shared" si="4"/>
        <v>0.99325177301028345</v>
      </c>
      <c r="E80">
        <f t="shared" si="5"/>
        <v>0.9057890812800371</v>
      </c>
    </row>
    <row r="81" spans="2:5" x14ac:dyDescent="0.2">
      <c r="B81">
        <v>2750</v>
      </c>
      <c r="C81">
        <f t="shared" si="3"/>
        <v>3.3141860046725258</v>
      </c>
      <c r="D81">
        <f t="shared" si="4"/>
        <v>1.0116009116784799</v>
      </c>
      <c r="E81">
        <f t="shared" si="5"/>
        <v>0.89050257618016893</v>
      </c>
    </row>
    <row r="82" spans="2:5" x14ac:dyDescent="0.2">
      <c r="B82">
        <v>2800</v>
      </c>
      <c r="C82">
        <f t="shared" si="3"/>
        <v>3.3322045101752038</v>
      </c>
      <c r="D82">
        <f t="shared" si="4"/>
        <v>1.0296194171811581</v>
      </c>
      <c r="E82">
        <f t="shared" si="5"/>
        <v>0.87572122464849989</v>
      </c>
    </row>
    <row r="83" spans="2:5" x14ac:dyDescent="0.2">
      <c r="B83">
        <v>2850</v>
      </c>
      <c r="C83">
        <f t="shared" si="3"/>
        <v>3.3499040872746049</v>
      </c>
      <c r="D83">
        <f t="shared" si="4"/>
        <v>1.0473189942805592</v>
      </c>
      <c r="E83">
        <f t="shared" si="5"/>
        <v>0.86142012486397113</v>
      </c>
    </row>
    <row r="84" spans="2:5" x14ac:dyDescent="0.2">
      <c r="B84">
        <v>2900</v>
      </c>
      <c r="C84">
        <f t="shared" si="3"/>
        <v>3.3672958299864741</v>
      </c>
      <c r="D84">
        <f t="shared" si="4"/>
        <v>1.0647107369924282</v>
      </c>
      <c r="E84">
        <f t="shared" si="5"/>
        <v>0.84757599938234363</v>
      </c>
    </row>
    <row r="85" spans="2:5" x14ac:dyDescent="0.2">
      <c r="B85">
        <v>2950</v>
      </c>
      <c r="C85">
        <f t="shared" si="3"/>
        <v>3.3843902633457743</v>
      </c>
      <c r="D85">
        <f t="shared" si="4"/>
        <v>1.0818051703517284</v>
      </c>
      <c r="E85">
        <f t="shared" si="5"/>
        <v>0.83416706396396201</v>
      </c>
    </row>
    <row r="86" spans="2:5" x14ac:dyDescent="0.2">
      <c r="B86">
        <v>3000</v>
      </c>
      <c r="C86">
        <f t="shared" si="3"/>
        <v>3.4011973816621555</v>
      </c>
      <c r="D86">
        <f t="shared" si="4"/>
        <v>1.0986122886681098</v>
      </c>
      <c r="E86">
        <f t="shared" si="5"/>
        <v>0.82117290897190109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EfficiencyCurves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Steven Voyles</cp:lastModifiedBy>
  <cp:revision>1</cp:revision>
  <dcterms:created xsi:type="dcterms:W3CDTF">2016-07-21T16:50:30Z</dcterms:created>
  <dcterms:modified xsi:type="dcterms:W3CDTF">2017-12-20T02:43:59Z</dcterms:modified>
  <dc:language>en-US</dc:language>
</cp:coreProperties>
</file>