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Requests" sheetId="1" r:id="rId4"/>
    <sheet state="visible" name="Overview" sheetId="2" r:id="rId5"/>
    <sheet state="visible" name="Query_List" sheetId="3" r:id="rId6"/>
    <sheet state="visible" name="Share" sheetId="4" r:id="rId7"/>
    <sheet state="visible" name="Like" sheetId="5" r:id="rId8"/>
    <sheet state="visible" name="Posts" sheetId="6" r:id="rId9"/>
    <sheet state="visible" name="Pivot Table 1" sheetId="7" r:id="rId10"/>
    <sheet state="visible" name="ALL_DATA" sheetId="8" r:id="rId11"/>
    <sheet state="visible" name="FreeFire" sheetId="9" r:id="rId12"/>
    <sheet state="visible" name="PubG" sheetId="10" r:id="rId13"/>
  </sheets>
  <definedNames>
    <definedName localSheetId="7" name="FREEFIRE">ALL_DATA!$A$1:$N$301</definedName>
    <definedName name="zsupermetrics_refreshAllSilent">#REF!</definedName>
    <definedName name="zsupermetrics_QhfPXKzZ3nJJf6NkKpZWQXHDMycomu">FreeFire!$A$1:$N$301</definedName>
    <definedName name="zsupermetrics_forceRefresh">#REF!</definedName>
    <definedName name="zsupermetrics_gTqqDPhqxggwtX00ttsPiLpqzK4Rhv">PubG!$A$1:$N$248</definedName>
    <definedName localSheetId="7" name="zsupermetrics_QhfPXKzZ3nJJf6NkKpZWQXHDMycomu">ALL_DATA!$A$1:$N$301</definedName>
    <definedName name="zsupermetrics_refreshAll">#REF!</definedName>
    <definedName name="PUBG">PubG!$A$1:$N$248</definedName>
    <definedName name="ALL_DATA">#REF!</definedName>
    <definedName name="FREEFIRE">FreeFire!$A$1:$N$301</definedName>
    <definedName hidden="1" localSheetId="7" name="Z_2471E5BC_227B_4113_9152_7208BCB4F7EA_.wvu.FilterData">ALL_DATA!$A$1:$T$548</definedName>
    <definedName hidden="1" localSheetId="7" name="Z_8F2E7E27_8319_4556_9AB2_7C5468732A3B_.wvu.FilterData">ALL_DATA!$A$1:$T$548</definedName>
    <definedName hidden="1" localSheetId="8" name="Z_8F2E7E27_8319_4556_9AB2_7C5468732A3B_.wvu.FilterData">FreeFire!$A$1:$T$301</definedName>
    <definedName hidden="1" localSheetId="9" name="Z_8F2E7E27_8319_4556_9AB2_7C5468732A3B_.wvu.FilterData">PubG!$A$1:$R$248</definedName>
    <definedName hidden="1" localSheetId="7" name="Z_17F674D5_477E_48E7_9CA1_527B2B084300_.wvu.FilterData">ALL_DATA!$A$1:$T$548</definedName>
    <definedName name="SlicerCache_Table_1_Col_3">#N/A</definedName>
    <definedName name="SlicerCache_Table_1_Col_15">#N/A</definedName>
    <definedName name="SlicerCache_Table_2_Col_15">#N/A</definedName>
    <definedName name="SlicerCache_Table_3_Col_15">#N/A</definedName>
  </definedNames>
  <calcPr/>
  <customWorkbookViews>
    <customWorkbookView activeSheetId="0" maximized="1" windowHeight="0" windowWidth="0" guid="{17F674D5-477E-48E7-9CA1-527B2B084300}" name="Filter 2"/>
    <customWorkbookView activeSheetId="0" maximized="1" windowHeight="0" windowWidth="0" guid="{2471E5BC-227B-4113-9152-7208BCB4F7EA}" name="Filter 3"/>
    <customWorkbookView activeSheetId="0" maximized="1" windowHeight="0" windowWidth="0" guid="{8F2E7E27-8319-4556-9AB2-7C5468732A3B}" name="Filter 1"/>
  </customWorkbookViews>
  <pivotCaches>
    <pivotCache cacheId="0" r:id="rId14"/>
    <pivotCache cacheId="1" r:id="rId15"/>
  </pivotCaches>
  <extLst>
    <ext uri="{46BE6895-7355-4a93-B00E-2C351335B9C9}">
      <x15:slicerCaches>
        <x14:slicerCache r:id="rId16"/>
        <x14:slicerCache r:id="rId17"/>
        <x14:slicerCache r:id="rId18"/>
        <x14:slicerCache r:id="rId19"/>
      </x15:slicerCaches>
    </ext>
  </extLst>
</workbook>
</file>

<file path=xl/sharedStrings.xml><?xml version="1.0" encoding="utf-8"?>
<sst xmlns="http://schemas.openxmlformats.org/spreadsheetml/2006/main" count="6727" uniqueCount="1709">
  <si>
    <t>Questions that User want to know</t>
  </si>
  <si>
    <t>โพสต์ไหนปังไม่ปัง? โพสต์ประเภทไหนได้ like, engagement</t>
  </si>
  <si>
    <t>โพสต์ไหนคนชอบแชร์ viral (top 5)</t>
  </si>
  <si>
    <t>เวลาไหนที่แบรนด์ชอบโพสต์</t>
  </si>
  <si>
    <t>โพสต์ยาว คนชอบอ่านไหม แชร์ไหม</t>
  </si>
  <si>
    <t>Promotion posts เยอะไหม =&gt; โปรโมชั่น บาท</t>
  </si>
  <si>
    <t>ความสัมพันธ์ระหว่าง like vs. post share</t>
  </si>
  <si>
    <t>จัดประเภท content ของ page =&gt; promotion, news, update patch game</t>
  </si>
  <si>
    <t>weekly + monthly data (TREND)</t>
  </si>
  <si>
    <t>weekday vs. weekend</t>
  </si>
  <si>
    <t xml:space="preserve">Created by </t>
  </si>
  <si>
    <t>Noramon Nwk</t>
  </si>
  <si>
    <t>Overview Dashboard - Free Fire vs. PubG</t>
  </si>
  <si>
    <t>Total</t>
  </si>
  <si>
    <t>Average</t>
  </si>
  <si>
    <t>Page Name</t>
  </si>
  <si>
    <t>#Posts</t>
  </si>
  <si>
    <t xml:space="preserve">Like </t>
  </si>
  <si>
    <t xml:space="preserve">Share </t>
  </si>
  <si>
    <t xml:space="preserve">Comment </t>
  </si>
  <si>
    <t>Reaction</t>
  </si>
  <si>
    <t xml:space="preserve"> Engagement</t>
  </si>
  <si>
    <t>FreeFire!</t>
  </si>
  <si>
    <t>Free Fire</t>
  </si>
  <si>
    <t>PubG!</t>
  </si>
  <si>
    <t>PubG</t>
  </si>
  <si>
    <t>Percent</t>
  </si>
  <si>
    <t>Week41</t>
  </si>
  <si>
    <t>Week42</t>
  </si>
  <si>
    <t>Week43</t>
  </si>
  <si>
    <t>Week44</t>
  </si>
  <si>
    <t>Week45</t>
  </si>
  <si>
    <t>Week46</t>
  </si>
  <si>
    <t>Week47</t>
  </si>
  <si>
    <t>Week48</t>
  </si>
  <si>
    <t>Week49</t>
  </si>
  <si>
    <t>Week50</t>
  </si>
  <si>
    <t>Week51</t>
  </si>
  <si>
    <t>Week52</t>
  </si>
  <si>
    <t>#Like</t>
  </si>
  <si>
    <t>#Share</t>
  </si>
  <si>
    <t>ALL_DATA</t>
  </si>
  <si>
    <t>Content type</t>
  </si>
  <si>
    <t>COUNTA of Content type</t>
  </si>
  <si>
    <t>SUM of Likes</t>
  </si>
  <si>
    <t>SUM of Post shares</t>
  </si>
  <si>
    <t>SUM of Comments</t>
  </si>
  <si>
    <t>album</t>
  </si>
  <si>
    <t>cover_photo</t>
  </si>
  <si>
    <t>native_templates</t>
  </si>
  <si>
    <t>photo</t>
  </si>
  <si>
    <t>profile_media</t>
  </si>
  <si>
    <t>share</t>
  </si>
  <si>
    <t>video</t>
  </si>
  <si>
    <t>video_direct_response</t>
  </si>
  <si>
    <t>video_inline</t>
  </si>
  <si>
    <t>Grand Total</t>
  </si>
  <si>
    <t>Number of Post</t>
  </si>
  <si>
    <t>Count Post</t>
  </si>
  <si>
    <t>AVERAGE of Likes</t>
  </si>
  <si>
    <t>Created date</t>
  </si>
  <si>
    <t>Created time</t>
  </si>
  <si>
    <t>Name (Profile)</t>
  </si>
  <si>
    <t>Post ID</t>
  </si>
  <si>
    <t>Post type</t>
  </si>
  <si>
    <t>Message</t>
  </si>
  <si>
    <t>Link to post</t>
  </si>
  <si>
    <t>Posts</t>
  </si>
  <si>
    <t>Likes</t>
  </si>
  <si>
    <t>Reactions</t>
  </si>
  <si>
    <t>Comments</t>
  </si>
  <si>
    <t>Post shares</t>
  </si>
  <si>
    <t>Likes per post</t>
  </si>
  <si>
    <t>WEEKNUM</t>
  </si>
  <si>
    <t>HOUR</t>
  </si>
  <si>
    <t>PROMOTION</t>
  </si>
  <si>
    <t>Only Reactions</t>
  </si>
  <si>
    <t>REFINE queries</t>
  </si>
  <si>
    <t>Garena Free Fire</t>
  </si>
  <si>
    <t>740460599475760_1905181179670357</t>
  </si>
  <si>
    <t>added_video</t>
  </si>
  <si>
    <t>[VDO] แอนิเมชัน สมรภูมิใหม่เต็ม MAX
ต้อนรับ Free Fire MAX
ด้วยสมรภูมิใหม่สุดเดือด 🔥
เอาใจผู้เล่นในโหมด 4v4
รวมตี้มันส์กับเพื่อนให้สุด 💥
แล้วหยุดที่คว้า BOOYAH!
เฉพาะผู้เล่น Free Fire MAX เท่านั้นน้า 💕</t>
  </si>
  <si>
    <t>https://www.facebook.com/740460599475760/posts/1905181179670357/</t>
  </si>
  <si>
    <t>740460599475760_1905065849681890</t>
  </si>
  <si>
    <t>added_photos</t>
  </si>
  <si>
    <t>⏳วันนี้ 1 ทุ่มตรง⏳
รับชมการแข่งขันรอบ Regular Season วันที่ 17
โดยประกอบไปด้วยทีมจากกลุ่ม B D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</si>
  <si>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https://www.facebook.com/740460599475760/posts/1905065849681890/</t>
  </si>
  <si>
    <t>740460599475760_1905729416282200</t>
  </si>
  <si>
    <t>[FFMAX] ปลดล็อกรางวัลตามขั้น 🌡
ชวนเพื่อน พ่อ แม่ พี่ น้อง หรือแฟน 💕
ยิ่งมีคนมาเล่นมากเท่าไหร่
ยิ่งได้ของรางวัลมากเท่านั้น 💥
เข้ามาเล่นโหมดคร๊าฟแลนด์กันเยอะ ๆ น้าาาา 🥰</t>
  </si>
  <si>
    <t>https://www.facebook.com/740460599475760/posts/1905729416282200/</t>
  </si>
  <si>
    <t>740460599475760_1905068203014988</t>
  </si>
  <si>
    <t>⏳วันนี้ 1 ทุ่มตรง⏳
รับชมการแข่งขันรอบ Regular Season วันที่ 18
โดยประกอบไปด้วยทีมจากกลุ่ม A C และ D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</si>
  <si>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https://www.facebook.com/740460599475760/posts/1905068203014988/</t>
  </si>
  <si>
    <t>740460599475760_1905939169594558</t>
  </si>
  <si>
    <t>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t>
  </si>
  <si>
    <t>https://www.facebook.com/740460599475760/posts/1905939169594558/</t>
  </si>
  <si>
    <t>740460599475760_1905076383014170</t>
  </si>
  <si>
    <t>shared_story</t>
  </si>
  <si>
    <t>⏳วันนี้ 1 ทุ่มตรง⏳
รับชมการแข่งขันรอบ Regular Season วันที่ 19
โดยประกอบไปด้วยทีมจากกลุ่ม A B และ C
ร่วมค้นหา 12 ทีมที่ดีที่สุดที่จะผ่านเข้าสู่รอบ Grand Final
▶️ รับชมการแข่งขันได้ที่
https://youtu.be/_pi_BCpTsF4</t>
  </si>
  <si>
    <t>https://www.facebook.com/740460599475760/posts/1905076383014170/</t>
  </si>
  <si>
    <t>740460599475760_1905076663014142</t>
  </si>
  <si>
    <t>https://www.facebook.com/740460599475760/posts/1905076663014142/</t>
  </si>
  <si>
    <t>740460599475760_1905962889592186</t>
  </si>
  <si>
    <t>[ANIMATION] จากโรงงานร้าง สู่สมรภูมิ
เอาชีวิตรอดและชิงความที่หนึ่ง ⚙
ให้สมรภูมิรบแห่งนี้ลุกเป็นไฟ Booyah 🔥</t>
  </si>
  <si>
    <t>https://www.facebook.com/740460599475760/posts/1905962889592186/</t>
  </si>
  <si>
    <t>740460599475760_1905162739672201</t>
  </si>
  <si>
    <t>⏳วันสุดท้าย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</si>
  <si>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https://www.facebook.com/740460599475760/posts/1905162739672201/</t>
  </si>
  <si>
    <t>740460599475760_1905971419591333</t>
  </si>
  <si>
    <t>mobile_status_update</t>
  </si>
  <si>
    <t>[VDO] สร้างเสร็จแล้ว ก็พร้อมลุย
วันนี้ Free Fire ของนำเสนอ 💥
วิธีชวนเพื่อน ๆ พี่ ๆ น้อง ๆ 💕
เข้ามามันส์ในสมรภูมิรบ โหมดคร๊าฟแลนด์ 🌎
ทำตามกันได้ง่าย ๆ ไม่กี่ขั้นตอนก็พร้อมเดือด🌡</t>
  </si>
  <si>
    <t>https://www.facebook.com/740460599475760/posts/1905971419591333/</t>
  </si>
  <si>
    <t>740460599475760_1908168186038323</t>
  </si>
  <si>
    <t>[FFMAX] ใครยังไม่ลองต้องลอง
เพราะ Free Fire MAX 💥
มาพร้อมประสบการณ์ขั้นเหนือกว่า ✨
สัมผัสความสมจริงด้วยเอฟเฟกต์เสียงพิเศษได้แล้ววันนี้ 🥰</t>
  </si>
  <si>
    <t>https://www.facebook.com/740460599475760/posts/1908168186038323/</t>
  </si>
  <si>
    <t>740460599475760_1908168586038283</t>
  </si>
  <si>
    <t>[FFMAX] พบกิจกรรมสุดพิเศษ
ต้อนรับการมาถึงของ Free Fire MAX 💥
และโหมดใหม่สุดครีเอทีฟอย่าง คร๊าฟแลนด์ ✨
เล่นด้วยกัน รับรางวัลด้วยกันยกเซิร์ฟได้แล้วตอนนี้จ้า
เข้ารับรางวัลได้ทางหน้ากิจกรรมพิเศษ MAX น้า 🥰</t>
  </si>
  <si>
    <t>https://www.facebook.com/740460599475760/posts/1908168586038283/</t>
  </si>
  <si>
    <t>740460599475760_1908404846014657</t>
  </si>
  <si>
    <t>Highlight โปรลีก - Top5 Sniper Plays
'' รวมช็อตเด็ด Top5 Sniper Plays ''
📺 ช่องทางการติดตาม
EA.KAPOM69 : ทีปกร สารภาพ
EVOS.MOSHI : Moshiyuriz
JL.PETCHEIEI : Ei Ei
KOG.NAYPHAN : Nayphan MG
BWC.PETER : Thanaphat Kladsuawn
•••••••••••••••••••••••••••
ติดตามรับชมการแข่งขัน รอบ Regular Season
ทุกวันศุกร์ เสาร์และอาทิตย์ เวลา 19.00 น. 
🔴 Youtube : Garena Free Fire Thailand
🔵 Facebook : Garena Free Fire</t>
  </si>
  <si>
    <t>https://www.facebook.com/740460599475760/posts/1908404846014657/</t>
  </si>
  <si>
    <t>740460599475760_1908703655984776</t>
  </si>
  <si>
    <t>ต้อนรับการเปิดโรงภาพยนต์อีกครั้งกับ 🎞
Venom: Let There Be Carnage
พร้อมกันแล้วหรือยัง? ที่จะเผชิญหน้าซิมบิโอตเวน่อม 💥
ที่จะเข้ามากระชากคุณ ดำดิ่งสู่ความืด 🖤
อย่าลืมเข้ามาล็อกอินกันในวันที่ 16 ตุลาคม 2564
ในเกม Free Fire
#FFxเวน่อม2
#FreeFirexVenom
#Venom: Let There Be Carnage</t>
  </si>
  <si>
    <t>https://www.facebook.com/740460599475760/posts/1908703655984776/</t>
  </si>
  <si>
    <t>740460599475760_1908306979357777</t>
  </si>
  <si>
    <t>[VDO] ไหนใครเป็นสาย 4x4 กันบ้าง ❓
เตรียมตัวกันให้พร้อมกับเกาะสวรรค์ MAX "โรงงาน" 🚧
สมรภูมิเดือดใหม่ ที่เข้ามาเติมความเร้าใจ 🔥
จัดตี้ครบแล้ว ก็ลุยกันเลย 💥</t>
  </si>
  <si>
    <t>https://www.facebook.com/740460599475760/posts/1908306979357777/</t>
  </si>
  <si>
    <t>740460599475760_1908796339308841</t>
  </si>
  <si>
    <t>อาวุธ LEGENDARY ใหม่ ที่สายซุ่มยิงต้องห้ามพลาด 💥
กับปืน AWM WAVEBREAKER KAZE 💙
ลายปืนพริ้วไหวดุจสายสายน้ำ 
แต่ดุดันราวกับคลื่นสึนามิ 🌊
⏳ ระยะเวลากิจกรรม
ตั้งแต่วันที่ 6 ตุลาคม 2564 เวลา 00.01 น.
ถึงวันที่ 12 ตุลาคม 2564 เวลา 23.59 น.</t>
  </si>
  <si>
    <t>https://www.facebook.com/740460599475760/posts/1908796339308841/</t>
  </si>
  <si>
    <t>740460599475760_1909427849245690</t>
  </si>
  <si>
    <t>[FFMAX] จะเป็นอย่างไร ❓ ถ้าเอาเอฟเฟคปืนภายในเกม มาใส่ไว้ในเพลง TO THE MAX
BANG BANG BANG 💥
มารับฟังและโยกหัวตามไปพร้อม ๆ กันได้แล้ววันนี้ 🎧
สัมผัสประสบการณ์ของ Free Fire MAX ได้ที่
📲 iOS - https://bit.ly/FreeFireMAXiOS
📲 Android - https://bit.ly/FreeFireMaxGoogleplay</t>
  </si>
  <si>
    <t>https://www.facebook.com/740460599475760/posts/1909427849245690/</t>
  </si>
  <si>
    <t>740460599475760_1908796782642130</t>
  </si>
  <si>
    <t>ไอเทมสุดเดือดประจำสัปดาห์ 🔥
จัดมาให้ครบทั้งสกินปืนและแฟชั่นสุดเท่ 💥
ต้อนรับเดือนตุลาคม 
ไอเทมแต่ละวันสุดจัดทั้งนั้น ต้องห้ามพลาด ❗</t>
  </si>
  <si>
    <t>https://www.facebook.com/740460599475760/posts/1908796782642130/</t>
  </si>
  <si>
    <t>740460599475760_1908797172642091</t>
  </si>
  <si>
    <t>อัพเกรดอนิเมชั่นอาวุธใหม่ ✨
ให้สวยขึ้น และสมจริงมากยิ่งขึ้น ❗
จะมองมุมไหนก็เท่ซะเหลือเกิน 💥
ใครชอบอาวุธไหนคอมเมนต์บอกกันหน่อยน้า 💕</t>
  </si>
  <si>
    <t>https://www.facebook.com/740460599475760/posts/1908797172642091/</t>
  </si>
  <si>
    <t>740460599475760_1909602242561584</t>
  </si>
  <si>
    <t>ปืนไม่แดง ไม่มีแรงยิง 😈
สกินปืนไฟสุดเร่าร้อน เปลวเพลิงที่ลุกโชติช่วง 🔥
เพิ่มความเดือด เปลี่ยนสมรภูมิให้ลุกเป็นไฟ 💥
⏳ ระยะเวลากิจกรรม
ตั้งแต่วันที่ 7 ตุลาคม 2564 เวลา 00.01 น.
ถึงวันที่ 4 พฤศจิกายน 2564 เวลา 23.59 น.</t>
  </si>
  <si>
    <t>https://www.facebook.com/740460599475760/posts/1909602242561584/</t>
  </si>
  <si>
    <t>740460599475760_1909625719225903</t>
  </si>
  <si>
    <t>[VDO] นินจาสาว แดนอาทิตย์อุทัย 🐱‍👤
มาท่องคาถา พรางตัว และลอบโจมตี 💥 
และชิงความเป็นที่หนึ่งในสมรภูมิ Booyah ✨
⏳ ระยะเวลากิจกรรม
ตั้งแต่วันที่ 8 ตุลาคม 2564 เวลา 00.01 น.
ถึงวันที่ 15 ตุลาคม 2564 เวลา 23.59 น.</t>
  </si>
  <si>
    <t>https://www.facebook.com/740460599475760/posts/1909625719225903/</t>
  </si>
  <si>
    <t>740460599475760_1910441942477614</t>
  </si>
  <si>
    <t>สมรภูมรบแห่งความมืดที่ถาโถมเข้ามา 💥
Free fire x Venom: Let There Be Carnage 🖤
กับพลังแห่งซิมบิโอตที่กำลังกลืนกินที่สรรพสิ่ง
รับชมภาพยนต์สุดเอ็กซ์คลูซีฟได้ในโรงภาพยนต์ 🎞
อย่าลืมเข้ามาล็อกอินกันในวันที่ 16 ตุลาคม 2564
#FFxเวน่อม2
#FreeFirexVenom
#Venom: Let There Be Carnage</t>
  </si>
  <si>
    <t>https://www.facebook.com/740460599475760/posts/1910441942477614/</t>
  </si>
  <si>
    <t>740460599475760_1910533969135078</t>
  </si>
  <si>
    <t>[รายการ] Pro League Talk
รายการที่จะทำให้คุณ รู้ลึก‼ รู้จริง‼ ทันเหตุการณ์‼
FREE FIRE PRO LEAGUE SEASON 5 Presented by dtac
รอบ PLAY-INS มันเป็นยังไง?
ดำเนินรายการโดย นักวิเคราะห์ และ MC ขาประจำ 
LOOKPEEMEK และ YUKIDEKYOU
•••••••••••••••••••••••••••
ติดตามรับชมการแข่งขัน รอบ Regular Season
ทุกวันศุกร์ เสาร์และอาทิตย์ เวลา 19.00 น. 
🔴 Youtube : Garena Free Fire Thailand
🔵 Facebook : Garena Free Fire
🟡 TIKTOK  : freefirethofficial</t>
  </si>
  <si>
    <t>https://www.facebook.com/740460599475760/posts/1910533969135078/</t>
  </si>
  <si>
    <t>740460599475760_1910576212464187</t>
  </si>
  <si>
    <t>⏳วันนี้ 1 ทุ่มตรง⏳
รับชมการแข่งขัน Free Fire Pro League Season 5 Presented by dtac
รอบ Regular Season วันที่ 20
โดยประกอบไปด้วยทีมจากกลุ่ม A C และ E 
มีเพียง 6 ทีมเท่านั้นที่จะผ่านเข้าสู่รอบ Grand Final ได้
▶️ รับชมการแข่งขันได้ที่
https://youtu.be/_53ZZ4Qe9K0</t>
  </si>
  <si>
    <t>https://www.facebook.com/740460599475760/posts/1910576212464187/</t>
  </si>
  <si>
    <t>740460599475760_1910465929141882</t>
  </si>
  <si>
    <t>ณ ประเทศญี่ปุ่นในยุคสมัยเซ็นโกคุ 
นินจาสาวที่รับภารกิจอย่างเดี๋ยวดายยามค่ำคืน 🌙
เข้าลอบโจมตีและบุกทะลวงศัตรู 🐱‍👤
ด้วยความเงียบสงัด
พบกับแฟชั่นใหม่จากแดนอาทิตย์อุทัย 🌞
⏳ ระยะเวลากิจกรรม
ตั้งแต่วันที่ 8 ตุลาคม 2564 เวลา 00.01 น.
ถึงวันที่ 15 ตุลาคม 2564 เวลา 23.59 น.</t>
  </si>
  <si>
    <t>https://www.facebook.com/740460599475760/posts/1910465929141882/</t>
  </si>
  <si>
    <t>740460599475760_1910471942474614</t>
  </si>
  <si>
    <t>เตรียมตัวให้พร้อมกับกิจกรรมใหม่ 🔥
ในความร่วมมือจากภาพยนตร์ฟอร์มยักษ์ระดับโลก 💥
Free Fire x Venom: Let There Be Carnage
พบกับภารกิจสุดท้าท้าย
ตลอดเดือน ตุลาคม นี้
#FreeFirexVenom
#Venom: Let There Be Carnage
#FFxเวน่อม2</t>
  </si>
  <si>
    <t>https://www.facebook.com/740460599475760/posts/1910471942474614/</t>
  </si>
  <si>
    <t>740460599475760_1910342392487569</t>
  </si>
  <si>
    <t>[VDO] ระวัง ❗ บางอย่างกำลังจะมา
ความมืดมิดที่ค่อย ๆ แผงตัวเข้ามาทีละนิด 💥
พร้อมกลืนกินทุกสิ่งที่ขวางหน้า 
พาคุณดำดิ่งสู่ความน่าสะพรึงกลัว 🖤</t>
  </si>
  <si>
    <t>https://www.facebook.com/740460599475760/posts/1910342392487569/</t>
  </si>
  <si>
    <t>740460599475760_1910557712466037</t>
  </si>
  <si>
    <t>⏳วันนี้ 1 ทุ่มตรง⏳
รับชมการแข่งขันรอบ Regular Season วันที่ 20
โดยประกอบไปด้วยทีมจากกลุ่ม A C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</si>
  <si>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https://www.facebook.com/740460599475760/posts/1910557712466037/</t>
  </si>
  <si>
    <t>740460599475760_1910351379153337</t>
  </si>
  <si>
    <t>[ANIMATION] มาทำความรู้จักกับ Free Fire MAX
ไปพร้อม ๆ กันกับ เคลลี่และฮายาโตะ ✨
ทั้งเรื่องกราฟฟิคสุดเทพ และอื่น ๆ อีกมากมาย 💥
ที่คุณต้องเข้ามาสัมผัสด้วยตัวเอง 💕
สัมผัสประสบการณ์ของ Free Fire MAX ได้ที่
📲 iOS - https://bit.ly/FreeFireMAXiOS
📲 Android - https://bit.ly/FreeFireMaxGoogleplay</t>
  </si>
  <si>
    <t>https://www.facebook.com/740460599475760/posts/1910351379153337/</t>
  </si>
  <si>
    <t>740460599475760_1911243259064149</t>
  </si>
  <si>
    <t>ห้ามพลาด วันเดียวเท่านั้น ❗
เพียงเข้ามาล็อคอินก็รับไอเทมแบบปัง ๆ ✨
เฉพาะวันที่ 9 ตุลาคม 2564 
แล้วมาร่ามกิจกรรมกันเยอะ ๆ นะ 💕</t>
  </si>
  <si>
    <t>https://www.facebook.com/740460599475760/posts/1911243259064149/</t>
  </si>
  <si>
    <t>740460599475760_1911360665719075</t>
  </si>
  <si>
    <t>[VDO] เกาะสวรรค์ขั้นสุด
Free Fire MAX ขออาสาพาทัวร์แผนใหม่ล่าสุด ✨
เพิ่มความมันส์ และการเดินเกมใหม่ ๆ 🎉 
ที่จะทำให้คุณและทีม ต้องคิดกลยุทธ์เพื่อคว้าชัย 🏆</t>
  </si>
  <si>
    <t>https://www.facebook.com/740460599475760/posts/1911360665719075/</t>
  </si>
  <si>
    <t>740460599475760_1911243639064111</t>
  </si>
  <si>
    <t>คร๊าฟแลนด์ โหมดที่แสดงความเป็นตัวตน 💥
ยิ่งมาเล่นเยอะ ยิ่งสะสมคะแนน
มาร่วมด้วยช่วยกันปลดล็อครางวัล 🏆
รับไอเทมและสกินปืนสุดเท่กันไปเลย 🔥</t>
  </si>
  <si>
    <t>https://www.facebook.com/740460599475760/posts/1911243639064111/</t>
  </si>
  <si>
    <t>740460599475760_1911524132369395</t>
  </si>
  <si>
    <t>💥พรุ่งนี้แล้วกับการแข่งขันรอบ PLAY-INS💥
มีเพียง 6 ทีมเท่านั้นที่จะผ่านเข้าสู่รอบ Grand Final
วันอาทิตย์ที่ 10 ตุลาคม 2564 19:00 น. เป็นต้นไป
▶️ ติดตามรับชมการแข่งขัน รอบ PLAY-INS
🎬 Free Fire Pro League Season 5 Presented by dtac
🔴 Youtube : Garena Free Fire Thailand
🔵 Facebook : Garena Free Fire</t>
  </si>
  <si>
    <t>https://www.facebook.com/740460599475760/posts/1911524132369395/</t>
  </si>
  <si>
    <t>740460599475760_1911244335730708</t>
  </si>
  <si>
    <t>[FFMAX] เล่นเกาะสวรรค์ใหม่มาแล้ว เป็นไงบ้าง ❓
แต่ละจุด แต่ละมุมในแผนที่ ดี ๆ ทั้งนั้น 💥
แอดเล่นแล้วยังมันส์เลย ✨
แต่แอดยังไม่มีมุมอร่อยของตัวเองสักที 🤣
ไหนมาแชร์มุมอร่อยของแต่ละคนให้แอดรู้หน่อย 💕</t>
  </si>
  <si>
    <t>https://www.facebook.com/740460599475760/posts/1911244335730708/</t>
  </si>
  <si>
    <t>740460599475760_1911365515718590</t>
  </si>
  <si>
    <t>[VDO] ดาบคาตานะลายคราม ✨
เปลวเพลิงสีครามที่พร้อมแผดเผาทุกสิ่ง 🔥
ให้มอดไหม้กลายเป็นผุยผง 💥 
⏳ ระยะเวลากิจกรรม
ตั้งแต่วันที่ 10 ตุลาคม 2564 เวลา 00.01 น.
ถึงวันที่ 16 ตุลาคม 2564 เวลา 23.59 น.</t>
  </si>
  <si>
    <t>https://www.facebook.com/740460599475760/posts/1911365515718590/</t>
  </si>
  <si>
    <t>740460599475760_1911625359025939</t>
  </si>
  <si>
    <t>⏳วันนี้ 1 ทุ่มตรง⏳
รับชมการแข่งขันFree Fire Pro League Season 5 Presented by dtac
รอบ PLAY-INS
มีเพียง 6 ทีมเท่านั้นที่จะผ่านเข้าสู่รอบ Grand Final รับชมพร้อมกัน 19.00 น.
▶️ รับชมการแข่งขันได้ที่
https://youtu.be/lK-DP3VE21U</t>
  </si>
  <si>
    <t>https://www.facebook.com/740460599475760/posts/1911625359025939/</t>
  </si>
  <si>
    <t>740460599475760_1911244862397322</t>
  </si>
  <si>
    <t>ตามคำเรียกร้อง คาตานะลายคราม มาแล้ว
สายแมทซ์แฟชั่นเท่ ๆ ต้องจัด ✨
คาตานะเพลิงสีครามพร้อมมาฟาดฟัน 🔥
แบบเดือดทะลุจุดศูนย์ ❗
⏳ ระยะเวลากิจกรรม
ตั้งแต่วันที่ 10 ตุลาคม 2564 เวลา 00.01 น.
ถึงวันที่ 16 ตุลาคม 2564 เวลา 23.59 น.</t>
  </si>
  <si>
    <t>https://www.facebook.com/740460599475760/posts/1911244862397322/</t>
  </si>
  <si>
    <t>740460599475760_1911245445730597</t>
  </si>
  <si>
    <t>เข้าร่วมในภารกิจสุดท้าทาย 🔥
กำจัดเหล่าอสูรกายทั้ง 4 ให้สำเร็จ 💥
เพื่อรับไอเทมสุดว๊าว การันตีความแรร์ ✨
ในความร่วมมือระดับโลก 🌎 จาก
Free Fire x Venom: Let There Be Carnage
⏳ ระยะเวลากิจกรรม
ตั้งแต่วันที่ 10 ตุลาคม 2564 เวลา 04.00 น.
ถึงวันที่ 24 ตุลาคม 2564 เวลา 23.59 น.
#FreeFirexVenom
#Venom: Let There Be Carnage
#FFxเวน่อม2</t>
  </si>
  <si>
    <t>https://www.facebook.com/740460599475760/posts/1911245445730597/</t>
  </si>
  <si>
    <t>740460599475760_1911245965730545</t>
  </si>
  <si>
    <t>ห้ามลืม ❗ วันสุดท้ายแล้วนะ
ใครที่ลงทะเบียนล่วงหน้า Free Fire MAX
มารับทั้งแฟชั่นสุดเท่และไอเทมสวย ๆ มากมาย
รับของรางวัลได้ในหน้ากิจกรรมพิเศษน้าา 💥</t>
  </si>
  <si>
    <t>https://www.facebook.com/740460599475760/posts/1911245965730545/</t>
  </si>
  <si>
    <t>740460599475760_1911247305730411</t>
  </si>
  <si>
    <t>สกินปืนใหม่ THE FALCONER 🦅
ลายปืนสุดเฉียบคมสไตล์ของผู้ล่า
เลือดเย็นราวกับกลงเล็บเหยียว  
ที่พร้อมจะกระชากเหยื่อให้สิ้น 😈 
แล้วพบกับกล่องอาวุธได้ในร้านค้า 💸 
⏳ ระยะเวลากิจกรรม
ตั้งแต่วันที่ 11 ตุลาคม 2564 เป็นต้นไป</t>
  </si>
  <si>
    <t>https://www.facebook.com/740460599475760/posts/1911247305730411/</t>
  </si>
  <si>
    <t>740460599475760_1911247819063693</t>
  </si>
  <si>
    <t>กิจกรรมชวนเพื่อนซี้ มาร่วมตี้ 💥
ร่วมรบและรับของไปพร้อมกัน 
เล่นให้ครบตามเกมที่กำหนด 
รับไปเลย ไอเทมมากมาย ✨
แล้วไปชวนเพื่อนมาร่วมเดือดกันเยอะ ๆ น้า 😘
⏳ ระยะเวลากิจกรรม
ตั้งแต่วันที่ 11 ตุลาคม 2564 เวลา 04.00 น.
ถึงวันที่ 18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</si>
  <si>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https://www.facebook.com/740460599475760/posts/1911247819063693/</t>
  </si>
  <si>
    <t>740460599475760_1913161612205647</t>
  </si>
  <si>
    <t>ขอแสดงความยินดีกับ 12 ทีม ที่ผ่านเข้าสู่รอบ
🏆Grand Final🏆
มีเพียงทีมเดียวเท่านั้นที่จะได้เข้ามาชิงเงินรางวัลกว่า 5,000,000 บาท
วันเสาร์ที่ 23 ตุลาคม 2564 13:00 น. เป็นต้นไป
🎬 Free Fire Pro League Season 5 Presented by dtac
🔴 Youtube : Garena Free Fire Thailand
🔵 Facebook : Garena Free Fire
🟡 TIKTOK : freefirethofficial</t>
  </si>
  <si>
    <t>https://www.facebook.com/740460599475760/posts/1913161612205647/</t>
  </si>
  <si>
    <t>740460599475760_1911249899063485</t>
  </si>
  <si>
    <t>ถึงเวลาปั๊มเลเวลกันแล้ว 🔥
ปั้นรหัสของคุณให้ไปถึงเวล 99
รับแฟชั่นสุดเฟี้ยวและสกินรถยนต์สุดเท่ 💥
กิจกรรมดี ๆ ที่ไม่ควรพลาด ✨ 
⏳ ระยะเวลากิจกรรม
ตั้งแต่วันที่ 11 ตุลาคม 2564 เวลา 04.00 น.
ถึงวันที่ 24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</si>
  <si>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https://www.facebook.com/740460599475760/posts/1911249899063485/</t>
  </si>
  <si>
    <t>740460599475760_1913693218819153</t>
  </si>
  <si>
    <t>https://www.facebook.com/740460599475760/posts/1913522198836255/?substory_index=1</t>
  </si>
  <si>
    <t>740460599475760_1913685608819914</t>
  </si>
  <si>
    <t>23 ตุลานี้ แจกไอเทมยกเซิร์ฟ!!💥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</si>
  <si>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https://www.facebook.com/740460599475760/posts/1913685608819914/</t>
  </si>
  <si>
    <t>740460599475760_1913537378834737</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</si>
  <si>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ยังไม่หมด ❗️
แลกรับ Token แบบพิเศษๆ แค่เติมเพิ่ม ก็ยิ่งเทพไปอีกขั้น ❗️
👍 ครบ 799 บาท รับเพิ่ม 9 Token,
👍 ครบ 1499 บาท รับเพิ่ม 16 Token ไปเลย
ด่วน วันนี้ถึง 15 ต.ค. 64 เท่านั้น 💥
เล่น Free Fire แบบจัดเต็ม ต้องมี ICE FEATHER KATANA
#คาตานะที่ข้าคู่ควร
#จัดเต็มเสมอเกมเมอร์ต้องมันส์ #dtacFreeFire</t>
  </si>
  <si>
    <t>https://www.facebook.com/740460599475760/posts/1913537378834737/</t>
  </si>
  <si>
    <t>740460599475760_1911250759063399</t>
  </si>
  <si>
    <t>ล็อควันไว้ให้พร้อม แล้วมาเจอกันในภารกิจสุดพิเศษ ✨ จาก
Free Fire x Venom: Let There Be Carnage
ผนึกกำลังเข้าร่วมภารกิจครั้งสำคัญกับ CHAOS ATTACK 💥
พร้อมรับรางวัลมากมายภายในเกม 💕
แล้วพบกัน 16 ตุลาคม 2564
#FFxเวน่อม2
#FreeFirexVenom
#Venom: Let There Be Carnage</t>
  </si>
  <si>
    <t>https://www.facebook.com/740460599475760/posts/1911250759063399/</t>
  </si>
  <si>
    <t>740460599475760_1913642725490869</t>
  </si>
  <si>
    <t>รับชมวิดีโอสุดพิเศษ 💥
ในความร่วมมือครั้งใหม่ กับภาพยนตร์ฟอร์มยักษ์ระดับโลก 🌎
Free fire x Venom: Let There Be Carnage 🖤
ความระทึกที่จะทำให้คุณต้องสั่นผวา กำลังจะมาถึง 🌡
ชอบซีนไหน คอมเมนต์บอกหน่อยจ้า 💕
#FFxเวน่อม2
#FreeFirexVenom
#Venom: Let There Be Carnage</t>
  </si>
  <si>
    <t>https://www.facebook.com/740460599475760/posts/1913642725490869/</t>
  </si>
  <si>
    <t>740460599475760_1913811978807277</t>
  </si>
  <si>
    <t>ได้ดูกันแล้วหรือยัง ❓ UNDEFEATED 💥
ภาพยนต์ Live-Action ของ Free Fire 🔥
ที่ตอกย้ำความสำเร็จ ✨
ด้วยการคว้า 2 รางวัลสุดยิ่งใหญ่แห่งปี 🏆
ใครที่ยังไม่ได้ดู สามารถดูได้ที่ : https://bit.ly/3AvE6dp</t>
  </si>
  <si>
    <t>https://www.facebook.com/740460599475760/posts/1913811978807277/</t>
  </si>
  <si>
    <t>740460599475760_1914580795397062</t>
  </si>
  <si>
    <t>https://www.facebook.com/740460599475760/posts/1914580795397062/</t>
  </si>
  <si>
    <t>740460599475760_1914615942060214</t>
  </si>
  <si>
    <t>รับชมตัวอย่างเต็มพร้อมกัน 14 ต.ค. นี้ 19:00 น. เป็นต้นไป
Free Fire Pro League SS5 Grand Final
มีเพียงทีมเดียวเท่านั้นที่จะได้เข้ามาชิงเงินรางวัลกว่า 5,000,000 บาท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</si>
  <si>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https://www.facebook.com/740460599475760/posts/1914615942060214/</t>
  </si>
  <si>
    <t>740460599475760_1913812335473908</t>
  </si>
  <si>
    <t>เมื่อเงาแห่งความชั่วร้ายก่อเกิด 🔥
Free Fire x Venom: Let There Be Carnage 🖤
จึงออกภารกิจสุดดำมืด “CHAOS ATTACK” 💥
พร้อมให้ออกล่ารางวัลสุดเอ็กซ์คลูซีฟ
ทั้งมอเตอร์ไซต์เวน่อมและอื่น ๆ อีกเพียบ 
จับมือถือพร้อมล็อกอินได้ในวันที่ 16 ตุลาคม 2564 
#FFxเวน่อม2
#FreeFirexVenom
#Venom: Let There Be Carnage</t>
  </si>
  <si>
    <t>https://www.facebook.com/740460599475760/posts/1913812335473908/</t>
  </si>
  <si>
    <t>740460599475760_1914640848724390</t>
  </si>
  <si>
    <t>ถึงเวลาแฟน ๆ เวน่อมต้องว๊าว 💕
เข้าร่วมกิจกรรมใหม่ ทำภารกิจรายวัน 💥
สะสมโทเคนให้ครบ เพื่อแลกรับไอเทมสุดแรร์ ✨
จากความร่วมมือระดับโลก 🌎 ของ
Free Fire x Venom: Let There Be Carnage
เล่น 3 เกม รับ โทเคน
คิล 5 คิล รับ โทเคน
เล่นครบ 60 นาที รับ โทเคน
เล่นกับเพื่อน 1 เกม รับ โทเคน
⏳ ระยะเวลากิจกรรม
ตั้งแต่วันที่ 13 ตุลาคม 2564 เวลา 04.00 น.
ถึงวันที่ 24 ตุลาคม 2564 เวลา 23.59 น.
#FreeFirexVenom
#Venom: Let There Be Carnage
#FFxเวน่อม2</t>
  </si>
  <si>
    <t>https://www.facebook.com/740460599475760/posts/1914640848724390/</t>
  </si>
  <si>
    <t>740460599475760_1914639852057823</t>
  </si>
  <si>
    <t>⏳แฟชั่นเซ็ตใหม่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</si>
  <si>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https://www.facebook.com/740460599475760/posts/1914639852057823/</t>
  </si>
  <si>
    <t>740460599475760_1914765935378548</t>
  </si>
  <si>
    <t>🔥ต้อนรับ #FFPL5 รอบ Grand Final เล่น!! ครบ!! จบ!! แจก!!
เพียงแค่ล็อกอินทุกวัน ตอบคำถามให้ถูก และทำภารกิจให้ครบ
รับไอเทม ฟรี!! ไปเลย เตรียมตัวกันให้พร้อม
18-26 ต.ค. นี้ เป็นต้นไป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</si>
  <si>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https://www.facebook.com/740460599475760/posts/1914765935378548/</t>
  </si>
  <si>
    <t>740460599475760_1914729018715573</t>
  </si>
  <si>
    <t>[VDO] ครั้งแรกกับสกินอาวุธ Kingfisher
อสรพิษร้ายที่พร้อมเขมือบศัตรูให้สิ้น 🐍
สู่สกินปืนแสนอำมหิต 💥
ที่ใครได้เห็นเป็นต้องขวัญผวา 😈
⏳ ระยะเวลากิจกรรม
ตั้งแต่วันที่ 14 ตุลาคม 2564 เป็นต้นไป</t>
  </si>
  <si>
    <t>https://www.facebook.com/740460599475760/posts/1914729018715573/</t>
  </si>
  <si>
    <t>740460599475760_1914641738724301</t>
  </si>
  <si>
    <t>ขนเพื่อนมาชมวิดีโอสุดพิเศษ 🔥
Free Fire x Venom: Let There Be Carnage 🖤
กับการคืบคลานสุดน่ากลัวที่จะทำให้คุณต้องขวัญผวา 💥
ยิ่งยอดการชมเยอะ ยิ่งปลดล็อครางวัลใหญ่สุดเศษ 🏆
อย่าลืม ❗ เข้ามาล็อกอินวันที่ 16 ตุลาคม 2564
#FFxเวน่อม2
#FreeFirexVenom
#Venom: Let There Be Carnage</t>
  </si>
  <si>
    <t>https://www.facebook.com/740460599475760/posts/1914641738724301/</t>
  </si>
  <si>
    <t>740460599475760_1914733125381829</t>
  </si>
  <si>
    <t>[VDO] คู่มือล่ารางวัล Free Fire x Venom: Let There Be Carnage
เตรียมตัวให้พร้อมแล้วหรือยัง ❓
กับการร่วมมือครั้งยิ่งใหญ่กับหนังฟอร์มยักษ์
Free Fire x Venom: Let There Be Carnage 🖤
พบกับชุดแฟชั่นสุดเท่และไอเทมมากมายในครั้งนี้ 🔥
#FFxเวน่อม2
#FreeFirexVenom
#Venom: Let There Be Carnage</t>
  </si>
  <si>
    <t>https://www.facebook.com/740460599475760/posts/1914733125381829/</t>
  </si>
  <si>
    <t>740460599475760_1916081251913683</t>
  </si>
  <si>
    <t>https://www.facebook.com/740460599475760/posts/1916081251913683/</t>
  </si>
  <si>
    <t>740460599475760_1914643625390779</t>
  </si>
  <si>
    <t>น้อง ๆ คนไหนปิดเทอมกันแล้วบ้าง 🖐🏻
เตรียมตัวให้พร้อมกับไอเทมต้อนรับปิดเทอม 💥
ทั้งไอเทมและแฟชั่นสุดเดือด 🔥
ให้อวดเพื่อน ๆ ในสมรภูมิ
⏳ ระยะเวลากิจกรรม
ตั้งแต่วันที่ 17 ตุลาคม 2564 เวลา 01.00 น.
ถึงวันที่ 17 ตุลาคม 2564 เวลา 23.59 น.</t>
  </si>
  <si>
    <t>https://www.facebook.com/740460599475760/posts/1914643625390779/</t>
  </si>
  <si>
    <t>740460599475760_1916023201919488</t>
  </si>
  <si>
    <t>Free Fire Pro League SS5 Grand Final
มีเพียงทีมเดียวเท่านั้นที่จะได้เข้ามาชิงเงินรางวัลกว่า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</si>
  <si>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https://www.facebook.com/740460599475760/posts/1916023201919488/</t>
  </si>
  <si>
    <t>740460599475760_1916236491898159</t>
  </si>
  <si>
    <t>สายลมพัดอ่อน ๆ กับแสงแดดที่แสนอบอุ่น ⛅
สาวงามที่เตรียมพร้อมจะเข้าพิธีแต่งงาน 😘
กับชายหนุ่มที่หมายปอง 
ชุดแฟชั่นหวาน ๆ จากความรักของทั้งสองจึงก่อเกิด 💕
⏳ ระยะเวลากิจกรรม
ตั้งแต่วันที่ 15 ตุลาคม 2564 เวลา 01.00 น.
ถึงวันที่ 24 ตุลาคม 2564 เวลา 23.59 น.</t>
  </si>
  <si>
    <t>https://www.facebook.com/740460599475760/posts/1916236491898159/</t>
  </si>
  <si>
    <t>740460599475760_1917113598477115</t>
  </si>
  <si>
    <t>[VDO] M1887 ทองสอยร่วง
ปืนสำหรับสายคลุกวงใน ✨
ยิงโดนที ต้องมีล้ม 💥
สกินปืนสุดแวววาวที่ใครเห็นเป็นต้องกลัว 🔥
⏳ ระยะเวลากิจกรรม
ตั้งแต่วันที่ 16 ตุลาคม 2564 เวลา 04.00 น.
ถึงวันที่ 22 ตุลาคม 2564 เวลา 23.59 น.</t>
  </si>
  <si>
    <t>https://www.facebook.com/740460599475760/posts/1917113598477115/</t>
  </si>
  <si>
    <t>740460599475760_1917008835154258</t>
  </si>
  <si>
    <t>โหมดใหม่ ❗ ที่จะมาสร้างความเร้าใจ 
ลุ้นระทึกทุกฝีก้าว 🔥
เตรียมตัวให้พร้อม เพราะครั้งนี้ ✨
จะทำให้คุณต้องขวัญผวา 
แล้วเจอกันเร็ว ๆ นี้ 💥</t>
  </si>
  <si>
    <t>https://www.facebook.com/740460599475760/posts/1917008835154258/</t>
  </si>
  <si>
    <t>740460599475760_1917028241818984</t>
  </si>
  <si>
    <t>[ 🔥 ไฮไลท์เด็ดเช็คด่วน 🔥 ]
Highlight โปรลีก - รอบ PLAY-INS
ขอแสดงความยินดีกับ6ทีมจากรอบ Play-ins
ที่ผ่านเข้าสู่รอบ Grand Final 🏆
NEOLUTION ESPORT
SYZYGY
ATTACK ALL AROUND
DELTA X
FREE FIRE BLUEWAVE CHONBURI
SYZ PC ESPORTS
•••••••••••••••••••••••••••
ติดตามรับชมการแข่งขัน รอบ Grand Final
วันเสาร์ที่ 23 ตุลาคม 2564 เวลา 13:00 น. เป็นต้นไป
🔴 Youtube : Garena Free Fire Thailand</t>
  </si>
  <si>
    <t>https://www.facebook.com/740460599475760/posts/1917028241818984/</t>
  </si>
  <si>
    <t>740460599475760_1917063088482166</t>
  </si>
  <si>
    <t>ล็อกอินวันนี้ 💕
รับเลยทันที กระเป๋า Venom
ไอเทมสุดแรร์จากความร่วมมือระดับโลก 🌎 จาก
Free Fire x Venom: Let There Be Carnage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</si>
  <si>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https://www.facebook.com/740460599475760/posts/1917063088482166/</t>
  </si>
  <si>
    <t>740460599475760_1917063811815427</t>
  </si>
  <si>
    <t>เน้นคลุกวงใน เข้าใส่นัว ยิงไม่ยั้ง 💥
กับสกินปืนสีทองสุดอร่าม 💛
ใครเข้าใกล้เป็นต้องร่วง 
สวยเด็ดขนาดนี้ ต้องจัดแล้วน้า 💸
⏳ ระยะเวลากิจกรรม
ตั้งแต่วันที่ 16 ตุลาคม 2564 เวลา 04.00 น.
ถึงวันที่ 22 ตุลาคม 2564 เวลา 23.59 น.</t>
  </si>
  <si>
    <t>https://www.facebook.com/740460599475760/posts/1917063811815427/</t>
  </si>
  <si>
    <t>740460599475760_1917064441815364</t>
  </si>
  <si>
    <t>ภารกิจสุดพิเศษจาก
Free Fire x Venom: Let There Be Carnage
วันเดียวเท่านั้นกับการรับชมวีดีโอสุดพิเศษภายในเกม 💕
เข้าร่วมให้สำเร็จ 💥แล้วรับไอเทมสุดแรร์ ✨ ไปเลยจ้า
ห้ามพลาดเด็ดขาดเลยน้า 🥰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</si>
  <si>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https://www.facebook.com/740460599475760/posts/1917064441815364/</t>
  </si>
  <si>
    <t>740460599475760_1917065585148583</t>
  </si>
  <si>
    <t>หนึ่งความสำเร็จครั้งยิ่งใหญ่ 💥
กับยอดชมทะลุ 3 ล้านวิว ❗
ของวิดีโอสุดพิเศษที่ร่วมมือกับหนังฟอร์มยักษ์
Free Fire X Venom: Let There Be Carnage 🖤
เข้าไปรับ หมวก Carnage ได้แล้วในเกม Free Fire 🔥
#FFxเวน่อม2
#FreeFirexVenom
#Venom: Let There Be Carnage</t>
  </si>
  <si>
    <t>https://www.facebook.com/740460599475760/posts/1917065585148583/</t>
  </si>
  <si>
    <t>740460599475760_1917261255129016</t>
  </si>
  <si>
    <t>[VDO] นักสู้คลื่นพลังใต้สมุทร
แฟชันสุดพริ้วไหวแต่แข็งแกรงดั่งหินผา 🌊
เพื่อที่จะให้ได้เป็นหนึ่งในสมรภูมิ 💥
เค้าจึงต้องก้าวเข้าสู่สังเวียนเดือดนี้ 🔥
เพื่อประกาศความแข่งแกร่งให้เป็นที่ประจักษ์
⏳ ระยะเวลากิจกรรม
ตั้งแต่วันที่ 17 ตุลาคม 2564 เวลา 01.00 น.
ถึงวันที่ 23 ตุลาคม 2564 เวลา 23.59 น.</t>
  </si>
  <si>
    <t>https://www.facebook.com/740460599475760/posts/1917261255129016/</t>
  </si>
  <si>
    <t>740460599475760_1917067105148431</t>
  </si>
  <si>
    <t>เพื่อที่จะเป็นหนึ่งในยุทธภพ 💥
เหล่านักสู้จากทั่วสารทิศต่างต้องแย่งชิง 
นักสู้ผู้มาพร้อมกับวรยุทธ์แห่งสายน้ำ 🌊
จึงก้าวเข้าสู่สมรภูมิเดือดแห่งนี้ 🔥
⏳ ระยะเวลากิจกรรม
ตั้งแต่วันที่ 17 ตุลาคม 2564 เวลา 01.00 น.
ถึงวันที่ 23 ตุลาคม 2564 เวลา 23.59 น.</t>
  </si>
  <si>
    <t>https://www.facebook.com/740460599475760/posts/1917067105148431/</t>
  </si>
  <si>
    <t>740460599475760_1917094281812380</t>
  </si>
  <si>
    <t>⏳โปรสุดคุ้ม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</si>
  <si>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https://www.facebook.com/740460599475760/posts/1917094281812380/</t>
  </si>
  <si>
    <t>740460599475760_1918050318383443</t>
  </si>
  <si>
    <t>[ 🔥 ไฮไลท์เด็ดเช็คด่วน 🔥 ]
Highlight โปรลีก - 12ทีมเข้าสู่รอบ GRAND FINAL
ไฮไลท์ตัวแทนทั้ง12ทีมจากรอบ Regular Season
ร่วมเชียร์และเป็นกำลังใจให้ทั้ง12ทีมรอบ GRAND FINAL 
ทีมใดจะคว้าแชมป์ Free Fire Pro League Season 5 Presented by dtac 
ติดตามรับชมการแข่งขัน รอบ Grand Final
📅 วันเสาร์ที่ 23 ตุลาคม 2564 เวลา 13:00 น. เป็นต้นไป
🔴 Youtube : Garena Free Fire Thailand</t>
  </si>
  <si>
    <t>https://www.facebook.com/740460599475760/posts/1918050318383443/</t>
  </si>
  <si>
    <t>740460599475760_1917117195143422</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</si>
  <si>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เล่น Free Fire แบบจัดเต็ม ต้องมี ICE FEATHER KATANA
#คาตานะที่ข้าคู่ควร
#จัดเต็มเสมอเกมเมอร์ต้องมันส์ #dtacFreeFire</t>
  </si>
  <si>
    <t>https://www.facebook.com/740460599475760/posts/1917117195143422/</t>
  </si>
  <si>
    <t>740460599475760_1917068655148276</t>
  </si>
  <si>
    <t>ถึงเวลาปล่อยของกันแล้ว 💥
เพียงมาร่วมเล่นเกมและทำภารกิจให้ครบ ✨
รับของรางวัลแบบจัดหนัก จัดเต็ม
แล้วเข้ามาเล่นกันเยอะ ๆ น้าา 💕
⏳ ระยะเวลากิจกรรม
ตั้งแต่วันที่ 18 ตุลาคม 2564 เวลา 04.00 น.
ถึงวันที่ 27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</si>
  <si>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https://www.facebook.com/740460599475760/posts/1917068655148276/</t>
  </si>
  <si>
    <t>740460599475760_1919656528222822</t>
  </si>
  <si>
    <t>🔥กิจกรรม เล่น!! ครบ!! จบ!! แจก!! เปิดให้เล่นแล้ว🔥
เพียงแค่ล็อกอิน ตอบคำถามให้ถูก และทำภารกิจให้ครบ
รับไอเทม ฟรี!! ไปเลย เตรียมตัวกันให้พร้อม
18-26 ต.ค. นี้ เป็นต้นไป
วิธีการเล่น : https://www.facebook.com/FreeFireEsportsTH/photos/406060191023811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</si>
  <si>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https://www.facebook.com/740460599475760/posts/1919656528222822/</t>
  </si>
  <si>
    <t>740460599475760_1917073385147803</t>
  </si>
  <si>
    <t>อีกหนึ่งความประทับของเกม Free Fire
ได้รับเสนอชื่อเข้าชิงเกมมือถือสาขาอีสปอร์ต 💥
มายกระดับเกมสู่ระดับโลกไปพร้อมกัน ✨
มาแสดงพลังเหล่าผู้เล่น Free Fire ให้ได้ประจักษ์ 🔥
🖐🏻 โหวตเลยที่ : https://esportsawards.com/mobile-game/#mobilegamevote</t>
  </si>
  <si>
    <t>https://www.facebook.com/740460599475760/posts/1917073385147803/</t>
  </si>
  <si>
    <t>740460599475760_1919541568234318</t>
  </si>
  <si>
    <t>[Free Fire Pro League] แนะนำทีม Free Fire Pro League SS5 Grand Final
มีเพียงทีมเดียวเท่านั้นที่จะได้เงินรางวัลกว่า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</si>
  <si>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https://www.facebook.com/740460599475760/posts/1919541568234318/</t>
  </si>
  <si>
    <t>740460599475760_1920915854763556</t>
  </si>
  <si>
    <t>[VDO] สายเลือดตระกูลมังกร
การเผชิญหน้าระหว่างความยุติธรรมและความอยุติธรรม ☯
เจ้าพ่อมังกร ผู้เป็นหัวหน้าแก็งค์ที่ยิ่งใหญ่ที่สุด 🐉
กลับถูกไล่ล่าโดยนักสืบสาวสายเลือดเดียวกัน 
แฟชั่นขั่วตรงข้ามของความดีและความชั่วจึงก่อเกิด 🔥</t>
  </si>
  <si>
    <t>https://www.facebook.com/740460599475760/posts/1920915854763556/</t>
  </si>
  <si>
    <t>740460599475760_1920949781426830</t>
  </si>
  <si>
    <t>[Countdown⏳]อีก ️3️⃣ วันเท่านั้น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</si>
  <si>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https://www.facebook.com/740460599475760/posts/1920949781426830/</t>
  </si>
  <si>
    <t>740460599475760_1919542078234267</t>
  </si>
  <si>
    <t>https://www.facebook.com/740460599475760/posts/1919542078234267/</t>
  </si>
  <si>
    <t>740460599475760_1920381241483684</t>
  </si>
  <si>
    <t>⏳คุ้มจัดๆแบบนี้ต้องจัดแล้วว⏳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</si>
  <si>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https://www.facebook.com/740460599475760/posts/1920381241483684/</t>
  </si>
  <si>
    <t>740460599475760_1921114361410372</t>
  </si>
  <si>
    <t>[กิจกรรมแจกไอเทม] กิจกรรม Speed Rush กลับมาแล้วใครเร็วรับสกินปืนฟรีไปเลย
วันที่ 23 ตุลาคม 2564 นี้ เวลา 13.00 น. เป็นต้นไป
เพื่อเอาใจแฟนๆ ที่รับชมถ่ายทอดสดการแข่งขัน
เตรียมพบกับกิจกรรม ⏳SPEED RUSH⏳
🎁 มูลค่าของรางวัลกิจกรรม
◾️ ลำดับที่ 1        ในแต่ละรอบ สกินปืน Gangster Rap M1887 ถาวร 
◾️ ลำดับที่ 2 - 5   ในแต่ละรอบ กล่องสุ่มสกินปืน Gangster Rap M1887 10 กล่อง
◾️ ลำดับที่ 6 - 10 ในแต่ละรอบ กล่องสุ่มสกินปืน Gangster Rap M1887 5 กล่อง
◾️ ลำดับที่ 11 - 20 ในแต่ละรอบ ตั่ว Diamond Royal 3 ชิ้น
◾️ ลำดับที่ 21 - 48 ในแต่ละรอบ  ตั่ว สุ่มโกลl 3 ชิ้น
📖 รายละเอียดกิจกรรม
1. ระหว่างพักเบรกการแข่งขันจะมีการเปิดให้ผู้ชมเข้าห้อง Custom Room ที่ทีมงานสร้างภายในเกม Free Fire ทั้งหมด 5 รอบ (รอบละ 1 ห้อง)
2. ทีมงานจะแจ้งหมายเลขห้องและรหัสผ่านทางการถ่ายทอดสด
3. ผู้เล่นที่เข้าห้องที่ทีมงานสร้างทันในแต่ละรอบจะได้รับไอเทม "ตามลำดับการเข้าห้อง" ที่ทีมงานกำหนดไว้
📖 ข้อกำหนดและเงื่อนไข
- บริษัทฯ ขอสงวนสิทธิ์ไม่อนุญาตให้ผู้ที่ได้รับรางวัล นำของรางวัลมาแลกเปลี่ยนเป็นเงินสดหรือสิ่งของอื่นใด
และห้ามมิให้ผู้ได้รับรางวัลนำของรางวัลดังกล่าวไปจำหน่าย แลกเปลี่ยน หรือกระทำการอื่นใดในเชิงพาณิชย์ ทุกกรณี
-บริษัทฯ ขอสงวนสิทธิ์ในการแก้ไข เปลี่ยนแปลงข้อกำหนดและเงื่อนไข รวมทั้งหลักเกณฑ์ของกิจกรรมนี้โดยมิต้องแจ้งให้ทราบล่วงหน้า</t>
  </si>
  <si>
    <t>https://www.facebook.com/740460599475760/posts/1921114361410372/</t>
  </si>
  <si>
    <t>740460599475760_1921183174736824</t>
  </si>
  <si>
    <t>ผสานสตรีทแวร์เข้ากับความกร้าวแกร่งของเวน่อม
Free Fire X Venom: Let There Be Carnage 🖤
แฟชั่นที่แฝงพลังอีกด้านของซิมบิโอตเอาไว้ 💥
พร้อมที่จะด่ำดิ่งสู่ความมืดกันแล้วหรือยัง ❓
#FFxเวน่อม2
#FreeFirexVenom
#Venom: Let There Be Carnage</t>
  </si>
  <si>
    <t>https://www.facebook.com/740460599475760/posts/1921183174736824/</t>
  </si>
  <si>
    <t>740460599475760_1921818054673336</t>
  </si>
  <si>
    <t>[VDO] แก๊งลูกมาเฟีย
พบกับลูกสาวสุดหวง และพี่ชายสุดเก๋า
ที่มาพร้อมดีกรีความฮอตและเท่เกิน 100 องศา🔥
แฟชั่นเด็ดสุดเท่และสวยที่ได้รับการโหวตสูงสุด ✨ จาก
Costume Design Contest 2020 🏆
พบกับแฟชั่นสุดว๊าวได้ในเกม เร็ว ๆ นี้</t>
  </si>
  <si>
    <t>https://www.facebook.com/740460599475760/posts/1921818054673336/</t>
  </si>
  <si>
    <t>740460599475760_1921852924669849</t>
  </si>
  <si>
    <t>มีของดีมาบอกเหล่าผู้เล่น Free Fire ทั้งหลาย
เอาตัวรอดให้ได้ จากเกมเอาชีวิต 💥
ในโหมดใหม่ A E I O U หยุด
ทำภารกิจให้ครบ ❗ รับไปเลยชุดนักโทษ
ซ้อมมือไว้ให้ดี อยู่ให้นิ่ง และเป็นผู้รอด 🏆
⏳ ระยะเวลากิจกรรม
ตั้งแต่วันที่ 22 ตุลาคม 2564 เวลา 04.00 น.
ถึงวันที่ 26 ตุลาคม 2564 เวลา 03.59 น.</t>
  </si>
  <si>
    <t>https://www.facebook.com/740460599475760/posts/1921852924669849/</t>
  </si>
  <si>
    <t>740460599475760_1921827931339015</t>
  </si>
  <si>
    <t>รับไอเทมสุดเดือดในภารกิจเงามืดคืบคลาน 🔥
Free Fire X Venom: Let There Be Carnage 🖤
ทั้งชุดแฟชั่น We Are Venom Streetwear 
และกล่องดวงใจ Venom vs Carnage  
รีบทำภารกิจให้สำเร็จก่อนวันที่ 24 ตุลาคมนี้ 💥
#FFxเวน่อม2
#FreeFirexVenom
#Venom: Let There Be Carnage</t>
  </si>
  <si>
    <t>https://www.facebook.com/740460599475760/posts/1921827931339015/</t>
  </si>
  <si>
    <t>740460599475760_1921831148005360</t>
  </si>
  <si>
    <t>อัลบั้มคอสเพลย์จากชุดแฟชั่นลูกเจ้าพ่อมาเฟีย 💕
ลูกสาวสุดหวง และพี่ชายสุดเก๋าที่ดีกรีความฮอตเกิน 100 🔥
แฟชั่นเด็ดสุดเท่และสวยที่ได้รับการโหวตสูงสุด ✨ จาก
Costume Design Contest 2020 🏆
พบกับแฟชั่นสุดว๊าวได้ในเกม เร็ว ๆ นี้</t>
  </si>
  <si>
    <t>https://www.facebook.com/740460599475760/posts/1921831148005360/</t>
  </si>
  <si>
    <t>740460599475760_1921988727989602</t>
  </si>
  <si>
    <t>[Countdown⏳]พรุ่งนี้แล้ว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</si>
  <si>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https://www.facebook.com/740460599475760/posts/1921988727989602/</t>
  </si>
  <si>
    <t>740460599475760_1922684047920070</t>
  </si>
  <si>
    <t>รูปแบบการแข่งขันในรอบ Grand Final 🏆
มีเพียงทีมเดียวเท่านั้นที่จะเป็นสุดยอดทีมใน
FREE FIRE PRO LEAGUE SEASON 5
รับชมได้ที่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ติดตามรับชมการแข่งขัน รอบ Grand Final
วันเสาร์ที่ 23  เวลา 13.00 น. เป็นต้นไป
🔴 Youtube : Garena Free Fire Thailand
🔵 Facebook : Garena Free Fire
🟡 TIKTOK  : freefirethofficial
#FFPLSS5 #GRANDFINAL</t>
  </si>
  <si>
    <t>https://www.facebook.com/740460599475760/posts/1922684047920070/</t>
  </si>
  <si>
    <t>740460599475760_1921944611327347</t>
  </si>
  <si>
    <t>ระบบ iOS พร้อมให้เล่นแล้ว 💥
กับโหมดสุดระทึก A E I O U หยุด
จับมือถือให้แน่น เตรียมใจให้พร้อม ❗
เพราะการขยับเพียงนิดเดียว = จุดจบ 
ถ้าหากพร้อมแล้ว ก็ลุยเลย! 🔥</t>
  </si>
  <si>
    <t>https://www.facebook.com/740460599475760/posts/1921944611327347/</t>
  </si>
  <si>
    <t>740460599475760_1921837141338094</t>
  </si>
  <si>
    <t>อย่ามาแหยมกับลูกเจ้าพ่อมาเฟีย ❗
"เดี๋ยวจะโดนดีไม่ใช่น้อย"
แฟชั่นสุดเก๋าที่เข้ามายึดครองเป็นเจ้าถิ่น 🔥
ที่ใครเห็นเป็นต้องเกรงกลัว 💥
⏳ ระยะเวลากิจกรรม
ตั้งแต่วันที่ 23 ตุลาคม 2564 เวลา 00.01 น.
ถึงวันที่ 29 ตุลาคม 2564 เวลา 23.59 น.</t>
  </si>
  <si>
    <t>https://www.facebook.com/740460599475760/posts/1921837141338094/</t>
  </si>
  <si>
    <t>740460599475760_1921838101337998</t>
  </si>
  <si>
    <t>หยิบมือถือและตั้งเวลาไว้ ห้ามลืมเด็ดขาด ❗
กิจกรรมต้อนรับวันฮาโลวีนสุดหลอน 🎃
เพียงเข้าเกม Free Fire
รับไปเลย บัตรสร้างห้อง ฟรี 💥
23 ตุลาคม 2564 วันเดียวเท่านั้นน้าา 💕</t>
  </si>
  <si>
    <t>https://www.facebook.com/740460599475760/posts/1921838101337998/</t>
  </si>
  <si>
    <t>740460599475760_1921839284671213</t>
  </si>
  <si>
    <t>ใครพรีออเดอร์ไม่ทัน ไม่ต้องเสียใจ 😂
เราเอากลับมาขายให้แล้วในร้านค้า
กับลายเพ้นท์หน้าสุดเท่ 🔥
พร้อมท่องไปในห้วงอาหรับราตรี 🛕
ขายเฉพาะไอเทม 💥 ไม่รวมของใน EP น้า
⏳ ระยะเวลากิจกรรม
ตั้งแต่วันที่ 23 ตุลาคม 2564 เวลา 00.01 น.
ถึงวันที่ 31 ตุลาคม 2564 เวลา 23.59 น.</t>
  </si>
  <si>
    <t>https://www.facebook.com/740460599475760/posts/1921839284671213/</t>
  </si>
  <si>
    <t>740460599475760_1922737251248083</t>
  </si>
  <si>
    <t>สนามแข่งพร้อม!! นักกีฬาพร้อม!! คุณล่ะพร้อมหรือยัง!!!
Free Fire Pro League Season 5 รอบ Grand Final
ศึกตัดสินเพื่อหาสุดยอดทีม Free Fire ของประเทศไทย
รับชมได้ที่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</si>
  <si>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https://www.facebook.com/740460599475760/posts/1922737251248083/</t>
  </si>
  <si>
    <t>740460599475760_1922714304583711</t>
  </si>
  <si>
    <t>รับชมพร้อมกันตอนนี้เลย!!! ศึกตัดสินเพื่อหาสุดยอดทีม Free Fire ของประเทศไทย 
Free Fire Pro League SS5 Grand Final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</si>
  <si>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https://www.facebook.com/740460599475760/posts/1922714304583711/</t>
  </si>
  <si>
    <t>740460599475760_1923251744529967</t>
  </si>
  <si>
    <t>[#FFPLSS5] เตรียมตัวให้พร้อม!
ของรางวัลยอดคนดูครบตามกำหนดรอคุณอยู่!!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</si>
  <si>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https://www.facebook.com/740460599475760/posts/1923251744529967/</t>
  </si>
  <si>
    <t>740460599475760_1923459334509208</t>
  </si>
  <si>
    <t>[#FFPLSS5] ได้ทีมแชมป์เป็นที่เรียบร้อย 💥
ยินดีกับทีม EARENA ✨
เป็นตัวแทนประเทศไทยแข่งรายการ 🇹🇭
Free Fire Asia Championships 2021 ที่ใกล้จะถึงนี้
#FFPLSS5 #GRANDFINAL</t>
  </si>
  <si>
    <t>https://www.facebook.com/740460599475760/posts/1923459334509208/</t>
  </si>
  <si>
    <t>740460599475760_1921840288004446</t>
  </si>
  <si>
    <t>เหลือเวลา 2 วันสุดท้ายเท่านั้น ❗
กับภารกิจจิตวิญญาณแห่งเวน่อม 💥
กำจัดเหล่าร้ายให้สิ้นซากและรับไอเทมสุดพิเศษใน
Free Fire X Venom: Let There Be Carnage 🖤
#FFxเวน่อม2
#FreeFirexVenom
#Venom: Let There Be Carnage</t>
  </si>
  <si>
    <t>https://www.facebook.com/740460599475760/posts/1921840288004446/</t>
  </si>
  <si>
    <t>740460599475760_1921992781322530</t>
  </si>
  <si>
    <t>วันนี้ 13:00 น. Free Fire Pro League SS5 Grand Final
ศึกตัดสินเพื่อหาสุดยอดทีม Free Fire ของประเทศไทย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t>
  </si>
  <si>
    <t>https://www.facebook.com/740460599475760/posts/1921992781322530/</t>
  </si>
  <si>
    <t>740460599475760_1921843044670837</t>
  </si>
  <si>
    <t>กลับมาอีกครั้ง ❗ กับแฟชั่นแรปเปอร์รุ่นใหม่
ชุดไม่แดง ไม่มีแรงยิง 💥
โดนใจสายสตรีท ไม่โดนไม่ได้แล้ว 💸
ห้ามพลาดเด็ดขาดน้า 🔥
⏳ ระยะเวลากิจกรรม
ตั้งแต่วันที่ 24 ตุลาคม 2564 เวลา 09.00 น.
ถึงวันที่ 30 ตุลาคม 2564 เวลา 23.59 น.</t>
  </si>
  <si>
    <t>https://www.facebook.com/740460599475760/posts/1921843044670837/</t>
  </si>
  <si>
    <t>740460599475760_1921843774670764</t>
  </si>
  <si>
    <t>วันสุดท้าย ❗ ของการร่วมมือระหว่างหนังฟอร์มยักษ์
Free Fire X Venom: Let There Be Carnage 🖤
คว้าโอกาสสุดท้ายนี้ไว้ให้ดี 🔥
ก่อนที่เงามืดในครั้งนี้กำลังจะจางหายไป
#FFxเวน่อม2
#FreeFirexVenom
#Venom: Let There Be Carnage</t>
  </si>
  <si>
    <t>https://www.facebook.com/740460599475760/posts/1921843774670764/</t>
  </si>
  <si>
    <t>740460599475760_1921842081337600</t>
  </si>
  <si>
    <t>สิ้นสุดการรอคอยกับ MUSIC VIDEO ตัวเต็ม 💥
ในโปรเจกต์เพลงสุดพิเศษจาก เทศกาลแห่งความสุข 🎵
เพลงฮิตสุดไพเราะของแต่ละภาค ตั้งแต่เหนือจรดใต้
อีกทั้งยังมีเพลงสุดพิเศษที่ต้องขออุบไว้ก่อน 🔥
รายละเอียดคลิก: https://ff.garena.com/news/article/th/493/
แล้วพบกันเร็ว ๆ นี้จ้า 💕</t>
  </si>
  <si>
    <t>https://www.facebook.com/740460599475760/posts/1921842081337600/</t>
  </si>
  <si>
    <t>740460599475760_1924094991112309</t>
  </si>
  <si>
    <t>ไฮไลท์การแข่งขันรอบ GRAND FINAL 
เตรียมพบกับการแข่งขัน Free Fire Asia Championships 2021 เร็วๆนี้
#FFPLSS5 #GRANDFINAL #FFAC2021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</si>
  <si>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https://www.facebook.com/740460599475760/posts/1924094991112309/</t>
  </si>
  <si>
    <t>740460599475760_1921844304670711</t>
  </si>
  <si>
    <t>ต้อนรับวันฮาโลวีน 🎃 เทศกาลสุดหลอน
กับภารกิจรายวัน เพียงทำให้ครบ
ล่าโทเคนมาแลกแฟชั่นวันปล่อยผี 👻
ส่วมชุดและออกไป ทริกออร์ทรีต กันเถอะ ❓
⏳ ระยะเวลากิจกรรม
ตั้งแต่วันที่ 25 ตุลาคม 2564 เวลา 04.00 น.
ถึงวันที่ 1 พฤศจิกายน 2564 เวลา 03.59 น.</t>
  </si>
  <si>
    <t>https://www.facebook.com/740460599475760/posts/1921844304670711/</t>
  </si>
  <si>
    <t>740460599475760_1924909847697490</t>
  </si>
  <si>
    <t>[VDO] คู่หูสุดซิ่ง เร็ว ๆ นี้
สัตว์เลี้ยงตัวป่วนที่จะมาตะลุยด่าน
สุดโหด มันส์ ฮา 💥
พร้อมแล้วรึยังกับความคิ้วในสนามแข่งขัน 😘
แล้วเจอกัน 30 ตุลาคม 2564 นี้นะจ๊ะ 💕</t>
  </si>
  <si>
    <t>https://www.facebook.com/740460599475760/posts/1924909847697490/</t>
  </si>
  <si>
    <t>740460599475760_1925619187626556</t>
  </si>
  <si>
    <t>[VDO] THFACT ขุนพลคนขลัง นารีต้องมนตรา
กล่องต้องคำสาปที่ปลดผนึก 2 นักรบในตำนาน 💥 
จากมนต์ดำอันชัวร้ายที่กักขังพวกเขาเอาไว้ 
ความมืดที่แฝงอยู่ในชุดแฟชั่นและดาบต้องคำสาป 
พร้อมมาปลดปล่อยทั้งสองให้เป็นอิสระกันแล้วหรือยัง ❓</t>
  </si>
  <si>
    <t>https://www.facebook.com/740460599475760/posts/1925619187626556/</t>
  </si>
  <si>
    <t>740460599475760_1925741547614320</t>
  </si>
  <si>
    <t>TOP-UP หน้ากากยักษ์สีเขียว 💚
ยักษาที่เรียกได้ว่าเป็นตำนานผู้ปกปักษ์
เข้ามาบุกทะลวงให้สิ้นในสมรภูมิเดือด 🔥
ภายใต้หน้ากากที่ซ่อนความโหดเอาไว้ 💥
⏳ ระยะเวลากิจกรรม
ตั้งแต่วันที่ 27 ตุลาคม 2564 เวลา 01.00 น.
ถึงวันที่ 31 ตุลาคม 2564 เวลา 23.59 น.</t>
  </si>
  <si>
    <t>https://www.facebook.com/740460599475760/posts/1925741547614320/</t>
  </si>
  <si>
    <t>740460599475760_1925742604280881</t>
  </si>
  <si>
    <t>จิ๊กซอว์ที่หายไป 🧩 คุณต้องช่วยเป็นคนมาเติมเต็ม
กับคู่หูแสนน่ารัก มาเล่นในโหมดใหม่ 💕
อย่าลืมมารับชมความสนุกกับครีเอเตอร์ที่ชื่นชอบ
พร้อมเป็นส่วนหนึ่งในการตัดสินใจ 💥
ช่วยคอมเมนต์สัตว์เลี้ยงที่อยากให้เล่นใต้รูปเหล่าครีเอเตอร์กันโลด ❗
⏳ ตั้งแต่ 30 ตุลาคม ถึง 1 พฤศจิกายน 2564 เวลา 14.00 น. เป็นต้นไป</t>
  </si>
  <si>
    <t>https://www.facebook.com/740460599475760/posts/1925742604280881/</t>
  </si>
  <si>
    <t>740460599475760_1925738904281251</t>
  </si>
  <si>
    <t>ฮาโลวีนนี้ มาร่วมปาร์ตี้สุดหลอนแบบโหดมันส์ฮา 🎃
ในภาพยนตร์สั้นสุดสยอง "3 เฮี้ยน เพี้ยนทุกซีน" 
ที่จะทำให้คุณหลอนแบบลั่น ๆ สั่นสะท้านไปถึงทรวง 💞
พร้อมชวนเดอะแก๊งค์สุดซี้ มาร่วมสนุกไปพร้อมกัน 
รับชมภาพยนตร์สั้นสุดสยอง 3 เฮี้ยน เพี้ยนทุกซีน 👻
⏳ ในวันที่ 31 ตุลาคม 2564
#FFปาร์ตี้สยองฉลองฮาโลวีน #FreeFireTH</t>
  </si>
  <si>
    <t>https://www.facebook.com/740460599475760/posts/1925738904281251/</t>
  </si>
  <si>
    <t>740460599475760_1926468667541608</t>
  </si>
  <si>
    <t>[การ์ตูน📖] REALITY UNVEILED ตอนที่ 1 ฝันร้าย
วูฟร่าห์สตรีมเมอร์หนุ่มที่เล่นเกมสุดเทพ
กลับต้องเจอกับความฝัน
ในอดีตที่ตามมาหลอกหลอนตัวเค้า
เรื่องราวความฝันในวัยเด็กของเค้านั้นคืออะไร
ปฐมบทของเรื่องราวทั้งหมดกำลังก่อตัวขึ้นแล้ว
#RealityUnveiled #FreeFireUniverse #FreeFireComics</t>
  </si>
  <si>
    <t>https://www.facebook.com/740460599475760/posts/1926468667541608/</t>
  </si>
  <si>
    <t>740460599475760_1926627490859059</t>
  </si>
  <si>
    <t>กิจกรรมฟี เส้นทางนักสู้ ROAD TO BOOYAH! DAY
เส้นทางเดือดของเหล่าผู้เล่น Free Fire
ทำภารกิจแต่ละช่วงให้ครบ เราแจกไอเทมไปเลย 💥
รอช้าอะไรอยู่ล่ะ เข้ามาเล่นกันได้แล้วว 🔥
5 ภารกิจ กับ 5 ช่วงเวลา ดูวันเอาไว้ให้ดีและลุดโลดดด 💕</t>
  </si>
  <si>
    <t>https://www.facebook.com/740460599475760/posts/1926627490859059/</t>
  </si>
  <si>
    <t>740460599475760_1926628300858978</t>
  </si>
  <si>
    <t>กลับมาแล้ว กับชุดสุดป่วนเจ้าก๊วนกระต่าย
กับแฟชั่นกระต่ายหมายฟันสุดโหด 💥
ที่เข้ามาเพื่อกำจัดทุก ๆ ตี้ในสมรภูมิ 🔥
ครั้งที่แล้วใครพลาดไป ครั้งนี้ต้องห้ามพลาด 
⏳ ระยะเวลากิจกรรม
ตั้งแต่วันที่ 28 ตุลาคม 2564 เวลา 01.00 น.
ถึงวันที่ 3 พฤศจิกายน 2564 เวลา 23.59 น.</t>
  </si>
  <si>
    <t>https://www.facebook.com/740460599475760/posts/1926628300858978/</t>
  </si>
  <si>
    <t>740460599475760_1926629087525566</t>
  </si>
  <si>
    <t>ใกล้เข้ามาแล้วนะกับโหมดใหม่ คู่หูสุดซิ่ง
จากที่เห็น ๆ กันพอเดากันได้ไหมเอ่ย ❓
ว่าโหมดใหม่นี้ จะเอาเจ้าเหล่าคู่หูสุดน่ารัก
มาเล่นกันแบบไหน ยังไงกัน 💥
ไหนลองแกล้ง ๆ คอมเมนต์มาบอกแอดกันหน่อยสิ๊ 💕
พร้อมให้เล่น 30 ตุลาคม 2564 นี้แล้วน้าาา 😘</t>
  </si>
  <si>
    <t>https://www.facebook.com/740460599475760/posts/1926629087525566/</t>
  </si>
  <si>
    <t>740460599475760_1927511477437327</t>
  </si>
  <si>
    <t>ป้องกันไว้ก่อนกับบัญชีของ Facebook 💥
ช่วงนี้มีเรื่องของ Facebook ที่แจ้งในเรื่องของความปลอดภัย 🔒
แอดมินจึงมาแชร์วิธีเพิ่อป้องกันไม่ให้บัญชีที่มีอยู่นั้นหายไป
เพียงทำตามขั้นตอนง่าย ๆ เหล่านี้ได้เลย ❗
อย่าลืมทำกันนะทั้ง iOS และ Andriod เลยน้า 💕</t>
  </si>
  <si>
    <t>https://www.facebook.com/740460599475760/posts/1927511477437327/</t>
  </si>
  <si>
    <t>740460599475760_1926680174187124</t>
  </si>
  <si>
    <t>[VDO] DARK DRAGON ตระกลูมังกรทมิฬ
เปลวเพลิงเดือดพล่านปะทุออกจากปีก ✨
อัลบัมคอสเพลย์ครั้งยิ่งใหญ่
ที่จะทำให้หัวใจคุณเร่าร้อนดั่งไฟ 🔥
เตรียมพบความแข็งแกร่งจากสายเลือดมังกรได้เร็ว ๆ นี้ 💥</t>
  </si>
  <si>
    <t>https://www.facebook.com/740460599475760/posts/1926680174187124/</t>
  </si>
  <si>
    <t>740460599475760_1926689657519509</t>
  </si>
  <si>
    <t>[TEASER ภาพยนตร์สั้น] 3 เฮี้ยน เพี้ยนทุกซีน: ผีแม่ชี
เรื่องราวของสาวเหนือที่เข้ามาทำงานในกรุงเทพ 
เธอได้เช่าห้องพักห้องหนึ่ง ❗ แต่หอพักนี้มีความลับบางอย่างซ่อนอยู่...
รับชมภาพยนตร์สั้นสุดสยอง 3 เฮี้ยน เพี้ยนทุกซีน 👻
⏳ ในวันที่ 31 ตุลาคม 2564
#FFปาร์ตี้สยองฉลองฮาโลวีน #FreeFireTH</t>
  </si>
  <si>
    <t>https://www.facebook.com/740460599475760/posts/1926689657519509/</t>
  </si>
  <si>
    <t>740460599475760_1927797234075418</t>
  </si>
  <si>
    <t>https://www.facebook.com/740460599475760/posts/1927797234075418/</t>
  </si>
  <si>
    <t>740460599475760_1927801720741636</t>
  </si>
  <si>
    <t>https://www.facebook.com/740460599475760/posts/1927801720741636/?substory_index=0</t>
  </si>
  <si>
    <t>740460599475760_1927470357441439</t>
  </si>
  <si>
    <t>แฟชั่นนารีต้องมนตรา
เหล่าวิญญาณ 👻 ที่หลับไหลวนเวียนอยู่ในชุด 
นำโทเคนที่ได้ 🎃 มาแลกเปลี่ยน
ปลดปล่อยชุดนี้มาจากคำสาปอันมืดมิด
สู่คำคืนแห่งความหลอนแบบสุดขีด 💥
⏳ ระยะเวลากิจกรรม
ตั้งแต่วันที่ 29 ตุลาคม 2564 เวลา 01.00 น.
ถึงวันที่ 7 พฤศจิกายน 2564 เวลา 23.59 น.</t>
  </si>
  <si>
    <t>https://www.facebook.com/740460599475760/posts/1927470357441439/</t>
  </si>
  <si>
    <t>740460599475760_1925663274288814</t>
  </si>
  <si>
    <t>⏳โปรสุดโหด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</si>
  <si>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https://www.facebook.com/740460599475760/posts/1925663274288814/</t>
  </si>
  <si>
    <t>740460599475760_1928356114019530</t>
  </si>
  <si>
    <t>[FULL CG ANIMATION] แอนิเมชันคู่หูสุดซิ่ง
ใครกัน! มาทำให้น้องดร.บีนนี่ ของเราโกรธ 💢
แบบนี้ต้องเอาคืนในสนามแข่งกันหน่อยแล้ว 
โหมดสุดปั่น กับก๊วนคู่หูสุดป่วน พร้อมมันส์กันจ้า 💥
เปิดให้เล่น 30 ตุลาคม 2564 นี้แล้วน้าาา 😘</t>
  </si>
  <si>
    <t>https://www.facebook.com/740460599475760/posts/1928356114019530/</t>
  </si>
  <si>
    <t>740460599475760_1928423800679428</t>
  </si>
  <si>
    <t>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t>
  </si>
  <si>
    <t>https://www.facebook.com/740460599475760/posts/1928423800679428/</t>
  </si>
  <si>
    <t>740460599475760_1928424837345991</t>
  </si>
  <si>
    <t>เอ๊าาา ไหนใครที่เรียกร้องดาบคาตานะ ⚔
จัดมาให้แล้วกับช่วงเทศกาลฮาโลวีนนี้ 🎃
ด้วยดาบต้องคำสาปที่ปิดผนึกความมืดมิดเอาไว้
พร้อมฟาดฟันความชั่วให้มลายหายไป 💥
⏳ ระยะเวลากิจกรรม
ตั้งแต่วันที่ 30 ตุลาคม 2564 เวลา 00.01 น.
ถึงวันที่ 5 พฤศจิกายน 2564 เวลา 23.59 น.</t>
  </si>
  <si>
    <t>https://www.facebook.com/740460599475760/posts/1928424837345991/</t>
  </si>
  <si>
    <t>740460599475760_1928425317345943</t>
  </si>
  <si>
    <t>ต้อนรับวันปล่อยผี ด้วยกิจกรรมโทเคนแลกไอเทม ✨
กับของสุดพิเศษที่มีมาให้เฉพาะช่วง 
วันฮาโลวีนสุดเฮี้ยน 🎃 ในปีนี้
ล่าแฟชั่นและไป ทริค ออ ทรีท ในสมรภูมิกันจ้า 🔥
⏳ ระยะเวลากิจกรรม
ตั้งแต่วันที่ 30 ตุลาคม 2564 เวลา 04.00 น.
ถึงวันที่ 1 พฤศจิกายน 2564 เวลา 03.59 น</t>
  </si>
  <si>
    <t>https://www.facebook.com/740460599475760/posts/1928425317345943/</t>
  </si>
  <si>
    <t>740460599475760_1928451200676688</t>
  </si>
  <si>
    <t>[VDO] เปิดคลังแสง ELITE PASS SEASON 42
INFERNO RAGE ตระกลูมังกรทมิฬ 🐉
เผาผลาญทุกสิ่งให้พินาศสิ้น 
เพื่อขึ้นมาปกครองผืนแผนดินนี้อีกครั้ง 💥
ELITE PASS แห่งความแข็งแกร่งและดุดัน 🔥
⏳ ระยะเวลากิจกรรม Pre-order
ตั้งแต่วันที่ 29 ตุลาคม 2564 เวลา 00.01 น.
ถึงวันที่ 31 ตุลาคม 2564 เวลา 23.59 น.
🚨 ของรางวัลอื่น ๆ
จะได้รับวันที่ 1 พฤศจิกายน 2564 เวลา 00.01 น.
เตรียมออกผจญภัยทำภารกิจสุดอันตรายไปพร้อมกัน
วันที่ 1 พฤศจิกายน 2564</t>
  </si>
  <si>
    <t>https://www.facebook.com/740460599475760/posts/1928451200676688/</t>
  </si>
  <si>
    <t>740460599475760_1928427537345721</t>
  </si>
  <si>
    <t>อัลบั้มคอสเพลย์สุดเท่ฉลองวันหลอน ๆ ❗
จากชุดแฟชั่นขุนพลคนขลังและนารีต้องมนตรา 
2 นักรบในตำนานที่ถูกปลดคำสาป 💥
ให้หลุดพ้นจากการหลับไหล และกลับเข้าสู้ในสมรภูมิ 🔥
ใครที่ยังไม่มีแฟชั่นนี้ต้องรีบไปตามเก็บให้ครบกันแล้วน้าา 😘</t>
  </si>
  <si>
    <t>https://www.facebook.com/740460599475760/posts/1928427537345721/</t>
  </si>
  <si>
    <t>740460599475760_1928430600678748</t>
  </si>
  <si>
    <t>เคล็ดไม่ลับฉบับของแอดมิน 💥
ในโหมดสุดน่ารักน่าชัง "คู่หูสุดซิ่ง"
ลองเอาทริคเหล่านี้ไปเล่นกันดูน้า ✨
ส่วนใครที่เล่นจนเซียนแล้ว ลองเอาทริคที่ใช้
มาแชร์ให้เพื่อน ๆ ได้รู้กันหน่อยเร็วว 😘</t>
  </si>
  <si>
    <t>https://www.facebook.com/740460599475760/posts/1928430600678748/</t>
  </si>
  <si>
    <t>740460599475760_1928446460677162</t>
  </si>
  <si>
    <t>[VDO] คู่มือโหมด คู่หูสุดซิ่ง
4 ด่านสุดหฤโหด กับ 3 มินิเกมสุดฮา 🤣
ที่จะให้เหล่าตัวป่วนแสนคิวท์
มาโลดแล่นในสนามแข่งขันนี้ 💥
ใครยังไม่ได้ลองเล่น บอกเลยว่า ต้องลอง! ✨</t>
  </si>
  <si>
    <t>https://www.facebook.com/740460599475760/posts/1928446460677162/</t>
  </si>
  <si>
    <t>740460599475760_1928120204043121</t>
  </si>
  <si>
    <t>[TEASER ภาพยนตร์สั้น] 3 เฮี้ยน เพี้ยนทุกซีน: ผีปอบ
หนุ่มลูกอีกสานปิดเทอมจากเมืองนอกต้องกลับบ้านนา
แต่แล้วกลับเกิดเหตุการ์ณแปลกๆ เมื่อไก่ในเล้าของพ่อหายไป 🐔
เหลือไว้แต่เพียงคราบเลือด 🩸 และเหตุการณ์วุ่น ๆ ที่กำลังจะเกิดขึ้น...
รับชมภาพยนตร์สั้นสุดสยอง 3 เฮี้ยน เพี้ยนทุกซีน 👻
⏳ ในวันที่ 31 ตุลาคม 2564
#FFปาร์ตี้สยองฉลองฮาโลวีน #FreeFireTH</t>
  </si>
  <si>
    <t>https://www.facebook.com/740460599475760/posts/1928120204043121/</t>
  </si>
  <si>
    <t>740460599475760_1928431267345348</t>
  </si>
  <si>
    <t>ถึงคิวของชุดแฟชั่นขุนพลคนขลัง ❗
อยู่มาวันหนึ่ง คำสาปที่กักขลังเขาไว้ก็ถูกปลดออก 💥
จากความยาวนานนี้ ทำให้เค้าสะสมพลังเอาไว้
และเตรียมมาปลดปล่อยพลังในสมรภูมิ 🔥
⏳ ระยะเวลากิจกรรม
ตั้งแต่วันที่ 31 ตุลาคม 2564 เวลา 00.01 น.
ถึงวันที่ 6 พฤศจิกายน 2564 เวลา 23.59 น.</t>
  </si>
  <si>
    <t>https://www.facebook.com/740460599475760/posts/1928431267345348/</t>
  </si>
  <si>
    <t>740460599475760_1925661867622288</t>
  </si>
  <si>
    <t>⏳เงินคืนกระจุย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</si>
  <si>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https://www.facebook.com/740460599475760/posts/1925661867622288/</t>
  </si>
  <si>
    <t>740460599475760_282532207073795</t>
  </si>
  <si>
    <t>🔴 รับชม Live ได้แล้วตอนนี้
กับโหมดใหม่ล่าสุด คู่หูสุดซิ่ง 🔥
โหมดใหม่สุดมันส์ จัดเต็มความคิวท์ 💕
มาพร้อมหล่าครีเอเตอร์ที่ทุกคนชื่นชอบ
✨ K2J
✨ 9NY FF
✨ ZPLOY SY
✨ SELECTZx
เอาใจช่วยพร้อมรับไอเทมโค๊ดฟรี! 💥
และอย่าลืม ❗️ รอชมเหล่าครีเอเตอร์คนอื่น ๆ
ที่จะมาให้ความสนุกในโหมดใหม่ คู่หูสุดซิ่ง 💓
👉 1 ต.ค.
พบกับ EVOS SANDEE, GutuX2, INDARFZ FF และ Jojoe CH</t>
  </si>
  <si>
    <t>https://www.facebook.com/freefireth/videos/282532207073795/</t>
  </si>
  <si>
    <t>740460599475760_1928432400678568</t>
  </si>
  <si>
    <t>เหล่าผู้เล่น Free Fire ทั้งหลาย บอกแอดหน่อย ❓
ชื่นชอบชุดเซ็ต EVO ไหนมากที่สุด
และอยากให้อันไหนกลับมาอีกครั้ง ✨
กดอีโมจิชุดที่ต้องการมารัว ๆ ได้เลย 💥</t>
  </si>
  <si>
    <t>https://www.facebook.com/740460599475760/posts/1928432400678568/</t>
  </si>
  <si>
    <t>740460599475760_1928433627345112</t>
  </si>
  <si>
    <t>จงลุกเป็นไฟและเผาทุกอย่างที่ขวางหน้าให้สิ้น 🔥
อัลบั้มชุดแฟชันสิทธิ์ขั้นสูง EP. 42 INFERNO RAGE
ความร้อนแรง ความดุดัน และความมีอำนาจ ✨
แผ่ขยายอำนาจของพลังมังกรไปให้ทั่ว
สามารถซื้อสิทธิขั้นสูงได้แล้ววันนี้ 💥</t>
  </si>
  <si>
    <t>https://www.facebook.com/740460599475760/posts/1928433627345112/</t>
  </si>
  <si>
    <t>740460599475760_1269931843454044</t>
  </si>
  <si>
    <t>🔴 รับชม Live ได้แล้วตอนนี้
กับโหมดใหม่ล่าสุด คู่หูสุดซิ่ง 🔥
โหมดใหม่สุดมันส์ จัดเต็มความคิวท์ 💕
มาพร้อมหล่าครีเอเตอร์ที่ทุกคนชื่นชอบ
✨ INDARFZ FF
✨ GutuX2
✨ ICMac Channel
✨ Jojoe CH
เอาใจช่วยพร้อมรับไอเทมโค๊ดฟรี! 💥</t>
  </si>
  <si>
    <t>https://www.facebook.com/freefireth/videos/1269931843454044/</t>
  </si>
  <si>
    <t>740460599475760_1930474490474359</t>
  </si>
  <si>
    <t>เตรียมพบกับ MUSIC VIDEO เพลงจากภาคเหนือ
ยืนหนึ่ง - PMCปู่จ๋าน ลองไมค์ x โอห์ม ฟลุ้ค
ให้กลิ่งอายเหนือ ๆ แบบจัดเต็ม
ถึงกับต้องอู้กำเมืองว่า "กึ๊ดเติงหา"
#FreeFire4FEST</t>
  </si>
  <si>
    <t>https://www.facebook.com/740460599475760/posts/1930474490474359/</t>
  </si>
  <si>
    <t>740460599475760_1930818393773302</t>
  </si>
  <si>
    <t>หนทางของนักสู้นั้นช่างลำบากนัก 🔥
เหล่าผู้รอดชีวิตใน Free Fire ทั้งหลาย 
ทำภารกิจรายวันสะสมโทเคนแลกรับรางวัลพิเศษ
นักสู้ที่แท้จริง ภารกิจแค่นี้ สบาย ❗
⏳ ระยะเวลากิจกรรม
ตั้งแต่วันที่ 6 พฤศจิกายน 2564 เวลา 04.00 น.
ถึงวันที่ 8 พฤศจิกายน  2564 เวลา 03.59 น.</t>
  </si>
  <si>
    <t>https://www.facebook.com/740460599475760/posts/1930818393773302/</t>
  </si>
  <si>
    <t>740460599475760_1931244117064063</t>
  </si>
  <si>
    <t>มาแล้วกับ TEASER MV ภาคเหนือที่รอคอย
ยืนหนึ่ง - PMCปู่จ๋าน ลองไมค์ x โอห์ม ฟลุ้ค
อบอวนไปด้วยอารมณ์สนุกสนาน ✨
แต่เต็มไปด้วยความ "น่าฮักขนาด" แบบเต็มเปี่ยม 💕
ตามไปยืนหนึ่งก่อนใครที่นี่: https://bit.ly/2ZODTp2</t>
  </si>
  <si>
    <t>https://www.facebook.com/740460599475760/posts/1931244117064063/</t>
  </si>
  <si>
    <t>740460599475760_1931154987072976</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</si>
  <si>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</si>
  <si>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https://www.facebook.com/740460599475760/posts/1931154987072976/</t>
  </si>
  <si>
    <t>740460599475760_1932005006987974</t>
  </si>
  <si>
    <t>TOP-UP ปั๊บรับคู่หูใหม่ปุ๊บ ✨
กับต้าวกระต่ายเจ้าหน้าที่ฮ็อปมาร่วมรบ
มาพร้อมชุดแฟชันแน่นไปด้วยยุทโธปกรณ์
ช่วยเหล่าผู้รอดชีวิตให้ BOOYAH ❗
⏳ ระยะเวลากิจกรรม
ตั้งแต่วันที่ 4 พศจิกายน 2564 เวลา 00.01 น.
ถึงวันที่ 8 พศจิกายน 2564 เวลา 23.59 น.</t>
  </si>
  <si>
    <t>https://www.facebook.com/740460599475760/posts/1932005006987974/</t>
  </si>
  <si>
    <t>740460599475760_1932009396987535</t>
  </si>
  <si>
    <t>ก๊วนคู่หูสุดซี้ ออกป่วนเมือง ✨
เมื่อทั้งสองรู้สึกว่าทุกสิ่งน่าเบื่อไปหมด
เค้าจึงหาสิ่งที่มาทำให้เค้าสนุกขึ้น
แฟชั่นที่เพิ่มสีสันให้กับเมืองที่แสนเงียบสงบ 💥
⏳ ระยะเวลากิจกรรม
ตั้งแต่วันที่ 4 พศจิกายน 2564 เวลา 00.01 น.
ถึงวันที่ 10 พศจิกายน 2564 เวลา 23.59 น.</t>
  </si>
  <si>
    <t>https://www.facebook.com/740460599475760/posts/1932009396987535/</t>
  </si>
  <si>
    <t>740460599475760_1932017340320074</t>
  </si>
  <si>
    <t>หัวหน้าที่ไม่เคยแม้แต่จะเปิดเผยใบหน้า
เรื่องราวของเค้ายังคงเป็นปริศนา ❓
ผู้ที่อยู่เบื้องหลังอาชกรรมแถบตะวันตก
แฟชั่นทรงอิทธิพลที่ทำให้คุณรู้สึกเป็นที่หนึ่ง 🏆
⏳ ระยะเวลากิจกรรม
ตั้งแต่วันที่ 4 พศจิกายน 2564 เวลา 00.01 น.
ถึงวันที่ 24 พศจิกายน 2564 เวลา 23.59 น.</t>
  </si>
  <si>
    <t>https://www.facebook.com/740460599475760/posts/1932017340320074/</t>
  </si>
  <si>
    <t>740460599475760_1932721116916363</t>
  </si>
  <si>
    <t>https://www.facebook.com/740460599475760/posts/1932721116916363/</t>
  </si>
  <si>
    <t>740460599475760_1932019070319901</t>
  </si>
  <si>
    <t>ตั้งแต่เล่นโหมดคู่หูสุดซิ่งมาเป็นอย่างไรบ้าง ❓
ด้วยความน่ารักแบบ โหด มันส์ ฮา ขนาดนี้
ในทุก ๆ เกมที่เล่นจบไป ✨
พี่ ๆ น้อง ๆ เป็นสายไหนใน 4 สาย
กดอิโมจิมาบอกแอดกันหน่อยสิ๊ แอดอยากรู้ 💕</t>
  </si>
  <si>
    <t>https://www.facebook.com/740460599475760/posts/1932019070319901/</t>
  </si>
  <si>
    <t>740460599475760_1932024120319396</t>
  </si>
  <si>
    <t>[การ์ตูน📖] REALITY UNVEILED ตอนที่ 2 คำเชิญปริศนา
ด้วยความสามารถในการเล่นเกมของวูฟราห์
ที่แสนจะโดดเด่นและเก่งกาจ
จึงเป็นเหตุที่ทำให้เขาได้รับคำเชิญปริศนา
คำเชิญนี้จะมาจากใคร และวูฟร่าห์จะตอบรับคำเชิญนี้หรือไม่...</t>
  </si>
  <si>
    <t>https://www.facebook.com/740460599475760/posts/1932024120319396/</t>
  </si>
  <si>
    <t>740460599475760_1932849380236870</t>
  </si>
  <si>
    <t>จักรวรรดิแอซเท็กผู้บูชาเทพเจ้าแห่งดวงอาทิตย์ ☀
โดยความเชื่อในเรื่องของชัยชนะแห่งสงคราม ⚔
จากเรื่องราวที่เกิดขึ้นในอดีตกาล
สู่สกินปืนสุริยันแห่งชัยนะอันยิ่งใหญ่ 💥
⏳ ระยะเวลากิจกรรม
ตั้งแต่วันที่ 5 พศจิกายน 2564 เวลา 00.01 น.
ถึงวันที่ 3 ธันวาคม 2564 เวลา 23.59 น.</t>
  </si>
  <si>
    <t>https://www.facebook.com/740460599475760/posts/1932849380236870/</t>
  </si>
  <si>
    <t>740460599475760_1932850766903398</t>
  </si>
  <si>
    <t>เริ่มต้นกิจกรรมที่ยิ่งใหญ่ BOOYAH! DAY
แจกไอเทมเพียบ แบบยาว ๆ จนถึงท้ายเดือน 🔥
ทำภารกิจแต่ละวันเพื่อรับโทเคน
มาใช้ร่วมกิจกรรมต่าง ๆ ที่จะเกิดขึ้น 💥
⏰ ตั้งเวลาเตือนไว้ให้ดี จะได้ไม่พลาดไอเทมเด็ดที่ต้องการ</t>
  </si>
  <si>
    <t>https://www.facebook.com/740460599475760/posts/1932850766903398/</t>
  </si>
  <si>
    <t>740460599475760_1933425790179229</t>
  </si>
  <si>
    <t>MV ภาคเหนือที่รอคอย มาแล้ว ❗
ยืนหนึ่ง - PMCปู่จ๋าน ลองไมค์ x โอห์ม ฟลุ้ค
เพลงฟังสบาย "เปิงใจ๋แต้ ๆ" 
ให้คุณได้อบอุ่นหัวใจผ่านบทเพลง 💕
เข้ามาดู MV สุดพิเศษนี้ได้ที่ : https://youtu.be/ISli9hgQ29Q</t>
  </si>
  <si>
    <t>https://www.facebook.com/740460599475760/posts/1933425790179229/</t>
  </si>
  <si>
    <t>740460599475760_1932852616903213</t>
  </si>
  <si>
    <t>หน่ะนี่มัน ❗ แก๊ง 4 สีนี่นา
คนชั่วทั้งหลายต้องชิดซ้าย 💥
เหล่าวายร้ายที่พบต้องหลีกขวา
เพราะเค้ามาเพื่อผดุงความยุติธรรม 🔥
⏳ ระยะเวลากิจกรรม
ตั้งแต่วันที่ 6 พศจิกายน 2564 เวลา 00.01 น.
ถึงวันที่ 13 พศจิกายน 2564 เวลา 23.59 น.</t>
  </si>
  <si>
    <t>https://www.facebook.com/740460599475760/posts/1932852616903213/</t>
  </si>
  <si>
    <t>740460599475760_1933489020172906</t>
  </si>
  <si>
    <t>[VDO] เปิดเทอมเล่น Free Fire
เปิดเทอมทั้งที เรียนก็เรียนให้สุด เล่นก็เล่นให้สุด ✨
แต่ต้องให้ถูกเวลา พักเที่ยงหรือเลิกเรียนเมื่อไหร่ 
มาเจอกัน รวมเพื่อน ตั้งตี้ เล่น Free Fire เลย 💥</t>
  </si>
  <si>
    <t>https://www.facebook.com/740460599475760/posts/1933489020172906/</t>
  </si>
  <si>
    <t>740460599475760_1932661716922303</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</si>
  <si>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</si>
  <si>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https://www.facebook.com/740460599475760/posts/1932661716922303/</t>
  </si>
  <si>
    <t>740460599475760_1933552703499871</t>
  </si>
  <si>
    <t>ในทุกครั้งที่เข้าร่วมสมรภูมิ 💥
ในทุก ๆ เกมย่อมมีความแตกต่าง
เหมือนชีวิตที่ไม่มีวันเหมือนเดิมในแต่ละวัน 🔥
ชีวิตคือการต่อสู้
"BATTLE IN STYLE สู้อย่างมีสไตล์"</t>
  </si>
  <si>
    <t>https://www.facebook.com/740460599475760/posts/1933552703499871/</t>
  </si>
  <si>
    <t>740460599475760_1933463956842079</t>
  </si>
  <si>
    <t>[VDO] แฟชันเที่ยวทิพย์ กลับมาแล้ว !
วิถีคนรวย ๆ อยากเที่ยวต้องได้เที่ยว 😎
ต้องนี่เลย ชุดแฟชั่นเที่ยวทิพย์ 
อยู่ไหนก็เที่ยวได้ อยู่บ้านชิว ๆ นี่แหละใช่ 💲</t>
  </si>
  <si>
    <t>https://www.facebook.com/740460599475760/posts/1933463956842079/</t>
  </si>
  <si>
    <t>740460599475760_1933766253478516</t>
  </si>
  <si>
    <t>[เตรียมทีมให้พร้อม] ถ้าอยากซ้อมกับทีมตัวแทนประเทศไทย
ทีมรับเชิญในสัปดาห์นี้มาพบกับ SYZYGY และ  KING OF GAMERS CLUB
2 ทีมตัวแทนประเทศไทย จากกลุ่ม A รอบ PLAY-INS ในการแข่งขัน FFAC
รวมทีมของคุณให้พร้อม แล้วมาโดดร่มลงสนามซ้อมตามล่ารางวัล
มูลค่ารวมกว่า 20,000 เพรช 
รับชมพร้อมกันได้ที่
🔴 Youtube : Garena Free Fire Thailand
🔵 Facebook : Free Fire Esports TH
เวลา 13.00 น. เป็นต้นไป
※ รายละเอียดกิจกรรม
🏆 โหมดทั่วไป BR แบบทีม 4 (แข่งขันทั้งหมด 4 รอบ)
- ทีมไหนที่สามารถ Booyah! ได้ รับไปเลย 2,000 เพชร 💎 (500 ต่อคน)
- ทีมลำดับที่ 2 รับไปเลย 1,200 เพชร  💎 (300 ต่อคน)
- ทีมลำดับที่ 3 รับไปเลย 1,000 เพชร  💎 (250 ต่อคน)
- ทีมลำดับที่ 4 รับไปเลย 800 เพชร  💎 (200 ต่อคน)
- ทีมลำดับที่ 5-8 รับไปเลย บัตรไดมอนด์รอยัล คนละ 2 ใบ
- ทีมลำดับที่ 9-12 รับไปเลย บัตรไดมอนด์รอยัล คนละ 1 ใบ
#FreeFireShowOff #FFesports #FFAC2021
#IGNITEYOURFIRE</t>
  </si>
  <si>
    <t>https://www.facebook.com/740460599475760/posts/1933766253478516/</t>
  </si>
  <si>
    <t>740460599475760_1933467933508348</t>
  </si>
  <si>
    <t>[VDO] โดดไกลให้ถึงฝัน
ลีออนผู้ที่ไม่เคยหยุดนิ่งในการใช้ชีวิต ✨
เค้าเรียนรู้และพัฒนาตัวเองไม่ให้อยู่กับที่
วันนี้เค้าพร้อมแล้วในสรมภูมิเดือดอันยิ่งใหญ่ 🔥</t>
  </si>
  <si>
    <t>https://www.facebook.com/740460599475760/posts/1933467933508348/</t>
  </si>
  <si>
    <t>740460599475760_306128691099558</t>
  </si>
  <si>
    <t>Free Fire Show-off ซ้อมกับโปร : KOG และ SYZ ตัวแทนประเทศไทยที่จะลุยศึก FFAC</t>
  </si>
  <si>
    <t>https://www.facebook.com/freefireth/videos/306128691099558/</t>
  </si>
  <si>
    <t>740460599475760_1933473546841120</t>
  </si>
  <si>
    <t>ภารกิจบูย่าห์ กับวัน BOOYAH DAY ❗
เพียงทำภารกิจรายวันให้สำเร็จ
และสะสมโทเคนในกิจกรรม 
แลกรับสกินปืนไปแบบจุก ๆ แน่น ๆ 💥
⏳ ระยะเวลากิจกรรม
ตั้งแต่วันที่ 8 พศจิกายน 2564 เวลา 04.00 น.
ถึงวันที่ 15 พศจิกายน 2564 เวลา 03.59 น.</t>
  </si>
  <si>
    <t>https://www.facebook.com/740460599475760/posts/1933473546841120/</t>
  </si>
  <si>
    <t>740460599475760_1935447329977075</t>
  </si>
  <si>
    <t>ขอต้อนรับเข้าสู่ช่วง "ตัวจริงเรื่อง Free Fire"
จากเงาปริศนาของปืนในรูปนี้ 
คิดว่าอาวุธอัพเกรดถัดไปจะเป็นปืนอะไร ❓
ลองคอมเม้นท์คำตอบมาบอกแอดกันหน่อยเร็ววว ✨</t>
  </si>
  <si>
    <t>https://www.facebook.com/740460599475760/posts/1935447329977075/</t>
  </si>
  <si>
    <t>740460599475760_1933474060174402</t>
  </si>
  <si>
    <t>เหล่าคู่หูหิวแล้วน้าา มาเติมพลังให้เค้าหน่อยเร็วว 💥
ทำภารกิจเพื่อรับคุกกี้แสนอร่อย 🍪
เอาให้ให้น้อง ๆ มีแรงมาช่วย 
เหล่าผู้รอดชีวิตในสมรภูมิและ BOOYAH ❗ ไปด้วยกัน 
⏳ ระยะเวลากิจกรรม
ตั้งแต่วันที่ 8 พศจิกายน 2564 เวลา 04.00 น.
ถึงวันที่ 14 พศจิกายน 2564 เวลา 03.5</t>
  </si>
  <si>
    <t>https://www.facebook.com/740460599475760/posts/1933474060174402/</t>
  </si>
  <si>
    <t>740460599475760_1933545816833893</t>
  </si>
  <si>
    <t>🏆FREE FIRE ASIA CHAMPIONSHIP รอบ PLAY-INS 🎯
ทั้ง 24 ทีม แบ่งออกเป็น  Group A และ Group B
🔥ในรอบ Play-ins
อันดับ 1-2  และอันดับ 3 ที่ดีที่สุดจากทั้ง 2 กลุ่มจะผ่านเข้าสู่รอบ FINALS 🏆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</si>
  <si>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https://www.facebook.com/740460599475760/posts/1933545816833893/</t>
  </si>
  <si>
    <t>740460599475760_1935555239966284</t>
  </si>
  <si>
    <t>เอ้าาา อย่าลืมเข้ามารับชม LIVE สุดพิเศษ ✨
MEW และ แก๊งกระต่ายคลั่งกันได้ 
แจกของกันจุก ๆ พิเศษเฉพาะใน LIVE 🔥
ทั้งไอเทม แฟชั่นสุดปัง สกินปืนถาวร และอื่น ๆ อีกเพียบ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</si>
  <si>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https://www.facebook.com/740460599475760/posts/1935555239966284/</t>
  </si>
  <si>
    <t>740460599475760_1935564853298656</t>
  </si>
  <si>
    <t>เตรียมพบกับ MUSIC VIDEO ✨
เพลงที่ 4 จากโปรเจกต์ Free Fire 4FEST 💥
"ก่อนรักกลายเป็นเกลียด"
จากศิลปิน Violette Wautier x Mew Suppasit 💕
เพลงที่ปลดปล่อยความรู้สึกซึ้งปนเศร้า เคล้าน้ำตา 😢
เมื่อความรักไม่ใช่เพียงแค่ "รักกัน" เท่านั้น</t>
  </si>
  <si>
    <t>https://www.facebook.com/740460599475760/posts/1935564853298656/</t>
  </si>
  <si>
    <t>740460599475760_1935583059963502</t>
  </si>
  <si>
    <t>สวัสดีผู้รอดชีวิตทุกท่าน
เพื่อความเป็นธรรมในการเล่นเกมของผู้เล่นทุกคน การกระทำเหล่านี้อาจทำให้ท่านถูกแบนได้:
1.ใช้โปรแกรมปรับแต่งหรือโปรแกรมที่ไม่ได้รับอนุญาตกับตัวเกม
2.ใช้เครื่องมือที่ไม่ได้รับอนุญาตที่มีผลกับตัวเกม Free Fire
3.ใช้โปรแกรมที่ไม่ถูกรับรองเพื่อเพิ่มประสิทธิภาพของเกมเพลย์
4.ปรับแต่งไฟล์โมเดลเพื่อสร้างความได้เปรียบในการเล่น
5.ใช้ประโยชน์จากข้อผิดพลาดหรือบัคเพื่อสร้างความได้เปรียบในการเล่น
6.โดนรีพอร์ทจากผู้เล่นอื่นหลายคนและถูกตรวจจับได้ว่ามีกิจกรรมการเล่นที่ไม่ปกติ
7.เจาะระบบป้องกันการแฮกของ Free Fire ผ่านการโอนถ่ายข้อมูลแบบผิดกฏหมาย
เราหวังว่านี่จะช่วยเน้นย้ำผู้รอดชีวิตทุกท่านให้ไม่เข้าไปยุ่งเกี่ยวกับเหล่าแฮกเกอร์
ภารกิจต่อสู้กับเหล่าแฮกเกอร์ของเรายังคงดำเนินต่อไป เพื่อประสบการณ์การเล่นที่ดีสำหรับทุกคน เราจะขอย้ำอีกครั้งให้ทุกท่านหลีกเลี่ยงการใช้แฮกใดๆก็ตาม
Free Fire Anti-Hack Operations Team</t>
  </si>
  <si>
    <t>https://www.facebook.com/740460599475760/posts/1935583059963502/</t>
  </si>
  <si>
    <t>740460599475760_1935728093282332</t>
  </si>
  <si>
    <t>เอ๊าาาา ไหนใครรอแผนที่ใหม่อยู่ ยกมือขึ้น 🖐🏻
ใกล้เข้าเข้ามาแล้วกับแผนที่ขนาด 4X4
ที่จะมาเพิ่มความเร้าใจมากยิ่งขึ้น 🔥
ซ้อมมือไว้ให้พร้อม และเตรียมเดือดกันไว้ให้ดี 
แล้วมาเจอกันในแผนที่ใหม่นี้ได้เร็ว ๆ นี้ 💕</t>
  </si>
  <si>
    <t>https://www.facebook.com/740460599475760/posts/1935728093282332/</t>
  </si>
  <si>
    <t>740460599475760_1936200256568449</t>
  </si>
  <si>
    <t>โปรเด็ด Free Fire 11.11 ✨
จัดหนัก จัดเต็มกับของเด็ดไม่ซ้ำ 💥
ตั้งแต่ผู้รอดชีวิตใหม่ ยันแฟชั่นที่ทุดคนถามหา
อีกทั้งยังมีสกินปืนสุดเท่ โปรดีแบบนี้ พลาดไม่ได้แล้ว 🔥
ใครชอบแฟชั่นไหนหรือสกินปืนพิมพ์มาบอกแอดกันหน้อยจ้าา 💕</t>
  </si>
  <si>
    <t>https://www.facebook.com/740460599475760/posts/1936200256568449/</t>
  </si>
  <si>
    <t>740460599475760_1936441439877664</t>
  </si>
  <si>
    <t>TEASER MV เพลงสุดซึ้ง ❗
"ก่อนรักกลายเป็นเกลียด"
จากศิลปิน Violette Wautier x Mew Suppasit
บทเพลงกินใจ เนื้อหาโดน ๆ
พร้อมปาดน้ำตากันได้ที่นี่ : https://youtu.be/JE_31UyRJ0I</t>
  </si>
  <si>
    <t>https://www.facebook.com/740460599475760/posts/1936441439877664/</t>
  </si>
  <si>
    <t>740460599475760_1933548783500263</t>
  </si>
  <si>
    <t>🏆ตารางแข่ง FREE FIRE ASIA CHAMPIONSHIP🏆
ในรอบ Play-ins🔥
อันดับ 1-2  และอันดับ 3 ที่ดีที่สุดจากทั้ง 2 กลุ่มจะผ่านเข้าสู่รอบ FINALS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</si>
  <si>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https://www.facebook.com/740460599475760/posts/1933548783500263/</t>
  </si>
  <si>
    <t>740460599475760_1936446436543831</t>
  </si>
  <si>
    <t>เหล่าผู้รอดชีวิตทั้งหลายมาร่วมกันเป็นส่วนหนึ่ง 
ในการโหวตเพื่อให้ FREE FIRE MAX ✨
เป็นสุดยอดเกมเอาตัวรอด
มาแสดงพลังขอพวกเราให้ทุกคนได้ประจักษ์ 🔥
มาร่วมกันโหวตได้ที่นี่ : https://bit.ly/30cDP2C</t>
  </si>
  <si>
    <t>https://www.facebook.com/740460599475760/posts/1936446436543831/</t>
  </si>
  <si>
    <t>740460599475760_1936318723223269</t>
  </si>
  <si>
    <t>พรุ่งนี้แล้วนะ กับ LIVE สุดพิเศษ ✨
ระหว่าง MEW X แก๊งกระต่างคลั่ง
อยากรู้ ว่าในการไลฟ์ครั้งนี้จะมีอะไร 💥
ตั้งเวลาเตรียมไว้ บอกเลย "ห้ามพลาด"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</si>
  <si>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https://www.facebook.com/740460599475760/posts/1936318723223269/</t>
  </si>
  <si>
    <t>740460599475760_1936327786555696</t>
  </si>
  <si>
    <t>แฟชั่นพื้นเมืองสุดเท่ของ "ออโท" 💥
ที่บ่งบอกความเป็นชนพื้นเมืองทางแถบตะวันตก
ชุดสุดเท่ให้อารมณ์พริ้วไหว 
พร้อมใส่ไปอวดกันแล้วเหล่าผู้รอดชีวิตในสมรภูมิ 🔥
⏳ ระยะเวลากิจกรรม
ตั้งแต่วันที่ 11 พศจิกายน 2564 เป็นต้นไป</t>
  </si>
  <si>
    <t>https://www.facebook.com/740460599475760/posts/1936327786555696/</t>
  </si>
  <si>
    <t>740460599475760_1936326133222528</t>
  </si>
  <si>
    <t>อดใจรอกันหน่อย อีกแค่ 2 ชั่วโมงเท่านั้น
กับ LIVE สุดพิเศษระหว่าง ✨
"MEW X แก๊งค์กระต่ายคลั่ง"
นอกจากความสนุกภายในไลฟ์ยังมีแจกไอเทมเพียบ
แบบนี้ต้องห้ามพลาดแล้ว 💥
📱 จับมือถือเตรียมดูไลฟ์ไว้ให้พร้อม แล้วมาเจอกันเวลา 13.00 น.</t>
  </si>
  <si>
    <t>https://www.facebook.com/740460599475760/posts/1936326133222528/</t>
  </si>
  <si>
    <t>740460599475760_4546634405427841</t>
  </si>
  <si>
    <t>Free Fire Show off Special : MEW x EARENA</t>
  </si>
  <si>
    <t>https://www.facebook.com/freefireth/videos/4546634405427841/</t>
  </si>
  <si>
    <t>740460599475760_1936337043221437</t>
  </si>
  <si>
    <t>กิจกรรม BOOYAH! GO ✨
เข้ามาเล่นเกม Free Fire โหมด BR และ 4V4
หลังจบแมทช์ปั๊บรับโทเคนลูกเต๋า 🎲
เอาไปร่วมเล่นในกิจกรรม 
เฉพาะวันที่ 20 พฤศจิกายน 2564 ได้โทเคนคูณ 2 🔥
⏳ ระยะเวลากิจกรรม
ตั้งแต่วันที่ 12 พศจิกายน 2564 เวลา 04.00 น.
ถึงวันที่ 30 พศจิกายน 2564 เวลา 03.59 น.</t>
  </si>
  <si>
    <t>https://www.facebook.com/740460599475760/posts/1936337043221437/</t>
  </si>
  <si>
    <t>740460599475760_1937032936485181</t>
  </si>
  <si>
    <t>[VDO] แฟชั่น EVO กลับมาแล้ว
จากผลโหวตจำนวนมากของผู้เล่น ตอนนี้ ✨
"SPIRITED OVERSEERS"
ชุดของเหล่าจิ้งจอก พร้อมป่วนเมือง กลับมาอีกครั้งแล้วจ้า 🦊
⏳ ระยะเวลากิจกรรม
ตั้งแต่วันที่ 12 พศจิกายน 2564 เวลา 00.01 น.
ถึงวันที่ 19 พศจิกายน 2564 เวลา 23.59 น.</t>
  </si>
  <si>
    <t>https://www.facebook.com/740460599475760/posts/1937032936485181/</t>
  </si>
  <si>
    <t>740460599475760_1937030689818739</t>
  </si>
  <si>
    <t>[การ์ตูน📖] REALITY UNVEILED ตอนที่ 3 หมาป่าจักรกล
แมทช์แรกหลังจากที่วูฟราห์ได้ตอบรับคำเชิญ 💥
เกมแห่งการเอาชีวิตรอดก็ได้เริ่มต้นขึ้น
คว้าอาวุธและห้ำหั่นอย่างดุเดือด ไม่ว่าใครก็อยากเป็นแชมป์ 🔥
วูฟราห์จะสามารถเอาชนะในการแข่งครั้งแรกนี้ได้หรือไม่ ❓</t>
  </si>
  <si>
    <t>https://www.facebook.com/740460599475760/posts/1937030689818739/</t>
  </si>
  <si>
    <t>740460599475760_1937027513152390</t>
  </si>
  <si>
    <t>กิจกรรมแจกของฟรี BOOYAH DAY
เพียงแค่เข้าเกม Free Fire มาล็อกอิน 💥
ก็รับไปเลย "กล่องดวงใจ" สุดอลังการ
ชวนเพื่อน พี่ น้อง มาล็อกอินกันเยอะ ๆ น้าาา 💕
⏳ ระยะเวลากิจกรรม
ตั้งแต่วันที่ 13 พศจิกายน 2564 เวลา 04.00 น.
ถึงวันที่ 15 พศจิกายน 2564 เวลา 03.59 น.</t>
  </si>
  <si>
    <t>https://www.facebook.com/740460599475760/posts/1937027513152390/</t>
  </si>
  <si>
    <t>740460599475760_1937027923152349</t>
  </si>
  <si>
    <t>สกินปืนฉลอง BOOYAH DAY 🎇
ยิ่งอัปเกรดยิ่งเท่ ยิ่งอัปเกรดอีกก็ยิ่งโหด
กับปืนที่มีเอฟเฟคเปลี่ยนไปในทุกเลเวล 💥
ใครสายปืน EVO เอฟเฟคเทพ ต้องจัด ❗
⏳ ระยะเวลากิจกรรม
ตั้งแต่วันที่ 13 พศจิกายน 2564 เวลา 00.01 น.
ถึงวันที่ 10 ธันวาคม 2564 เวลา 23.59 น.</t>
  </si>
  <si>
    <t>https://www.facebook.com/740460599475760/posts/1937027923152349/</t>
  </si>
  <si>
    <t>740460599475760_1937028466485628</t>
  </si>
  <si>
    <t>ใครมีปืน UMP EVO แล้วแต่ยังอัปเกรดไม่สุดบ้าง ❓
TOP-UP นี้สิ ❗ ตอบโจทย์
เติม 99💎 รับเลยกล่องหินอัปเกรด
เอาไปแต่งบวกปืนกันให้กระจาย 💥
⏳ ระยะเวลากิจกรรม
ตั้งแต่วันที่ 13 พศจิกายน 2564 เวลา 00.01 น.
ถึงวันที่ 15 พศจิกายน 2564 เวลา 23.59 น.</t>
  </si>
  <si>
    <t>https://www.facebook.com/740460599475760/posts/1937028466485628/</t>
  </si>
  <si>
    <t>740460599475760_1937029113152230</t>
  </si>
  <si>
    <t>เสาร์-อาทิตย์นี้ใครว่าง ๆ ไม่ออกไปไหน 💥
ให้ Free Fire มาอยู่เป็นเพื่อนน้าา
โดดและกำจัดศัตรู ชิงความเป็นที่ 1 🏆
BOOYAH ❗ 5 ตา "กระทะ" ลอยมาเข้าในคลัง
⏳ ระยะเวลากิจกรรม
ตั้งแต่วันที่ 13 พศจิกายน 2564 เวลา 04.00 น.
ถึงวันที่ 15 พศจิกายน 2564 เวลา 03.59 น.</t>
  </si>
  <si>
    <t>https://www.facebook.com/740460599475760/posts/1937029113152230/</t>
  </si>
  <si>
    <t>740460599475760_1937055576482917</t>
  </si>
  <si>
    <t>[VDO] BOOYAH DAY CG แอนิเมชัน
ท่ามกลางงานวัน BOOYAH DAY ที่แสนสงบ 💕
ลีออนและน้องสาวแสนรัก ไปเที่ยวงานอย่างสนุกสนาน 
แต่แล้วความโกลาหลก็เกิดขึ้นและได้ถือกำเนินผู้รอดชีวิตใหม่ 🔥
ร่วมสู้อย่างมีสไตล์กับ "ลีออน" ใน BOOYAH DAY กันเถอะ 💥</t>
  </si>
  <si>
    <t>https://www.facebook.com/740460599475760/posts/1937055576482917/</t>
  </si>
  <si>
    <t>740460599475760_1938461969675611</t>
  </si>
  <si>
    <t>วิดีโอสุดพิเศษต้อนรับ FFAC EVOS PHOENIX FORCE แชมป์ WORLD SERIES 2021 กับเส้นทางสู่การแข่งขันในภูมิภาคเอเชีย
รอรับชมการแข่งขัน FFAC พร้อมกัน
📌รอบ PLAY-INS : วันที่ 20 - 21 พ.ย. 2564  
📌รอบ FINAL : วันที่ 28 พ.ย. 2564
🔴 Youtube : Garena Free Fire Thailand
🔵 Facebook : Free Fire Esports TH
🟡 TIKTOK : freefirethofficial
#FreeFire #FFAC2021 #IGNITEYOURFIRE</t>
  </si>
  <si>
    <t>https://www.facebook.com/740460599475760/posts/1938461969675611/</t>
  </si>
  <si>
    <t>740460599475760_1938554809666327</t>
  </si>
  <si>
    <t>2 แฟชั่น 2 สไตล์ ที่มาจากโลกคู่ขนาน ✨
ฝั่งหนึ่งให้อารมณ์สตรีทแบบจัดเต็ม 
อีกฝั่งมาพร้อมความหรูหราแบบตะวันออกกลาง
พร้อมสกินอาวุธสุดเท่ ที่พร้อมเข้าจู่โจม 💥
จำหน่ายแล้วในร้านค้าโมโค 💕
⏳ ระยะเวลากิจกรรม
ตั้งแต่วันที่ 14 พศจิกายน 2564 เวลา 00.01 น.
ถึงวันที่ 20 พศจิกายน 2564 เวลา 23.59 น.</t>
  </si>
  <si>
    <t>https://www.facebook.com/740460599475760/posts/1938554809666327/</t>
  </si>
  <si>
    <t>740460599475760_901966987347375</t>
  </si>
  <si>
    <t>[LIVE🔴] Free Fire Show Off : ซ้อมกับโปร PHXF และ CGGG
พบกับแขกรับเชิญซ้อมกับโปร PHXF และ CGGG ที่จะมาร่วมลงห้องซ้อมกับคุณ พร้อมรับไอเทมฟรี!
-----------------------------------------------------
#FFEsports #FreeFireShowOff #FreeFire #FFTH</t>
  </si>
  <si>
    <t>https://www.facebook.com/freefireth/videos/901966987347375/</t>
  </si>
  <si>
    <t>740460599475760_1938587642996377</t>
  </si>
  <si>
    <t>[VDO] แผนลับ ฝั่งร้าย
เบื้องหลังก่อนจะเป็นแผนการบุกเข้าโจมตี 💥
ในเทศการ BOOYAH DAY ที่แสนสงบสุข
การร่วมมือของสองตัวร้าย Skull King และ Mist Queen 🔥</t>
  </si>
  <si>
    <t>https://www.facebook.com/740460599475760/posts/1938587642996377/</t>
  </si>
  <si>
    <t>740460599475760_1940827519439056</t>
  </si>
  <si>
    <t>https://www.facebook.com/740460599475760/posts/1940827519439056/</t>
  </si>
  <si>
    <t>740460599475760_1940854602769681</t>
  </si>
  <si>
    <t>TOP-UP Booyah! กระเป๋าปีกแห่งชัยชนะ 🏆
เพียงเติม 99 💎 ปั๊บรับทันที
แค่ใส่ก็รู้สึกได้ว่าตาถัดไปจะต้องชนะ 
คว้ากระเป๋าและพาทีมเอา BOOYAH มาให้ได้ 💥
⏳ ระยะเวลากิจกรรม
ตั้งแต่วันที่ 16 พศจิกายน 2564 เวลา 00.01 น.
ถึงวันที่ 19 พศจิกายน 2564 เวลา 23.59 น.</t>
  </si>
  <si>
    <t>https://www.facebook.com/740460599475760/posts/1940854602769681/</t>
  </si>
  <si>
    <t>740460599475760_1940855049436303</t>
  </si>
  <si>
    <t>ของฟรีแล้วหนึ่ง ✨ เข้าเกมมาล็อกอิน
ครบ 5 วันเหมาไอเทมไปเลย
ดูวันที่ และตั้งแจ้งเตือนไว้ให้ดี
บอกต่อเพื่อน ๆ ให้เข้ามาเล่น Free Fire ด้วยน้า
⏳ ระยะเวลากิจกรรม
ตั้งแต่วันที่ 16 พศจิกายน 2564 เวลา 04.00 น.
ถึงวันที่ 24 พศจิกายน 2564 เวลา 03.59 น.</t>
  </si>
  <si>
    <t>https://www.facebook.com/740460599475760/posts/1940855049436303/</t>
  </si>
  <si>
    <t>740460599475760_1941486246039850</t>
  </si>
  <si>
    <t>4 DJ ที่กลับมารวมตัวกันอีกครั้ง
ในการแสดงครั้งยิ่งใหญ่ของพวกเขา 🔥
พร้อมคสามมันส์สุดขีด สนุกสุดเหวี่ยง ✨
เข้าไปดู LIVE สุดพิเศษนี้ได้ผ่านช่องทางเดียวเท่านั้น ❗
🔴YouTube : FREE FIRE OFFICIAL
แล้วไปเจอพวกเขากันวันที่ 20 พฤศจิกายน 2564 เวลาตี 3 💥</t>
  </si>
  <si>
    <t>https://www.facebook.com/740460599475760/posts/1941486246039850/</t>
  </si>
  <si>
    <t>740460599475760_1941531746035300</t>
  </si>
  <si>
    <t>THE CRUZ แห่งทีม EVOS PHOENIX FORCE กับบทพิสูจน์ตน 
เตรียมพบกับวิดีโอที่จะมาบอกเล่าถึงเรื่องราวของเขา
ที่กว่าจะมาเป็นผู้เล่นประสบความสำเร็จได้ ต้องผ่านอะไรมาบ้าง
วันที่ 19 พฤศจิกายน 2564 
รอรับชมบนทุกช่องทาง
📍 Garena Free Fire Thailand
📍 Free Fire Esports TH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</si>
  <si>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https://www.facebook.com/740460599475760/posts/1941531746035300/</t>
  </si>
  <si>
    <t>740460599475760_1940979659423842</t>
  </si>
  <si>
    <t>🔥🔥ลดเดือด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</si>
  <si>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https://www.facebook.com/740460599475760/posts/1940979659423842/</t>
  </si>
  <si>
    <t>740460599475760_1942317042623437</t>
  </si>
  <si>
    <t>เปิดศึกเดือด #Venom: Let There Be Carnage  กับกิจกรรม “แคปมาเล่า ซีนนี้ที่อยากดู”  ชวนแคปซีนที่ใช่ พร้อมบอกเล่าเหตุผลว่าทำไมถึงอยากดูหนังเรื่องนี้
👉 ชมตัวอย่างภาพยนตร์ คลิก https://bit.ly/3poDuo1
กติกาการร่วมสนุก:
1. แชร์ตัวอย่างภาพยนตร์ Venom: Let There Be Carnage จากลิ้งก์นี้ https://bit.ly/3poDuo1 (Facebook Fanpage ‘Sony Pictures Thailand’) ไปที่หน้าเฟซบุ๊กของคุณ พร้อมเปิดเป็นสาธารณะ
2. แคปภาพซีนประทับใจ จากตัวอย่างภาพยนตร์ Venom: Let There Be Carnage พร้อมบอกเหตุผลว่าทำไมถึงอยากดูหนังเรื่องนี้ในคอมเมนต์กิจกรรม 
ภาพซีนประทับใจและเหตุผลที่โดนใจทีมงาน รวมถึงทำถูกต้องตามกติกาครบถ้วน  มีสิทธิ์รับรางวัล "หน้ากากผ้า Venom สุดเอ็กซ์คลูชีฟ"  จำนวน 10 รางวัล รางวัลละ 250 บาท รวมทั้งหมดเป็นมูลค่า 2,500 บาท
📍  ร่วมสนุกได้ตั้งแต่วันที่ 18 พ.ย. 64 เวลา 16:00 น. ถึง 22 พ.ย. 64 เวลา 23:59 น.  📍  ประกาศผลภายในวันที่ 23 พ.ย. 64 ที่ https://www.facebook.com/freefireth 
อ่านกติกาและเงื่อนไขเพิ่มเติมได้ในคอมเมนต์ 👇</t>
  </si>
  <si>
    <t>https://www.facebook.com/740460599475760/posts/1942317042623437/</t>
  </si>
  <si>
    <t>740460599475760_1943171275871347</t>
  </si>
  <si>
    <t>TEASER MUSIC VIDEO สุดพิเศษ ✨
จากโปรเจกต์ Free Fire 4 Fest
ที่ได้ความร่วมมือจาก 3 ศิลปิน ❗
แจ็ค แฟนฉัน x กลัฟ คณาวุฒิ X ลุค อิชิคาว่า
รับชมเลยที่นี่ : https://youtu.be/YibcKJn8rkw</t>
  </si>
  <si>
    <t>https://www.facebook.com/740460599475760/posts/1943171275871347/</t>
  </si>
  <si>
    <t>740460599475760_1943028985885576</t>
  </si>
  <si>
    <t>[VDO] Trash Talk Group A Play-ins ขิง ก่อน ยิง 
กับคำพูดของเหล่านักแข่งทีมตัวแทนจากแต่ละภูมิภาค
จะมีใครกันบ้างรับชมกันเลย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</si>
  <si>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https://www.facebook.com/740460599475760/posts/1943028985885576/</t>
  </si>
  <si>
    <t>740460599475760_1943172792537862</t>
  </si>
  <si>
    <t>เพราะการต่อสู้ของแต่ละคนไม่เหมือนกัน ✨
สู้อย่างมีสไตล์ในแบบของตัวเอง
สู่สมราภูมิบนเกาะสวรรค์และกำจัดศัตรูให้ครบ 💥
รับไอเทมแบบจุก ๆ ฟรี ❗
⏳ ระยะเวลากิจกรรม
ตั้งแต่วันที่ 19 พศจิกายน 2564 เวลา 04.00 น.
ถึงวันที่ 29 พศจิกายน 2564 เวลา 03.59 น.</t>
  </si>
  <si>
    <t>https://www.facebook.com/740460599475760/posts/1943172792537862/</t>
  </si>
  <si>
    <t>740460599475760_1943825175805957</t>
  </si>
  <si>
    <t>[VDO] แฟชั่นระดับตำนาน BOOYAH! DAY
ได้เวลาของแฟชั่น EVO ใหม่สุดเดือด 🔥
ปลดปล่อยพลังในแบบของตัวเอง 💥
โลดแล่นและต่อสู้ในสไตล์ที่ใช่ ✨
พร้อมโชว์ศักยภาพให้ทุกคนได้ประจักษ์ 👊</t>
  </si>
  <si>
    <t>https://www.facebook.com/740460599475760/posts/1943825175805957/</t>
  </si>
  <si>
    <t>740460599475760_1943173239204484</t>
  </si>
  <si>
    <t>BOOYAH! ชู้ต กิจกรรมสายสตรีท 🏀
มาสะสมโทเคนและร่วมเล่นบาสกับลีออน
ชู๊ตลงห่วงเอาคะแนนไปแลกของรางวัลได้เลย 💕
กับไอเทมสุดพิเศษ ตามคะแนนที่มีอยู่ 💥
⏳ ระยะเวลากิจกรรม
ตั้งแต่วันที่ 18 พศจิกายน 2564 เวลา 04.00 น.
ถึงวันที่ 29 พศจิกายน 2564 เวลา 03.59 น</t>
  </si>
  <si>
    <t>https://www.facebook.com/740460599475760/posts/1943173239204484/</t>
  </si>
  <si>
    <t>740460599475760_1943902472464894</t>
  </si>
  <si>
    <t>เพลงสุดพิเศษในโปรเจกต์ Free Fire 4 Feat
ในเพลง "ตกลงเธอ...เลือกใคร" 😥
ของ 3 ศิลปิน แจ็ค แฟนฉัน x กลัฟ คณาวุฒิ X ลุค อิชิคาว่า
ไม่ว่าเธอจะเลือกใคร ฉันก็พร้อมจะยินดี ✨
🔴 รับชม MUSIC VIDEO ได้ที่นี่ : https://youtu.be/uCTpfk9vbw8</t>
  </si>
  <si>
    <t>https://www.facebook.com/740460599475760/posts/1943902472464894/</t>
  </si>
  <si>
    <t>740460599475760_1943020629219745</t>
  </si>
  <si>
    <t>[VDO] PHXF.THE CRUZ บทพิสูจน์ตน | Garena Free Fire
EVOS PHOENIX FORCE THE CRUZ กับบทพิสูจน์ตน 
กว่าจะมาเป็นผู้เล่นมากฝีมือและแชมป์โลก ต้องฝ่าฟันอุสรรคมากมาย
และอะไรคือสิ่งที่ทำให้เขามีวันนี้ได้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</si>
  <si>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https://www.facebook.com/740460599475760/posts/1943020629219745/</t>
  </si>
  <si>
    <t>740460599475760_1943967959125012</t>
  </si>
  <si>
    <t>ดูวันไว้ให้ดี วันเดียวเท่านั้น 💥
เข้าเกม Free Fire มาล็อกอิน 
รับผู้รอดชีวิตใหม่ "ลีออน" 
ทักบอกเพื่อน แฟน ตี้ที่เล่นทุกวัน
ให้มารับของฟรีกันด้วยน้าา 😘
⏳ วันที่ 20 พฤศจิกายน 2564 วันเดียวเท่านั้น❗❗</t>
  </si>
  <si>
    <t>https://www.facebook.com/740460599475760/posts/1943967959125012/</t>
  </si>
  <si>
    <t>740460599475760_1943968502458291</t>
  </si>
  <si>
    <t>รวมมาให้แบบไม่มีกั๊กในกิจกรรม BOOYAH DAY ❗
ที่มียาว ๆ จนถึงท้ายเดือน
มีตั้งแต่แฟชั่นระดับตำนาน ✨
ไปยันท่าทางใหม่ฉบับ Booyah 💥
ใครเล็งไอเทมไหน ห้ามพลาดกันเชียวล่ะ 💕</t>
  </si>
  <si>
    <t>https://www.facebook.com/740460599475760/posts/1943968502458291/</t>
  </si>
  <si>
    <t>740460599475760_1943970059124802</t>
  </si>
  <si>
    <t>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t>
  </si>
  <si>
    <t>https://www.facebook.com/740460599475760/posts/1943970059124802/</t>
  </si>
  <si>
    <t>740460599475760_1944766482378493</t>
  </si>
  <si>
    <t>วันนี้มาให้กำลังใจทีมตัวแทนประเทศไทยในการแข่งขัน 
FREE FIRE ASIA CHAMPIONSHIP รอบ PLAY-INS GROUP A
มารับชมพร้อมกันได้ที่
https://youtu.be/q-LdcO3cG_M</t>
  </si>
  <si>
    <t>https://www.facebook.com/740460599475760/posts/1944766482378493/</t>
  </si>
  <si>
    <t>740460599475760_1944013139120494</t>
  </si>
  <si>
    <t>[VDO] ในเกม &amp; ชีวิตจริง
BOOYAH หนึ่งคำที่สามารถสื่อความหมายได้หลายอย่าง 
ชัยชนะหรอ ดีใจหรอ หรือการแสดงความยินดี ✨
แต่ละคนใช้ความหมายไม่เหมือนกัน 💥
แล้วคำว่า "BOOYAH" ของคุณล่ะมีความหมายว่าอย่างไร ❓
คอมเมนท์บอกแอดหน่อยสิ แอดอยากรู้ 💕</t>
  </si>
  <si>
    <t>https://www.facebook.com/740460599475760/posts/1944013139120494/</t>
  </si>
  <si>
    <t>740460599475760_1943970605791414</t>
  </si>
  <si>
    <t>วันนี้แล้วนะที่เรามีนัดกับ "หัวขาวในตำนาน"
เรียกร้องมามากขนาดนี้ จะอยู่่เฉยได้ไง ก็จัดให้เลย ❗
เท่ในทุกมุมมอง ใครเห็นเป็นต้องอิจฉา ✨
กลับมาครั้งนี้ต้องห้ามพลาดแล้วน้าา 💕
⏳ ระยะเวลากิจกรรม
ตั้งแต่วันที่ 21 พศจิกายน 2564 เวลา 00.01 น.
ถึงวันที่ 27 พศจิกายน 2564 เวลา 23.59 น.</t>
  </si>
  <si>
    <t>https://www.facebook.com/740460599475760/posts/1943970605791414/</t>
  </si>
  <si>
    <t>740460599475760_1941444886043986</t>
  </si>
  <si>
    <t>🔥🔥ไอเทมสุดเฟี้ยว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</si>
  <si>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https://www.facebook.com/740460599475760/posts/1941444886043986/</t>
  </si>
  <si>
    <t>740460599475760_1943971055791369</t>
  </si>
  <si>
    <t>5 วันเต็มกับกิจกรรม BATTLE IN STYLE ✨
ภารกิจสุดมันส์ที่ให้คุณได้ออกลีลาในสมรภูมิ 🔥
ตามสไตล์ของตัวเอง จะสายแฟชั่น สายยิงคม 
และอย่าลืมเข้ามาล็อกอินเพื่อรับท่าทางกันเลย ฟรี ❗</t>
  </si>
  <si>
    <t>https://www.facebook.com/740460599475760/posts/1943971055791369/</t>
  </si>
  <si>
    <t>740460599475760_1945472215641253</t>
  </si>
  <si>
    <t>วันนี้ 17.00 น.
มาให้กำลังใจทีมตัวแทนประเทศไทยในการแข่งขัน
FREE FIRE ASIA CHAMPIONSHIP 
รอบ PLAY-INS GROUP B
🔴 Youtube : https://youtu.be/7qYhcIjIYz8</t>
  </si>
  <si>
    <t>https://www.facebook.com/740460599475760/posts/1945472215641253/</t>
  </si>
  <si>
    <t>740460599475760_1944019885786486</t>
  </si>
  <si>
    <t>[VDO] เจ้าหน้าที่ ฮ็อป กลับมาแล้ว
โดนวงบีบมาหรอ ใครเค้ากลัวกัน 💥
ถ้าเป็นคู่หู เจ้าหน้าที่ฮ็อปล่ะก็ หายห่วง
จะโดนมาหนักขนาดไหนก็รอดได้สบาย ✨</t>
  </si>
  <si>
    <t>https://www.facebook.com/740460599475760/posts/1944019885786486/</t>
  </si>
  <si>
    <t>740460599475760_1946073798914428</t>
  </si>
  <si>
    <t>ส่งกำลังใจ 3 ทีมตัวแทนประเทศไทยในรอบGRAND FINALS 🏆
อาทิตย์ 28 พ.ย. 2564 เวลา 17.00 น.
พร้อมของรางวัลจากยอดรับชมพร้อมกัน แจกยกเชิร์ฟ!!
ชมถ่ายทอดสดที่ลิ้งค์นี้ : https://www.youtube.com/watch?v=lgqnHrzlUpQ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2564 เวลา 11.00น. - วันที่ 30 พ.ย. 2564 เวลา 23.59น.
รอรับชมการแข่งขันพร้อมกัน
📌รอบ FINAL : วันที่ 28 พ.ย. 2564
🔴 Youtube : Garena Free Fire Thailand</t>
  </si>
  <si>
    <t>https://www.facebook.com/740460599475760/posts/1946073798914428/</t>
  </si>
  <si>
    <t>740460599475760_1946247932230348</t>
  </si>
  <si>
    <t>หยิบปืนยิงเธอดัง ปิ้ว ปิ้ว ปิ้ว 🔫
โดนใจดวง จิ๋ว จิ๋ว จิ๋ว  💕
ครั้งแรกของการร่วมงานกันระหว่าง
SPRITE x GUYGEEGEE และ Free Fire 💥
เตรียมตัวรับชม Music Video เพลงใหม่ “ปิ้ว ปิ้ว”
ได้ในวันที่ 26 พฤศจิกายน เวลา 18.00 น.
#FreeFireTH
#FreeFireSPxGGG</t>
  </si>
  <si>
    <t>https://www.facebook.com/740460599475760/posts/1946247932230348/</t>
  </si>
  <si>
    <t>740460599475760_1946261052229036</t>
  </si>
  <si>
    <t>เพียงแค่เติม 299 💎 เท่านั้น
รับไอซ์วอลล์ BOOYAH DAY สุดเท่
โดนยิงกระหน่ำเท่าไหร่ก็ไม่มีหวั่น 💥
ตั้งไอซ์วอลล์และคว้า BOOYAH มาให้ได้ ✨
⏳ ระยะเวลากิจกรรม
ตั้งแต่วันที่ 23 พศจิกายน 2564 เวลา 00.01 น.
ถึงวันที่ 25 พศจิกายน 2564 เวลา 23.59 น.</t>
  </si>
  <si>
    <t>https://www.facebook.com/740460599475760/posts/1946261052229036/</t>
  </si>
  <si>
    <t>740460599475760_1946262388895569</t>
  </si>
  <si>
    <t>2 ชุดแฟชั่นสุดร้ายกาจ 💥
ตัวร้ายหนุ่มสาวเจ้าแห่งอสรพิษ 🐍
กับกล่องแฟชั่น BOOYAH
สะสมโทเคมให้ครบแลกรับไปเลย ❗
⏳ ระยะเวลากิจกรรม
ตั้งแต่วันที่ 23 พศจิกายน 2564 เวลา 00.01 น.
ถึงวันที่ 25 พศจิกายน 2564 เวลา 23.59 น.</t>
  </si>
  <si>
    <t>https://www.facebook.com/740460599475760/posts/1946262388895569/</t>
  </si>
  <si>
    <t>740460599475760_1946790715509403</t>
  </si>
  <si>
    <t>มาอีกครับกับคู่หูขนฟูสุดน่ารัก 🐰
เจ้าหน้าที่ ฮ็อป ครั้งนี้ไม่ได้มาตัวเปล่า
แต่มาพร้อมแฟชั่นออกรบแบบเต็มขั้น ✨
ไปจ้องน้องมาออกรบพร้อมคุณได้แล้วที่ร้านค้า
⏳ ระยะเวลากิจกรรม
ตั้งแต่วันที่ 23 พศจิกายน 2564 เป็นต้นไป</t>
  </si>
  <si>
    <t>https://www.facebook.com/740460599475760/posts/1946790715509403/</t>
  </si>
  <si>
    <t>740460599475760_1946861385502336</t>
  </si>
  <si>
    <t>[VDO] Highlight FFAC รอบ Play-ins มีทีมใดกันบ้างมารับชมพร้อมกัน
---------------------------------
อาทิตย์ 28 พ.ย. 2564 เวลา 17.00 น.
พร้อมของรางวัลจากยอดรับชมพร้อมกัน แจกยกเชิร์ฟ!!
รอรับชมการแข่งขันพร้อมกัน
🔴 Youtube : Garena Free Fire Thailand</t>
  </si>
  <si>
    <t>https://www.facebook.com/740460599475760/posts/1946861385502336/</t>
  </si>
  <si>
    <t>740460599475760_1946818968839911</t>
  </si>
  <si>
    <t>จะสายเมะ (๑⚈_⚈๑) สายมีม ( ° ʖ °) หรือสายคิ้ว (っ˘ω˘ς ) สายไหนก็ได้หมด ❗️
#มีการันตีด้วยนะ
Ice Wall ใหม่น่ารักค่ดๆ 💕 เริ่มต้นเพียง 20 บ. ฉูดฉาดขนาดนี้ หาได้ที่ดีแทคเท่านั้น ✨
แถมเล่น Free Fire รัวๆ ไม่เสียเน็ต 💥
อย่าช้า ถึง 15 ธ.ค.นี้เท่านั้น กดซื้อเลย http://www.dtac.co.th/s/pb
หรือซื้อผ่าน ดีแทค แอป http://dtac.co.th/s/FFFB
#เทพแน่แค่ใช้ดีแทค #จัดเต็มเสมอเกมเมอร์ต้องมันส์ #ดีแทคฟรีไฟร์ #dtacxFreeFire</t>
  </si>
  <si>
    <t>https://www.facebook.com/740460599475760/posts/1946818968839911/</t>
  </si>
  <si>
    <t>740460599475760_1947015365486938</t>
  </si>
  <si>
    <t>เหมายกแพ็คผู้รอดชีวิต "ออโท" พร้อมชุดประจำถิ่น
ให้อารมณ์เม็กซีโกซิตี้แบบจัดเต็ม ✨
ใครยังไม่มีตัวละครนี้ รออะไรอยู่ ❓
เป็นเจ้าของได้แล้ววันนี้ที่ร้านค้า
⏳ ระยะเวลากิจกรรม
ตั้งแต่วันที่ 24 พศจิกายน 2564 เป็นต้นไป</t>
  </si>
  <si>
    <t>https://www.facebook.com/740460599475760/posts/1947015365486938/</t>
  </si>
  <si>
    <t>740460599475760_1947016335486841</t>
  </si>
  <si>
    <t>ลมหนาวพัดมา พร้อมกับดีลพิเศษแบบปัง ๆ 💥
แฟชั่นและกล่องสกินปืนสวย ๆ เพียบ  🔥
แถมลดสูงสุดแบบจัดให้หนัก ๆ ถึง 87%
มีเฉพาะใน Google Play เท่านั้น ✨
⏳ ระยะเวลากิจกรรม
ตั้งแต่วันที่ 24 พศจิกายน 2564 เวลา 00.01 น.
ถึงวันที่ 30 พศจิกายน 2564 เวลา 23.59 น.</t>
  </si>
  <si>
    <t>https://www.facebook.com/740460599475760/posts/1947016335486841/</t>
  </si>
  <si>
    <t>740460599475760_1947017738820034</t>
  </si>
  <si>
    <t>รวมไอเทมโดนใจ ส่งท้าย BOOYAH DAY ❗
4 วันรวด ที่จัดไอเทมสุดเทพไว้ 💥
ตั้งแต่สกิน หมัดบูย่าห์ที่หลายคนรอคอย
และแฟชั่น EVO สุดเท่ จันทราสองหน้า
ของดี ๆ แบบนี้ไม่มี ไม่ได้แล้วน้าาา ✨
ใครอยากได้ไอเทมไหน ล็อควันไว้ให้พร้อม 💕</t>
  </si>
  <si>
    <t>https://www.facebook.com/740460599475760/posts/1947017738820034/</t>
  </si>
  <si>
    <t>740460599475760_1946179912237150</t>
  </si>
  <si>
    <t>🔥🔥ลดสุดโหด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t>
  </si>
  <si>
    <t>https://www.facebook.com/740460599475760/posts/1946179912237150/</t>
  </si>
  <si>
    <t>740460599475760_1947019415486533</t>
  </si>
  <si>
    <t>อัปเดตแพทซ์ใหม่ บาลานซ์กว่าเดิม 🔥
เตรียมปรับตัวกันไว้ให้ดี ฝึกฝนกันใหม่ ✨
การเปลี่ยนครั้งนี้จะทำให้รูปแบบของ Free Fire
ไม่เหมือนเดิม สกิลโครโน่ที่ว่าโกง เราก็ปรับให้ 💥
ไหนใครมีความเห็นอย่างไรกับการปรับในครั้ง บอกแอดมาหน่อย 💕</t>
  </si>
  <si>
    <t>https://www.facebook.com/740460599475760/posts/1947019415486533/</t>
  </si>
  <si>
    <t>740460599475760_1947713838750424</t>
  </si>
  <si>
    <t>[VDO]คนดังชวนดูแข่ง FFAC GRAND FINALS ส่งเสียงเชียร์ให้ดังและรับชมการแข่งไปพร้อมเหล่าอินฟูลเลนเซอร์ 
นำทีมโดย TONKLA , Jasminniiiz และ ราชาหล่อเท่ห์ 
ร่วมเชียร์ทีมตัวแทนประเทศไทย
วันอาทิตย์ที่ 28 พ.ย. 2564 เวลา 17.00น. 
ช่องทาง 🔴 Youtube : Garena Free Fire Thailand</t>
  </si>
  <si>
    <t>https://www.facebook.com/740460599475760/posts/1947713838750424/</t>
  </si>
  <si>
    <t>740460599475760_1947520292103112</t>
  </si>
  <si>
    <t>💎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</si>
  <si>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https://www.facebook.com/740460599475760/posts/1947520292103112/</t>
  </si>
  <si>
    <t>740460599475760_1948389112016230</t>
  </si>
  <si>
    <t>เตรียมพบกับการคัมแบคของศิลปิน T.R.A.P. ✨
เมื่อวานเราได้แอบให้ฟังเพลงของพวกเค้าทั้ง 4 💥
ใน STORY ของพวกเราไปแล้ว 
ไหนใครฟังแล้วรู้สึกอย่างไรกันบ้าง ❓
ส่วนใครที่ยังไม่ฟัง รอการกลับมาแบบจัดหนักจัดเต็มของเค้าได้เลย 💕</t>
  </si>
  <si>
    <t>https://www.facebook.com/740460599475760/posts/1948389112016230/</t>
  </si>
  <si>
    <t>740460599475760_1947695698752238</t>
  </si>
  <si>
    <t>[VDO] คาตานะ กะโหลกทอง
เตรียมพบพลังอำนาจแห่งความมืดมิด
ที่แฝงอยู่ในดาบคาตานะสุดยิ่งใหญ๋ ✨
กะโหลกประกายทองแผ่ขนายพลัง</t>
  </si>
  <si>
    <t>https://www.facebook.com/740460599475760/posts/1947695698752238/</t>
  </si>
  <si>
    <t>740460599475760_1947622975426177</t>
  </si>
  <si>
    <t>[การ์ตูน📖] REALITY UNVEILED ตอนที่ 4 การต่อสู้ไม่คาดฝัน
"บุช" บุคคลลึกลับที่มาชิงความที่ 1 ไปจากวูฟร่าห์ 💥
ความโกรธแค้นในครั้งนี้ แมตซ์ต่อไปหลังจากนี้จะเป็นอย่างไร ❓
วูฟร่าห์จะหาคำตอบได้หรือไม่ ว่าใครกันคือ "บุช"....</t>
  </si>
  <si>
    <t>https://www.facebook.com/740460599475760/posts/1947622975426177/</t>
  </si>
  <si>
    <t>740460599475760_1947673822087759</t>
  </si>
  <si>
    <t>เอ๊าาา ❗ เร่เข้ามาวันนี้ Free Fire ขอเสนอ
เคียวสุดเฟี้ยวเกี่ยว BOOYAH 💥
นอกจากนี้ยังมาพร้อมรถสปอร์ตสุดคูล
ไอเทมโดนใจขนาดพลาดได้ไง ✨
⏳ ระยะเวลากิจกรรม
ตั้งแต่วันที่ 25 พศจิกายน 2564 เวลา 00.01 น.
ถึงวันที่ 3 ธันวาคม 2564 เวลา 23.59 น.</t>
  </si>
  <si>
    <t>https://www.facebook.com/740460599475760/posts/1947673822087759/</t>
  </si>
  <si>
    <t>740460599475760_1948391182016023</t>
  </si>
  <si>
    <t>แจกของกันไม่หยุด ฉุดกันไม่อยู่ ✨
เพียงลงทะเบียนล็อกอินล่วงหน้า 💥
ก็รับไอเทมแบบจุก ๆ กันไปเลย
แล้วเข้ามาเกมมาล็อกอินกันเยอะ ๆ น้าาา 😘
⏳ ระยะเวลากิจกรรม
ตั้งแต่วันที่ 30 พศจิกายน 2564 เวลา 04.00 น.
ถึงวันที่ 3 ธันวาคม 2564 เวลา 03.59 น.</t>
  </si>
  <si>
    <t>https://www.facebook.com/740460599475760/posts/1948391182016023/</t>
  </si>
  <si>
    <t>740460599475760_1949208095267665</t>
  </si>
  <si>
    <t>https://www.facebook.com/740460599475760/posts/1949208095267665/</t>
  </si>
  <si>
    <t>740460599475760_1947013265487148</t>
  </si>
  <si>
    <t>https://www.facebook.com/740460599475760/posts/1947013265487148/</t>
  </si>
  <si>
    <t>740460599475760_1949044658617342</t>
  </si>
  <si>
    <t>เห็นขอกันมาเยอะกับหมัด BOOYAH
วันนี้มาแล้วน้า อยากได้ต้องโดน
สะสมโทเคนให้ครบ แลกรับไปเลย
กำหมัดและชูขึ้นฟ้า คว้า BOOYAH มาให้จงได้
⏳ ระยะเวลากิจกรรม
ตั้งแต่วันที่ 27 พศจิกายน 2564 เวลา 00.01 น.
ถึงวันที่ 4 ธันวาคม 2564 เวลา 23.59 น.</t>
  </si>
  <si>
    <t>https://www.facebook.com/740460599475760/posts/1949044658617342/</t>
  </si>
  <si>
    <t>740460599475760_1949233491931792</t>
  </si>
  <si>
    <t>อัปเดตใหม่ทั้งที มีอะไรมาใหม่บ้าง ❓
หมดปัญหาเรื่องการสื่อสาร เพราะแพทซ์นี้
มีระบบปิงบอกเพื่อนแล้ว จะศัตรูหรือปืน บอกได้หมด ✨
นอกจากนี้ยังมีสิ่งอื่น ๆ อีกเพียบ ไปดูกันเลย 💥
คอมเมนต์มาบอกกันหน่อยว่าอัปเดตครั้งนี้เป็นยังไงบ้าง 💕</t>
  </si>
  <si>
    <t>https://www.facebook.com/740460599475760/posts/1949233491931792/</t>
  </si>
  <si>
    <t>740460599475760_1949238361931305</t>
  </si>
  <si>
    <t>นี่สิ ❗ พลังของเหล่าเกมเมอร์
Free Fire ขอขอบคุณ ผู้รอดชีวิตทุกคน 
ที่เป็นส่วนหนึ่งในการมาร่วมโหวดให้เราเป็น 💕
เกมอีสปอร์ตในมือถือยอดเยี่ยมแห่งปี 🏆
ชัยชนะในครั้งนี้เป็นรางวัลร่วมกันของพวกเรา Booyah 💥
🔴 อ่านบทความสุดประทับใจได้ที่นี่ : 
https://ff.garena.com/news/article/th/537/</t>
  </si>
  <si>
    <t>https://www.facebook.com/740460599475760/posts/1949238361931305/</t>
  </si>
  <si>
    <t>740460599475760_1949234531931688</t>
  </si>
  <si>
    <t>TOP-UP สายฟ้าฟาดกับปืนสุดเท่ ⚡
"ELECTRONIC AN94"
เติมปั๊บรับพิมพ์เขียวไปเลยย ❗
รอช้าอะไรอยู่ ของมันต้องมีแล้วมั้ยล่า ✨
⏳ ระยะเวลากิจกรรม
ตั้งแต่วันที่ 28 พศจิกายน 2564 เวลา 00.01 น.
ถึงวันที่ 1 ธันวาคม 2564 เวลา 23.59 น.</t>
  </si>
  <si>
    <t>https://www.facebook.com/740460599475760/posts/1949234531931688/</t>
  </si>
  <si>
    <t>740460599475760_1947591738762634</t>
  </si>
  <si>
    <t>💎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</si>
  <si>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https://www.facebook.com/740460599475760/posts/1947591738762634/</t>
  </si>
  <si>
    <t>740460599475760_1949240285264446</t>
  </si>
  <si>
    <t>Pre-order : Elite Pass EP.43
PALACE OF POKER 🃏
เหล่ากองทัพจากจักรวรรดิเมืองแห่งไพ่ 
วายร้ายที่จะเข้ามาปกครองทุก ๆ สิ่ง 💥
✨ พรีออเดอร์สิทธิ์ขั้นสูงตอนนี้
รับไปเลย แพ็ค หัวใจอัญมณี
และไอเทม 50 ขั้นทันที ไม่ต้องทำภารกิจ
⏳ ระยะเวลากิจกรรม Pre-order
ตั้งแต่วันที่ 1 ธันวาคม 2564 เวลา 00.01 น.
ถึงวันที่ 30 ธันวาคม 2564 เวลา 23.59 น.
🚨 ของรางวัลอื่น ๆ
จะได้รับวันที่ 1 ธันวาคม 2564 2564 เวลา 00.01 น.
เตรียมออกผจญภัยทำภารกิจสุดอันตรายไปพร้อมกัน
วันที่ 1 ธันวาคม 2564 2564</t>
  </si>
  <si>
    <t>https://www.facebook.com/740460599475760/posts/1949240285264446/</t>
  </si>
  <si>
    <t>740460599475760_1949239088597899</t>
  </si>
  <si>
    <t>ข่าวดีสำหรับคนที่เล่น Free Fire ทุกวัน ✨
เพียงเข้ามาล็อกอิน 5 วันเท่านั้น ❗
ก็เอาไปเลยกับไอซ์วอลล์กะโหลกเขียว
อย่าลืมเข้ามาเล่นกันบ่อย ๆ ด้วยล่ะ 💕
⏳ ระยะเวลากิจกรรม
ตั้งแต่วันที่ 28 พศจิกายน 2564 เวลา 04.00 น.
ถึงวันที่13 ธันวาคม 2564 เวลา 03.59 น.</t>
  </si>
  <si>
    <t>https://www.facebook.com/740460599475760/posts/1949239088597899/</t>
  </si>
  <si>
    <t>740460599475760_1948421818679626</t>
  </si>
  <si>
    <t>วันนี้ 17.00 น.
มาให้กำลังใจทีมตัวแทนประเทศไทยในการแข่งขัน
FREE FIRE ASIA CHAMPIONSHIP รอบ GRAND FINALS
🔴 Youtube : https://youtu.be/lgqnHrzlUpQ
พร้อมกิจกรรมยอดผู้ชมครบรับไอเทมฟรี ยกเชิร์ฟ!!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2021 เวลา 11.00น. - วันที่ 30 พ.ย. 2021 เวลา 23.59น.</t>
  </si>
  <si>
    <t>https://www.facebook.com/740460599475760/posts/1948421818679626/</t>
  </si>
  <si>
    <t>740460599475760_1949254281929713</t>
  </si>
  <si>
    <t>[VDO] จุดเริ่มต้นของจุดจบ
มหากาพย์แผนการสุดอลังการครั้งสุดท้าย ✨
ที่เป็นจุดเริ่มต้นของแผนการขนทอง
กับ Free Fire x ทรชนคนปล้นโลก 💥</t>
  </si>
  <si>
    <t>https://www.facebook.com/740460599475760/posts/1949254281929713/</t>
  </si>
  <si>
    <t>740460599475760_1949241151931026</t>
  </si>
  <si>
    <t>กลับมาอีกครั้ง งานสังสรรค์ของเหล่าทรชน 👺
กับการปิดฉากภารกิจครั้งสุดท้ายของแผนการ
ระหว่าง Free Fire x ทรชนคนปล้นโลก
เตรียมพบกับภารกิจครั้งใหม่ 🔥
ที่เหล่าผู้รอดชีวิตทั้งหลายต้องเผชิญ ✨</t>
  </si>
  <si>
    <t>https://www.facebook.com/740460599475760/posts/1949241151931026/</t>
  </si>
  <si>
    <t>740460599475760_1951271898394618</t>
  </si>
  <si>
    <t>[VDO] Behind the Scene FFAC เบื้องหลังการถ่ายทำวิดีโอพิเศษ
ทีม Evos Phoenix Force 
ควันหลงหลัง FreeFire Asia Championship 
จะเป็นอย่างไรกันบ้าง มารับชมกัน
------------------------------------------------
ติดตามข้อมูลข่าวสารได้ทาง
🔴 Youtube : Garena Free Fire Thailand
🔵 Facebook : Garena Free Fire Thailand
🟡 TIKTOK : freefirethofficial</t>
  </si>
  <si>
    <t>https://www.facebook.com/740460599475760/posts/1951271898394618/</t>
  </si>
  <si>
    <t>740460599475760_1951403998381408</t>
  </si>
  <si>
    <t>อีกหนึ่งความสำเร็จสุดยิ่งใหญ่ของ Free Fire MAX ✨
ที่ได้รับรับผลโหวตจากผู้เล่นทั่วโลก ให้กลายมาเป็น
"สุดยอดเกมเอาตัวรอด" จาก Google Play 🔥
เราขอขอบคุณผู้รอดชีวิตทุกท่าน 
ที่มาเป็นกำลังใจให้กับพวกเราเสมอมา 💕</t>
  </si>
  <si>
    <t>https://www.facebook.com/740460599475760/posts/1951403998381408/</t>
  </si>
  <si>
    <t>740460599475760_1951513731703768</t>
  </si>
  <si>
    <t>SURVIVALS MASTER WINTER ❄️
เส้นทางสู่โปรลีก...กำลังจะเริ่มต้นขึ้น 
#FFSM  #R2FFPL #FFESPORTS</t>
  </si>
  <si>
    <t>https://www.facebook.com/740460599475760/posts/1951513731703768/</t>
  </si>
  <si>
    <t>740460599475760_1951423808379427</t>
  </si>
  <si>
    <t>[VDO] รับลมหนาวเร็ว ๆ นี้
Free Fire ต้อนรับเดือนแห่งความหนาวเหน็บ ❄
กับสิ่งที่จะมาใหม่เพียบ ดูวิดีโอไว้ให้ดี
จะเห็นสิ่งที่กำลังจะมา แล้วเจอกันนะ 💕</t>
  </si>
  <si>
    <t>https://www.facebook.com/740460599475760/posts/1951423808379427/</t>
  </si>
  <si>
    <t>740460599475760_1963557903832684</t>
  </si>
  <si>
    <t>[ANIMATION] ปกป้องนิคมรกร้าง
ข่าวด่วน ข่าวด่วน ขณะนี้พายุหิมะ ❄
กำลังโหมกระหน่ำพัดเข้าสู่เมือง
เป็นผลมาจากวายร้ายขโมยแกนพลังงานไป ✨
เหล่าผู้รอดชีวิตทั้งหลายต้องร่วมมือ
ชิงแกนพลังงานนี้กลับมาให้จงได้ 💥</t>
  </si>
  <si>
    <t>https://www.facebook.com/740460599475760/posts/1963557903832684/</t>
  </si>
  <si>
    <t>740460599475760_1963778730477268</t>
  </si>
  <si>
    <t>[VDO] Dragon Hunter
Live Action จากแฟชั่นสุดเท่ 💥
ของเหล่านักล่ามังกรในตำนาน
มาสัมผัสความโหดเหี้ยมพร้อมกัน 🔥</t>
  </si>
  <si>
    <t>https://www.facebook.com/740460599475760/posts/1963778730477268/</t>
  </si>
  <si>
    <t>740460599475760_1963277000527441</t>
  </si>
  <si>
    <t>วันนี้มี LIVE 🔴 รับชมการถ่ายทอดสด 
Free Fire Survivals Master Winter ❄️
รอบ KNOCKOUT : รอบที่ 2 DAY2 : เวลา 19:00 น. เป็นต้นไป
คลิ๊กเพื่อรับชม : https://youtu.be/-Ww4lk5LP8Y
📺 รับชมการแข่งขันได้ที่
🔴 Youtube : Garena Free Fire Thailand
🔵 Facebook : Garena Free Fire Thailand</t>
  </si>
  <si>
    <t>https://www.facebook.com/740460599475760/posts/1963277000527441/</t>
  </si>
  <si>
    <t>740460599475760_447029496861849</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</si>
  <si>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
🔥 Garena Free Fire 🔥
📲 iOS - https://goo.gl/sSvbSt
📲 Android - https://goo.gl/b8HPUW
••••••••••••••••••••••••••••••••
#FFSM #FFesports</t>
  </si>
  <si>
    <t>https://www.facebook.com/freefireth/videos/447029496861849/</t>
  </si>
  <si>
    <t>740460599475760_1963760730479068</t>
  </si>
  <si>
    <t>ไอซ์วอลใหม่ น่ารักแบบคิมิโนโตะ（˶′◡‵˶）
กลับมาใหม่ในราคา 11 บาท!
น่ารักทั้งลาย น่ารักทั้งราคา เริ่มต้นเพียง 11 บ. รับทันทีกล่อง dtac มีสิทธิ์รับไอซ์วอล Pinky Kitten
แถมเล่น Free Fire ฟรี ไม่เสียเน็ต
ลูกค้าดีแทคซื้อเลยกด *156*011# แล้วโทรออก
อย่าช้า ถึง 31 ม.ค. 65 เท่านั้น 👉ดูโปรได้ที่ https://www.dtac.co.th/s/dtacFreeFire
หรือซื้อผ่าน ดีแทค แอป http://dtac.co.th/s/FFFB
#เทพแน่แค่ใช้ดีแทค #จัดเต็มเสมอเกมเมอร์ต้องมันส์ #ดีแทคฟรีไฟร์ #dtacxFreeFire</t>
  </si>
  <si>
    <t>https://www.facebook.com/740460599475760/posts/1963760730479068/</t>
  </si>
  <si>
    <t>740460599475760_1958524954335979</t>
  </si>
  <si>
    <t>💎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</si>
  <si>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https://www.facebook.com/740460599475760/posts/1958524954335979/</t>
  </si>
  <si>
    <t>740460599475760_1963787453809729</t>
  </si>
  <si>
    <t>กลับมาแล้วกับแฟชั่นสไตล์นักล่า 🐯
เตรียมตัวพับกบ ❗️ เย๊ย พบกับบบบ
Cardboard Animal ที่ทุกคนรอคอย ✨
ไปสอยกันได้เลยที่ร้านค้า EVO
⏳ ระยะเวลากิจกรรม
ตั้งแต่วันที่ 17 ธันวาคม 2564 เวลา 00.01 น.
ถึงวันที่ 23 ธันวาคม 2564 เวลา 23.59 น.</t>
  </si>
  <si>
    <t>https://www.facebook.com/740460599475760/posts/1963787453809729/</t>
  </si>
  <si>
    <t>740460599475760_1963788033809671</t>
  </si>
  <si>
    <t>คริสมาสต์นี้มีของดีที่ Free Fire 🔥
ภารกิจมันส์ ข้าม ปี เริ่มขึ้นแล้ว ❄️
ตะลุยภารกิจและไปรับไอเทมได้เลย
รับรางวัลที่หน้ากิจกรรม Christmas นะ 💥
⏳ ระยะเวลากิจกรรม
ตั้งแต่วันที่ 17 ธันวาคม 2564 เวลา 04.00 น.
ถึงวันที่ 26 ธันวาคม  2564 เวลา 03.59 น.</t>
  </si>
  <si>
    <t>https://www.facebook.com/740460599475760/posts/1963788033809671/</t>
  </si>
  <si>
    <t>740460599475760_1964448330410308</t>
  </si>
  <si>
    <t>อัลบั้มภาพ Cosplay จากแฟชั่นสุดอลังการ ✨
พบกับ "Dragon Hunter" เหล่านักล่ามังกร 🐉
ที่จะมาล้างเผ่าพันธุ์นี้ และครองความยิ่งใหญ๋
สัมผัสความโหดเหี้ยมของชุดผ่าน Cosplay นี้ได้เลย 🔥</t>
  </si>
  <si>
    <t>https://www.facebook.com/740460599475760/posts/1964448330410308/</t>
  </si>
  <si>
    <t>740460599475760_1964456007076207</t>
  </si>
  <si>
    <t>[VDO] ขั้นตอนการสร้าง นิคมรกร้าง
เมื่อเหล่าวายร้ายมาชิงแกนพลัง 💥
ทำให้นิคมแห่งนี้ถูกปกคลุมไปด้วยน้ำแข็ง ❄️
มาร่วมกันฟื้นฟูนิคมแห่งนี้ไปพร้อมกัน ✨</t>
  </si>
  <si>
    <t>https://www.facebook.com/740460599475760/posts/1964456007076207/</t>
  </si>
  <si>
    <t>740460599475760_1964072870447854</t>
  </si>
  <si>
    <t>วันนี้มี LIVE 🔴 รับชมการถ่ายทอดสด 
Free Fire Survivals Master Winter ❄️
รอบ KNOCKOUT : รอบที่ 3 : เวลา 19:00 น. เป็นต้นไป
คลิ๊กเพื่อรับชม : https://youtu.be/OGAHnOHoG-o
📺 รับชมการแข่งขันได้ที่
🔴 Youtube : Garena Free Fire Thailand
🔵 Facebook : Garena Free Fire Thailand</t>
  </si>
  <si>
    <t>https://www.facebook.com/740460599475760/posts/1964072870447854/</t>
  </si>
  <si>
    <t>740460599475760_1017690712111095</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</si>
  <si>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#FFSM #FFesports</t>
  </si>
  <si>
    <t>https://www.facebook.com/freefireth/videos/1017690712111095/</t>
  </si>
  <si>
    <t>740460599475760_1963789357142872</t>
  </si>
  <si>
    <t>หนาวนี้มี Ice wall ไว้ต้านลมหรือยัง 🔥
กิจกรรม Top-up ต้อนรับหน้าหนาว
เติมแล้วรับสกินสุดว้าว WINTERFEST ❄️
สวยสุดจัดขนาดนี้ไม่มีได้หรอ ❓
⏳ ระยะเวลากิจกรรม
ตั้งแต่วันที่ 19 ธันวาคม 2564 เวลา 00.01 น.
ถึงวันที่ 20 ธันวาคม 2564 เวลา 23.59 น.</t>
  </si>
  <si>
    <t>https://www.facebook.com/740460599475760/posts/1963789357142872/</t>
  </si>
  <si>
    <t>740460599475760_1963789900476151</t>
  </si>
  <si>
    <t>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t>
  </si>
  <si>
    <t>https://www.facebook.com/740460599475760/posts/1963789900476151/</t>
  </si>
  <si>
    <t>740460599475760_1963827217139086</t>
  </si>
  <si>
    <t>[VDO] ต๊าชชชช แฟชั่นเย็นเจี๊ยบ
ฤดูนี้ หนาวแค่ไหนให้ถามใจดู✨
กับแฟชั่นโชว์กล้ามท้าลมเย็น ❄️
แค่เห็นก็สั่นสะท้านไปหมดแล้ว 🔥</t>
  </si>
  <si>
    <t>https://www.facebook.com/740460599475760/posts/1963827217139086/</t>
  </si>
  <si>
    <t>740460599475760_1957749637746844</t>
  </si>
  <si>
    <t>ส่งท้ายปีเก่าต้อนรับปีใหม่สุดยิ่งใหญ่ 💥
ในงาน "Free Fire มันส์ข้ามปี" ณ ลาน Central World
กิจกรรมส่งมอบความสุข สนุกไปพร้อม ๆ กัน 😆
มาร่วมถ่ายรูปกับต้นคริสมาสต์แอร์ดรอปยักษ์ 🎁
และร่วมมันส์ไปกับการแจกของรางวัลแบบจุก ๆ 
ของรางวัลสุดพิเศษ ✨
❄️ iPhone 13 [128GB] 10 รางวัล รวมมูลค่า [รวมมูลค่า 299,000บาท]
❄️ AirPod 3 10 รางวัล [รวมมูลค่า 67,900บาท]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</si>
  <si>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https://www.facebook.com/740460599475760/posts/1957749637746844/</t>
  </si>
  <si>
    <t>740460599475760_1958525884335886</t>
  </si>
  <si>
    <t>💎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</si>
  <si>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https://www.facebook.com/740460599475760/posts/1958525884335886/</t>
  </si>
  <si>
    <t>740460599475760_1963833210471820</t>
  </si>
  <si>
    <t>[VDO] แฟชั่น ฮันเตอร์ดรากอน
จะยกโขยงมังกรมาทั้งฝูงก็ไม่หวั่น ❗️
เพราะเขามาเพื่อล่าและกำจัดมังกรให้สิ้น 🔥
กับแฟชั่นสุดเดือด ท่ามกลางความหนาวเย็น ❄️
เตรียมเป็นเจ้าของแฟชั่นนี้ได้ที่ร้านค้าโมโค ✨</t>
  </si>
  <si>
    <t>https://www.facebook.com/740460599475760/posts/1963833210471820/</t>
  </si>
  <si>
    <t>740460599475760_295978249106529</t>
  </si>
  <si>
    <t>BOOYAH x Free Fire Asia Tournament Day 1
เตรียมร่วมเชียร์ตัวแทนประเทศไทยลุยศึกแห่งศักดิ์ศรี
#FFTHSTREAMER #THNO1 #ASIASURVIVORS</t>
  </si>
  <si>
    <t>https://www.facebook.com/freefireth/videos/295978249106529/</t>
  </si>
  <si>
    <t>740460599475760_1963790573809417</t>
  </si>
  <si>
    <t>เปิดร้านค้าโมโคกับแฟชันฮันเตอร์ดรากอน 🔥
และสกินปืน ที่จะมาเขย่าขวัญ
เหล่ามังกรให้หายสาปสูญไปให้หมด ✨
เหล่าผู้รอดชีวิตทั้งหลาย มาเป็นนักล่ามังกรไปด้วยกันเถอะ ❗️
⏳ ระยะเวลากิจกรรม
ตั้งแต่วันที่ 19 ธันวาคม 2564 เวลา 00.01 น.
ถึงวันที่ 25 ธันวาคม 2564 เวลา 23.59 น.</t>
  </si>
  <si>
    <t>https://www.facebook.com/740460599475760/posts/1963790573809417/</t>
  </si>
  <si>
    <t>740460599475760_1963845677137240</t>
  </si>
  <si>
    <t>[VDO] กิจกรรม NEW YEAR เร็ว ๆ นี้
กับกิจกรรม Free Fire มันส์ข้ามปี ❄️
จะมีความสนุกสุดมันส์อะไรบ้าง ❓
 แล้วเตรียมมาเจอกันนนนน ❤️</t>
  </si>
  <si>
    <t>https://www.facebook.com/740460599475760/posts/1963845677137240/</t>
  </si>
  <si>
    <t>740460599475760_1963822657139542</t>
  </si>
  <si>
    <t>เอ๊าาา ❗️ ใครสายลงแรงก์ต้องมา
เราเปิดการจัดอันดับให้เล่นแล้ว 🔥
ในโหมด "หมาป่าเดียวดาย"
กับความเร้าใจสุดระทึกยากจะลืม
เปิดให้เล่นพร้อมกันวันพรุ่งนี้  ✨</t>
  </si>
  <si>
    <t>https://www.facebook.com/740460599475760/posts/1963822657139542/</t>
  </si>
  <si>
    <t>740460599475760_1954317724756702</t>
  </si>
  <si>
    <t>ไหนๆ ขอเสียงสายเกมเมอร์หน่อย! พบกันสินค้าคอลเล็คชันสุดพิเศษ "Café Amazon x Free Fire Tumbler" ✨
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
โดยได้แรงบันดาลใจการออกแบบลายมาจาก 2 ตัวละครดังอย่าง Awakening Kelly และ Hayato 
พิเศษสุด ❗️ สำหรับลูกค้าคาเฟ่ อเมซอน รับฟรี ❗️ 
ไอเท็มโค้ดภายในกล่องสินค้าทุกใบ มีสิทธิ์รับ ชุดแฟชั่น หรือ ไอเท็มกระเป๋าสะพาย มูลค่าสูงสุด 300 บาท 
ขวดสเตนเลสเก็บความเย็น "Café Amazon x Free Fire Tumbler" 
จำหน่ายในราคาใบละ 379 บาท 
⏳ตั้งแต่ วันที่ 7 ธันวาคม 2564 เป็นต้นไป ที่ร้านคาเฟ่ อเมซอน</t>
  </si>
  <si>
    <t>https://www.facebook.com/740460599475760/posts/1954317724756702/</t>
  </si>
  <si>
    <t>740460599475760_1963839930471148</t>
  </si>
  <si>
    <t>[หนังสั้นสอนใจ EP.4] PRO-PLAYER
เรื่องของการเล่นเกม หากฝึกฝนที่มากพอ 💥
ไม่ว่าใครก็สามารถเป็นผู้เล่นมืออาชีพได้
เรื่องสอนใจครั้งนี้จะมาบอกถึงเรื่อง ❗️
"อย่าดูถูกใคร และอย่ามองคนแค่ที่ภายนอก" ✨</t>
  </si>
  <si>
    <t>https://www.facebook.com/740460599475760/posts/1963839930471148/</t>
  </si>
  <si>
    <t>740460599475760_1964809903707484</t>
  </si>
  <si>
    <t>ตารางถ่ายทอดสด 📡
FFSM รอบ GROUP STAGE ❄️
🔸 UPPER BRACKET : 20-22 ธันวาคม 2564
🔹 LOWER BRACKET : 23-24 ธันวาคม 2564
เริ่มเวลา 19.00 น. เป็นต้นไป
📺 รับชมการแข่งขันได้ที่
🔔 YT &amp; FB : Garena Free Fire Thailand</t>
  </si>
  <si>
    <t>https://www.facebook.com/740460599475760/posts/1964809903707484/</t>
  </si>
  <si>
    <t>740460599475760_4347917948653797</t>
  </si>
  <si>
    <t>BOOYAH x Free Fire Asia Tournament Day 2
เตรียมร่วมเชียร์ตัวแทนประเทศไทยลุยศึกแห่งศักดิ์ศรี
ทีม WAT ARUN วัดอรุณ
🔹ราชาหล่อเท่
🔸17Arm
🔹Bosser Gamer
🔸SeeYou
ทีม WAT PHO วัดโพธิ์
🔹JASMINNIIZ
🔸R.I.P Freestyle
🔹FMP TV
🔸OJOE Gaming</t>
  </si>
  <si>
    <t>https://www.facebook.com/freefireth/videos/4347917948653797/</t>
  </si>
  <si>
    <t>740460599475760_1963833767138431</t>
  </si>
  <si>
    <t>เมื่อความร้อนปะทะกับความเย็น 💥
ระเบิดออกกลายมาเป็นสกินปืนทั้ง 4
2 ปืนเร่าร้อน 2 ปืนเยือกเย็น 
ใครอยากมีปืนเจ๋ง ๆ ต้องโดนนน 🔥
⏳ ระยะเวลากิจกรรม
ตั้งแต่วันที่ 20 ธันวาคม 2564 เป็นต้นไป</t>
  </si>
  <si>
    <t>https://www.facebook.com/740460599475760/posts/1963833767138431/</t>
  </si>
  <si>
    <t>740460599475760_1962250917296716</t>
  </si>
  <si>
    <t>💎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</si>
  <si>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https://www.facebook.com/740460599475760/posts/1962250917296716/</t>
  </si>
  <si>
    <t>740460599475760_1963836677138140</t>
  </si>
  <si>
    <t>มาแล้วกับกิจกรรมแจกของฟรี รับปีใหม่ ❄️
ไล่ยาวตั้งแต่ท้ายปี ถึงต้นปีแบบจุก ๆ 🔥
กากปฏิทินไว้ให้พร้อม จำวันให้ดี
ห้ามพลาดเลยแม้แต่กิจกรรมเดียว ✨
ใครอยากได้ไอเทมไหนคอมเมนต์บอกแอดมาหน่อย 💕</t>
  </si>
  <si>
    <t>https://www.facebook.com/740460599475760/posts/1963836677138140/</t>
  </si>
  <si>
    <t>740460599475760_1966795856842222</t>
  </si>
  <si>
    <t>ตารางการถ่ายทอดสด Free Fire Survivals Master Winter ❄️
รอบ GROUP STAGE สายบนรอบที่ 1 DAY1
เริ่มเวลา 19.00 น. เป็นต้นไป
📺 รับชมการแข่งขันได้ที่
🔔 YT &amp; FB : Garena Free Fire Thailand</t>
  </si>
  <si>
    <t>https://www.facebook.com/740460599475760/posts/1966795856842222/</t>
  </si>
  <si>
    <t>740460599475760_3272605146348688</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</si>
  <si>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t>
  </si>
  <si>
    <t>https://www.facebook.com/freefireth/videos/3272605146348688/</t>
  </si>
  <si>
    <t>740460599475760_1966958943492580</t>
  </si>
  <si>
    <t>[TEASER] ชิงบัลลังก์หมาป่าเดียวดาย
พร้อมออกรบกันแล้วหรือยัง  ❓
ที่จะพบความมันส์แบบสุดขีด
กับการมาถึงของเกมจัดอันดับ 🏆
ในโหมด "หมาป่าเดียวดาย" 🐺
ออกมาขย้ำเหยื่อราวกับหมาป่าที่หิวโหยกันเถอะ 🔥</t>
  </si>
  <si>
    <t>https://www.facebook.com/740460599475760/posts/1966958943492580/</t>
  </si>
  <si>
    <t>740460599475760_1966941793494295</t>
  </si>
  <si>
    <t>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t>
  </si>
  <si>
    <t>https://www.facebook.com/740460599475760/posts/1966941793494295/</t>
  </si>
  <si>
    <t>740460599475760_1966951500159991</t>
  </si>
  <si>
    <t>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t>
  </si>
  <si>
    <t>https://www.facebook.com/740460599475760/posts/1966951500159991/</t>
  </si>
  <si>
    <t>740460599475760_1966950776826730</t>
  </si>
  <si>
    <t>รู้กันรึยัง ปีใหม่ที่เซ็นทรัลเวิลด์ ✨
Free Fire ไปจัดกิจกรรมสุดอลังการ
ในชื่อ "มันส์ ข้าม ปี" ณ ลานกิจกรรม
มาพร้อมมุมถ่ายรูปโดนและของรางวัลเพียบ 🔥
_____________________________
ของรางวัลสุดพิเศษ ✨
❄️ iPhone 13 [128GB] 10 รางวัล รวมมูลค่า [รวมมูลค่า 299,000]
❄️ AirPod 3 10 รางวัล [รวมมูลค่า 67,900]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</si>
  <si>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https://www.facebook.com/740460599475760/posts/1966950776826730/</t>
  </si>
  <si>
    <t>740460599475760_1967618723426602</t>
  </si>
  <si>
    <t>มาไต่แรงก์เพื่อเป็นที่หนึ่งไปด้วยกัน 🏆
กับโหมด "หมาป่าเดียวดาย"
การต่อสู้แบบตัวต่อตัว ในพื้นที่จำกัด 💥
ที่พลาดแม้แต่นิดเดียว เท่ากับ พ่ายแพ้ 🔥
มาบอกแรงก์ที่อยากขึ้นไปถึงให้แอดรู้กันหน่อย ✨</t>
  </si>
  <si>
    <t>https://www.facebook.com/740460599475760/posts/1967618723426602/</t>
  </si>
  <si>
    <t>740460599475760_1967695280085613</t>
  </si>
  <si>
    <t>[VDO] คอลเลกชันต้องห้ามพลาด
กับไอเทมมากมายที่เข้ากับเทศกาล ✨
ในฤดูหนาวแบบนี้ ต้องมาฟินกับของคลู ๆ ❄
มาสะสมกันให้ครบ แล้วออกไปลุยกันเลย 💥</t>
  </si>
  <si>
    <t>https://www.facebook.com/740460599475760/posts/1967695280085613/</t>
  </si>
  <si>
    <t>740460599475760_1967657196756088</t>
  </si>
  <si>
    <t>ตารางการถ่ายทอดสด Free Fire Survivals Master Winter ❄️
รอบ GROUP STAGE สายบนรอบที่ 1 DAY2
เริ่มเวลา 19.00 น. เป็นต้นไป
📺 รับชมการแข่งขันได้ที่
🔔 YT &amp; FB : Garena Free Fire Thailand</t>
  </si>
  <si>
    <t>https://www.facebook.com/740460599475760/posts/1967657196756088/</t>
  </si>
  <si>
    <t>740460599475760_1967775140077627</t>
  </si>
  <si>
    <t>เตรียมพบกับ MUSIC VIDEO สุดน่ารัก 💕
"FOREVERMORE" ของ WJMILD
ใครเห็นความสดใสในครั้งนี้เป็นต้องละลาย ❄
และมาทำให้ทุกวันเป็นวันที่ BOOYAH กัน 🔥
รับชมพร้อมกันได้ในวันที่ 24 ธันวาคม นี้ ✨</t>
  </si>
  <si>
    <t>https://www.facebook.com/740460599475760/posts/1967775140077627/</t>
  </si>
  <si>
    <t>740460599475760_1967775646744243</t>
  </si>
  <si>
    <t>ออกมาเต้น เอ๊า ❗ ออกมาเต้น
มาออกลวดลายสายแดนซ์ ✨
ด้วยท่าทางสเต็ปเท้าไฟ 🔥
เต้นกันให้สมรภูมิแตกกันไปข้างนึง
⏳ ระยะเวลากิจกรรม
ตั้งแต่วันที่ 28 ธันวาคม 2564 เป็นต้นไป</t>
  </si>
  <si>
    <t>https://www.facebook.com/740460599475760/posts/1967775646744243/</t>
  </si>
  <si>
    <t>740460599475760_1967776100077531</t>
  </si>
  <si>
    <t>ปลาคาร์ฟในความเชื่อของชาวญี่ปุ่น 🎌
คือ การบ่งบอกถึงความแข็งแกร่ง
แฟชันที่ได้รับแรงบันดาลใจ ✨
จากความเชื่อนี้ ก่อเป็นชุดสุดโหด 💥
⏳ ระยะเวลากิจกรรม
ตั้งแต่วันที่ 22 ธันวาคม 2564 เวลา 00.01 น.
ถึงวันที่ 31 ธันวาคม 2564 เวลา 23.59 น.</t>
  </si>
  <si>
    <t>https://www.facebook.com/740460599475760/posts/1967776100077531/</t>
  </si>
  <si>
    <t>740460599475760_1968403463348128</t>
  </si>
  <si>
    <t>รวมภาพ COSPLAY สุดเท่กระชากใจ ✨
ในโหมดใหม่ "หมาป่าเดียวดาย"
จะสู้แบบ 1v1 หรือ 2v2 ก็ไม่หวั่น
เข้ามาสัมผัสความมันส์ขั้นสุดได้แล้ววันนี้ 💥
และมาเป็นที่หนึ่งให้ได้ ดุจหมาป่าผู้เดียวดาย 🏆</t>
  </si>
  <si>
    <t>https://www.facebook.com/740460599475760/posts/1968403463348128/</t>
  </si>
  <si>
    <t>740460599475760_1967777143410760</t>
  </si>
  <si>
    <t>สายฟรี ฟังทางนี้ เด็ดจนห้ามพลาด 💥
กับกิจกรรมการมาถึงของ NEW AGE
พบกับไอเทมมากมาย ในธีมฤดูหนาว ❄
จัดหนักจัดเต็มขนาดนี้ เข้ามาเล่นกันด้วยน้า 💕
⏳ ระยะเวลากิจกรรม
ตั้งแต่วันที่ 23 ธันวาคม 2564 เวลา 04.00 น.
ถึงวันที่ 10 มกราคา 2565 เวลา 03.59 น.</t>
  </si>
  <si>
    <t>https://www.facebook.com/740460599475760/posts/1967777143410760/</t>
  </si>
  <si>
    <t>740460599475760_1967821676739640</t>
  </si>
  <si>
    <t>[VDO] เปิดตำนานแฟชั่นและสกินอาวุธ
ยักษ์และปลาคาร์ฟ สัญลักษณ์ความแข็งแกร่ง ✨
ที่มีมาอย่างยาวนานของชายญี่ปุ่น 🎌
แฟชั่นสุดโหดและสกินปืนสุกน่าเกรงขาม
ที่ไม่ว่าใครเห็นเป็นต้องสั่นกลัว 💥</t>
  </si>
  <si>
    <t>https://www.facebook.com/740460599475760/posts/1967821676739640/</t>
  </si>
  <si>
    <t>740460599475760_1968512446670563</t>
  </si>
  <si>
    <t>ตารางการถ่ายทอดสด Free Fire Survivals Master Winter ❄️
รอบ GROUP STAGE สายบนรอบที่ 2 
🔴 เริ่มเวลา 19.00 น. เป็นต้นไป
📌 อันดับ 1 และ 2 ของแต่ละ GROUP เข้าสู่โปรลีกซีซั่น6 🏆
📺 รับชมการแข่งขันได้ที่
🔔 YT &amp; FB : Garena Free Fire Thailand</t>
  </si>
  <si>
    <t>https://www.facebook.com/740460599475760/posts/1968512446670563/</t>
  </si>
  <si>
    <t>740460599475760_1968546566667151</t>
  </si>
  <si>
    <t>ปืนที่ว่าโหดยังโฉดไม่เท่าปืนระดับตำนาน ✨
กับสปินปืน "อินทนิลมัจฉาเจ้าวารี" 🌊
สาดกระสุนให้กระหน่ำ กำจัดศัตรูให้เกลี้ยง
ยิงเร็ว ยิงแรง ใส่ไม่ยั้งพร้อมคว้า BOOYAH 🔥
⏳ ระยะเวลากิจกรรม
ตั้งแต่วันที่ 23 ธันวาคม 2564 เวลา 00.01 น.
ถึงวันที่ 29 ธันวาคม 2564 เวลา 23.59 น.</t>
  </si>
  <si>
    <t>https://www.facebook.com/740460599475760/posts/1968546566667151/</t>
  </si>
  <si>
    <t>740460599475760_1968547556667052</t>
  </si>
  <si>
    <t>ใครไม่บิ๊ก แต่รถบิ๊กฟุตนะ แผ่มมม ❗
หลายคนอาจพลาดไปก่อนหน้านี้
ไม่เป็นไร เราเอากลับมาขายให้ใหม่ ✨
สกินรถเก๋ ๆ ขับได้เท่ ๆ ลุยสมรภูมิ
ขายเฉพาะไอเทม ไม่รวมของใน EP น้าา 💕
⏳ ระยะเวลากิจกรรม
ตั้งแต่วันที่ 23 ธันวาคม 2564 เวลา 00.01 น.
ถึงวันที่ 31 ธันวาคม 2564 เวลา 23.59 น.</t>
  </si>
  <si>
    <t>https://www.facebook.com/740460599475760/posts/1968547556667052/</t>
  </si>
  <si>
    <t>740460599475760_1966884233500051</t>
  </si>
  <si>
    <t>💎💎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</si>
  <si>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https://www.facebook.com/740460599475760/posts/1966884233500051/</t>
  </si>
  <si>
    <t>740460599475760_1968548526666955</t>
  </si>
  <si>
    <t>รวมไอเทมเด็ด รับวันคริสต์มาสกันแบบจุก ๆ ✨
หนาวนี้ไม่รู้กอดใครก็เข้ามาฝากใจกับ Free Fire
ยิงยาว 3 วันเต็มกับไอเทมเข้าธีม ❄
รับช่วงท้ายของปี ของมันต้องมีแล้วป่ะ ❗
ใครชอบไอเทมชิ้นไหนบ้างแกล้ง ๆ พิมพ์มาบอกแอดหน่อย 💕</t>
  </si>
  <si>
    <t>https://www.facebook.com/740460599475760/posts/1968548526666955/</t>
  </si>
  <si>
    <t>740460599475760_1968550000000141</t>
  </si>
  <si>
    <t>เสื้อยืดสุดพิเศษจากศิลปิน CHANG OF ART
Limited สุด ๆ เพราะมีเพียงแค่ 230 ตัว เท่านั้น ❗
ใครอยากได้อยากโดน ต้องห้ามพลาด
กับกิจจกรรม "มันส์ ข้าม ปี" ณ ลานเซ็นทรัลเวิลด์ ✨
นอกจากนี้ยังมีรางวัลอื่น ๆ อีกเพียบ แล้วมาเจอกันน้า 💕
_____________________________
ของรางวัลสุดพิเศษ ✨
❄️ iPhone 13 [128GB] 10 รางวัล รวมมูลค่า [รวมมูลค่า 299,000 บาท]
❄️ AirPod 3 10 รางวัล [รวมมูลค่า 67,900 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t>
  </si>
  <si>
    <t>https://www.facebook.com/740460599475760/posts/1968550000000141/</t>
  </si>
  <si>
    <t>740460599475760_1969123923276082</t>
  </si>
  <si>
    <t>[VDO] แอนิเมชันเปิดตัว เลื่อนของขวัญ
คลิสต์มาสทั้งที ต้องมีของขวัญแล้วมั้ยย ❓
ปะ ออกไปให้ของขวัญคนอื่น ๆ กัน
กับท่าเปิดตัว ที่พร้อมส่งมอบความสุขใรครั้งนี้ ❄
#FreeFire #FreeFireTH #นิคมรกร้าง #FreeFireNewAge</t>
  </si>
  <si>
    <t>https://www.facebook.com/740460599475760/posts/1969123923276082/</t>
  </si>
  <si>
    <t>740460599475760_1969321056589702</t>
  </si>
  <si>
    <t>ตารางการถ่ายทอดสด Free Fire Survivals Master Winter ❄️
รอบ GROUP STAGE สายล่างรอบที่ 1
🔴 เริ่มเวลา 19.00 น. เป็นต้นไป
📺 รับชมการแข่งขันได้ที่
🔔 YT &amp; FB : Garena Free Fire Thailand</t>
  </si>
  <si>
    <t>https://www.facebook.com/740460599475760/posts/1969321056589702/</t>
  </si>
  <si>
    <t>740460599475760_1969269273261547</t>
  </si>
  <si>
    <t>[TEASER] Forevermore - WJMILD
วิดีโอ TEASER มูสเพลงแห่งความสุข ✨
"FOREVERMORE" จาก WJMILD
เตรียมตัวให้พร้อมกับความน่ารักสดใส 💕
ตามสไตล์ของ FREE FIRE กันเลยย 💥
แล้วมารับชม MV ตัวเต็มกันได้เร็ว ๆ นี้ 😘</t>
  </si>
  <si>
    <t>https://www.facebook.com/740460599475760/posts/1969269273261547/</t>
  </si>
  <si>
    <t>740460599475760_1968551040000037</t>
  </si>
  <si>
    <t>คว้าใจเค้าไม่ได้ ลองใช้เคียวเกี่ยวใจดู 💕
ในคืนก่อนวันคริสต์มาสนี้ ขอมอบโปรดี
กับ เคียวบลัดดี้ ขยี้ใจในช่วยฤดูหนาว ❄
ถือไปไหนก็โดดเด่นเหนือใครในสมรภูมิ 💥
⏳ ระยะเวลากิจกรรม
ตั้งแต่วันที่ 24 ธันวาคม 2564 เวลา 00.01 น.
ถึงวันที่ 27 ธันวาคม 2564 เวลา 23.59 น.</t>
  </si>
  <si>
    <t>https://www.facebook.com/740460599475760/posts/1968551040000037/</t>
  </si>
  <si>
    <t>740460599475760_1968551743333300</t>
  </si>
  <si>
    <t>หนาวววว ใจจะขาดเพราะขาดเธอคนดี 
แต่ขาดเธอไปแค่ไหน ไอเทมต้องไม่ขาด 💥
ของดีประจำซีซันนี้กับ เลื่อนหิมะ 
พร้อมมาส่งมอบความสุขให้แล้ววว ✨
⏳ ระยะเวลากิจกรรม
ตั้งแต่วันที่ 24 ธันวาคม 2564 เวลา 00.01 น.
ถึงวันที่ 30 ธันวาคม 2564 เวลา 23.59 น.</t>
  </si>
  <si>
    <t>https://www.facebook.com/740460599475760/posts/1968551743333300/</t>
  </si>
  <si>
    <t>740460599475760_1969128239942317</t>
  </si>
  <si>
    <t>[VDO] เปิดคลังเทศกาลลมหนาว
รับลมเย็นส่งท้ายปี กับแฟชันคู่รัก 😘
สีขาวบนเสื้อ บ่งบอกความบริสุทธิ์ ราวกับหิมะ
และสีแดง คือความรักที่มีของทั้งสอง 💕</t>
  </si>
  <si>
    <t>https://www.facebook.com/740460599475760/posts/1969128239942317/</t>
  </si>
  <si>
    <t>PUBG: BATTLEGROUNDS</t>
  </si>
  <si>
    <t>172882636630076_969476276970704</t>
  </si>
  <si>
    <t>🔥🔥 นับถอยหลัง 6 เกมสุดท้ายเชียร์ให้สุดกับ 5 ทีมไทย ในการแข่งขัน 𝐏𝐔𝐁𝐆 𝐂𝐨𝐧𝐭𝐢𝐧𝐞𝐧𝐭𝐚𝐥 𝐒𝐞𝐫𝐢𝐞𝐬 𝟓 𝗔𝗣𝗔𝗖 !!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</si>
  <si>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https://www.facebook.com/172882636630076/posts/969476276970704/</t>
  </si>
  <si>
    <t>172882636630076_970284500223215</t>
  </si>
  <si>
    <t>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</si>
  <si>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https://www.facebook.com/172882636630076/posts/970284500223215/</t>
  </si>
  <si>
    <t>172882636630076_970669680184697</t>
  </si>
  <si>
    <t>สวัสดีทุกคน!
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เพื่อใช้เป็นข้อมูลในการพัฒนาการทดลองครั้งต่อๆ ไปให้ดียิ่งขึ้น!
เลือกการทดลองที่ชื่นชอบที่สุดในแบบสอบถามของเราที่ https://bit.ly/3urfCAq
โดยเราจะเปิดรับความคิดเห็นถึงวันที่ 5 ตุลาคมนี้!
#พับจี #เกมพับจี #PUBG</t>
  </si>
  <si>
    <t>https://www.facebook.com/172882636630076/posts/970669680184697/</t>
  </si>
  <si>
    <t>172882636630076_970942463490752</t>
  </si>
  <si>
    <t>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</si>
  <si>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https://www.facebook.com/172882636630076/posts/970942463490752/</t>
  </si>
  <si>
    <t>172882636630076_970945460157119</t>
  </si>
  <si>
    <t>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</si>
  <si>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https://www.facebook.com/172882636630076/posts/970945460157119/</t>
  </si>
  <si>
    <t>172882636630076_971000823484916</t>
  </si>
  <si>
    <t>🔥🔥 6 ทีม slot โซน APAC ได้ตั๋วไปลุยต่อ PUBG Global Championship 2021 มาตามเชียร์ 2 ตัวแทน 🇹🇭Buriram United Esports และ 🇹🇭Attack All Around ลุยศึกใหญ่ได้ พฤศจิกายน นี้ ไปพร้อมกัน  !!!
.
🔴 #รับชมย้อนหลังได้ที่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</si>
  <si>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https://www.facebook.com/172882636630076/posts/971000823484916/</t>
  </si>
  <si>
    <t>172882636630076_401104991611623</t>
  </si>
  <si>
    <t>"🔴Live สด! PCS5 ASIA สัปดาห์ที่ 3 วันที่ 1 l 🏆ทีมทีมไหนจะได้ไปเจอไทยที่ชิงแชมป์โลก!
🔥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</si>
  <si>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https://www.facebook.com/pubg.battlegrounds.th/videos/401104991611623/</t>
  </si>
  <si>
    <t>172882636630076_971543223430676</t>
  </si>
  <si>
    <t>🍗 วันแรกของการแข่งขันสัปดาห์สุดท้าย Petrichor Road 🇨🇳 กลับมาทวงบัลลังก์คว้าไป 1 ไก่กับอีก 40 คิลในวันนี้ แล้วมาพบศึกตัดสินชะตาวันพรุ่งนี้ 
พากย์ไทยจัดเต็มความมันส์! ทุกวันเสาร์ - อาทิตย์ เวลา 17.00 น. เป็นต้นไป
🗓18 - 19, 25 - 26, กันยายน และ 2 - 3 ตุลาคม 2564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#PUBG #ESPORTS #PCS5 #PCS5ASIA  #PICKEMCHALLENGE
#เชียร์ไทยไปชิงแชมป์โลก #RoadToPGC202  #PUBGBattleGirls
#DaytradeGaming #ShaperEsport #AttackAllAround #MiTH #MSChonburi</t>
  </si>
  <si>
    <t>https://www.facebook.com/172882636630076/posts/971543223430676/</t>
  </si>
  <si>
    <t>172882636630076_941368270062200</t>
  </si>
  <si>
    <t>🔥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</si>
  <si>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https://www.facebook.com/pubg.battlegrounds.th/videos/941368270062200/</t>
  </si>
  <si>
    <t>172882636630076_972150376703294</t>
  </si>
  <si>
    <t>📢การต่อสู้ที่สูสี “PUBG Continental Series #5 - ASIA” จบลงไปแล้ว และทีม Petrichor Road 🇨🇳 คว้าแชมป์ในครั้งนี้ไปอย่างสวยงามพร้อมไปต่อรอบชิงแชมป์โลก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</si>
  <si>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https://www.facebook.com/172882636630076/posts/972150376703294/</t>
  </si>
  <si>
    <t>172882636630076_972161813368817</t>
  </si>
  <si>
    <t>📢ทีม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</si>
  <si>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https://www.facebook.com/172882636630076/posts/972161813368817/</t>
  </si>
  <si>
    <t>172882636630076_972919619959703</t>
  </si>
  <si>
    <t>‼🎁 ประกาศรายชื่อผู้โชคดีจากการตอบคำถามผ่านช่องแชทในไลฟ์ถ่ายทอดสด PCS5 APAC
สัปดาห์ที่ 3
#วิธีการรายงานตัว
- ผู้โชคดีต้องพิมพ์ "รายงานตัวผู้ได้รับรางวัล" ที่คอมเม็นต์ไต้โพสนี้
- Inbox หาทีมงานเพื่อยืนยันตัวและยืนยันที่อยู่ในการรับของรางวัล
- ผู้โชคดีจะต้องรายงานตัวก่อนวันที่ 10 ตุลาคม พ.ศ.2564 มิเช่นนั้นจะถือว่าสละสิทธิ์
🇹🇭 ตัวแทนทีมไทย🇹🇭🇹🇭ลุยชิงแชมป์โลก PUBG Global Championship 2021 มาตามเชียร์ 2 ตัวแทน 🇹🇭Buriram United Esports และ 🇹🇭Attack All Around ลุยศึกใหญ่ได้  19 พฤศจิกายน นี้ !!!
#PUBG #ESPORTS #PCS5
#เชียร์ไทยไปชิงแชมป์โลก #RoadToPGC202</t>
  </si>
  <si>
    <t>https://www.facebook.com/172882636630076/posts/972919619959703/</t>
  </si>
  <si>
    <t>172882636630076_973096053275393</t>
  </si>
  <si>
    <t>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
🔔 กดติดตามช่องทางเพิ่มเติมได้ที่:
🎥 YouTube http://bit.ly/2P5IbzQ
🎥 PLAYERUNKNOWN'S BATTLEGROUNDS
🎥 Twitch.tv/pubgthailandofficial
🎥 Tiktok.com/@pubgthailandofficial
#พับจี #เกมพับจี #PUBG #Season14</t>
  </si>
  <si>
    <t>https://www.facebook.com/172882636630076/posts/973096053275393/</t>
  </si>
  <si>
    <t>172882636630076_973095346608797</t>
  </si>
  <si>
    <t>ส่งท้ายความมันส์ Highlight สัปดาห์ที่ 3 ในการแข่งขัน 𝐏𝐔𝐁𝐆 𝐂𝐨𝐧𝐭𝐢𝐧𝐞𝐧𝐭𝐚𝐥 𝐒𝐞𝐫𝐢𝐞𝐬 𝟓 𝗔𝗣𝗔𝗖 
เตรียมตัวไปลุยกันต่อกับ ศึกใหญ่ชิงแชมป์โลก PUBG Global Championship 2021 ตามเชียร์ 2 ตัวแทน 🇹🇭Buriram United Esports และ 🇹🇭Attack All Around 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#PUBG #ESPORTS #PCS5 #PUBGBattleGirls
#เชียร์ไทยไปชิงแชมป์โลก #RoadToPGC202
#DaytradeGaming #ShaperEsport #AttackAllAround #MiTH #MSChonburi</t>
  </si>
  <si>
    <t>https://www.facebook.com/172882636630076/posts/973095346608797/</t>
  </si>
  <si>
    <t>172882636630076_972880253296973</t>
  </si>
  <si>
    <t>⚠โปรดทราบ⚠
ในวันที่ 6 ตุลาคม 2021 ตั้งแต่เวลา 7:30 น. เป็นต้นไป
จะมีการปิดบำรุงรักษาเซิร์ฟเวอร์ และทำการอัปเดตตัวเกมเป็นอัปเดต 14.1
โดยคาดว่าจะใช้เวลาในดำเนินการประมาณ 8 ชั่วโมง
ในระหว่างที่เราดำเนินการปรับปรุงอยู่ ผู้เล่นจะไม่สามารถล็อคอินเข้าสู่ตัวเกมได้
และเมื่อเราได้ดำเนินการเสร็จสิ้นและเซิร์ฟเวอร์พร้อมเปิดให้บริการแล้วจะทำการประกาศให้ทุกท่านได้ทราบอีกครั้ง
ทีมงาน PLAYERUNKNOWN'S BATTLEGROUNDS
#พับจี #เกมพับจี #PUBG</t>
  </si>
  <si>
    <t>https://www.facebook.com/172882636630076/posts/972880253296973/</t>
  </si>
  <si>
    <t>172882636630076_973550876563244</t>
  </si>
  <si>
    <t>🔻ยังเปิดรับสมัครอยู่นะจ๊ะ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
.
เงินรางวัลแบ่งออกเป็น 2 Phase
- เฟสละ 38,000 บาท
- ทีมที่กินไก่ได้จะได้โบนัสเพิ่มทีมละ 1,250 บาท
- ทีมที่มีเงินรางวัลสะสมมากสุดจะเป็นแชมป์ประจำเดือนตุลาคม
.
📋รอบ Open Qualifier
-ใช้กฎ Most chicken rule
🟥ลิ้งรับสมัคร 512 ทีม : https://1th.me/xOuyc
🟥ประกาศรายชื่อทีมที่ผ่านการคัดเลือก วันที่ 9 ต.ค. 2564 !!
ตารางวันการแข่งขัน
▶ วันที่ 12 ตุลาคม แข่งรอบ 512 ทีม เวลา 17.30 กลุ่ม 1-8 / เวลา 18.45 กลุ่ม 9-16 / เวลา 20.00 กลุ่ม 17-24 / เวลา 21.15 กลุ่ม 25-32 โดด 2 รอบ (TOP 2 แต่ละกลุ่ม เข้ารอบ)
▶ วันที่ 14 ตุลาคม แข่งรอบ 64 ทีม  เวลา 17.30 กลุ่ม 1-4 โดด 4 รอบ (TOP 4 แต่ละกลุ่ม เข้ารอบ)
▶ วันที่ 15 ตุลาคม แข่งรอบ 16 ทีม  เวลา 17.30 กลุ่ม 1 โดด 4 รอบ (TOP 8 เข้ารอบ League)
.
📌กลุ่มคอมมูของชาว FPSThailand 🚀 เพื่อพูดคุย แลกเปลี่ยนความคิดเห็นกัน เข้ามาจอยกันได้แล้วที่กลุ่มนี้ : https://bit.ly/3qLmhng
▬▬▬▬▬▬▬▬▬▬▬▬▬▬▬
Sponsored by
#LEOรวมกันมันส์กว่า #iHAVECPU #Twire #FPSThailand #PUBG #ESPORTS</t>
  </si>
  <si>
    <t>https://www.facebook.com/172882636630076/posts/973550876563244/</t>
  </si>
  <si>
    <t>172882636630076_973652123219786</t>
  </si>
  <si>
    <t>🎉เปิดให้"แบก"แล้ว กับอัปเดตใหม่ล่าสุด 14.1 ระบบใหม่ล่าสุด "เดอะแบก"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กดอัปเดตเข้าเกมพับจีไปแบกกกกกเพื่อนพาไปกินไก่ตอนนี้เลย!!
ดูรายละเอียดแพทช์ 14.1 แบบเต็มๆ ได้ที่: https://bit.ly/3odEYRi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</si>
  <si>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https://www.facebook.com/172882636630076/posts/973652123219786/</t>
  </si>
  <si>
    <t>172882636630076_973674283217570</t>
  </si>
  <si>
    <t>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ไปดูกันเลย!!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</si>
  <si>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https://www.facebook.com/172882636630076/posts/973674283217570/</t>
  </si>
  <si>
    <t>172882636630076_973689799882685</t>
  </si>
  <si>
    <t>🏆🌏 𝐏𝐔𝐁𝐆 𝐆𝐥𝐨𝐛𝐚𝐥 𝐂𝐡𝐚𝐦𝐩𝐢𝐨𝐧𝐬𝐡𝐢𝐩 𝟐𝟎𝟐𝟏 ครบแล้ว 32 ทีมที่ดีที่สุดในโลก!!
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บอกเลยว่ามันส์หยดทุกสัปดาห์แน่นอน!
ดูรายละเอียดการแข่งขันได้ที่ ▶▶ https://bit.ly/PGC2021TH
#PUBG #esports #PGC2021 #พับจีชิงแชมป์โลก</t>
  </si>
  <si>
    <t>https://www.facebook.com/172882636630076/posts/973689799882685/</t>
  </si>
  <si>
    <t>172882636630076_974253753159623</t>
  </si>
  <si>
    <t>🎥 ไฮไลท์แข่งพับจี ช็อตเด็ด PCS5 จากทั่วโลก #16 | PUBG Esports Moments
🔥🔥  ไฮไลท์ศึก 𝐏𝐂𝐒𝟓 ส่งท้าย แล้วเจอกันศึกชิงแชมป์โลก 19 พ.ย.นี้ มาเชียร์ 2 ทีมไทยกัน!
🇹🇭 #2ทีมที่ได้เป็นตัวแทนประเทศไทย ลุย PGC2021 🇹🇭
▪Buriram United Esports
▪Attack All Around
#PUBG #ESPORTS #PCS5 #PGC2021
#เชียร์ไทยไปชิงแชมป์โลก #RoadToPGC2021
🔔 กดติดตามความเคลื่อนไหวเกม PUBG ได้ที่:
🎥 Youtube.com/channel/UCkIfBfDe9YeSp6ZZVyhjC5Q
🎥 Facebook.com/PUBG.TH.Official
🎥 Twitch.tv/pubgthailandofficial
🎥 Tiktok.com/@pubgthailandofficial</t>
  </si>
  <si>
    <t>https://www.facebook.com/172882636630076/posts/974253753159623/</t>
  </si>
  <si>
    <t>172882636630076_974324759819189</t>
  </si>
  <si>
    <t>👻กุ๊ก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สัปดาห์ไอเทมไม่ซ้ำอีกด้วย เริ่มตั้งแต่วันที่ 6 ตุลาคม ถึง 2 พฤศจิกายนนี้เท่านั้น ติดตามสตรีมเมอร์ที่เพื่อนๆ ชื่นชอบไว้ให้ดี ห้ามพลาด!!👻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</si>
  <si>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https://www.facebook.com/172882636630076/posts/974324759819189/</t>
  </si>
  <si>
    <t>172882636630076_974353596482972</t>
  </si>
  <si>
    <t>🏆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💎Made in Thailand
💎Attack All Around
💎DAYTRADE GAMING
💎Buriram United Esports
💎Horror Horse Jr.
💎DIDIERSPORT
💎XERXIA
💎Concentrate.Esport
💎Business Boy
💎Horror Horse
💎eArena
💎Thunder Bolt
💎xi e-sport
💎INTEND ESPORT
💎S.Somphong Esport
💎ORBIT ESPORTS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🎮https://discord.gg/grnv8m3xKk
-------------------------------------------------------
#AOCMasters2021  #PUBG
#AGONbyAOC 
#AOCGaming 
#AGON
#PUBGTournament 
#AOCMastersTournament
#ESPORTS</t>
  </si>
  <si>
    <t>https://www.facebook.com/172882636630076/posts/974353596482972/</t>
  </si>
  <si>
    <t>172882636630076_974385706479761</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</si>
  <si>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</si>
  <si>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https://www.facebook.com/172882636630076/posts/974385706479761/</t>
  </si>
  <si>
    <t>172882636630076_974893623095636</t>
  </si>
  <si>
    <t>💞💁‍♀️ รวมทีมสุดคิ้วท์น้องมุก&amp;เฌอแตม + มือโปรพับจี แข่งเกม!! ในรายการ PUBG Battle Girls EP.5 !
ช่องทางติดตาม สาวๆใน PUBG Battle Girls
Mook : https://www.instagram.com/mooktiikaikanomjeenah/
Jetaime : https://www.instagram.com/jetaime_triya/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t>
  </si>
  <si>
    <t>https://www.facebook.com/172882636630076/posts/974893623095636/</t>
  </si>
  <si>
    <t>172882636630076_974967039754961</t>
  </si>
  <si>
    <t>👻Trick-or-Treat M416!!👻 สกินปืนอัปเกรดได้แบบใหม่ล่าสุด ของปืนกลไรเฟิลยอดนิยมของชาวพับจี ที่สามารถเปิดกล่อง"คอนทราแบนด์" (Contraband Crate) ในเมนู "ที่ซ่อน" หรือ "Hideout" ได้ เพื่อลุ้นปืนต้นแบบและอัปเกรดแต่งเติมจัดเต็มได้สูงสุดถึง 10 เลเวล เพื่อนๆ PUBG ทุกคนชอบเลเวลส่วนไหน หรืออัปเกรดถึงเลเวลใดกันแล้ว มาอวดขิงรับฮัลโลวีนกันได้เลย!!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</si>
  <si>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https://www.facebook.com/172882636630076/posts/974967039754961/</t>
  </si>
  <si>
    <t>172882636630076_974981129753552</t>
  </si>
  <si>
    <t>4 โมงเย็นวันนี้ไปเฝ้าจอชมบนยูทูปพร้อมกัน!! https://youtu.be/6w4gvFSdr7U 
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ที่เหล่าสตรีมเมอร์พับจีและลูกทีมจากเกาหลีและจีนคอยปั่นป่วนหรือต้องคอยปกป้องกันแน่! เพื่อให้ควีนมีชีวิตรอดได้จนจบเกม ใครจะเป็นผู้ชนะไปจากรายการ BLACKPINK SQUAD-UP ไปชมกันเลย!!
🔔 กดติดตามช่องทางเพิ่มเติมได้ที่:
🎥 YouTube http://bit.ly/2P5IbzQ
🎥 PLAYERUNKNOWN'S BATTLEGROUNDS
🎥 Twitch.tv/pubgthailandofficial
🎥 Tiktok.com/@pubgthailandofficial
#พับจี #เกมพับจี #PUBG #Season14 #BLACKPINK #PUBGxBLACKPINK</t>
  </si>
  <si>
    <t>https://www.facebook.com/172882636630076/posts/974981129753552/</t>
  </si>
  <si>
    <t>172882636630076_975060066412325</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</si>
  <si>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</si>
  <si>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https://www.facebook.com/172882636630076/posts/975060066412325/</t>
  </si>
  <si>
    <t>172882636630076_975672303017768</t>
  </si>
  <si>
    <t>🔔 ผลคะแนน GROUP FINAL DAY 2 🔔
พรุ่งนี้วันชี้ชะตา !! ใครจะได้เป็น 2 ทีมตัวแทนประเทศไทย 🇹🇭
ไปแข่งขันต่อในรอบ Regional Finals 🪐
📍 ติดตามชมการแข่งขัน เวลา 18.30 น. 🪂  โดดแรกเริ่ม 19:00 น. เป็นต้นไป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#PUBGTournament 
#AOCMastersTournament</t>
  </si>
  <si>
    <t>https://www.facebook.com/172882636630076/posts/975672303017768/</t>
  </si>
  <si>
    <t>172882636630076_975724409679224</t>
  </si>
  <si>
    <t>🔴LIVE NOW🔴 AOC MASTERS TOURNAMENT 2021 l 🇹🇭
🏆วันนี้ตัดสิน!! ใครจะได้เป็น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</si>
  <si>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https://www.facebook.com/172882636630076/posts/975724409679224/</t>
  </si>
  <si>
    <t>172882636630076_976362902948708</t>
  </si>
  <si>
    <t>💞💁‍♀️ สายฮาก็มาดิค๊าบ เมื่อน้องโม&amp;เอิร์น จับมือมือโปรพับจี แข่งเกม!! ใน PUBG Battle Girls EP.6 !
ช่องทางติดตาม สาวๆใน PUBG Battle Girls
Mo : https://www.instagram.com/virachaaaa/
Earn : https://www.instagram.com/eaarrns/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
🔔 กดติดตามความเคลื่อนไหวเกม PUBG ได้ที่:
🎥 YouTube http://bit.ly/2P5IbzQ
🎥 Facebook.com/PUBG.TH.Official
🎥 Twitch.tv/pubgthailandofficial
🎥 Tiktok.com/@pubgthailandofficial</t>
  </si>
  <si>
    <t>https://www.facebook.com/172882636630076/posts/976362902948708/</t>
  </si>
  <si>
    <t>172882636630076_976953709556294</t>
  </si>
  <si>
    <t>🎉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
🪂 ระเบิดศึกแห่งศักดิ์ศรี ร่วมส่งแรงเชียร์ให้กับทั้ง 2 ทีมตัวแทนประเทศไทย ได้ในวันที่ 2 - 7 พฤศจิกายน 2564 นี้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</si>
  <si>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https://www.facebook.com/172882636630076/posts/976953709556294/</t>
  </si>
  <si>
    <t>172882636630076_977696136148718</t>
  </si>
  <si>
    <t>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</si>
  <si>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https://www.facebook.com/172882636630076/posts/977696136148718/</t>
  </si>
  <si>
    <t>172882636630076_977708739480791</t>
  </si>
  <si>
    <t>แฟนๆ พับจีคนไหนเคยเห็นการผจญภัยและทันทีมนักล่ามังกรทั้ง 4 ใน Erangel บ้าง?
🔔 กดติดตามช่องทางเพิ่มเติมได้ที่:
🎥 YouTube http://bit.ly/2P5IbzQ
🎥 PLAYERUNKNOWN'S BATTLEGROUNDS
🎥 Twitch.tv/pubgthailandofficial
🎥 Tiktok.com/@pubgthailandofficial
#พับจี #เกมพับจี #PUBG #Season14</t>
  </si>
  <si>
    <t>https://www.facebook.com/172882636630076/posts/977708739480791/</t>
  </si>
  <si>
    <t>172882636630076_977798096138522</t>
  </si>
  <si>
    <t>👻เพื่อนๆ เกม PUBG พีซีได้สัมผัสบรรยากาศและสภาพอากาศของฮัลโลวีนใน School, Hospital และเกาะเกิดของแผนที่ Erangel หรือยัง? หลอนดีไหม👻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</si>
  <si>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https://www.facebook.com/172882636630076/posts/977798096138522/</t>
  </si>
  <si>
    <t>172882636630076_977895402795458</t>
  </si>
  <si>
    <t>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</si>
  <si>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https://www.facebook.com/172882636630076/posts/977895402795458/</t>
  </si>
  <si>
    <t>172882636630076_979679202617078</t>
  </si>
  <si>
    <t>👻เลเวลอะไรกัน? แล้วกับสกินปืนแบบอัปเกรดใหม่ล่าสุดรับเทศกาลฮัลโลวีนอย่าง Trick-or-Treat M416!! มาอวดกันหน่อยเป็นไง👻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</si>
  <si>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https://www.facebook.com/172882636630076/posts/979679202617078/</t>
  </si>
  <si>
    <t>172882636630076_980953712489627</t>
  </si>
  <si>
    <t>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</si>
  <si>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https://www.facebook.com/172882636630076/posts/980953712489627/</t>
  </si>
  <si>
    <t>172882636630076_980958539155811</t>
  </si>
  <si>
    <t>นักเวทย์ไฟที่สามารถปลดปล่อยพลังเวทย์เพลิงทำลายล้างศัตรูให้เป็นจุลที่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</si>
  <si>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https://www.facebook.com/172882636630076/posts/980958539155811/</t>
  </si>
  <si>
    <t>172882636630076_981491159102549</t>
  </si>
  <si>
    <t>🎯เรนเจอร์โคตรเท่!! สายซุ่มยิงโจมตีระยะไกลต้องไม่พลาดอาชีพใน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</si>
  <si>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https://www.facebook.com/172882636630076/posts/981491159102549/</t>
  </si>
  <si>
    <t>172882636630076_982061412378857</t>
  </si>
  <si>
    <t>⚔ นักบู๊ตัวสุดโหด ที่เหล่าศัตรูต่อกรและเอาชีวิตรอดจากเขี้ยวคมขวานได้ยากที่สุด พบกับ Executioner 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</si>
  <si>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https://www.facebook.com/172882636630076/posts/982061412378857/</t>
  </si>
  <si>
    <t>172882636630076_982020615716270</t>
  </si>
  <si>
    <t>ในวันที่ 20 ตุลาคม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</si>
  <si>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https://www.facebook.com/172882636630076/posts/982020615716270/</t>
  </si>
  <si>
    <t>172882636630076_982696852315313</t>
  </si>
  <si>
    <t>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สามารถเลือกเล่นได้ 4 อาชีพอย่าง นักรบ Executioner, นักล่า Ranger, นักเวทย์ Pyromancer, และนักบวช Cleric พร้อมยังอัปเกรดอาวุธและไอเทมเพื่อแข็งแกร่งขึ้นจนอยู่รอดชีวิตเป็นกลุ่มสุดท้ายในศึก HBR ครั้งนี้!! รับรองรอบนี้โหมดนี้จึ้งมากแน่นอน!!👻
📌รายละเอียดโหมดใหม่ HBR https://bit.ly/3pjtImX
📆เข้าเล่นได้ที่โหมด LABS ตั้งแต่วันนี้ถึง 1 พฤศจิกายน 2564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</si>
  <si>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https://www.facebook.com/172882636630076/posts/982696852315313/</t>
  </si>
  <si>
    <t>172882636630076_982766825641649</t>
  </si>
  <si>
    <t>👻สกินไอเทมเซ็ตใหม่ล่าสุด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ลงสู่สนามรบได้ทุกแผนที่ แฟนๆ พับจีเป็นเจ้าของได้แล้ววันนี้ 👻 ซื้อแบบแพ็คถูกกว่า ประหยัดกว่า แน่นอน!! 👻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</si>
  <si>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https://www.facebook.com/172882636630076/posts/982766825641649/</t>
  </si>
  <si>
    <t>172882636630076_982779412307057</t>
  </si>
  <si>
    <t>🏆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Facebook.com/PUBG.TH.Official
🎥 Twitch.tv/pubgthailandofficial
🎥 Tiktok.com/@pubgthailandofficial</t>
  </si>
  <si>
    <t>https://www.facebook.com/172882636630076/posts/982779412307057/</t>
  </si>
  <si>
    <t>172882636630076_986268008624864</t>
  </si>
  <si>
    <t>📢📢 รายชื่อ 16 ทีม ที่จะมาปะทะกันรอบ Regional Finals รายการ AOC MASTERS TOURNAMENT 2021🪂 เจอกัน 2-7 พ.ย.นี้
🔥 เตรียมตัวให้พร้อม แล้วมาส่งเสียงเชียร์ให้กับ 2 ทีมตัวแทนจากประเทศไทย
ทีม eArena และ MiTH !! 🇹🇭🇹🇭🇹🇭 🏆
🇹🇭 TH : eArena , MiTH
🇻🇳 VN : BAONAM UNITED , Division X Gaming , The Expendables
🇲🇾 MY : PMA , Bhadboyz Alliance
🇹🇼 TW : KSR , SDG
🇵🇭 PH : Colony , DK Esports , NRX
🇮🇩 ID : From The Future, Extraordinaire
🇦🇺 AU : Bliss, Fury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</si>
  <si>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https://www.facebook.com/172882636630076/posts/986268008624864/</t>
  </si>
  <si>
    <t>172882636630076_986959085222423</t>
  </si>
  <si>
    <t>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</si>
  <si>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https://www.facebook.com/172882636630076/posts/986959085222423/</t>
  </si>
  <si>
    <t>172882636630076_987063738545291</t>
  </si>
  <si>
    <t>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ตัวฟรีจากกิจกรรม FRESH HOODS x PUBG ในเกมกันด้วยล่ะ!!
🔔 กดติดตามช่องทางเพิ่มเติมได้ที่:
🎥 YouTube http://bit.ly/2P5IbzQ
🎥 PLAYERUNKNOWN'S BATTLEGROUNDS
🎥 Twitch.tv/pubgthailandofficial
🎥 Tiktok.com/@pubgthailandofficial
#พับจี #เกมพับจี #PUBG #Season14 #FRESHHOODS #PUBGxFRESHHOODS</t>
  </si>
  <si>
    <t>https://www.facebook.com/172882636630076/posts/987063738545291/</t>
  </si>
  <si>
    <t>172882636630076_987097465208585</t>
  </si>
  <si>
    <t>https://www.facebook.com/172882636630076/posts/987097465208585/</t>
  </si>
  <si>
    <t>172882636630076_987160195202312</t>
  </si>
  <si>
    <t>🔴Live ไปส่ง 💙AAA และ 💙BRU บินตรงไปเกาหลี สู่เวทีชิงแชมป์โลก PGC2021 มาให้กำลังใจผู้เล่นทั้งสองทีมและทีมงานทุกคน 
ขอบคุณไลฟ์จากเพจ MS Chonburi PUBG
#PUBG #ESPORTS #PGC2021 #พับจีชิงแชมป์โลก
#AAA #BRU</t>
  </si>
  <si>
    <t>https://www.facebook.com/172882636630076/posts/987160195202312/</t>
  </si>
  <si>
    <t>172882636630076_987509225167409</t>
  </si>
  <si>
    <t>🪂✈ เมื่อคืนที่ผ่านมา ทีม 💙AAA และ 💙BRU ได้เดินทางบินลัดฟ้าสู่ประเทศเกาหลีใต้🇰🇷
และช่วงเช้าทั้งสองทีมก็ได้ถึงเกาหลีเป็นที่เรียบร้อย พร้อมเริ่มมาตรการกักตัว 14 วันต่อไป
🇹🇭👏 อย่าลืมมาให้กำลังใจและส่งแรงเชียร์ทีมไทย ในเวทีชิงแชมป์โลก PGC2021 เริ่ม 19 พ.ย.นี้เป็นต้นไป!
#PUBG #ESPORTS #PGC2021 #พับจีชิงแชมป์โลก
#AAA #BRU</t>
  </si>
  <si>
    <t>https://www.facebook.com/172882636630076/posts/987509225167409/</t>
  </si>
  <si>
    <t>172882636630076_988271731757825</t>
  </si>
  <si>
    <t>"เจ้าเชื่อเรื่องบั้งไฟบ่" MORTAR ปืนใหม่ เฮ็ดในสิ่งที่เชื่อ เชื่อในสิ่งที่เฮ็ด 3 พ.ย.นี้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</si>
  <si>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https://www.facebook.com/172882636630076/posts/988271731757825/</t>
  </si>
  <si>
    <t>172882636630076_989524938299171</t>
  </si>
  <si>
    <t>ขอให้เป็นวันฮัลโลวีนที่พิเศษสำหรับเพื่อนๆ ชาวพับจีทุกคน 🎃Happy Halloween🎃
🔔 กดติดตามช่องทางเพิ่มเติมได้ที่:
🎥 YouTube http://bit.ly/2P5IbzQ
🎥 PLAYERUNKNOWN'S BATTLEGROUNDS
🎥 Twitch.tv/pubgthailandofficial
🎥 Tiktok.com/@pubgthailandofficial
#พับจี #เกมพับจี #PUBG</t>
  </si>
  <si>
    <t>https://www.facebook.com/172882636630076/posts/989524938299171/</t>
  </si>
  <si>
    <t>172882636630076_990130271571971</t>
  </si>
  <si>
    <t>🏆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อัปเดตรายละเอียดของทีมที่เข้าร่วมแข่งขัน 𝐏𝐆𝐂 𝟐𝟎𝟐𝟏  https://bit.ly/PGCThTeam
🏆🇹🇭 ห้ามพลาด เชียร์ตัวแทนทีมไทย🇹🇭🇹🇭ลุยชิงแชมป์โลก 🇹🇭Buriram United Esports และ 🇹🇭Attack All Around ลุยศึกใหญ่ ผู้เล่นทุกคนต้องการแรงใจแรงเชียร์จากคุณ !!!
#PUBG #ESPORTS #PGC2021 #พับจีชิงแชมป์โลก
#เชียร์ไทยไปชิงแชมป์โลก</t>
  </si>
  <si>
    <t>https://www.facebook.com/172882636630076/posts/990130271571971/</t>
  </si>
  <si>
    <t>172882636630076_990526674865664</t>
  </si>
  <si>
    <t>🔥 วันนี้ 18.30 น. เริ่มเดือด !! 16 ทีมสุดท้ายเตรียมปะทะกันในศึก 🔥
AOC MASTERS TOURNAMENT 2021💣🪂
เตรียมตัวให้พร้อม แล้วมาส่งเสียงเชียร์ให้กับ 2 ทีมตัวแทนจากประเทศไทย
ทีม eArena และ MiTH !! 🇹🇭🇹🇭🇹🇭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</si>
  <si>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https://www.facebook.com/172882636630076/posts/990526674865664/</t>
  </si>
  <si>
    <t>172882636630076_625073651855177</t>
  </si>
  <si>
    <t>🔴LIVE NOW🔴 [TH]  AOC MASTERS TOURNAMENT 2021 l REGIONAL FINALS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WATCH LIVE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</si>
  <si>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https://www.facebook.com/pubg.battlegrounds.th/videos/625073651855177/</t>
  </si>
  <si>
    <t>172882636630076_990554618196203</t>
  </si>
  <si>
    <t>⚠โปรดทราบ⚠
ในวันที่ 3 พฤศจิกายน 2021 ตั้งแต่เวลา 7:30 น. จะมีการปิดบำรุงรักษาเซิร์ฟเวอร์
และทำการอัปเดตตัวเกมเป็นอัปเดต 14.2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</si>
  <si>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https://www.facebook.com/172882636630076/posts/990554618196203/</t>
  </si>
  <si>
    <t>172882636630076_991318428119822</t>
  </si>
  <si>
    <t>https://www.facebook.com/172882636630076/posts/991318428119822/</t>
  </si>
  <si>
    <t>172882636630076_991329311452067</t>
  </si>
  <si>
    <t>🔥 ตารางคะแนน AOC MASTERS TOURNAMENT 2021💣🪂 วันแรก บอกเลยแค่อุ่นเครื่อง วันนี้ 18.30 น. มาตามดูวันที่ 2 ทีมไทยจะเร่งฟอร์มขึ้นมาได้หรือไม่ มาเชียร์กัน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</si>
  <si>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https://www.facebook.com/172882636630076/posts/991329311452067/</t>
  </si>
  <si>
    <t>172882636630076_991250004793331</t>
  </si>
  <si>
    <t>🎉เซิฟเปิดพร้อมลุยแล้วอัปเดตใหม่ล่าสุด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</si>
  <si>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https://www.facebook.com/172882636630076/posts/991250004793331/</t>
  </si>
  <si>
    <t>172882636630076_991272001457798</t>
  </si>
  <si>
    <t>🔎เจาะลึกเกมพับจีอัปเดต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</si>
  <si>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https://www.facebook.com/172882636630076/posts/991272001457798/</t>
  </si>
  <si>
    <t>172882636630076_403992904533768</t>
  </si>
  <si>
    <t>🔴LIVE NOW🔴 [TH]  AOC MASTERS TOURNAMENT 2021 l REGIONAL FINALS DAY 2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</si>
  <si>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https://www.facebook.com/pubg.battlegrounds.th/videos/403992904533768/</t>
  </si>
  <si>
    <t>172882636630076_874280446610068</t>
  </si>
  <si>
    <t>🔴LIVE NOW🔴 [TH]  AOC MASTERS TOURNAMENT 2021 l REGIONAL FINALS DAY 3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</si>
  <si>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https://www.facebook.com/pubg.battlegrounds.th/videos/874280446610068/</t>
  </si>
  <si>
    <t>172882636630076_992517154666616</t>
  </si>
  <si>
    <t>🏆🇹🇭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t>
  </si>
  <si>
    <t>https://www.facebook.com/172882636630076/posts/992517154666616/</t>
  </si>
  <si>
    <t>172882636630076_992549451330053</t>
  </si>
  <si>
    <t>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หากใครยังไม่ได้ลอง เข้าเล่นได้แล้ววันนี้ทั่วโลก
🔔 กดติดตามช่องทางเพิ่มเติมได้ที่:
🎥 YouTube http://bit.ly/2P5IbzQ
🎥 PLAYERUNKNOWN'S BATTLEGROUNDS
🎥 Twitch.tv/pubgthailandofficial
🎥 Tiktok.com/@pubgthailandofficial
#พับจี #เกมพับจี #PUBG #Season14</t>
  </si>
  <si>
    <t>https://www.facebook.com/172882636630076/posts/992549451330053/</t>
  </si>
  <si>
    <t>172882636630076_699373684355247</t>
  </si>
  <si>
    <t>🔴LIVE NOW🔴 [TH]  AOC MASTERS TOURNAMENT 2021 l REGIONAL FINALS DAY 4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</si>
  <si>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https://www.facebook.com/pubg.battlegrounds.th/videos/699373684355247/</t>
  </si>
  <si>
    <t>172882636630076_424186866092505</t>
  </si>
  <si>
    <t>https://www.facebook.com/pubg.battlegrounds.th/videos/424186866092505/</t>
  </si>
  <si>
    <t>172882636630076_993086827942982</t>
  </si>
  <si>
    <t>🔥 เหลือ 2 วันสุดท้าย !!! ตารางคะแนน AOC MASTERS TOURNAMENT 2021💣🪂 
เสาร์ - อาทิตย์นี้ 18.30 น. มาเชียร์ทีมไทย #MITH #EARENA ให้ปาดหน้าคว้าแชมป์กันกันให้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</si>
  <si>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https://www.facebook.com/172882636630076/posts/993086827942982/</t>
  </si>
  <si>
    <t>172882636630076_287173213277608</t>
  </si>
  <si>
    <t>🔴LIVE NOW🔴 [TH]  AOC MASTERS TOURNAMENT 2021 l REGIONAL FINALS DAY 5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</si>
  <si>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https://www.facebook.com/pubg.battlegrounds.th/videos/287173213277608/</t>
  </si>
  <si>
    <t>172882636630076_266636538744720</t>
  </si>
  <si>
    <t>🔴LIVE NOW🔴 [TH]  AOC MASTERS TOURNAMENT 2021 l REGIONAL FINALS DAY 6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</si>
  <si>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https://www.facebook.com/pubg.battlegrounds.th/videos/266636538744720/</t>
  </si>
  <si>
    <t>172882636630076_240826381288570</t>
  </si>
  <si>
    <t>https://www.facebook.com/pubg.battlegrounds.th/videos/240826381288570/</t>
  </si>
  <si>
    <t>172882636630076_994303424487989</t>
  </si>
  <si>
    <t>🎉 ขอแสดงความยินดีกับทีมจากประเทศออสเตรเลีย 
🏆 FURY Thailand  🏆 แชมป์รายการ AOC MASTERS TOURNAMENT 2021 🪂🔥 
💎 และรองแชมป์อย่าง MiTH  จากประเทศไทย บอกเลยว่าเดือดลุ้นกันจนถึงหยดสุดท้ายกันเลย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</si>
  <si>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https://www.facebook.com/172882636630076/posts/994303424487989/</t>
  </si>
  <si>
    <t>172882636630076_994557011129297</t>
  </si>
  <si>
    <t>🏆🇹🇭 สายการแข่งรอบ Rank Desision 𝐏𝐔𝐁𝐆 𝐆𝐥𝐨𝐛𝐚𝐥 𝐂𝐡𝐚𝐦𝐩𝐢𝐨𝐧𝐬𝐡𝐢𝐩 𝟐𝟎𝟐𝟏  
ดูคลิปจับฉลากได้ที่ ➡➡  https://asia.battlegrounds.pubg.com/th/2021/11/08/pgc-2021-rank-decision-group-selection-results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 !!!
#PUBG #ESPORTS #PGC2021 #พับจีชิงแชมป์โลก
#เชียร์ไทยไปชิงแชมป์โลก #BRU #AAA #PUBGEsports
#PUBGGlobalChampionship2021
🔔 กดติดตามความเคลื่อนไหวเกม PUBG ได้ที่:
🎥 YouTube http://bit.ly/2P5IbzQ
🎥 Facebook.com/PUBG.TH.Official
🎥 Twitch.tv/pubgthailandofficial
🎥 Tiktok.com/@pubgthailandofficial</t>
  </si>
  <si>
    <t>https://www.facebook.com/172882636630076/posts/994557011129297/</t>
  </si>
  <si>
    <t>172882636630076_994927227758942</t>
  </si>
  <si>
    <t>🪂😋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
🏆🇹🇭 สายการแข่งรอบ Rank Desision 𝐏𝐔𝐁𝐆 𝐆𝐥𝐨𝐛𝐚𝐥 𝐂𝐡𝐚𝐦𝐩𝐢𝐨𝐧𝐬𝐡𝐢𝐩 𝟐𝟎𝟐𝟏  
ดูคลิปจับฉลากได้ที่ ➡➡  https://asia.battlegrounds.pubg.com/.../pgc-2021-rank...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#PUBG #ESPORTS #PGC2021 #พับจีชิงแชมป์โลก
#เชียร์ไทยไปชิงแชมป์โลก #BRU #AAA #PUBGEsports
#PUBGGlobalChampionship2021</t>
  </si>
  <si>
    <t>https://www.facebook.com/172882636630076/posts/994927227758942/</t>
  </si>
  <si>
    <t>172882636630076_995475351037463</t>
  </si>
  <si>
    <t>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
#พับจี #เกมพับจี #PUBG #Season14</t>
  </si>
  <si>
    <t>https://www.facebook.com/172882636630076/posts/995475351037463/</t>
  </si>
  <si>
    <t>172882636630076_995567364361595</t>
  </si>
  <si>
    <t>พรุ่งนี้ PUBG: NEW STATE จะเปิดแล้ว 
ไปรับน้องกันหน่อยดีไหม! 😁
🪂PUBG: NEW STATE
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
#pubgnewstate #newstate #pubg #launchtrailer #comingsoon</t>
  </si>
  <si>
    <t>https://www.facebook.com/172882636630076/posts/995567364361595/</t>
  </si>
  <si>
    <t>172882636630076_996049987646666</t>
  </si>
  <si>
    <t>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
⭐หมายเหตุ: ใช้สิทธิ์ได้เพียง 1 ครั้งต่อ 1 บัญชี / แพ็คเท่านั้น⭐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</si>
  <si>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https://www.facebook.com/172882636630076/posts/996049987646666/</t>
  </si>
  <si>
    <t>172882636630076_996102694308062</t>
  </si>
  <si>
    <t>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
⭐หมายเหตุ: ใช้สิทธิ์ได้เพียง 1 ครั้งต่อ 1 บัญชี / แพ็คเท่านั้น⭐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</si>
  <si>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https://www.facebook.com/172882636630076/posts/996102694308062/</t>
  </si>
  <si>
    <t>172882636630076_996665127585152</t>
  </si>
  <si>
    <t>🔥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</si>
  <si>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https://www.facebook.com/172882636630076/posts/996665127585152/</t>
  </si>
  <si>
    <t>172882636630076_996848754233456</t>
  </si>
  <si>
    <t>🍗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
#PUBG #ฟางโกะ</t>
  </si>
  <si>
    <t>https://www.facebook.com/172882636630076/posts/996848754233456/</t>
  </si>
  <si>
    <t>172882636630076_997263320858666</t>
  </si>
  <si>
    <t>🦺🔎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</si>
  <si>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https://www.facebook.com/172882636630076/posts/997263320858666/</t>
  </si>
  <si>
    <t>172882636630076_997901074128224</t>
  </si>
  <si>
    <t>🦺🔎 จัดมาให้อีก 2 ภาพ 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 กดติดตามช่องทางถ่ายทอดสดเตรียมไว้เลยที่: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</si>
  <si>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https://www.facebook.com/172882636630076/posts/997901074128224/</t>
  </si>
  <si>
    <t>172882636630076_997945124123819</t>
  </si>
  <si>
    <t>🇹🇭เตรียมพบกับ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15.00 น.เป็นต้นไป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</si>
  <si>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https://www.facebook.com/172882636630076/posts/997945124123819/</t>
  </si>
  <si>
    <t>172882636630076_998456574072674</t>
  </si>
  <si>
    <t>🔥 บอกเลยว่าร้ายกาจ! ไอเทมเซ็ท 𝐏𝐆𝐂𝟐𝟎𝟐𝟏 ลายทองสุดปัง ต้องจัดแล้ว!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รายละเอียดการแข่งพับจีชิงแชมป์โลก 𝐏𝐆𝐂𝟐𝟎𝟐𝟏  เงินรางวัลรวมกว่า 60 ล้านบาท ‼ อ่านได้ที่นี่เลยสาวก ➡➡  https://bit.ly/PGCFormatTH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</si>
  <si>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https://www.facebook.com/172882636630076/posts/998456574072674/</t>
  </si>
  <si>
    <t>172882636630076_998503534067978</t>
  </si>
  <si>
    <t>📌ประกาศเลื่อน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</si>
  <si>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https://www.facebook.com/172882636630076/posts/998503534067978/</t>
  </si>
  <si>
    <t>172882636630076_943157496307517</t>
  </si>
  <si>
    <t>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16.00 น.เป็นต้นไป !!!
------------------------------------------------------------
🔔 กดติดตามความเคลื่อนไหวเกม PUBG ได้ที่:
🎥 Youtube.com/c/PUBGTHAILANDOFFICIAL
🎥 Facebook.com/PUBG.TH.Official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</si>
  <si>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https://www.facebook.com/pubg.battlegrounds.th/videos/943157496307517/</t>
  </si>
  <si>
    <t>172882636630076_998530390731959</t>
  </si>
  <si>
    <t>เจอกัน 4 โมงเย็น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</si>
  <si>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https://www.facebook.com/172882636630076/posts/998530390731959/</t>
  </si>
  <si>
    <t>172882636630076_999088734009458</t>
  </si>
  <si>
    <t>🏆🌏 ศุกร์นี้เริ่มศึกเดือด เวทีชิงแชมป์โลก 𝐏𝐔𝐁𝐆 𝐆𝐥𝐨𝐛𝐚𝐥 𝐂𝐡𝐚𝐦𝐩𝐢𝐨𝐧𝐬𝐡𝐢𝐩 𝟐𝟎𝟐𝟏 จะลุกเป็นไฟ
🔥 🇹🇭 ห้ามพลาด เชียร์ตัวแทนทีมไทย🇹🇭🇹🇭ลุยชิงแชมป์โลก 🇹🇭Buriram United Esports และ 🇹🇭Attack All Around ลุยศึกใหญ่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</si>
  <si>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https://www.facebook.com/172882636630076/posts/999088734009458/</t>
  </si>
  <si>
    <t>172882636630076_999121967339468</t>
  </si>
  <si>
    <t>💞ยามว่างของ Attack All Around ก่อนลุยศุกร์นี้! อย่าลืมมาตามเชียร์ 2 ทีมไทยกันด้วยนะสาวก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https://asia.battlegrounds.pubg.com/th/2021/11/12/pgc-2021-pickem-challenge/?fbclid=IwAR1HURBd-nHMW9n524vxNrlUsTtw2NK27vO5ofijZoXhIFro55wcoB5ZIms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</si>
  <si>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https://www.facebook.com/172882636630076/posts/999121967339468/</t>
  </si>
  <si>
    <t>172882636630076_999185517333113</t>
  </si>
  <si>
    <t>🗞 เจาะลึกรูปแบบการแข่ง PGC2021 มีกี่รอบ ใช้กฏอะไร ไป Grand Final กี่ทีม มาดูกันเลย!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</si>
  <si>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https://www.facebook.com/172882636630076/posts/999185517333113/</t>
  </si>
  <si>
    <t>172882636630076_999260497325615</t>
  </si>
  <si>
    <t>💞 เพราะกองทัพต้องเดินด้วยท้อง! ใครคิดถึง Buriram United Esports  กันบ้างขอเสียงหน่อย 🇹🇭 แล้วศุกร์นี้อย่าลืมมาตามเชียร์ 2 ทีมไทยกันด้วยนะสาวก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https://asia.battlegrounds.pubg.com/en/2021/11/12/pgc-2021-pickem-challenge/?fbclid=IwAR0ttZuKKbjHeCz5q7Pum9YfjLoiRd9hANPHpGPhYzpj2yid1oam6d7QVbo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</si>
  <si>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https://www.facebook.com/172882636630076/posts/999260497325615/</t>
  </si>
  <si>
    <t>172882636630076_999276717323993</t>
  </si>
  <si>
    <t>ในวันที่ 17 พฤศจิกายน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</si>
  <si>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https://www.facebook.com/172882636630076/posts/999276717323993/</t>
  </si>
  <si>
    <t>172882636630076_999281797323485</t>
  </si>
  <si>
    <t>🏆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
🔥 🇹🇭 ห้ามพลาด เชียร์ตัวแทนทีมไทย🇹🇭🇹🇭ลุยชิงแชมป์โลก 🇹🇭Buriram United Esports และ 🇹🇭Attack All Around เริ่ม 19 พฤศจิกายน นี้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
🎥🟥 Youtube.com/c/EsportsAlliance/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</si>
  <si>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https://www.facebook.com/172882636630076/posts/999281797323485/</t>
  </si>
  <si>
    <t>172882636630076_999091954009136</t>
  </si>
  <si>
    <t>🏆🌏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</si>
  <si>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https://www.facebook.com/172882636630076/posts/999091954009136/</t>
  </si>
  <si>
    <t>172882636630076_999696490615349</t>
  </si>
  <si>
    <t>🏆🌏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</si>
  <si>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https://www.facebook.com/172882636630076/posts/999696490615349/</t>
  </si>
  <si>
    <t>172882636630076_999859547265710</t>
  </si>
  <si>
    <t>🔥คำคมส่งตรงจากเกาหลี "คิดอะไรไม่ค่อยออก อยากจะบอกว่าจะเต็มที่ที่สุด " จาก Conaxy ทีม ปราสาทสายฟ้า Buriram United Esports🇹🇭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</si>
  <si>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https://www.facebook.com/172882636630076/posts/999859547265710/</t>
  </si>
  <si>
    <t>172882636630076_999096604008671</t>
  </si>
  <si>
    <t>🏆🌏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</si>
  <si>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https://www.facebook.com/172882636630076/posts/999096604008671/</t>
  </si>
  <si>
    <t>172882636630076_999871137264551</t>
  </si>
  <si>
    <t>🔥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</si>
  <si>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https://www.facebook.com/172882636630076/posts/999871137264551/</t>
  </si>
  <si>
    <t>172882636630076_1000369933881338</t>
  </si>
  <si>
    <t>🏆🌏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</si>
  <si>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https://www.facebook.com/172882636630076/posts/1000369933881338/</t>
  </si>
  <si>
    <t>172882636630076_1000417933876538</t>
  </si>
  <si>
    <t>🏆🌏 พบกับเหล่านักพากย์ที่จะมาสร้างความมันส์ตลอดการแข่งขัน กับเวทีชิงแชมป์โลก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</si>
  <si>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https://www.facebook.com/172882636630076/posts/1000417933876538/</t>
  </si>
  <si>
    <t>172882636630076_1000440563874275</t>
  </si>
  <si>
    <t>🔥 เผยคำพูดก่อนแข่งส่งตรงจากเกาหลี  " Pecado Pochinki ใครก็ได้ที่ไม่ใช่ Soniqs กับ 17gaming " จากทีม 🇹🇭Attack All Around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</si>
  <si>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https://www.facebook.com/172882636630076/posts/1000440563874275/</t>
  </si>
  <si>
    <t>172882636630076_1000466597205005</t>
  </si>
  <si>
    <t>📜 อัพเดทข่าวสาร PUBG ESPORTS NEWS แบบคิ้วท์ๆ ในรายการข่าว PGC2021 รอบโลก EP.13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</si>
  <si>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https://www.facebook.com/172882636630076/posts/1000466597205005/</t>
  </si>
  <si>
    <t>172882636630076_1000447847206880</t>
  </si>
  <si>
    <t>❤️🪂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</si>
  <si>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https://www.facebook.com/172882636630076/posts/1000447847206880/</t>
  </si>
  <si>
    <t>172882636630076_1000429033875428</t>
  </si>
  <si>
    <t>🏆🌏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</si>
  <si>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https://www.facebook.com/172882636630076/posts/1000429033875428/</t>
  </si>
  <si>
    <t>172882636630076_1001062310478767</t>
  </si>
  <si>
    <t>🏆🌏อัพเดทตารางคะแนนกลุ่ม A VS B 
เปิดมาวันแรก Gen.G มาแรงอยู่ที่ 1ของกลุ่ม ไทยของเรา 🇹🇭Attack All Around อยู่อันดับที่ 4 เก็บมา 39 คะแนน และ 🇹🇭Buriram United Esports  อยู่อันดับ 15 เก็บมา 17 คะแนน 
.
ในเวทีชิงแชมป์โลก 𝐏𝐔𝐁𝐆 𝐆𝐥𝐨𝐛𝐚𝐥 𝐂𝐡𝐚𝐦𝐩𝐢𝐨𝐧𝐬𝐡𝐢𝐩 𝟐𝟎𝟐𝟏  🔥 รอบ 𝗥𝗮𝗻𝗸 𝗗𝗲𝗰𝗶𝘀𝗶𝗼𝗻 วันแรก รับชมกันต่อกลุ่ม C VS D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</si>
  <si>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https://www.facebook.com/172882636630076/posts/1001062310478767/</t>
  </si>
  <si>
    <t>172882636630076_1001283097123355</t>
  </si>
  <si>
    <t>🏆🌏อัพเดทตารางคะแนนรวมทั้งหมด 32 ทีม วันแรก พรุ่งนี้มาลุ้นกันต่อกับศึกชิงเมือง 3 ทีม Attack All Around , Soniqs และ 17 Gaming  ตั้งแต่เวลา 11.00 น.เป็นต้นไป !!
.
ในเวทีชิงแชมป์โลก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</si>
  <si>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https://www.facebook.com/172882636630076/posts/1001283097123355/</t>
  </si>
  <si>
    <t>172882636630076_1001291520455846</t>
  </si>
  <si>
    <t>🏆🌏ศึกชิงเมืองกำลังจะลุกเป็นไฟ🔥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</si>
  <si>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https://www.facebook.com/172882636630076/posts/1001291520455846/</t>
  </si>
  <si>
    <t>172882636630076_1001572340427764</t>
  </si>
  <si>
    <t>🔥🔥ศึกชิงเมืองจะเป็นของใคร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</si>
  <si>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https://www.facebook.com/172882636630076/posts/1001572340427764/</t>
  </si>
  <si>
    <t>172882636630076_1001741087077556</t>
  </si>
  <si>
    <t>🏆🌏อัพเดทตารางคะแนน 32 ทีม หลังจบกลุ่ม B VS D
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
.
ในเวทีชิงแชมป์โลก 𝐏𝐔𝐁𝐆 𝐆𝐥𝐨𝐛𝐚𝐥 𝐂𝐡𝐚𝐦𝐩𝐢𝐨𝐧𝐬𝐡𝐢𝐩 𝟐𝟎𝟐𝟏  🔥 รอบ 𝗥𝗮𝗻𝗸 𝗗𝗲𝗰𝗶𝘀𝗶𝗼𝗻  รับชม BRU🇹🇭 กันต่อกลุ่ม A VS C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</si>
  <si>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https://www.facebook.com/172882636630076/posts/1001741087077556/</t>
  </si>
  <si>
    <t>172882636630076_1001808150404183</t>
  </si>
  <si>
    <t>🇹🇭🇹🇭นับ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</si>
  <si>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https://www.facebook.com/172882636630076/posts/1001808150404183/</t>
  </si>
  <si>
    <t>172882636630076_1001915433726788</t>
  </si>
  <si>
    <t>🏆🌏อัพเดทตารางคะแนน 32 ทีม หลังจบกลุ่ม A VS C
🇹🇭Buriram United Esports วันนี้มาดีกินไก่แรกให้ไทยและเก็บคะแนนเพิ่มไป 48 แต้ม รวม 65 แต้มขึ้นมาอยู่อันดับ 15 วันที่ 2
.
ในเวทีชิงแชมป์โลก 𝐏𝐔𝐁𝐆 𝐆𝐥𝐨𝐛𝐚𝐥 𝐂𝐡𝐚𝐦𝐩𝐢𝐨𝐧𝐬𝐡𝐢𝐩 𝟐𝟎𝟐𝟏  🔥 รอบ 𝗥𝗮𝗻𝗸 𝗗𝗲𝗰𝗶𝘀𝗶𝗼𝗻  รับชมกันได้ต่อวันพรุ่งนี้ตั้งแต่เวลา 11.00 น.เป็นต้นไป !!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</si>
  <si>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https://www.facebook.com/172882636630076/posts/1001915433726788/</t>
  </si>
  <si>
    <t>172882636630076_1001924903725841</t>
  </si>
  <si>
    <t>🏆🌏ลุ้นกันต่อให้ทีมไทยติดอันดับ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</si>
  <si>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https://www.facebook.com/172882636630076/posts/1001924903725841/</t>
  </si>
  <si>
    <t>172882636630076_1002338103684521</t>
  </si>
  <si>
    <t>🇹🇭🇹🇭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</si>
  <si>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https://www.facebook.com/172882636630076/posts/1002338103684521/</t>
  </si>
  <si>
    <t>172882636630076_1002358573682474</t>
  </si>
  <si>
    <t>🏆🌏อัพเดทตารางคะแนน 32 ทีม หลังจบกลุ่ม A VS D
🇹🇭Buriram United Esports ขยับขึ้นมาอยู่อันดับ 11 ชั่วคราว หลังกินไก่เพิ่ม ได้ 1 WWCD มีคะแนนรวม 108 แต้ม  
.
ในเวทีชิงแชมป์โลก 𝐏𝐔𝐁𝐆 𝐆𝐥𝐨𝐛𝐚𝐥 𝐂𝐡𝐚𝐦𝐩𝐢𝐨𝐧𝐬𝐡𝐢𝐩 𝟐𝟎𝟐𝟏  🔥 รอบ 𝗥𝗮𝗻𝗸 𝗗𝗲𝗰𝗶𝘀𝗶𝗼𝗻 วันสุดท้าย รับชม AAA🇹🇭  กันต่อกลุ่ม B VS C เวลา 17.00 น.เป็นต้นไป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</si>
  <si>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https://www.facebook.com/172882636630076/posts/1002358573682474/</t>
  </si>
  <si>
    <t>172882636630076_1002650746986590</t>
  </si>
  <si>
    <t>🏆🌏 สรุปตารางคะแนน 32 ทีม รอบ 𝗥𝗮𝗻𝗸 𝗗𝗲𝗰𝗶𝘀𝗶𝗼𝗻  วันสุดท้าย
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พ.ย. ที่จะใช้กฎ WWCD Rule และอันดับ17-31 จะได้ลงเล่นในแมทช์ถัดไปตามลำดับ
.
อันดับทีมไทย 🇹🇭
🎖อันดับ 15 Buriram United Esports 108 คะแนน 
🎖อันดับ 28 Attack All Around  67 คะแนน(จะได้ลงเล่นในแมทช์ที่ 13 )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</si>
  <si>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https://www.facebook.com/172882636630076/posts/1002650746986590/</t>
  </si>
  <si>
    <t>172882636630076_1002995990285399</t>
  </si>
  <si>
    <t>🎥 𝐏𝐆𝐂 𝐃𝐢𝐚𝐫𝐢𝐞𝐬 ตามติดชีวิตนักแข่ง PUBG ชิงแชมป์โลก กักตัวทำอะไรกันบ้าง ไปดูกันเลยสาวก!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</si>
  <si>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https://www.facebook.com/172882636630076/posts/1002995990285399/</t>
  </si>
  <si>
    <t>172882636630076_1003059263612405</t>
  </si>
  <si>
    <t>🏆🌏  Kill Top 5 ผู้เล่นที่ยิงคมหลังจบรอบ 𝗥𝗮𝗻𝗸 𝗗𝗲𝗰𝗶𝘀𝗶𝗼𝗻 ในเวทีชิงแชมป์โลก 𝐏𝐔𝐁𝐆 𝐆𝐥𝐨𝐛𝐚𝐥 𝐂𝐡𝐚𝐦𝐩𝐢𝐨𝐧𝐬𝐡𝐢𝐩 𝟐𝟎𝟐𝟏 
.
อันดับ 1 Snakers ผู้เล่นทีม Oath Gaming Kill ไปถึง 35 Kills จาก 18 แมทช์ ร่วมเชียร์ทีมไทยกันต่อ 𝗪𝗲𝗲𝗸𝗹𝘆 𝗦𝘂𝗿𝘃𝗶𝘃𝗮𝗹 สัปดาห์ที่ 1 วันอังคารที่ 23 พ.ย. นี้เป็นต้นไป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</si>
  <si>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https://www.facebook.com/172882636630076/posts/1003059263612405/</t>
  </si>
  <si>
    <t>172882636630076_1003126920272306</t>
  </si>
  <si>
    <t>🇹🇭🇹🇭ผลงานผู้เล่นไทยรอบ 𝗥𝗮𝗻𝗸 𝗗𝗲𝗰𝗶𝘀𝗶𝗼𝗻 ในเวทีชิงแชมป์โลก 𝐏𝐔𝐁𝐆 𝐆𝐥𝐨𝐛𝐚𝐥 𝐂𝐡𝐚𝐦𝐩𝐢𝐨𝐧𝐬𝐡𝐢𝐩 𝟐𝟎𝟐𝟏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</si>
  <si>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https://www.facebook.com/172882636630076/posts/1003126920272306/</t>
  </si>
  <si>
    <t>172882636630076_1003122253606106</t>
  </si>
  <si>
    <t>🎆Your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เพราะไอเทมรอบใหม่จะรีในวันที่ 24 พฤศจิกายนนี้ และขายถึงวันที่ 15 ธันวาคมนี้เท่านั้น หากพบไอเทมที่ถูกใจ ก็อย่ารอช้าหล่ะ หวดได้เลย.
เข้าร้านค้าของคุณ Your Shop ได้โดยการกดเครื่องหมายที่อยู่ถัดไปจากหัวข้อร้านค้าที่หน้าล็อบบี้ในเกม PUBG ได้ตั้งแต่วันนี้เป็นต้นไป!
#พับจี #เกมพับจี #PUBG #Season14</t>
  </si>
  <si>
    <t>https://www.facebook.com/172882636630076/posts/1003122253606106/</t>
  </si>
  <si>
    <t>172882636630076_1003205673597764</t>
  </si>
  <si>
    <t>🎥 𝐏𝐆𝐂𝟐𝟎𝟐𝟏 𝐒𝐂𝐎𝐏𝐄 พาบุกกองงาน Media Day อย่างหล่ออย่างเท่ห์ เจอ AAA และ BRU ด้วยนะ</t>
  </si>
  <si>
    <t>https://www.facebook.com/172882636630076/posts/1003205673597764/</t>
  </si>
  <si>
    <t>172882636630076_1003626886888976</t>
  </si>
  <si>
    <t>🏆🌏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</si>
  <si>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https://www.facebook.com/172882636630076/posts/1003626886888976/</t>
  </si>
  <si>
    <t>172882636630076_1003660933552238</t>
  </si>
  <si>
    <t>🏆🇹🇭 ร่วมเชียร์ไทยลุยชิงแชมป์โลกไปด้วยกันผ่าน 🎥"FANCAM" ที่จะเปิดให้ผู้ชมทางบ้านร่วมเชียร์กันผ่าน Discord ตลอดการแข่งขัน 𝐏𝐔𝐁𝐆 𝐆𝐥𝐨𝐛𝐚𝐥 𝐂𝐡𝐚𝐦𝐩𝐢𝐨𝐧𝐬𝐡𝐢𝐩 𝟐𝟎𝟐𝟏 
.
 วิธีการเข้าร่วมสนุก 
▶ 1.พร้อมเปิดกล้อง WEBCAM และ Microphone ระหว่างเชียร์
▶ 2.เข้าร่วม Discord ก่อนแข่ง 1 ชม. https://discord.gg/fuqEgg8vvV  
▶ 3.คนที่ได้เข้าร่วม 🎥 #FANCAM จะถูกสุ่มนำไปขึ้นไลฟ์ระหว่างถ่ายทอดสด ใครอยากโชว์ห้ามพลาด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</si>
  <si>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https://www.facebook.com/172882636630076/posts/1003660933552238/</t>
  </si>
  <si>
    <t>172882636630076_1003683373549994</t>
  </si>
  <si>
    <t>🪂💥 ไฮไลท์ 5 ช็อทเด็ด ศึกชิงแชมป์โลก PGC2021 รอบ Rank Decision วันนี้มาต่อกันในรอบ Weekly Survival กินไก่ได้เข้ารอบ!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t>
  </si>
  <si>
    <t>https://www.facebook.com/172882636630076/posts/1003683373549994/</t>
  </si>
  <si>
    <t>172882636630076_1003860053532326</t>
  </si>
  <si>
    <t>🏆🌏  สรุปทีมกินไก่ รอบ 𝗪𝗲𝗲𝗸𝗹𝘆 𝗦𝘂𝗿𝘃𝗶𝘃𝗮𝗹 สัปดาห์ที่ 1 วันที่ 1
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𝐂𝐡𝐚𝐦𝐩𝐢𝐨𝐧𝐬𝐡𝐢𝐩 𝟐𝟎𝟐𝟏 #เชียร์ไทยกินไก่กันต่อวันพรุ่งนี้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</si>
  <si>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https://www.facebook.com/172882636630076/posts/1003860053532326/</t>
  </si>
  <si>
    <t>172882636630076_1004171890167809</t>
  </si>
  <si>
    <t>🎊เริ่มขึ้นแล้วกับกิจกรรมแบล็คฟรายเดย์สุดเซอร์ไพรส์!🎊
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ดังนั้นอย่าลืมเข้าเกมมาใช้สิทธิ์ทุกวันหล่ะ เพราะถ้าพลาดไปหล่ะก็รับรองว่าจะต้องเสียใจแน่ๆ !
อ่านรายละเอียดเพิ่มเติมได้ที่ https://bit.ly/3xlGVOe
#พับจี #เกมพับจี #PUBG #Season14</t>
  </si>
  <si>
    <t>https://www.facebook.com/172882636630076/posts/1004171890167809/</t>
  </si>
  <si>
    <t>172882636630076_1004216456830019</t>
  </si>
  <si>
    <t>🏆🌏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</si>
  <si>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https://www.facebook.com/172882636630076/posts/1004216456830019/</t>
  </si>
  <si>
    <t>172882636630076_1004261323492199</t>
  </si>
  <si>
    <t>อัปเดต 15.1 เปิดให้ทดสอบที่เซิร์ฟเวอร์ทดสอบแล้ว!
มาพบกับการปรับโฉมซึ่งเป็นจุดโดดยอดนิยมของแผนที่ Sanhok, การปรับสมดุลอาวุธรอบใหม่, และพาหนะใหม่ "จักรยานภูเขา"🚲 ที่สามารถพกติดตัวไว้ใช้ในยามฉุกเฉินได้! มาลองสัมผัสเนื้อหาใหม่เหล่านี้ก่อนถูกอัปเดตเข้าสู่เซิร์ฟเวอร์จริงได้ตั้งแต่วันนี้เป็นต้นไป!
ดูรายละเอียดแพทช์ 15.1 แบบเต็มๆ ได้ที่:
https://bit.ly/3cL90EW
#พับจี #เกมพับจี #PUBG #Season15</t>
  </si>
  <si>
    <t>https://www.facebook.com/172882636630076/posts/1004261323492199/</t>
  </si>
  <si>
    <t>172882636630076_1004509010134097</t>
  </si>
  <si>
    <t>🏆🌏  สรุปทีมกินไก่ รอบ 𝗪𝗲𝗲𝗸𝗹𝘆 𝗦𝘂𝗿𝘃𝗶𝘃𝗮𝗹 สัปดาห์ที่ 1 วันที่ 2
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13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</si>
  <si>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https://www.facebook.com/172882636630076/posts/1004509010134097/</t>
  </si>
  <si>
    <t>172882636630076_1004514486800216</t>
  </si>
  <si>
    <t>🇹🇭Buriram United Esports ชวดไก่🍗 2 วัน "แต่ไม่เป็นไรพรุ่งนี้เราจะลุยกันใหม่ไปพร้อมกับ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</si>
  <si>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https://www.facebook.com/172882636630076/posts/1004514486800216/</t>
  </si>
  <si>
    <t>172882636630076_1004861883432143</t>
  </si>
  <si>
    <t>🏆🌏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</si>
  <si>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https://www.facebook.com/172882636630076/posts/1004861883432143/</t>
  </si>
  <si>
    <t>172882636630076_1004804416771223</t>
  </si>
  <si>
    <t>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
#พับจี #เกมพับจี #PUBG #Season14 #GodV</t>
  </si>
  <si>
    <t>https://www.facebook.com/172882636630076/posts/1004804416771223/</t>
  </si>
  <si>
    <t>172882636630076_1004897060095292</t>
  </si>
  <si>
    <t>🏆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</si>
  <si>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https://www.facebook.com/172882636630076/posts/1004897060095292/</t>
  </si>
  <si>
    <t>172882636630076_1005123576739307</t>
  </si>
  <si>
    <t>🍗🇹🇭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</si>
  <si>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https://www.facebook.com/172882636630076/posts/1005123576739307/</t>
  </si>
  <si>
    <t>172882636630076_1005134566738208</t>
  </si>
  <si>
    <t>🏆🌏  สรุปทีมกินไก่ รอบ 𝗪𝗲𝗲𝗸𝗹𝘆 𝗦𝘂𝗿𝘃𝗶𝘃𝗮𝗹 สัปดาห์ที่ 1 วันที่ 3
.
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ที่พวกเราต้องส่งเสียงเชียร์ให้พวกเขาคว้าตั๋ว เข้าสู่รอบ Grand Finals วีคนี้ให้ได้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</si>
  <si>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https://www.facebook.com/172882636630076/posts/1005134566738208/</t>
  </si>
  <si>
    <t>172882636630076_1004930273425304</t>
  </si>
  <si>
    <t>🎬 PGC Moments #1 รวมช็อทเฟี้ยวปั่นลั่นทุ่ง จากการแข่งขันพับจีชิงแชมป์โลก 2021
� PUBG Global Championship 2021 ห้ามพลาด เชียร์ตัวแทนทีมไทย🇹🇭🇹🇭ลุยชิงแชมป์โลก 🇹🇭Buriram United Esports และ 🇹🇭Attack All Around ลุยศึกใหญ่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</si>
  <si>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https://www.facebook.com/172882636630076/posts/1004930273425304/</t>
  </si>
  <si>
    <t>172882636630076_1005493426702322</t>
  </si>
  <si>
    <t>❤️👫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 พร้อมติดแฮชแท็ค #PCG2021 #เชียร์ไทย ได้เลย!
⛔⛔⛔⛔⛔⛔⛔⛔⛔
🏆 PUBG Global Championship 2021 ห้ามพลาด เชียร์ตัวแทนทีมไทย🇹🇭🇹🇭ลุยชิงแชมป์โลก 🇹🇭Buriram United Esports และ 🇹🇭Attack All Around ลุยศึกใหญ่ 19 พฤศจิกายน - 19 ธันวาคม นี้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</si>
  <si>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https://www.facebook.com/172882636630076/posts/1005493426702322/</t>
  </si>
  <si>
    <t>172882636630076_1005613603356971</t>
  </si>
  <si>
    <t>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
#พับจี #เกมพับจี #PUBG #Season14 #BlackFriday</t>
  </si>
  <si>
    <t>https://www.facebook.com/172882636630076/posts/1005613603356971/</t>
  </si>
  <si>
    <t>172882636630076_1005758736675791</t>
  </si>
  <si>
    <t>VLOG PGC EP.1 (BRU) บรรยากาศของทีม BRU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</si>
  <si>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https://www.facebook.com/172882636630076/posts/1005758736675791/</t>
  </si>
  <si>
    <t>172882636630076_1005877146663950</t>
  </si>
  <si>
    <t>🏆🌏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</si>
  <si>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https://www.facebook.com/172882636630076/posts/1005877146663950/</t>
  </si>
  <si>
    <t>172882636630076_1005813916670273</t>
  </si>
  <si>
    <t>VLOG PGC EP.1 (AAA) บรรยากาศของทีม AAA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</si>
  <si>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https://www.facebook.com/172882636630076/posts/1005813916670273/</t>
  </si>
  <si>
    <t>172882636630076_1005921279992870</t>
  </si>
  <si>
    <t>🏆🌏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</si>
  <si>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https://www.facebook.com/172882636630076/posts/1005921279992870/</t>
  </si>
  <si>
    <t>172882636630076_1005935756658089</t>
  </si>
  <si>
    <t>🎬ไฮไลท์จัดเต็มการแข่งขัน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</si>
  <si>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https://www.facebook.com/172882636630076/posts/1005935756658089/</t>
  </si>
  <si>
    <t>172882636630076_1005700296681635</t>
  </si>
  <si>
    <t>📣ย้ำเตือนกันอีกครั้งกับ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
.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
📅ระยะเวลาโปรโมชั่น
PC - 11 พฤศจิกายน 2021 11.00 น. – 8 ธันวาคม 2021 07.00 น.
คอนโซล - 11 พฤศจิกายน 2021 11.00 น. – 8 ธันวาคม 2021 07.00 น. 
.
#พับจี #เกมพับจี #PUBG #Season14 #BLACKFRIDAY</t>
  </si>
  <si>
    <t>https://www.facebook.com/172882636630076/posts/1005700296681635/</t>
  </si>
  <si>
    <t>172882636630076_1006579676593697</t>
  </si>
  <si>
    <t>🏆🌏 สรุปตารางคะแนนรอบ 𝗪𝗲𝗲𝗸𝗹𝘆 𝗙𝗶𝗻𝗮𝗹 สัปดาห์ที่ 1 วันที่ 1
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</si>
  <si>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https://www.facebook.com/172882636630076/posts/1006579676593697/</t>
  </si>
  <si>
    <t>172882636630076_1006587349926263</t>
  </si>
  <si>
    <t>🏆🌏 Player of the day  𝗪𝗲𝗲𝗸𝗹𝘆 𝗙𝗶𝗻𝗮𝗹 สัปดาห์ที่ 1 วันที่ 1
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</si>
  <si>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https://www.facebook.com/172882636630076/posts/1006587349926263/</t>
  </si>
  <si>
    <t>172882636630076_1005926013325730</t>
  </si>
  <si>
    <t>🏆🌏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</si>
  <si>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https://www.facebook.com/172882636630076/posts/1005926013325730/</t>
  </si>
  <si>
    <t>172882636630076_1007177663200565</t>
  </si>
  <si>
    <t>🥇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</si>
  <si>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https://www.facebook.com/172882636630076/posts/1007177663200565/</t>
  </si>
  <si>
    <t>172882636630076_1007219633196368</t>
  </si>
  <si>
    <t>🏆🌏  เชียร์ 🇹🇭Attack All Around ไปด้วยกันรอบ 𝗕𝗼𝘁𝘁𝗼𝗺 𝟭𝟲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</si>
  <si>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https://www.facebook.com/172882636630076/posts/1007219633196368/</t>
  </si>
  <si>
    <t>172882636630076_1007561479828850</t>
  </si>
  <si>
    <t>🏆 PGC2021 ศึกพับจีชิงแชมป์โลก รวมพล 32 ทีมที่ดีที่สุดในโลก ชิงเงินรางวัลกว่า 60 ล้าน 19พ.ย.-19ธ.ค!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</si>
  <si>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https://www.facebook.com/172882636630076/posts/1007561479828850/</t>
  </si>
  <si>
    <t>172882636630076_1007589999825998</t>
  </si>
  <si>
    <t>เตรียมตัวต้อนรับเพื่อนใหม่...ที่กำลังมายึดครองพื้นที่ Dino Land ใน Vikendi พร้อมเทศกาลแห่งความสุข เริ่ม 1 ธันวาคมนี้
KAKAO FRIENDS x BATTLEGROUNDS
#พับจี #เกมพับจี #PUBG #Season15 #KakaoFriends #KakaoFriendxPUBG #KakaoFriendxBattlegrounds</t>
  </si>
  <si>
    <t>https://www.facebook.com/172882636630076/posts/1007589999825998/</t>
  </si>
  <si>
    <t>172882636630076_1007592689825729</t>
  </si>
  <si>
    <t>5 ผู้เล่นที่ทำผลงานดีที่สุดรอบ 𝗪𝗲𝗲𝗸𝗹𝘆 𝗙𝗶𝗻𝗮𝗹 สัปดาห์ที่ 1 
Dr4FTk1NG จากทีม KPI Gaming ทำผลงานดีที่สุดมาเป็นอับดับ 1 Kills ไปถึง 24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</si>
  <si>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https://www.facebook.com/172882636630076/posts/1007592689825729/</t>
  </si>
  <si>
    <t>172882636630076_587002365858520</t>
  </si>
  <si>
    <t>🔴Live สด! 𝐏𝐆𝐂𝟐𝟎𝟐𝟏 รอบ Bottom 16  สัปดาห์ที่ 1  l 🇹🇭 🏆พับจีชิงแชมป์โลก !
🏆🌏 𝐏𝐔𝐁𝐆 𝐆𝐥𝐨𝐛𝐚𝐥 𝐂𝐡𝐚𝐦𝐩𝐢𝐨𝐧𝐬𝐡𝐢𝐩 𝟐𝟎𝟐𝟏 มาชมศึกเดือดระหว่าง 32 ทีมที่ดีที่สุดในโลก ใครจะเป็น No.1 เริ่ม 19 พ.ย. - 19 ธ.ค นี้!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2 ทีมที่ได้เป็นตัวแทนประเทศไทย ลุย PGC2021 🇹🇭
▪Buriram United Esports
▪Attack All Around</t>
  </si>
  <si>
    <t>https://www.facebook.com/pubg.battlegrounds.th/videos/587002365858520/</t>
  </si>
  <si>
    <t>172882636630076_1007623696489295</t>
  </si>
  <si>
    <t>🎬ไฮไลท์จัดเต็มการแข่งขัน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🗓วันนี้ ทีม Attack All Around🇹🇭 จะได้เล่นในรอบ  𝗕𝗼𝘁𝘁𝗼𝗺 𝟭𝟲 สัปดาห์ที่ 1 เริ่มแข่งเวลา 17:00 น. (แข่ง 6 แมทช์)
 กฎ SUPER" สะสมแต้มเพื่อใช้จัดคิว 17-32 ใน Week 2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</si>
  <si>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https://www.facebook.com/172882636630076/posts/1007623696489295/</t>
  </si>
  <si>
    <t>172882636630076_1007813089803689</t>
  </si>
  <si>
    <t>🏆🌏 สรุปตารางคะแนน รอบ 𝗕𝗼𝘁𝘁𝗼𝗺 𝟭𝟲 สัปดาห์ที่ 1
🇹🇭Attack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</si>
  <si>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https://www.facebook.com/172882636630076/posts/1007813089803689/</t>
  </si>
  <si>
    <t>172882636630076_1007863359798662</t>
  </si>
  <si>
    <t>🎬  PGC2021 Rivals EP.1 คมเฉือนคมนอกจอ เมื่อ Pio vs TGLTN พับจี | PUBG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</si>
  <si>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https://www.facebook.com/172882636630076/posts/1007863359798662/</t>
  </si>
  <si>
    <t>172882636630076_1008169273101404</t>
  </si>
  <si>
    <t>🏆🌏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</si>
  <si>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https://www.facebook.com/172882636630076/posts/1008169273101404/</t>
  </si>
  <si>
    <t>172882636630076_1008328726418792</t>
  </si>
  <si>
    <t>🍗🇹🇭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</si>
  <si>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https://www.facebook.com/172882636630076/posts/1008328726418792/</t>
  </si>
  <si>
    <t>172882636630076_1008401143078217</t>
  </si>
  <si>
    <t>🍗สรุปทีมกินไก่ 𝗪𝗲𝗲𝗸𝗹𝘆 𝗦𝘂𝗿𝘃𝗶𝘃𝗮𝗹 สัปดาห์ที่ 2 วันที่ 1
.
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</si>
  <si>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https://www.facebook.com/172882636630076/posts/1008401143078217/</t>
  </si>
  <si>
    <t>172882636630076_1008135323104799</t>
  </si>
  <si>
    <t>⚠โปรดทราบ⚠
ในวันที่ 1 ธันวาคม 2021 ตั้งแต่เวลา 7:30 น. จะมีการปิดบำรุงรักษาเซิร์ฟเวอร์
และทำการอัปเดตตัวเกมเป็นอัปเดต 15.1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</si>
  <si>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https://www.facebook.com/172882636630076/posts/1008135323104799/</t>
  </si>
  <si>
    <t>172882636630076_1008454713072860</t>
  </si>
  <si>
    <t>👨‍🏫 อัพเดทการแข่งขันพับจีชิงแชมป์โลก ในรายการ Weekly PGC2021 EP.3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</si>
  <si>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https://www.facebook.com/172882636630076/posts/1008454713072860/</t>
  </si>
  <si>
    <t>172882636630076_1008768976374767</t>
  </si>
  <si>
    <t>🏆🌏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</si>
  <si>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https://www.facebook.com/172882636630076/posts/1008768976374767/</t>
  </si>
  <si>
    <t>172882636630076_1008791016372563</t>
  </si>
  <si>
    <t>🏆 ดูแข่งชิงแชมป์โลกแล้วอยากลองโชว์สกิลบ้าง ก็มาดิค๊าบ! 
🤜“Logitech G Tournament PUBG Winter Season”🤛 เปิดรับสมัครพร้อมไฟว์เดือด!
🎇พร้อมเดือดหัวอุ่นช่วงเดือนธันวาคมของปีนี้ พร้อมเงินรางวัลรวมกว่า 70,000 บาท และของรางวัลอื่นๆ อีกมากมาย ง้างนิ้วรอลงสมัครได้เลย
.
✊️หาตี้ให้ครบจบที่คว้าชัย มือเก่าหรือมือใหม่ เจอกันได้ทุกจุดโดดร่ม ห้ามพลาดห้ามเผลอ กฎกติกา วันแข่งขัน วันลงทะเบียนแข่ง ข้อมูลอื่นๆ ติดตามข่าวสารที่นี่ได้เร็วๆ นี้
.
อ่านรายละเอียดเพิ่มเติมและสมัครได้ที่ : https://logitech-th.com/logitechg-tournament-winter-season-pubg/
-------------------------------------------
#PUBG #ESPORTS #LogitechG 
#PlayToWin #LogitechGtournamentwinter</t>
  </si>
  <si>
    <t>https://www.facebook.com/172882636630076/posts/1008791016372563/</t>
  </si>
  <si>
    <t>172882636630076_1008795433038788</t>
  </si>
  <si>
    <t>🎬 PGC Moments #2 รวมช็อทเฟี้ยวปั่นลั่นทุ่ง จากการแข่งขันพับจีชิงแชมป์โลก 2021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t>
  </si>
  <si>
    <t>https://www.facebook.com/172882636630076/posts/1008795433038788/</t>
  </si>
  <si>
    <t>172882636630076_1008790769705921</t>
  </si>
  <si>
    <t>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
ดูรายละเอียดแพทช์ 15.1 แบบเต็มๆ ได้ที่: https://bit.ly/31kDP0H
#พับจี #เกมพับจี #PUBG #Season15</t>
  </si>
  <si>
    <t>https://www.facebook.com/172882636630076/posts/1008790769705921/</t>
  </si>
  <si>
    <t>172882636630076_1008780796373585</t>
  </si>
  <si>
    <t>🇹🇭🍗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</si>
  <si>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https://www.facebook.com/172882636630076/posts/1008780796373585/</t>
  </si>
  <si>
    <t>172882636630076_1009036856347979</t>
  </si>
  <si>
    <t>🍗สรุปทีมกินไก่ 𝗪𝗲𝗲𝗸𝗹𝘆 𝗦𝘂𝗿𝘃𝗶𝘃𝗮𝗹 สัปดาห์ที่ 2 วันที่ 2
.
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แมทช์สุดท้าย ตั้งแต่เวลา 17.00 น.เป็นต้นไป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</si>
  <si>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https://www.facebook.com/172882636630076/posts/1009036856347979/</t>
  </si>
  <si>
    <t>172882636630076_1009374452980886</t>
  </si>
  <si>
    <t>VLOG PGC EP.2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</si>
  <si>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https://www.facebook.com/172882636630076/posts/1009374452980886/</t>
  </si>
  <si>
    <t>172882636630076_1009398206311844</t>
  </si>
  <si>
    <t>🏆🌏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</si>
  <si>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https://www.facebook.com/172882636630076/posts/1009398206311844/</t>
  </si>
  <si>
    <t>172882636630076_1009575606294104</t>
  </si>
  <si>
    <t>🔎เจาะลึกอัปเดต 15.1🔎 ของใหม่ล่าสุดเข้าเกม PUBG: BATTLEGROUNDS แล้ว มีอะไรส่งท้ายปีให้เพื่อนๆ สาวกพับจีบ้าง? ไปดู!!
ดูรายละเอียดแพทช์ 15.1 แบบเต็มๆ ได้ที่: https://bit.ly/31kDP0H
#พับจี #เกมพับจี #PUBG #Season15</t>
  </si>
  <si>
    <t>https://www.facebook.com/172882636630076/posts/1009575606294104/</t>
  </si>
  <si>
    <t>172882636630076_1009768216274843</t>
  </si>
  <si>
    <t>🍗สรุปทีมกินไก่ 𝗪𝗲𝗲𝗸𝗹𝘆 𝗦𝘂𝗿𝘃𝗶𝘃𝗮𝗹 สัปดาห์ที่ 2 วันที่ 3
.
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กันต่อวัน เสาร์-อาทิตย์นี้ ตั้งแต่เวลา 17.00 น.เป็นต้นไป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t>
  </si>
  <si>
    <t>https://www.facebook.com/172882636630076/posts/1009768216274843/</t>
  </si>
  <si>
    <t>172882636630076_1010142522904079</t>
  </si>
  <si>
    <t>👨‍🏫 PGC2021 PLAYBOOK EP.1 ย้อนดูแผนการเล่นของ Oath ในเกมที่คว้าไก่ พร้อมวิเคราะห์แบบเจาะลึกแต่ละช็อท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</si>
  <si>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https://www.facebook.com/172882636630076/posts/1010142522904079/</t>
  </si>
  <si>
    <t>172882636630076_1010219899563008</t>
  </si>
  <si>
    <t>สัมภาษณ์ 2 ตัวแทนทีมไทยในการแข่งขัน PUBG GLOBAL CHAMPIONSHIP 2021 หลังจากผ่านไปแล้ว 1 สัปดาห์  (AAA , BRU)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</si>
  <si>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https://www.facebook.com/172882636630076/posts/1010219899563008/</t>
  </si>
  <si>
    <t>172882636630076_1010234416228223</t>
  </si>
  <si>
    <t>🎀Jingle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ถึงเวลไหนแล้วมาอวดกันหน่อยนะ 🎅
#พับจี #เกมพับจี #PUBG #Season15</t>
  </si>
  <si>
    <t>https://www.facebook.com/172882636630076/posts/1010234416228223/</t>
  </si>
  <si>
    <t>172882636630076_1010255829559415</t>
  </si>
  <si>
    <t>🎬ไฮไลท์จัดเต็มการแข่งขัน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
◾ร่วมเชียร์ 🇹🇭Buriram United Esports ลุยต่อวัน เสาร์-อาทิตย์นี้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</si>
  <si>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https://www.facebook.com/172882636630076/posts/1010255829559415/</t>
  </si>
  <si>
    <t>172882636630076_1010225402895791</t>
  </si>
  <si>
    <t>VLOG PGC EP.2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</si>
  <si>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https://www.facebook.com/172882636630076/posts/1010225402895791/</t>
  </si>
  <si>
    <t>172882636630076_1010510302867301</t>
  </si>
  <si>
    <t>🏆🌏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</si>
  <si>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https://www.facebook.com/172882636630076/posts/1010510302867301/</t>
  </si>
  <si>
    <t>172882636630076_1010822766169388</t>
  </si>
  <si>
    <t>🪂💥 ไฮไลท์ 5 ช็อทเด็ด ศึกชิงแชมป์โลก PGC2021 สัปดาห์ที่ 2 พับจี | PUBG
 #PUBG #ESPORTS #PGC2021 #พับจีชิงแชมป์โลก
#เชียร์ไทยไปชิงแชมป์โลก #BRU #AAA</t>
  </si>
  <si>
    <t>https://www.facebook.com/172882636630076/posts/1010822766169388/</t>
  </si>
  <si>
    <t>172882636630076_1011030879481910</t>
  </si>
  <si>
    <t>🏆🌏 สรุปตารางคะแนน รอบ 𝗪𝗲𝗲𝗸𝗹𝘆 𝗙𝗶𝗻𝗮𝗹 สัปดาห์ที่ 2 วันที่ 1
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</si>
  <si>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https://www.facebook.com/172882636630076/posts/1011030879481910/</t>
  </si>
  <si>
    <t>172882636630076_1010515446200120</t>
  </si>
  <si>
    <t>🏆🌏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</si>
  <si>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https://www.facebook.com/172882636630076/posts/1010515446200120/</t>
  </si>
  <si>
    <t>172882636630076_1011462816105383</t>
  </si>
  <si>
    <t>🔥🔥ก่อนแข่งมาดู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</si>
  <si>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https://www.facebook.com/172882636630076/posts/1011462816105383/</t>
  </si>
  <si>
    <t>172882636630076_1011606189424379</t>
  </si>
  <si>
    <t>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Week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</si>
  <si>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https://www.facebook.com/172882636630076/posts/1011606189424379/</t>
  </si>
  <si>
    <t>172882636630076_1011017489483249</t>
  </si>
  <si>
    <t>🏆🌏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สัปดาห์ที่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</si>
  <si>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https://www.facebook.com/172882636630076/posts/1011017489483249/</t>
  </si>
  <si>
    <t>172882636630076_1012283736023291</t>
  </si>
  <si>
    <t>🏆🌏 สรุปตารางคะแนน รอบ 𝗕𝗼𝘁𝘁𝗼𝗺 𝟭𝟲 สัปดาห์ที่ 2
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</si>
  <si>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https://www.facebook.com/172882636630076/posts/1012283736023291/</t>
  </si>
  <si>
    <t>172882636630076_1012621895989475</t>
  </si>
  <si>
    <t>🎬 PUBG Squad Reunion EP.1การกลับมาเจอกันของสมาชิกทีม GEN.G ที่คุณคิดถึง
#PUBG #ESPORTS #PGC2021 #พับจีชิงแชมป์โลก 
#เชียร์ไทยไปชิงแชมป์โลก #BRU #AAA #GENG</t>
  </si>
  <si>
    <t>https://www.facebook.com/172882636630076/posts/1012621895989475/</t>
  </si>
  <si>
    <t>172882636630076_1012243712693960</t>
  </si>
  <si>
    <t>🏆🌏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</si>
  <si>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https://www.facebook.com/172882636630076/posts/1012243712693960/</t>
  </si>
  <si>
    <t>172882636630076_1012606602657671</t>
  </si>
  <si>
    <t>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รวมถึงตัวจักรยานและยางจะไม่สามารถถูกทำลายได้!! แต่จะเดินทางได้เพียงแค่ลำพัง รวมถึงการทำความเร็วต้องอาศัยเกจบูสต์และการรัวปุ่ม"เดินหน้า"ให้พัง ฮ่า เพื่อนๆ คนไหนลองจักรยานในเกม PUBG แล้วเป็นยังไงกันบ้าง มาปั่นให้ฟังกันหน่อย 🚲
#พับจี #เกมพับจี #PUBG #Season15</t>
  </si>
  <si>
    <t>https://www.facebook.com/172882636630076/posts/1012606602657671/</t>
  </si>
  <si>
    <t>172882636630076_1012700112648320</t>
  </si>
  <si>
    <t>🎬ไฮไลท์จัดเต็มการแข่งขัน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
◾ร่วมเชียร์ 🇹🇭Buriram United Esports ลุยต่อวัน รอบ 𝗪𝗲𝗲𝗸𝗹𝘆 𝗦𝘂𝗿𝘃𝗶𝘃𝗮𝗹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</si>
  <si>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https://www.facebook.com/172882636630076/posts/1012700112648320/</t>
  </si>
  <si>
    <t>172882636630076_1012891612629170</t>
  </si>
  <si>
    <t>🏆🌏 สรุปทีมกินไก่รอบ 𝗪𝗲𝗲𝗸𝗹𝘆 𝗦𝘂𝗿𝘃𝗶𝘃𝗮𝗹 สัปดาห์ที่ 3 วันที่ 1
ลุ้นทีมไทยกินไก่กันต่อวันพรุ่งนี้ รอบ 𝗪𝗲𝗲𝗸𝗹𝘆 𝗦𝘂𝗿𝘃𝗶𝘃𝗮𝗹 สัปดาห์ที่ 3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</si>
  <si>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https://www.facebook.com/172882636630076/posts/1012891612629170/</t>
  </si>
  <si>
    <t>172882636630076_1013230399261958</t>
  </si>
  <si>
    <t>🎬 Team Voice PGC2021 Rivals EP.2 อารมณ์หลังกินไก่ในสัปดาห์ที่ 2
#PUBG #ESPORTS #PGC2021 #พับจีชิงแชมป์โลก</t>
  </si>
  <si>
    <t>https://www.facebook.com/172882636630076/posts/1013230399261958/</t>
  </si>
  <si>
    <t>172882636630076_1013251422593189</t>
  </si>
  <si>
    <t>🎬 ทำซีนปั่นๆแล้วใส่เพลงประกอบ ดูแล้วอินขึ้นปั่นขึ้นนิดนึง 555 
แล้วมาเชียร์ไทยกันต่อเย็นนี้ 17.00 น. ลุ้นเข้ารอบกันหน่อย!
#PUBG #ESPORTS #PGC2021 #พับจีชิงแชมป์โลก</t>
  </si>
  <si>
    <t>https://www.facebook.com/172882636630076/posts/1013251422593189/</t>
  </si>
  <si>
    <t>172882636630076_1013266309258367</t>
  </si>
  <si>
    <t>🏆🌏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</si>
  <si>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https://www.facebook.com/172882636630076/posts/1013266309258367/</t>
  </si>
  <si>
    <t>172882636630076_1013318095919855</t>
  </si>
  <si>
    <t>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NEO
พิเศษ! วางจำหน่ายแบบจำกัดเวลาเพียง 1 เดือนเท่านั้น! เริ่มวันนี้ ถึง 6 มกราคม 2565 ห้ามพลาด!! ซื้อแบบแพ็คถูกกว่า! ประหยัดกว่า!! คุ้มกว่า!!! ชอบเซ็ตไหนจัดเซ็ตไหนบอกกันด้วยน้า
#พับจี #เกมพับจี #PUBG #Season15 #KAKAOFRIENDS #KAKAOFRIENDSxPUBG #KAKAOFRIENDSxBATTLEGROUNDS</t>
  </si>
  <si>
    <t>https://www.facebook.com/172882636630076/posts/1013318095919855/</t>
  </si>
  <si>
    <t>172882636630076_1013544389230559</t>
  </si>
  <si>
    <t>🏆🌏 สรุปทีมกินไก่รอบ 𝗪𝗲𝗲𝗸𝗹𝘆 𝗦𝘂𝗿𝘃𝗶𝘃𝗮𝗹 สัปดาห์ที่ 3 วันที่ 2
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𝗦𝘂𝗿𝘃𝗶𝘃𝗮𝗹 วันสุดท้าย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</si>
  <si>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https://www.facebook.com/172882636630076/posts/1013544389230559/</t>
  </si>
  <si>
    <t>172882636630076_1013823322535999</t>
  </si>
  <si>
    <t>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
#พับจี #เกมพับจี #PUBG</t>
  </si>
  <si>
    <t>https://www.facebook.com/172882636630076/posts/1013823322535999/</t>
  </si>
  <si>
    <t>172882636630076_1013909035860761</t>
  </si>
  <si>
    <t>🏆🌏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</si>
  <si>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https://www.facebook.com/172882636630076/posts/1013909035860761/</t>
  </si>
  <si>
    <t>172882636630076_1013333265918338</t>
  </si>
  <si>
    <t>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มากมายที่เกมพับจีพีซีเท่านั้น
#พับจี #เกมพับจี #PUBG #Season15 #KAKAOFRIENDS #KAKAOFRIENDSxPUBG #KAKAOFRIENDSxBATTLEGROUNDS</t>
  </si>
  <si>
    <t>https://www.facebook.com/172882636630076/posts/1013333265918338/</t>
  </si>
  <si>
    <t>172882636630076_1013947185856946</t>
  </si>
  <si>
    <t>" สู้ ไม่ ถอย "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</si>
  <si>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https://www.facebook.com/172882636630076/posts/1013947185856946/</t>
  </si>
  <si>
    <t>172882636630076_1014090272509304</t>
  </si>
  <si>
    <t>🇹🇭พวกเขามาแล้ว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
.
เชียร์ 🇹🇭Buriram United Esports ให้เข้ารอบไปด้วยกันต่ออีก 2 เกมสุดท้าย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</si>
  <si>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https://www.facebook.com/172882636630076/posts/1014090272509304/</t>
  </si>
  <si>
    <t>172882636630076_1014168805834784</t>
  </si>
  <si>
    <t>🏆🌏 สรุปทีมกินไก่รอบ 𝗪𝗲𝗲𝗸𝗹𝘆 𝗦𝘂𝗿𝘃𝗶𝘃𝗮𝗹 สัปดาห์ที่ 3 วันที่ 3
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</si>
  <si>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https://www.facebook.com/172882636630076/posts/1014168805834784/</t>
  </si>
  <si>
    <t>172882636630076_1014471625804502</t>
  </si>
  <si>
    <t>เกมพับจีเล่นฟรี 12 มกราคม 2022 เป็นต้นไป ลงทะเบียนล่วงหน้าที่ https://bit.ly/PUBG_F2P_PreRegister
#PUBG #BATTLEGROUNDS #BATTLEROYALE #FREETOPLAY #พับจี #เกมพับจี</t>
  </si>
  <si>
    <t>https://www.facebook.com/172882636630076/posts/1014471625804502/</t>
  </si>
  <si>
    <t>172882636630076_1014482262470105</t>
  </si>
  <si>
    <t>https://www.facebook.com/172882636630076/posts/1014482262470105/</t>
  </si>
  <si>
    <t>172882636630076_1014489645802700</t>
  </si>
  <si>
    <t>https://www.facebook.com/172882636630076/posts/1014489645802700/</t>
  </si>
  <si>
    <t>172882636630076_1014537342464597</t>
  </si>
  <si>
    <t>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</si>
  <si>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https://www.facebook.com/172882636630076/posts/1014537342464597/</t>
  </si>
  <si>
    <t>172882636630076_1014187265832938</t>
  </si>
  <si>
    <t>🇹🇭🍗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</si>
  <si>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https://www.facebook.com/172882636630076/posts/1014187265832938/</t>
  </si>
  <si>
    <t>172882636630076_1014653392452992</t>
  </si>
  <si>
    <t>🎥ไฮไลท์จัดเต็มการแข่งขัน รอบ 𝗪𝗲𝗲𝗸𝗹𝘆 𝗦𝘂𝗿𝘃𝗶𝘃𝗮𝗹 สัปดาห์ที่ 3 ในเวทีชิงแชมป์โลก 𝐏𝐆𝐂𝟐𝟎𝟐𝟏
🎬ไฮไลท์จัดเต็มการแข่งขัน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ลุยต่อวัน เสาร์-อาทิตย์นี้ รอบ 𝗪𝗲𝗲𝗸𝗹𝘆 𝗙𝗶𝗻𝗮𝗹 สัปดาห์ที่ 3ในเวทีชิงแชมป์โลก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</si>
  <si>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https://www.facebook.com/172882636630076/posts/1014653392452992/</t>
  </si>
  <si>
    <t>172882636630076_1014469522471379</t>
  </si>
  <si>
    <t>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ของพวกเราเกมแบทเทิลรอยัลแบบฉบับที่แท้จริง จะก้าวกระโดดร่มลงสู่โอกาสที่จะขยายฐานผู้เล่นให้กว้างขึ้น และให้ผู้เล่นทุกๆ คนได้สัมผัสประสบการณ์ของการเป็นผู้รอดชีวิตที่แท้จริง FREE TO LAND, FREE TO LOOT, FREE TO SURVIVE เกมพับจีเปิดให้เข้าเล่นฟรี 12 มกราคม 2022 เป็นต้นไป ลงทะเบียนล่วงหน้าที่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</si>
  <si>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https://www.facebook.com/172882636630076/posts/1014469522471379/</t>
  </si>
  <si>
    <t>172882636630076_1014938215757843</t>
  </si>
  <si>
    <t>🏆เสาร์-อาทิตย์นี้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</si>
  <si>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https://www.facebook.com/172882636630076/posts/1014938215757843/</t>
  </si>
  <si>
    <t>172882636630076_1014949152423416</t>
  </si>
  <si>
    <t>VLOG PGC EP.3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</si>
  <si>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https://www.facebook.com/172882636630076/posts/1014949152423416/</t>
  </si>
  <si>
    <t>172882636630076_1015450285706636</t>
  </si>
  <si>
    <t>🏆 สรุปตารางคะแนน  รอบ 𝗪𝗲𝗲𝗸𝗹𝘆 𝗙𝗶𝗻𝗮𝗹 สัปดาห์ที่ 3 วันที่ 1
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𝟐𝟎𝟐𝟏  วันพรุ่งนี้ เวลา 17.00 น.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</si>
  <si>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https://www.facebook.com/172882636630076/posts/1015450285706636/</t>
  </si>
  <si>
    <t>172882636630076_1014939492424382</t>
  </si>
  <si>
    <t>🏆5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</si>
  <si>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https://www.facebook.com/172882636630076/posts/1014939492424382/</t>
  </si>
  <si>
    <t>172882636630076_1015878822330449</t>
  </si>
  <si>
    <t>🇹🇭🎥ไฮไลท์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ลุยต่อในวันนี้ รอบ 𝗪𝗲𝗲𝗸𝗹𝘆 𝗙𝗶𝗻𝗮𝗹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</si>
  <si>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https://www.facebook.com/172882636630076/posts/1015878822330449/</t>
  </si>
  <si>
    <t>172882636630076_1015898692328462</t>
  </si>
  <si>
    <t>🔥🔥ก่อนแข่งวันสุดท้าย เรามาดู Head To Head ของ 2 ทีม ที่กำลังเข้มข้นแย่งชิงอันดับ 1 กัน ระหว่าง Natus Vincere(NaVi)  𝗩𝘀 Gen.G 
หลังจบ 5 เกมวันแรก รอบ 𝗪𝗲𝗲𝗸𝗹𝘆 𝗙𝗶𝗻𝗮𝗹 สัปดาห์สุดท้าย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</si>
  <si>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https://www.facebook.com/172882636630076/posts/1015898692328462/</t>
  </si>
  <si>
    <t>172882636630076_1016029862315345</t>
  </si>
  <si>
    <t>🔥🔥ส่งท้ายไก่เกมสุดท้ายสวย ๆ Gen.G ตัวแทนจากประเทศเกาหลีใต้ พวกเขากลับมาแรงในวีคนี้ 
.
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</si>
  <si>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https://www.facebook.com/172882636630076/posts/1016029862315345/</t>
  </si>
  <si>
    <t>172882636630076_1016094915642173</t>
  </si>
  <si>
    <t>🏆12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
.
ร่วมลุ้น 2 ตัวแทนทีมไทย 🇹🇭Buriram United Esports และ 🇹🇭Attack All Around กันต่อในรอบ Grand Survival กับกฎกินไก่ 4 ทีมเท่านั้นที่จะได้ไปต่อในรอบ Grand Final 
.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</si>
  <si>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https://www.facebook.com/172882636630076/posts/1016094915642173/</t>
  </si>
  <si>
    <t>172882636630076_1016474115604253</t>
  </si>
  <si>
    <t>🎬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t>
  </si>
  <si>
    <t>https://www.facebook.com/172882636630076/posts/1016474115604253/</t>
  </si>
  <si>
    <t>172882636630076_1016596568925341</t>
  </si>
  <si>
    <t>🎥 𝐏𝐆𝐂𝟐𝟎𝟐𝟏 𝐒𝐂𝐎𝐏𝐄 บุกกองพาชมเบื้องหลังการแข่งขันชิงแชมป์โลก ณ เกาหลี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
#เชียร์ไทยไปชิงแชมป์โลก #BRU #AAA</t>
  </si>
  <si>
    <t>https://www.facebook.com/172882636630076/posts/1016596568925341/</t>
  </si>
  <si>
    <t>172882636630076_1017030578881940</t>
  </si>
  <si>
    <t>VLOG PGC EP.3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</si>
  <si>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https://www.facebook.com/172882636630076/posts/1017030578881940/</t>
  </si>
  <si>
    <t>172882636630076_1017105642207767</t>
  </si>
  <si>
    <t>🎬ไฮไลท์จัดเต็มการแข่งขัน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FacebookPUBG Thailand Pro League 
🎥🟦 Facebook Esports Alliance</t>
  </si>
  <si>
    <t>https://www.facebook.com/172882636630076/posts/1017105642207767/</t>
  </si>
  <si>
    <t>172882636630076_1016987565552908</t>
  </si>
  <si>
    <t>⚠โปรดทราบ⚠
ในวันที่ 15 ธันวาคม 2021 ตั้งแต่เวลา 7:30 น. เป็นต้นไป จะมีการปิดบำรุงรักษาเซิร์ฟเวอร์ซึ่งจะใช้เวลาดำเนินการประมาณ 4 ชั่วโมง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</si>
  <si>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https://www.facebook.com/172882636630076/posts/1016987565552908/</t>
  </si>
  <si>
    <t>172882636630076_1017489112169420</t>
  </si>
  <si>
    <t>🏆เปิดรับสมัครลุยทัวร์สุดท้ายของปี แข่ง 25 ธันวาคมนี้ ในรายการ Nitro Gaming Night : PUBG 
.
เปิดรับสมัครตั้งแต่วันนี้ - 22 ธ.ค. เวลา 23:45 น. 
⏳ เปิดรับ256 ทีม แบ่งออกเป็น 4 Tournament  (ทัวร์ฯ ละ 64 ทีม) คัดจนเหลือ 16 ทีม เพื่อไปแข่ง Grand Final Tournament ชิงเงินรางวัลรวมกว่า 21,000 บาท  
.
1 ทีมสามารถเลือกสมัครได้เพียง 1 tournament เท่านั้น
.
สมัครแข่งขันได้ที่ลิงก์ด้านล่างนี้ 
🔗https://p9.gg/Nitro_PUBGA
🔗https://p9.gg/Nitro_PUBGB
🔗https://p9.gg/Nitro_PUBGC
🔗https://p9.gg/Nitro_PUBGD 
.
#ขั้นตอนการสมัคร
📌ลิงก์สมัครสมาชิก &gt;&gt;&gt; https://www.planet9.gg/TH/th 
📌วิธีสมัครสมาชิก &gt;&gt;&gt; https://bit.ly/3ls15lk
📌ลิงก์เข้าร่วมคลับ Nitro Gaming Night &gt;&gt;&gt;  https://p9.gg/NitroGaming_Club
📌วิธีสร้างทีม &gt;&gt;&gt; https://bit.ly/3AsO2Eb  
.
#สอบถามรายละเอียดเพิ่มเติมได้ที่
Facebook: Acer Gaming Thailand 
.
#PUBG #ESPORTS #NitroGamingNight #Acer #Predator #INTEL #PLANET9gg #MasterYourPlay #WelcomeLanding</t>
  </si>
  <si>
    <t>https://www.facebook.com/172882636630076/posts/1017489112169420/</t>
  </si>
  <si>
    <t>172882636630076_1017506038834394</t>
  </si>
  <si>
    <t>❄️PUBG LABS กลับมาอีกครั้งเพื่อมาเพิ่มสีสันให้กับฤดูหนาวปีนี้!❄️
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พร้อมกับลูกเล่นใหม่ต่างๆ เช่นการเสริมเขี้ยวเล็บให้กับพาหนะที่ใช้ในการแข่ง! 
รู้แล้วแล้วก็อย่ารอช้า เพราะการทดลองนี้จะเปิดให้เข้าร่วมถึงวันที่ 27 ธันวาคม 2021 เวลา 14:00 น. เท่านั้น!
ขอให้ทุกท่านโชคดีในสนามรบประลองความเร็วครั้งนี้!
#พับจี #เกมพับจี #PUBG #PUBGLABS #WINTERRACE</t>
  </si>
  <si>
    <t>https://www.facebook.com/172882636630076/posts/1017506038834394/</t>
  </si>
  <si>
    <t>172882636630076_1017542245497440</t>
  </si>
  <si>
    <t>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
โดยสกิน Jeremy Lin จะวางขายที่ร้านค้าในเกมตั้งแต่วันนี้จนถึงวันที่ 15 มีนาคม 2022  เท่านั้น เหล่าแฟนๆ อย่าพลาดโอกาสดีแบบนี้ที่จะได้สกินของขวัญใจตัวเองมาครอบครองหล่ะ!
#พับจี #เกมพับจี #PUBG</t>
  </si>
  <si>
    <t>https://www.facebook.com/172882636630076/posts/1017542245497440/</t>
  </si>
  <si>
    <t>172882636630076_1017589345492730</t>
  </si>
  <si>
    <t>🇹🇭🎥ไฮไลท์ TEAM TALKS เปิดไมค์วินาทีกินไก่ ของ  Buriram United Esports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</si>
  <si>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https://www.facebook.com/172882636630076/posts/1017589345492730/</t>
  </si>
  <si>
    <t>172882636630076_1017834152134916</t>
  </si>
  <si>
    <t>🎬 PGC Moments #4 รวมช็อทเฟี้ยวปั่นลั่นทุ่ง จากการแข่งขันพับจีชิงแชมป์โลก 2021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</si>
  <si>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https://www.facebook.com/172882636630076/posts/1017834152134916/</t>
  </si>
  <si>
    <t>172882636630076_1018144412103890</t>
  </si>
  <si>
    <t>🏆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17.00 น. เป็นต้นไป !!! 
.
มาเชียร์ตัวแทนทีมไทยลุยชิงแชมป์โลก 🇹🇭Buriram United Esports และ 🇹🇭Attack All Around 💵เงินรางวัลรวมกว่า 60 ล้านบาท ‼
.
🗓ตารางการแข่งขันรอบ 𝗚𝗿𝗮𝗻𝗱 𝗦𝘂𝗿𝘃𝗶𝘃𝗮𝗹
⭕️ 16 ธันวาคม (แข่ง 4 แมทช์  กฎ WWCD)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</si>
  <si>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https://www.facebook.com/172882636630076/posts/1018144412103890/</t>
  </si>
  <si>
    <t>172882636630076_1018340555417609</t>
  </si>
  <si>
    <t>🔥🔥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</si>
  <si>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https://www.facebook.com/172882636630076/posts/1018340555417609/</t>
  </si>
  <si>
    <t>172882636630076_1018687355382929</t>
  </si>
  <si>
    <t>👨‍🏫 PGC2021 PLAYBOOK ย้อนดูแผนการเล่นของ GEN.G ในเกมคว้าไก่ พร้อมวิเคราะห์แต่ละช็อท ก่อนลุย 𝗚𝗿𝗮𝗻𝗱 𝗙𝗶𝗻𝗮𝗹
🗓ตารางการแข่งขันรอบ 𝗚𝗿𝗮𝗻𝗱 𝗙𝗶𝗻𝗮𝗹
⭕️17/ 18 / 19 ธันวาคม (แข่งวันละ 5 / 5/ 5 แมทช์) รอบ Grand Final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t>
  </si>
  <si>
    <t>https://www.facebook.com/172882636630076/posts/1018687355382929/</t>
  </si>
  <si>
    <t>172882636630076_1018778448707153</t>
  </si>
  <si>
    <t>🏆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</si>
  <si>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https://www.facebook.com/172882636630076/posts/1018778448707153/</t>
  </si>
  <si>
    <t>172882636630076_1018676585384006</t>
  </si>
  <si>
    <t>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2022 เท่านั้นและซื้อแบบเซ็ตถูกกว่า!! สายแฟเกมพับจีต้องไม่พลาด!
#พับจี #เกมพับจี #PUBG</t>
  </si>
  <si>
    <t>https://www.facebook.com/172882636630076/posts/1018676585384006/</t>
  </si>
  <si>
    <t>172882636630076_1018820962036235</t>
  </si>
  <si>
    <t>🔥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</si>
  <si>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https://www.facebook.com/172882636630076/posts/1018820962036235/</t>
  </si>
  <si>
    <t>172882636630076_1018844178700580</t>
  </si>
  <si>
    <t>🏆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</si>
  <si>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https://www.facebook.com/172882636630076/posts/1018844178700580/</t>
  </si>
  <si>
    <t>172882636630076_1018981242020207</t>
  </si>
  <si>
    <t>🏆 สรุปตารางคะแนนรอบ 𝗚𝗿𝗮𝗻𝗱 𝗙𝗶𝗻𝗮𝗹 วันที่ 1
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</si>
  <si>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https://www.facebook.com/172882636630076/posts/1018981242020207/</t>
  </si>
  <si>
    <t>172882636630076_1019350951983236</t>
  </si>
  <si>
    <t>🏆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</si>
  <si>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https://www.facebook.com/172882636630076/posts/1019350951983236/</t>
  </si>
  <si>
    <t>172882636630076_1019558645295800</t>
  </si>
  <si>
    <t>🏆 สรุปตารางคะแนนรอบ 𝗚𝗿𝗮𝗻𝗱 𝗙𝗶𝗻𝗮𝗹 วันที่ 2
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💵เงินรางวัลรวมกว่า 60 ล้านบาท  ร่วมลุ้นกันต่อพรุ่งนี้ 5 เกมสุดท้าย 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</si>
  <si>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https://www.facebook.com/172882636630076/posts/1019558645295800/</t>
  </si>
  <si>
    <t>172882636630076_1019943645257300</t>
  </si>
  <si>
    <t>🏆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</si>
  <si>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https://www.facebook.com/172882636630076/posts/1019943645257300/</t>
  </si>
  <si>
    <t>172882636630076_1019983768586621</t>
  </si>
  <si>
    <t>🎬 PGC2021 Rivals EP.4 คมเฉือนคมนอกจอ เมื่อ Team Liquid vs KPI Gaming
🏆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</si>
  <si>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https://www.facebook.com/172882636630076/posts/1019983768586621/</t>
  </si>
  <si>
    <t>172882636630076_1020042835247381</t>
  </si>
  <si>
    <t>🏆🌎 ข่าวด่วน PUBG E-SPORTS ❗❗ ผังการแข่งขันปี 2022 พร้อมการกลับมาของทัวร์นาเมต์ที่หลายคนรอคอย 𝐏𝐍𝐂 (PUBG Nations Cup) หรือที่หลายคนให้คำนิยามว่า "พับจีทีมชาติ" !! 
อ่านรายละเอียดเพิ่มได้เติมได้ที่ ➡➡ https://asia.battlegrounds.pubg.com/th/2021/12/19/pubg-esports-2022/
#PUBG #ESPORTS #PNC2022 #PUBGESPORTS</t>
  </si>
  <si>
    <t>https://www.facebook.com/172882636630076/posts/1020042835247381/</t>
  </si>
  <si>
    <t>172882636630076_1020152101903121</t>
  </si>
  <si>
    <t>🏆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</si>
  <si>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https://www.facebook.com/172882636630076/posts/1020152101903121/</t>
  </si>
  <si>
    <t>172882636630076_1020158005235864</t>
  </si>
  <si>
    <t>🏆 สรุปอันดับและเงินรางวัลทั้ง 32 ทีม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</si>
  <si>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https://www.facebook.com/172882636630076/posts/1020158005235864/</t>
  </si>
  <si>
    <t>172882636630076_1020170918567906</t>
  </si>
  <si>
    <t>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ร่วมเชียร์และติดตามทีมไทยกันได้ใหม่ตลอดทั้งปี 2022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</si>
  <si>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https://www.facebook.com/172882636630076/posts/1020170918567906/</t>
  </si>
  <si>
    <t>172882636630076_1020555818529416</t>
  </si>
  <si>
    <t>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
นอกจากสกินแบบพิเศษแล้ว ผู้เล่นในปัจจุบันยังจะได้รับการอัพเกรดสถานะเป็น BATTLEGROUDS Plus ที่มีสิทธิพิเศษมากกว่าผู้เล่นฟรีเช่นการเข้าเล่นโหมดจัดอันดับ หรือรับโบนัส XP สำหรับความชำนาญการรอดชีวิต และยังจะได้รับโบนัสพิเศษจำนวน 1,300 G-coins ไปอีกด้วย!
#พับจี #เกมพับจี #PUBG</t>
  </si>
  <si>
    <t>https://www.facebook.com/172882636630076/posts/1020555818529416/</t>
  </si>
  <si>
    <t>172882636630076_1020635191854812</t>
  </si>
  <si>
    <t>🎥ไฮไลท์จัดเต็มการแข่งขัน รอบ 𝗚𝗿𝗮𝗻𝗱 𝗙𝗶𝗻𝗮𝗹 ทั้ง 3 วัน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</si>
  <si>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https://www.facebook.com/172882636630076/posts/1020635191854812/</t>
  </si>
  <si>
    <t>172882636630076_1020646178520380</t>
  </si>
  <si>
    <t>🏆 2 วันสุดท้าย Nitro Gaming Night : PUBG  💥แข่งคัดเลือกยาวไปถึงชิงแชมป์ครบจบในวันเดียว! สมัครด่วน! กดได้ที่ลิงก์ด้านล่างนี้เลย
🔗https://p9.gg/Nitro_PUBGA
🔗https://p9.gg/Nitro_PUBGB
🔗https://p9.gg/Nitro_PUBGC
🔗https://p9.gg/Nitro_PUBGD  
#สอบถามรายละเอียดเพิ่มเติมได้ที่
Facebook: Acer Gaming Thailand 
https://www.facebook.com/AcerGamingTH
.
#NitroGamingNight #Acer #Predator #INTEL #PLANET9gg #MasterYourPlay #WelcomeLanding
.</t>
  </si>
  <si>
    <t>https://www.facebook.com/172882636630076/posts/1020646178520380/</t>
  </si>
  <si>
    <t>172882636630076_1021170775134587</t>
  </si>
  <si>
    <t>🏆💓 ส่งท้ายความประทับใจ PGC2021 แล้วเจอกันใหม่ในศึก PUBG ESPORTS 2022 ปีหน้ามาลุยกันมันส์ตลอดปี!
#PUBG #ESPORTS #PGC2021 #PUBGESPORTS</t>
  </si>
  <si>
    <t>https://www.facebook.com/172882636630076/posts/1021170775134587/</t>
  </si>
  <si>
    <t>172882636630076_1021798985071766</t>
  </si>
  <si>
    <t>🎬 PGC Moments #5 รวมช็อทเฟี้ยวปั่นลั่นทุ่ง จากการแข่งขันพับจีชิงแชมป์โลก 2021
🏆💓 ส่งท้ายความประทับใจ PGC2021 แล้วเจอกันใหม่ในศึก PUBG ESPORTS 2022 ปีหน้ามาลุยกันมันส์ตลอดปี!
#PUBG #ESPORTS #PGC2021 #PUBGESPORTS</t>
  </si>
  <si>
    <t>https://www.facebook.com/172882636630076/posts/1021798985071766/</t>
  </si>
  <si>
    <t>172882636630076_1023655268219471</t>
  </si>
  <si>
    <t>สวัสดีผู้รอดชีวิตทุกคน
ในขณะที่เรากำลังจะก้าวเข้าสู่ปี 2022 เราอยากขอเวลาซักครู่เพื่อขอขอบคุณทุกท่านสำหรับปีที่ยอดเยี่ยมปีนี้
โดยในปี 2021 มีการเปลี่ยนแปลงหลายสิ่งเกิดขึ้นใน PUBG : Battlegrounds 
ทั้งการเปิดแผนที่สนามรบใหม่ที่ออกแบบในธีมเกาหลีขนาด 8X8 กม.
การทดลองใน LABS หลายรูปแบบที่รวมถึงการกลับมาของ Fantasy Royale และ Zombie Mode ที่ถูกเพิ่มเข้ามาใหม่
การจัดการแข่งขันอีกมากมายหลายรายการทั่วโลก ที่มีเงินรางวัลจำนวนมากสำหรับผู้เข้าร่วมแข่งขัน
รวมถึงอาวุธ พาหนะ และไอเทมต่างๆ ที่เข้ามาช่วยเพิ่มทางเลือกให้กับการโดดร่มแต่ละครั้ง
และมีสิ่งต่างๆ อีกมากมายที่เกิดขึ้นในปี 2021
พวกเราขอขอบคุณสำหรับความสนับสนุนทั้งหมดที่เราได้รับมาตลอดปี 2021
และเราจะรอพบกับพวกคุณทุกคนในสนามรบในปี 2022!
ขอให้ทุกท่านโชคดี!
ทีมงาน PUBG: BATTLEGROUNDS
#PUBG #BATTLEGROUNDS #BATTLEROYALE #FREETOPLAY #พับจี #เกมพับจี #BattlegroundsforAll</t>
  </si>
  <si>
    <t>https://www.facebook.com/172882636630076/posts/1023655268219471/</t>
  </si>
  <si>
    <t>172882636630076_1023704381547893</t>
  </si>
  <si>
    <t>Logitech G Tournament Winter Season จบไปอย่างสุดมันส์ตั้งแต่เกมแรกจนเกมสุดท้าย  🏆ขอแสดงความยินดีกับ ให้กับ
.
🥇Champion  ทีม THEERATHON FIVE  รับเงินรางวัล 40,000 บาท 
🥈1st Runner-up : ทีม The Infinity Esport รับเงินรางวัล 20,000 บาท 
🥉2nd Runner-up : ทีม Amory Gaming รับเงินรางวัล 10,000 บาท 
.
🎆ปีหน้าฟ้าใหม่ทัวร์นาเมนท์ดีๆ จาก Logitech G จะกลับมาใหม่อีกครั้ง แล้วพบกันใหม่ ขอบกราบสวัสดีปีใหม่ทุกท่านล่วงหน้า
---------------------------
#PUBG 
#LogitechG 
#PlayToWin
#LogitechGtournamentwinter</t>
  </si>
  <si>
    <t>https://www.facebook.com/172882636630076/posts/1023704381547893/</t>
  </si>
  <si>
    <t>172882636630076_1023840101534321</t>
  </si>
  <si>
    <t>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คนได้รับชัยชนะและคว้าไก่มากินกันได้จนกองเต็มโต๊ะ!
#PUBG #BATTLEGROUNDS #BATTLEROYALE #FREETOPLAY #พับจี #เกมพับจี #BattlegroundsforAll</t>
  </si>
  <si>
    <t>https://www.facebook.com/172882636630076/posts/1023840101534321/</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</si>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</sst>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26">
    <font>
      <sz val="10.0"/>
      <color rgb="FF000000"/>
      <name val="Arial"/>
      <scheme val="minor"/>
    </font>
    <font>
      <color theme="1"/>
      <name val="Rubik"/>
    </font>
    <font>
      <b/>
      <color theme="1"/>
      <name val="Rubik"/>
    </font>
    <font>
      <sz val="12.0"/>
      <color theme="1"/>
      <name val="Arial"/>
      <scheme val="minor"/>
    </font>
    <font>
      <u/>
      <sz val="12.0"/>
      <color theme="1"/>
      <name val="Arial"/>
      <scheme val="minor"/>
    </font>
    <font>
      <b/>
      <sz val="18.0"/>
      <color theme="1"/>
      <name val="Rubik"/>
    </font>
    <font>
      <color rgb="FFFFFFFF"/>
      <name val="Arial"/>
      <scheme val="minor"/>
    </font>
    <font>
      <b/>
      <sz val="14.0"/>
      <color rgb="FFFFFFFF"/>
      <name val="Rubik"/>
    </font>
    <font>
      <color theme="1"/>
      <name val="Arial"/>
      <scheme val="minor"/>
    </font>
    <font>
      <b/>
      <sz val="14.0"/>
      <color rgb="FF000000"/>
      <name val="Rubik"/>
    </font>
    <font>
      <color rgb="FF000000"/>
      <name val="Arial"/>
      <scheme val="minor"/>
    </font>
    <font>
      <b/>
      <sz val="14.0"/>
      <color theme="1"/>
      <name val="Rubik"/>
    </font>
    <font>
      <b/>
      <sz val="14.0"/>
      <color theme="1"/>
      <name val="Arial"/>
      <scheme val="minor"/>
    </font>
    <font>
      <b/>
      <sz val="14.0"/>
      <color rgb="FFFFFFFF"/>
      <name val="Arial"/>
      <scheme val="minor"/>
    </font>
    <font>
      <sz val="12.0"/>
      <color theme="1"/>
      <name val="Rubik"/>
    </font>
    <font>
      <sz val="11.0"/>
      <color rgb="FF000000"/>
      <name val="Inconsolata"/>
    </font>
    <font>
      <b/>
      <sz val="12.0"/>
      <color theme="1"/>
      <name val="Rubik"/>
    </font>
    <font>
      <b/>
      <sz val="12.0"/>
      <color rgb="FFFFFFFF"/>
      <name val="Rubik"/>
    </font>
    <font>
      <b/>
      <sz val="11.0"/>
      <color theme="1"/>
      <name val="Rubik"/>
    </font>
    <font>
      <b/>
      <sz val="11.0"/>
      <color rgb="FF000000"/>
      <name val="Rubik"/>
    </font>
    <font>
      <color rgb="FFFF0000"/>
      <name val="Arial"/>
      <scheme val="minor"/>
    </font>
    <font>
      <b/>
      <sz val="11.0"/>
      <color theme="1"/>
      <name val="Arial"/>
      <scheme val="minor"/>
    </font>
    <font>
      <u/>
      <color rgb="FF0000FF"/>
    </font>
    <font>
      <u/>
      <color rgb="FF0000FF"/>
    </font>
    <font>
      <color theme="1"/>
      <name val="Arial"/>
    </font>
    <font>
      <u/>
      <color rgb="FF1155CC"/>
      <name val="Arial"/>
    </font>
  </fonts>
  <fills count="7">
    <fill>
      <patternFill patternType="none"/>
    </fill>
    <fill>
      <patternFill patternType="lightGray"/>
    </fill>
    <fill>
      <patternFill patternType="solid">
        <fgColor rgb="FFFFE599"/>
        <bgColor rgb="FFFFE599"/>
      </patternFill>
    </fill>
    <fill>
      <patternFill patternType="solid">
        <fgColor rgb="FF1155CC"/>
        <bgColor rgb="FF1155CC"/>
      </patternFill>
    </fill>
    <fill>
      <patternFill patternType="solid">
        <fgColor rgb="FFE69138"/>
        <bgColor rgb="FFE69138"/>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2" numFmtId="0" xfId="0" applyAlignment="1" applyFill="1" applyFont="1">
      <alignment readingOrder="0"/>
    </xf>
    <xf borderId="0" fillId="2"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center" readingOrder="0" vertical="center"/>
    </xf>
    <xf borderId="0" fillId="0" fontId="1" numFmtId="0" xfId="0" applyAlignment="1" applyFont="1">
      <alignment horizontal="center" vertical="center"/>
    </xf>
    <xf borderId="0" fillId="0" fontId="6" numFmtId="0" xfId="0" applyFont="1"/>
    <xf borderId="0" fillId="3" fontId="7" numFmtId="0" xfId="0" applyAlignment="1" applyFill="1" applyFont="1">
      <alignment readingOrder="0"/>
    </xf>
    <xf borderId="0" fillId="3" fontId="1" numFmtId="0" xfId="0" applyFont="1"/>
    <xf borderId="0" fillId="3" fontId="8" numFmtId="0" xfId="0" applyFont="1"/>
    <xf borderId="0" fillId="4" fontId="9" numFmtId="0" xfId="0" applyAlignment="1" applyFill="1" applyFont="1">
      <alignment readingOrder="0"/>
    </xf>
    <xf borderId="0" fillId="4" fontId="10" numFmtId="0" xfId="0" applyFont="1"/>
    <xf borderId="0" fillId="0" fontId="7" numFmtId="0" xfId="0" applyAlignment="1" applyFont="1">
      <alignment readingOrder="0"/>
    </xf>
    <xf borderId="0" fillId="0" fontId="8" numFmtId="0" xfId="0" applyAlignment="1" applyFont="1">
      <alignment readingOrder="0"/>
    </xf>
    <xf borderId="0" fillId="0" fontId="11" numFmtId="0" xfId="0" applyAlignment="1" applyFont="1">
      <alignment readingOrder="0"/>
    </xf>
    <xf borderId="0" fillId="0" fontId="8" numFmtId="0" xfId="0" applyFont="1"/>
    <xf borderId="0" fillId="0" fontId="8" numFmtId="2" xfId="0" applyFont="1" applyNumberFormat="1"/>
    <xf borderId="0" fillId="0" fontId="12" numFmtId="0" xfId="0" applyAlignment="1" applyFont="1">
      <alignment readingOrder="0"/>
    </xf>
    <xf borderId="0" fillId="0" fontId="8" numFmtId="10" xfId="0" applyFont="1" applyNumberFormat="1"/>
    <xf borderId="0" fillId="0" fontId="6" numFmtId="10" xfId="0" applyFont="1" applyNumberFormat="1"/>
    <xf borderId="0" fillId="0" fontId="13" numFmtId="0" xfId="0" applyAlignment="1" applyFont="1">
      <alignment readingOrder="0"/>
    </xf>
    <xf borderId="0" fillId="0" fontId="8" numFmtId="0" xfId="0" applyAlignment="1" applyFont="1">
      <alignment horizontal="left"/>
    </xf>
    <xf borderId="0" fillId="0" fontId="14" numFmtId="0" xfId="0" applyAlignment="1" applyFont="1">
      <alignment readingOrder="0"/>
    </xf>
    <xf borderId="0" fillId="5" fontId="15" numFmtId="0" xfId="0" applyFill="1" applyFont="1"/>
    <xf borderId="0" fillId="0" fontId="16" numFmtId="0" xfId="0" applyAlignment="1" applyFont="1">
      <alignment horizontal="left" readingOrder="0"/>
    </xf>
    <xf borderId="0" fillId="3" fontId="17" numFmtId="0" xfId="0" applyAlignment="1" applyFont="1">
      <alignment readingOrder="0"/>
    </xf>
    <xf borderId="0" fillId="0" fontId="1" numFmtId="0" xfId="0" applyAlignment="1" applyFont="1">
      <alignment horizontal="left" readingOrder="0"/>
    </xf>
    <xf borderId="0" fillId="0" fontId="2" numFmtId="0" xfId="0" applyAlignment="1" applyFont="1">
      <alignment horizontal="center" vertical="center"/>
    </xf>
    <xf borderId="0" fillId="0" fontId="2" numFmtId="0" xfId="0" applyAlignment="1" applyFont="1">
      <alignment horizontal="center" readingOrder="0"/>
    </xf>
    <xf borderId="0" fillId="0" fontId="1" numFmtId="165" xfId="0" applyAlignment="1" applyFont="1" applyNumberFormat="1">
      <alignment horizontal="left" vertical="center"/>
    </xf>
    <xf borderId="0" fillId="0" fontId="1" numFmtId="0" xfId="0" applyAlignment="1" applyFont="1">
      <alignment horizontal="left" vertical="center"/>
    </xf>
    <xf borderId="0" fillId="0" fontId="1" numFmtId="0" xfId="0" applyAlignment="1" applyFont="1">
      <alignment horizontal="left"/>
    </xf>
    <xf borderId="0" fillId="0" fontId="1" numFmtId="0" xfId="0" applyAlignment="1" applyFont="1">
      <alignment horizontal="center"/>
    </xf>
    <xf borderId="0" fillId="6" fontId="18" numFmtId="0" xfId="0" applyAlignment="1" applyFill="1" applyFont="1">
      <alignment horizontal="center" readingOrder="0" vertical="bottom"/>
    </xf>
    <xf borderId="0" fillId="6" fontId="18" numFmtId="0" xfId="0" applyAlignment="1" applyFont="1">
      <alignment readingOrder="0" vertical="bottom"/>
    </xf>
    <xf borderId="0" fillId="6" fontId="19" numFmtId="0" xfId="0" applyAlignment="1" applyFont="1">
      <alignment horizontal="center" readingOrder="0" vertical="bottom"/>
    </xf>
    <xf borderId="0" fillId="0" fontId="20" numFmtId="0" xfId="0" applyFont="1"/>
    <xf borderId="0" fillId="0" fontId="21" numFmtId="0" xfId="0" applyAlignment="1" applyFont="1">
      <alignment readingOrder="0"/>
    </xf>
    <xf borderId="0" fillId="0" fontId="8" numFmtId="164" xfId="0" applyAlignment="1" applyFont="1" applyNumberFormat="1">
      <alignment readingOrder="0"/>
    </xf>
    <xf borderId="0" fillId="0" fontId="8" numFmtId="165" xfId="0" applyAlignment="1" applyFont="1" applyNumberFormat="1">
      <alignment readingOrder="0"/>
    </xf>
    <xf borderId="0" fillId="0" fontId="22" numFmtId="0" xfId="0" applyAlignment="1" applyFont="1">
      <alignment readingOrder="0"/>
    </xf>
    <xf borderId="0" fillId="0" fontId="8" numFmtId="0" xfId="0" applyAlignment="1" applyFont="1">
      <alignment readingOrder="0"/>
    </xf>
    <xf borderId="0" fillId="6" fontId="8" numFmtId="0" xfId="0" applyAlignment="1" applyFont="1">
      <alignment horizontal="center"/>
    </xf>
    <xf borderId="0" fillId="6" fontId="8" numFmtId="0" xfId="0" applyAlignment="1" applyFont="1">
      <alignment horizontal="center" vertical="bottom"/>
    </xf>
    <xf borderId="0" fillId="0" fontId="8" numFmtId="164" xfId="0" applyFont="1" applyNumberFormat="1"/>
    <xf borderId="0" fillId="0" fontId="8" numFmtId="165" xfId="0" applyFont="1" applyNumberFormat="1"/>
    <xf borderId="0" fillId="0" fontId="23" numFmtId="0" xfId="0" applyFont="1"/>
    <xf borderId="0" fillId="0" fontId="24" numFmtId="164" xfId="0" applyAlignment="1" applyFont="1" applyNumberFormat="1">
      <alignment horizontal="right" vertical="bottom"/>
    </xf>
    <xf borderId="0" fillId="0" fontId="24" numFmtId="165" xfId="0" applyAlignment="1" applyFont="1" applyNumberFormat="1">
      <alignment horizontal="right" vertical="bottom"/>
    </xf>
    <xf borderId="0" fillId="0" fontId="24" numFmtId="0" xfId="0" applyAlignment="1" applyFont="1">
      <alignment vertical="bottom"/>
    </xf>
    <xf borderId="0" fillId="0" fontId="25" numFmtId="0" xfId="0" applyAlignment="1" applyFont="1">
      <alignment vertical="bottom"/>
    </xf>
    <xf borderId="0" fillId="0" fontId="24" numFmtId="0" xfId="0" applyAlignment="1" applyFont="1">
      <alignment horizontal="center" vertical="bottom"/>
    </xf>
    <xf borderId="0" fillId="6" fontId="24" numFmtId="0" xfId="0" applyAlignment="1" applyFont="1">
      <alignment horizontal="center" vertical="bottom"/>
    </xf>
    <xf borderId="0" fillId="6" fontId="24" numFmtId="0" xfId="0" applyAlignment="1" applyFont="1">
      <alignment horizontal="center"/>
    </xf>
    <xf borderId="0" fillId="0" fontId="24" numFmtId="0" xfId="0" applyAlignment="1" applyFont="1">
      <alignment shrinkToFit="0" vertical="bottom" wrapText="0"/>
    </xf>
    <xf borderId="0" fillId="6" fontId="8" numFmtId="0" xfId="0" applyFont="1"/>
    <xf borderId="0" fillId="0" fontId="8" numFmtId="0" xfId="0" applyAlignment="1" applyFont="1">
      <alignment vertical="bottom"/>
    </xf>
    <xf borderId="0" fillId="0" fontId="8" numFmtId="0" xfId="0" applyAlignment="1" applyFont="1">
      <alignment horizontal="center" readingOrder="0"/>
    </xf>
    <xf borderId="0" fillId="6" fontId="21" numFmtId="0" xfId="0" applyAlignment="1" applyFont="1">
      <alignment horizontal="center" readingOrder="0"/>
    </xf>
    <xf borderId="0" fillId="0" fontId="8" numFmtId="0" xfId="0" applyAlignment="1" applyFont="1">
      <alignment horizontal="center" readingOrder="0"/>
    </xf>
    <xf borderId="0" fillId="6" fontId="8" numFmtId="0" xfId="0" applyAlignment="1" applyFont="1">
      <alignment horizontal="center" vertical="center"/>
    </xf>
    <xf borderId="0" fillId="0" fontId="8"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4.xml"/><Relationship Id="rId13" Type="http://schemas.openxmlformats.org/officeDocument/2006/relationships/worksheet" Target="worksheets/sheet7.xml"/><Relationship Id="rId12" Type="http://schemas.openxmlformats.org/officeDocument/2006/relationships/worksheet" Target="worksheets/sheet6.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7" Type="http://schemas.microsoft.com/office/2007/relationships/slicerCache" Target="slicerCaches/slicerCache2.xml"/><Relationship Id="rId16" Type="http://schemas.microsoft.com/office/2007/relationships/slicerCache" Target="slicerCaches/slicerCache1.xml"/><Relationship Id="rId19" Type="http://schemas.microsoft.com/office/2007/relationships/slicerCache" Target="slicerCaches/slicerCache4.xml"/><Relationship Id="rId18"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chartsheet" Target="chartsheets/sheet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chartsheet" Target="chart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 of FB Posts</a:t>
            </a:r>
          </a:p>
        </c:rich>
      </c:tx>
      <c:overlay val="0"/>
    </c:title>
    <c:plotArea>
      <c:layout/>
      <c:pieChart>
        <c:varyColors val="1"/>
        <c:ser>
          <c:idx val="0"/>
          <c:order val="0"/>
          <c:tx>
            <c:strRef>
              <c:f>Overview!$E$10</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Overview!$D$11:$D$12</c:f>
            </c:strRef>
          </c:cat>
          <c:val>
            <c:numRef>
              <c:f>Overview!$E$11:$E$12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Share of Engagement</a:t>
            </a:r>
          </a:p>
        </c:rich>
      </c:tx>
      <c:overlay val="0"/>
    </c:title>
    <c:plotArea>
      <c:layout/>
      <c:pieChart>
        <c:varyColors val="1"/>
        <c:ser>
          <c:idx val="0"/>
          <c:order val="0"/>
          <c:tx>
            <c:strRef>
              <c:f>Overview!$H$10</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Overview!$G$11:$G$12</c:f>
            </c:strRef>
          </c:cat>
          <c:val>
            <c:numRef>
              <c:f>Overview!$H$11:$H$12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Engagement per post</a:t>
            </a:r>
          </a:p>
        </c:rich>
      </c:tx>
      <c:overlay val="0"/>
    </c:title>
    <c:plotArea>
      <c:layout/>
      <c:barChart>
        <c:barDir val="bar"/>
        <c:ser>
          <c:idx val="0"/>
          <c:order val="0"/>
          <c:tx>
            <c:strRef>
              <c:f>Overview!$O$4:$O$5</c:f>
            </c:strRef>
          </c:tx>
          <c:spPr>
            <a:solidFill>
              <a:schemeClr val="accent1"/>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cat>
            <c:strRef>
              <c:f>Overview!$D$6:$D$7</c:f>
            </c:strRef>
          </c:cat>
          <c:val>
            <c:numRef>
              <c:f>Overview!$O$6:$O$7</c:f>
              <c:numCache/>
            </c:numRef>
          </c:val>
        </c:ser>
        <c:axId val="1818070493"/>
        <c:axId val="908645296"/>
      </c:barChart>
      <c:catAx>
        <c:axId val="181807049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Page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908645296"/>
      </c:catAx>
      <c:valAx>
        <c:axId val="90864529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D9D9D9"/>
                </a:solidFill>
                <a:latin typeface="+mn-lt"/>
              </a:defRPr>
            </a:pPr>
          </a:p>
        </c:txPr>
        <c:crossAx val="1818070493"/>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#Share</a:t>
            </a:r>
          </a:p>
        </c:rich>
      </c:tx>
      <c:overlay val="0"/>
    </c:title>
    <c:plotArea>
      <c:layout/>
      <c:lineChart>
        <c:ser>
          <c:idx val="0"/>
          <c:order val="0"/>
          <c:tx>
            <c:v>FreeFire</c:v>
          </c:tx>
          <c:spPr>
            <a:ln cmpd="sng" w="76200">
              <a:solidFill>
                <a:srgbClr val="4285F4"/>
              </a:solidFill>
            </a:ln>
          </c:spPr>
          <c:marker>
            <c:symbol val="none"/>
          </c:marker>
          <c:cat>
            <c:strRef>
              <c:f>Overview!$G$32:$Q$32</c:f>
            </c:strRef>
          </c:cat>
          <c:val>
            <c:numRef>
              <c:f>Overview!$G$33:$Q$33</c:f>
              <c:numCache/>
            </c:numRef>
          </c:val>
          <c:smooth val="1"/>
        </c:ser>
        <c:ser>
          <c:idx val="1"/>
          <c:order val="1"/>
          <c:tx>
            <c:v>PubG</c:v>
          </c:tx>
          <c:spPr>
            <a:ln cmpd="sng">
              <a:solidFill>
                <a:srgbClr val="EA4335"/>
              </a:solidFill>
            </a:ln>
          </c:spPr>
          <c:marker>
            <c:symbol val="none"/>
          </c:marker>
          <c:cat>
            <c:strRef>
              <c:f>Overview!$G$32:$Q$32</c:f>
            </c:strRef>
          </c:cat>
          <c:val>
            <c:numRef>
              <c:f>Overview!$G$34:$Q$34</c:f>
              <c:numCache/>
            </c:numRef>
          </c:val>
          <c:smooth val="1"/>
        </c:ser>
        <c:axId val="1757758846"/>
        <c:axId val="599696797"/>
      </c:lineChart>
      <c:catAx>
        <c:axId val="17577588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#Share</a:t>
                </a:r>
              </a:p>
            </c:rich>
          </c:tx>
          <c:overlay val="0"/>
        </c:title>
        <c:numFmt formatCode="General" sourceLinked="1"/>
        <c:majorTickMark val="none"/>
        <c:minorTickMark val="none"/>
        <c:spPr/>
        <c:txPr>
          <a:bodyPr/>
          <a:lstStyle/>
          <a:p>
            <a:pPr lvl="0">
              <a:defRPr b="0">
                <a:solidFill>
                  <a:srgbClr val="000000"/>
                </a:solidFill>
                <a:latin typeface="+mn-lt"/>
              </a:defRPr>
            </a:pPr>
          </a:p>
        </c:txPr>
        <c:crossAx val="599696797"/>
      </c:catAx>
      <c:valAx>
        <c:axId val="5996967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5775884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#Like</a:t>
            </a:r>
          </a:p>
        </c:rich>
      </c:tx>
      <c:overlay val="0"/>
    </c:title>
    <c:plotArea>
      <c:layout/>
      <c:lineChart>
        <c:ser>
          <c:idx val="0"/>
          <c:order val="0"/>
          <c:tx>
            <c:v>FreeFire</c:v>
          </c:tx>
          <c:spPr>
            <a:ln cmpd="sng" w="76200">
              <a:solidFill>
                <a:srgbClr val="4285F4"/>
              </a:solidFill>
            </a:ln>
          </c:spPr>
          <c:marker>
            <c:symbol val="none"/>
          </c:marker>
          <c:dPt>
            <c:idx val="9"/>
            <c:marker>
              <c:symbol val="none"/>
            </c:marker>
          </c:dPt>
          <c:cat>
            <c:strRef>
              <c:f>Overview!$G$27:$Q$27</c:f>
            </c:strRef>
          </c:cat>
          <c:val>
            <c:numRef>
              <c:f>Overview!$G$28:$Q$28</c:f>
              <c:numCache/>
            </c:numRef>
          </c:val>
          <c:smooth val="0"/>
        </c:ser>
        <c:ser>
          <c:idx val="1"/>
          <c:order val="1"/>
          <c:tx>
            <c:v>PubG</c:v>
          </c:tx>
          <c:spPr>
            <a:ln cmpd="sng">
              <a:solidFill>
                <a:srgbClr val="EA4335"/>
              </a:solidFill>
            </a:ln>
          </c:spPr>
          <c:marker>
            <c:symbol val="none"/>
          </c:marker>
          <c:cat>
            <c:strRef>
              <c:f>Overview!$G$27:$Q$27</c:f>
            </c:strRef>
          </c:cat>
          <c:val>
            <c:numRef>
              <c:f>Overview!$G$29:$Q$29</c:f>
              <c:numCache/>
            </c:numRef>
          </c:val>
          <c:smooth val="0"/>
        </c:ser>
        <c:axId val="1316510538"/>
        <c:axId val="1534145115"/>
      </c:lineChart>
      <c:catAx>
        <c:axId val="13165105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#Like</a:t>
                </a:r>
              </a:p>
            </c:rich>
          </c:tx>
          <c:overlay val="0"/>
        </c:title>
        <c:numFmt formatCode="General" sourceLinked="1"/>
        <c:majorTickMark val="none"/>
        <c:minorTickMark val="none"/>
        <c:spPr/>
        <c:txPr>
          <a:bodyPr/>
          <a:lstStyle/>
          <a:p>
            <a:pPr lvl="0">
              <a:defRPr b="0">
                <a:solidFill>
                  <a:srgbClr val="000000"/>
                </a:solidFill>
                <a:latin typeface="+mn-lt"/>
              </a:defRPr>
            </a:pPr>
          </a:p>
        </c:txPr>
        <c:crossAx val="1534145115"/>
      </c:catAx>
      <c:valAx>
        <c:axId val="15341451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16510538"/>
      </c:valAx>
    </c:plotArea>
    <c:legend>
      <c:legendPos val="r"/>
      <c:layout>
        <c:manualLayout>
          <c:xMode val="edge"/>
          <c:yMode val="edge"/>
          <c:x val="0.39771809895833343"/>
          <c:y val="0.13454627133872415"/>
        </c:manualLayout>
      </c:layout>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#Posts</a:t>
            </a:r>
          </a:p>
        </c:rich>
      </c:tx>
      <c:overlay val="0"/>
    </c:title>
    <c:plotArea>
      <c:layout/>
      <c:lineChart>
        <c:ser>
          <c:idx val="0"/>
          <c:order val="0"/>
          <c:tx>
            <c:v>FreeFire</c:v>
          </c:tx>
          <c:spPr>
            <a:ln cmpd="sng" w="76200">
              <a:solidFill>
                <a:srgbClr val="4285F4"/>
              </a:solidFill>
            </a:ln>
          </c:spPr>
          <c:marker>
            <c:symbol val="none"/>
          </c:marker>
          <c:cat>
            <c:strRef>
              <c:f>Overview!$G$22:$Q$22</c:f>
            </c:strRef>
          </c:cat>
          <c:val>
            <c:numRef>
              <c:f>Overview!$G$23:$Q$23</c:f>
              <c:numCache/>
            </c:numRef>
          </c:val>
          <c:smooth val="1"/>
        </c:ser>
        <c:ser>
          <c:idx val="1"/>
          <c:order val="1"/>
          <c:tx>
            <c:v>PubG</c:v>
          </c:tx>
          <c:spPr>
            <a:ln cmpd="sng">
              <a:solidFill>
                <a:srgbClr val="EA4335"/>
              </a:solidFill>
            </a:ln>
          </c:spPr>
          <c:marker>
            <c:symbol val="none"/>
          </c:marker>
          <c:cat>
            <c:strRef>
              <c:f>Overview!$G$22:$Q$22</c:f>
            </c:strRef>
          </c:cat>
          <c:val>
            <c:numRef>
              <c:f>Overview!$G$24:$Q$24</c:f>
              <c:numCache/>
            </c:numRef>
          </c:val>
          <c:smooth val="1"/>
        </c:ser>
        <c:axId val="1527329546"/>
        <c:axId val="1744568388"/>
      </c:lineChart>
      <c:catAx>
        <c:axId val="15273295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#Posts</a:t>
                </a:r>
              </a:p>
            </c:rich>
          </c:tx>
          <c:overlay val="0"/>
        </c:title>
        <c:numFmt formatCode="General" sourceLinked="1"/>
        <c:majorTickMark val="none"/>
        <c:minorTickMark val="none"/>
        <c:spPr/>
        <c:txPr>
          <a:bodyPr/>
          <a:lstStyle/>
          <a:p>
            <a:pPr lvl="0">
              <a:defRPr b="0">
                <a:solidFill>
                  <a:srgbClr val="000000"/>
                </a:solidFill>
                <a:latin typeface="+mn-lt"/>
              </a:defRPr>
            </a:pPr>
          </a:p>
        </c:txPr>
        <c:crossAx val="1744568388"/>
      </c:catAx>
      <c:valAx>
        <c:axId val="17445683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27329546"/>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sheetPr>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sheetPr>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sheetPr>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8</xdr:row>
      <xdr:rowOff>190500</xdr:rowOff>
    </xdr:from>
    <xdr:ext cx="3571875" cy="24098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657225</xdr:colOff>
      <xdr:row>8</xdr:row>
      <xdr:rowOff>190500</xdr:rowOff>
    </xdr:from>
    <xdr:ext cx="3648075" cy="2409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1257300</xdr:colOff>
      <xdr:row>8</xdr:row>
      <xdr:rowOff>190500</xdr:rowOff>
    </xdr:from>
    <xdr:ext cx="4305300" cy="240982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19050</xdr:colOff>
      <xdr:row>34</xdr:row>
      <xdr:rowOff>114300</xdr:rowOff>
    </xdr:from>
    <xdr:ext cx="2857500" cy="2857500"/>
    <mc:AlternateContent>
      <mc:Choice Requires="sle15">
        <xdr:graphicFrame>
          <xdr:nvGraphicFramePr>
            <xdr:cNvPr id="1" name="Name (Profile)_1"/>
            <xdr:cNvGraphicFramePr/>
          </xdr:nvGraphicFramePr>
          <xdr:xfrm>
            <a:off x="0" y="0"/>
            <a:ext cx="0" cy="0"/>
          </xdr:xfrm>
          <a:graphic>
            <a:graphicData uri="http://schemas.microsoft.com/office/drawing/2010/slicer">
              <x3Unk:slicer name="Name (Profil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647700</xdr:colOff>
      <xdr:row>34</xdr:row>
      <xdr:rowOff>114300</xdr:rowOff>
    </xdr:from>
    <xdr:ext cx="2857500" cy="2857500"/>
    <mc:AlternateContent>
      <mc:Choice Requires="sle15">
        <xdr:graphicFrame>
          <xdr:nvGraphicFramePr>
            <xdr:cNvPr id="2" name="WEEKNUM_2"/>
            <xdr:cNvGraphicFramePr/>
          </xdr:nvGraphicFramePr>
          <xdr:xfrm>
            <a:off x="0" y="0"/>
            <a:ext cx="0" cy="0"/>
          </xdr:xfrm>
          <a:graphic>
            <a:graphicData uri="http://schemas.microsoft.com/office/drawing/2010/slicer">
              <x3Unk:slicer name="WEEKNU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923925</xdr:colOff>
      <xdr:row>10</xdr:row>
      <xdr:rowOff>266700</xdr:rowOff>
    </xdr:from>
    <xdr:ext cx="2857500" cy="2857500"/>
    <mc:AlternateContent>
      <mc:Choice Requires="sle15">
        <xdr:graphicFrame>
          <xdr:nvGraphicFramePr>
            <xdr:cNvPr id="3" name="WEEKNUM_3"/>
            <xdr:cNvGraphicFramePr/>
          </xdr:nvGraphicFramePr>
          <xdr:xfrm>
            <a:off x="0" y="0"/>
            <a:ext cx="0" cy="0"/>
          </xdr:xfrm>
          <a:graphic>
            <a:graphicData uri="http://schemas.microsoft.com/office/drawing/2010/slicer">
              <x3Unk:slicer name="WEEKNUM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371475</xdr:colOff>
      <xdr:row>548</xdr:row>
      <xdr:rowOff>180975</xdr:rowOff>
    </xdr:from>
    <xdr:ext cx="2857500" cy="2857500"/>
    <mc:AlternateContent>
      <mc:Choice Requires="sle15">
        <xdr:graphicFrame>
          <xdr:nvGraphicFramePr>
            <xdr:cNvPr id="4" name="WEEKNUM_4"/>
            <xdr:cNvGraphicFramePr/>
          </xdr:nvGraphicFramePr>
          <xdr:xfrm>
            <a:off x="0" y="0"/>
            <a:ext cx="0" cy="0"/>
          </xdr:xfrm>
          <a:graphic>
            <a:graphicData uri="http://schemas.microsoft.com/office/drawing/2010/slicer">
              <x3Unk:slicer name="WEEKNUM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923925</xdr:colOff>
      <xdr:row>10</xdr:row>
      <xdr:rowOff>266700</xdr:rowOff>
    </xdr:from>
    <xdr:ext cx="2857500" cy="2857500"/>
    <mc:AlternateContent>
      <mc:Choice Requires="sle15">
        <xdr:graphicFrame>
          <xdr:nvGraphicFramePr>
            <xdr:cNvPr id="5" name="WEEKNUM_5"/>
            <xdr:cNvGraphicFramePr/>
          </xdr:nvGraphicFramePr>
          <xdr:xfrm>
            <a:off x="0" y="0"/>
            <a:ext cx="0" cy="0"/>
          </xdr:xfrm>
          <a:graphic>
            <a:graphicData uri="http://schemas.microsoft.com/office/drawing/2010/slicer">
              <x3Unk:slicer name="WEEKNUM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180975</xdr:colOff>
      <xdr:row>12</xdr:row>
      <xdr:rowOff>104775</xdr:rowOff>
    </xdr:from>
    <xdr:ext cx="2857500" cy="2857500"/>
    <mc:AlternateContent>
      <mc:Choice Requires="sle15">
        <xdr:graphicFrame>
          <xdr:nvGraphicFramePr>
            <xdr:cNvPr id="6" name="WEEKNUM_6"/>
            <xdr:cNvGraphicFramePr/>
          </xdr:nvGraphicFramePr>
          <xdr:xfrm>
            <a:off x="0" y="0"/>
            <a:ext cx="0" cy="0"/>
          </xdr:xfrm>
          <a:graphic>
            <a:graphicData uri="http://schemas.microsoft.com/office/drawing/2010/slicer">
              <x3Unk:slicer name="WEEKNUM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548" sheet="ALL_DATA"/>
  </cacheSource>
  <cacheFields>
    <cacheField name="Created date" numFmtId="164">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d v="2021-12-01T00:00:00Z"/>
        <d v="2021-12-02T00:00:00Z"/>
        <d v="2021-12-03T00:00:00Z"/>
        <d v="2021-12-04T00:00:00Z"/>
        <d v="2021-12-05T00:00:00Z"/>
        <d v="2021-12-06T00:00:00Z"/>
        <d v="2021-12-07T00:00:00Z"/>
        <d v="2021-12-08T00:00:00Z"/>
        <d v="2021-12-09T00:00:00Z"/>
        <d v="2021-12-10T00:00:00Z"/>
        <d v="2021-12-11T00:00:00Z"/>
        <d v="2021-12-12T00:00:00Z"/>
        <d v="2021-12-13T00:00:00Z"/>
        <d v="2021-12-14T00:00:00Z"/>
        <d v="2021-12-15T00:00:00Z"/>
        <d v="2021-12-25T00:00:00Z"/>
      </sharedItems>
    </cacheField>
    <cacheField name="Created time" numFmtId="165">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d v="2021-10-01T12:01:02Z"/>
        <d v="2021-10-01T15:00:06Z"/>
        <d v="2021-10-01T16:00:05Z"/>
        <d v="2021-10-01T22:25:47Z"/>
        <d v="2021-10-01T22:30:17Z"/>
        <d v="2021-10-02T15:00:08Z"/>
        <d v="2021-10-02T16:12:45Z"/>
        <d v="2021-10-02T21:07:39Z"/>
        <d v="2021-10-03T16:19:06Z"/>
        <d v="2021-10-03T21:09:46Z"/>
        <d v="2021-10-03T21:29:57Z"/>
        <d v="2021-10-05T10:07:22Z"/>
        <d v="2021-10-05T16:15:12Z"/>
        <d v="2021-10-05T18:00:07Z"/>
        <d v="2021-10-05T21:00:01Z"/>
        <d v="2021-10-06T09:49:21Z"/>
        <d v="2021-10-06T15:40:50Z"/>
        <d v="2021-10-06T16:30:58Z"/>
        <d v="2021-10-06T18:00:54Z"/>
        <d v="2021-10-07T11:45:04Z"/>
        <d v="2021-10-07T14:00:33Z"/>
        <d v="2021-10-07T15:11:00Z"/>
        <d v="2021-10-07T16:33:42Z"/>
        <d v="2021-10-08T11:45:00Z"/>
        <d v="2021-10-08T14:00:16Z"/>
        <d v="2021-10-08T15:30:11Z"/>
        <d v="2021-10-08T17:20:01Z"/>
        <d v="2021-10-09T15:23:28Z"/>
        <d v="2021-10-09T17:14:24Z"/>
        <d v="2021-10-10T15:21:51Z"/>
        <d v="2021-10-11T12:17:24Z"/>
        <d v="2021-10-12T15:01:22Z"/>
        <d v="2021-10-12T16:00:55Z"/>
        <d v="2021-10-12T18:00:25Z"/>
        <d v="2021-10-13T14:00:07Z"/>
        <d v="2021-10-15T15:30:31Z"/>
        <d v="2021-10-17T14:35:22Z"/>
        <d v="2021-10-17T16:00:54Z"/>
        <d v="2021-10-18T14:00:48Z"/>
        <d v="2021-10-19T14:00:26Z"/>
        <d v="2021-10-19T21:00:01Z"/>
        <d v="2021-10-20T13:39:10Z"/>
        <d v="2021-10-20T16:05:03Z"/>
        <d v="2021-10-20T18:00:00Z"/>
        <d v="2021-10-26T11:21:00Z"/>
        <d v="2021-10-27T14:30:10Z"/>
        <d v="2021-10-27T17:00:03Z"/>
        <d v="2021-10-27T18:09:50Z"/>
        <d v="2021-10-27T20:25:06Z"/>
        <d v="2021-10-28T10:13:33Z"/>
        <d v="2021-10-30T14:00:25Z"/>
        <d v="2021-10-31T16:30:44Z"/>
        <d v="2021-11-01T18:00:01Z"/>
        <d v="2021-11-02T09:58:36Z"/>
        <d v="2021-11-02T18:32:54Z"/>
        <d v="2021-11-02T21:00:02Z"/>
        <d v="2021-11-03T13:49:13Z"/>
        <d v="2021-11-03T15:40:02Z"/>
        <d v="2021-11-03T16:00:34Z"/>
        <d v="2021-11-03T16:35:54Z"/>
        <d v="2021-11-03T18:35:10Z"/>
        <d v="2021-11-04T18:24:45Z"/>
        <d v="2021-11-05T13:54:35Z"/>
        <d v="2021-11-05T16:00:09Z"/>
        <d v="2021-11-05T18:25:29Z"/>
        <d v="2021-11-05T20:54:19Z"/>
        <d v="2021-11-06T11:56:12Z"/>
        <d v="2021-11-06T18:17:19Z"/>
        <d v="2021-11-07T18:13:30Z"/>
        <d v="2021-11-07T21:08:54Z"/>
        <d v="2021-11-08T12:57:37Z"/>
        <d v="2021-11-09T09:30:03Z"/>
        <d v="2021-11-09T14:34:45Z"/>
        <d v="2021-11-10T14:00:58Z"/>
        <d v="2021-11-10T18:04:35Z"/>
        <d v="2021-11-11T14:00:13Z"/>
        <d v="2021-11-11T16:00:33Z"/>
        <d v="2021-11-12T14:41:30Z"/>
        <d v="2021-11-12T21:18:55Z"/>
        <d v="2021-11-13T13:59:06Z"/>
        <d v="2021-11-14T13:24:50Z"/>
        <d v="2021-11-14T17:00:01Z"/>
        <d v="2021-11-15T13:11:45Z"/>
        <d v="2021-11-15T14:30:47Z"/>
        <d v="2021-11-15T15:34:04Z"/>
        <d v="2021-11-15T15:40:38Z"/>
        <d v="2021-11-16T11:05:03Z"/>
        <d v="2021-11-16T15:00:01Z"/>
        <d v="2021-11-16T18:00:02Z"/>
        <d v="2021-11-16T19:20:02Z"/>
        <d v="2021-11-16T21:00:02Z"/>
        <d v="2021-11-17T09:00:04Z"/>
        <d v="2021-11-17T11:00:01Z"/>
        <d v="2021-11-17T15:00:02Z"/>
        <d v="2021-11-17T18:16:56Z"/>
        <d v="2021-11-18T09:00:04Z"/>
        <d v="2021-11-18T11:45:00Z"/>
        <d v="2021-11-18T13:59:57Z"/>
        <d v="2021-11-18T16:16:47Z"/>
        <d v="2021-11-18T17:15:01Z"/>
        <d v="2021-11-18T18:45:10Z"/>
        <d v="2021-11-18T20:10:07Z"/>
        <d v="2021-11-19T08:00:05Z"/>
        <d v="2021-11-19T16:41:35Z"/>
        <d v="2021-11-19T22:49:24Z"/>
        <d v="2021-11-20T08:30:00Z"/>
        <d v="2021-11-20T10:56:10Z"/>
        <d v="2021-11-20T16:33:33Z"/>
        <d v="2021-11-20T18:52:57Z"/>
        <d v="2021-11-20T21:56:50Z"/>
        <d v="2021-11-21T08:30:03Z"/>
        <d v="2021-11-21T14:54:18Z"/>
        <d v="2021-11-21T15:36:52Z"/>
        <d v="2021-11-21T22:18:50Z"/>
        <d v="2021-11-22T11:34:28Z"/>
        <d v="2021-11-22T14:18:24Z"/>
        <d v="2021-11-22T17:18:59Z"/>
        <d v="2021-11-22T18:00:01Z"/>
        <d v="2021-11-22T20:13:27Z"/>
        <d v="2021-11-23T13:24:38Z"/>
        <d v="2021-11-23T15:01:52Z"/>
        <d v="2021-11-23T16:13:18Z"/>
        <d v="2021-11-23T21:27:12Z"/>
        <d v="2021-11-24T13:00:00Z"/>
        <d v="2021-11-24T13:09:59Z"/>
        <d v="2021-11-24T15:10:32Z"/>
        <d v="2021-11-24T22:36:19Z"/>
        <d v="2021-11-24T23:03:05Z"/>
        <d v="2021-11-25T13:16:29Z"/>
        <d v="2021-11-25T14:00:04Z"/>
        <d v="2021-11-25T15:00:02Z"/>
        <d v="2021-11-25T21:33:25Z"/>
        <d v="2021-11-25T21:47:40Z"/>
        <d v="2021-11-26T11:00:03Z"/>
        <d v="2021-11-26T13:48:12Z"/>
        <d v="2021-11-26T15:00:02Z"/>
        <d v="2021-11-26T16:35:06Z"/>
        <d v="2021-11-26T20:00:02Z"/>
        <d v="2021-11-27T10:00:01Z"/>
        <d v="2021-11-27T11:59:00Z"/>
        <d v="2021-11-27T13:00:07Z"/>
        <d v="2021-11-27T14:00:01Z"/>
        <d v="2021-11-27T20:57:03Z"/>
        <d v="2021-11-27T21:09:37Z"/>
        <d v="2021-11-28T11:59:04Z"/>
        <d v="2021-11-28T20:46:33Z"/>
        <d v="2021-11-29T13:00:01Z"/>
        <d v="2021-11-29T13:20:13Z"/>
        <d v="2021-11-29T15:00:49Z"/>
        <d v="2021-11-29T16:00:04Z"/>
        <d v="2021-11-29T16:28:42Z"/>
        <d v="2021-11-29T16:30:00Z"/>
        <d v="2021-11-29T21:35:01Z"/>
        <d v="2021-11-30T09:00:08Z"/>
        <d v="2021-11-30T13:15:11Z"/>
        <d v="2021-11-30T19:09:10Z"/>
        <d v="2021-11-30T20:52:28Z"/>
        <d v="2021-11-30T21:00:03Z"/>
        <d v="2021-12-01T09:00:03Z"/>
        <d v="2021-12-01T13:15:38Z"/>
        <d v="2021-12-01T14:10:47Z"/>
        <d v="2021-12-01T15:00:02Z"/>
        <d v="2021-12-01T15:25:07Z"/>
        <d v="2021-12-01T16:30:08Z"/>
        <d v="2021-12-01T22:11:57Z"/>
        <d v="2021-12-02T13:00:52Z"/>
        <d v="2021-12-02T14:08:09Z"/>
        <d v="2021-12-02T15:00:41Z"/>
        <d v="2021-12-02T20:50:04Z"/>
        <d v="2021-12-03T11:00:00Z"/>
        <d v="2021-12-03T15:00:09Z"/>
        <d v="2021-12-03T16:00:32Z"/>
        <d v="2021-12-03T18:30:08Z"/>
        <d v="2021-12-04T11:00:03Z"/>
        <d v="2021-12-04T13:00:01Z"/>
        <d v="2021-12-04T14:05:07Z"/>
        <d v="2021-12-04T20:56:32Z"/>
        <d v="2021-12-05T13:00:01Z"/>
        <d v="2021-12-05T15:59:19Z"/>
        <d v="2021-12-05T20:43:29Z"/>
        <d v="2021-12-06T13:00:02Z"/>
        <d v="2021-12-06T21:29:12Z"/>
        <d v="2021-12-07T11:28:17Z"/>
        <d v="2021-12-07T13:00:01Z"/>
        <d v="2021-12-07T14:00:07Z"/>
        <d v="2021-12-07T15:30:01Z"/>
        <d v="2021-12-07T21:14:48Z"/>
        <d v="2021-12-08T11:33:38Z"/>
        <d v="2021-12-08T12:33:42Z"/>
        <d v="2021-12-08T13:12:15Z"/>
        <d v="2021-12-08T15:00:11Z"/>
        <d v="2021-12-08T21:44:00Z"/>
        <d v="2021-12-09T09:30:03Z"/>
        <d v="2021-12-09T13:12:01Z"/>
        <d v="2021-12-09T14:01:00Z"/>
        <d v="2021-12-09T15:00:22Z"/>
        <d v="2021-12-09T19:16:28Z"/>
        <d v="2021-12-09T21:06:21Z"/>
        <d v="2021-12-10T09:45:32Z"/>
        <d v="2021-12-10T09:50:51Z"/>
        <d v="2021-12-10T10:08:34Z"/>
        <d v="2021-12-10T12:05:17Z"/>
        <d v="2021-12-10T14:00:06Z"/>
        <d v="2021-12-10T17:00:01Z"/>
        <d v="2021-12-10T18:00:13Z"/>
        <d v="2021-12-11T13:00:01Z"/>
        <d v="2021-12-11T15:00:01Z"/>
        <d v="2021-12-11T21:30:26Z"/>
        <d v="2021-12-12T13:00:02Z"/>
        <d v="2021-12-12T15:31:00Z"/>
        <d v="2021-12-12T16:15:02Z"/>
        <d v="2021-12-12T20:30:50Z"/>
        <d v="2021-12-13T10:01:48Z"/>
        <d v="2021-12-13T15:29:32Z"/>
        <d v="2021-12-13T20:09:59Z"/>
        <d v="2021-12-14T15:30:03Z"/>
        <d v="2021-12-14T17:54:35Z"/>
        <d v="2021-12-14T21:00:00Z"/>
        <d v="2021-12-15T09:55:22Z"/>
        <d v="2021-12-15T13:00:40Z"/>
        <d v="2021-12-15T15:00:59Z"/>
        <d v="2021-12-15T17:00:01Z"/>
        <d v="2021-12-16T09:30:01Z"/>
        <d v="2021-12-16T13:34:17Z"/>
        <d v="2021-12-16T20:33:46Z"/>
        <d v="2021-12-17T10:00:06Z"/>
        <d v="2021-12-17T13:20:56Z"/>
        <d v="2021-12-17T14:00:00Z"/>
        <d v="2021-12-17T15:30:29Z"/>
        <d v="2021-12-17T16:28:36Z"/>
        <d v="2021-12-17T20:58:19Z"/>
        <d v="2021-12-18T13:13:00Z"/>
        <d v="2021-12-18T20:40:03Z"/>
        <d v="2021-12-19T13:06:26Z"/>
        <d v="2021-12-19T15:02:41Z"/>
        <d v="2021-12-19T17:19:11Z"/>
        <d v="2021-12-19T20:42:49Z"/>
        <d v="2021-12-19T20:52:52Z"/>
        <d v="2021-12-20T12:30:00Z"/>
        <d v="2021-12-20T15:00:10Z"/>
        <d v="2021-12-20T18:00:00Z"/>
        <d v="2021-12-20T20:00:03Z"/>
        <d v="2021-12-21T16:13:35Z"/>
        <d v="2021-12-22T16:55:39Z"/>
        <d v="2021-12-25T15:00:01Z"/>
        <d v="2021-12-25T16:30:16Z"/>
        <d v="2021-12-25T21:00:01Z"/>
      </sharedItems>
    </cacheField>
    <cacheField name="Name (Profile)" numFmtId="0">
      <sharedItems>
        <s v="Garena Free Fire"/>
        <s v="PUBG: BATTLEGROUNDS"/>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 v="172882636630076_969476276970704"/>
        <s v="172882636630076_970284500223215"/>
        <s v="172882636630076_970669680184697"/>
        <s v="172882636630076_970942463490752"/>
        <s v="172882636630076_970945460157119"/>
        <s v="172882636630076_971000823484916"/>
        <s v="172882636630076_401104991611623"/>
        <s v="172882636630076_971543223430676"/>
        <s v="172882636630076_941368270062200"/>
        <s v="172882636630076_972150376703294"/>
        <s v="172882636630076_972161813368817"/>
        <s v="172882636630076_972919619959703"/>
        <s v="172882636630076_973096053275393"/>
        <s v="172882636630076_973095346608797"/>
        <s v="172882636630076_972880253296973"/>
        <s v="172882636630076_973550876563244"/>
        <s v="172882636630076_973652123219786"/>
        <s v="172882636630076_973674283217570"/>
        <s v="172882636630076_973689799882685"/>
        <s v="172882636630076_974253753159623"/>
        <s v="172882636630076_974324759819189"/>
        <s v="172882636630076_974353596482972"/>
        <s v="172882636630076_974385706479761"/>
        <s v="172882636630076_974893623095636"/>
        <s v="172882636630076_974967039754961"/>
        <s v="172882636630076_974981129753552"/>
        <s v="172882636630076_975060066412325"/>
        <s v="172882636630076_975672303017768"/>
        <s v="172882636630076_975724409679224"/>
        <s v="172882636630076_976362902948708"/>
        <s v="172882636630076_976953709556294"/>
        <s v="172882636630076_977696136148718"/>
        <s v="172882636630076_977708739480791"/>
        <s v="172882636630076_977798096138522"/>
        <s v="172882636630076_977895402795458"/>
        <s v="172882636630076_979679202617078"/>
        <s v="172882636630076_980953712489627"/>
        <s v="172882636630076_980958539155811"/>
        <s v="172882636630076_981491159102549"/>
        <s v="172882636630076_982061412378857"/>
        <s v="172882636630076_982020615716270"/>
        <s v="172882636630076_982696852315313"/>
        <s v="172882636630076_982766825641649"/>
        <s v="172882636630076_982779412307057"/>
        <s v="172882636630076_986268008624864"/>
        <s v="172882636630076_986959085222423"/>
        <s v="172882636630076_987063738545291"/>
        <s v="172882636630076_987097465208585"/>
        <s v="172882636630076_987160195202312"/>
        <s v="172882636630076_987509225167409"/>
        <s v="172882636630076_988271731757825"/>
        <s v="172882636630076_989524938299171"/>
        <s v="172882636630076_990130271571971"/>
        <s v="172882636630076_990526674865664"/>
        <s v="172882636630076_625073651855177"/>
        <s v="172882636630076_990554618196203"/>
        <s v="172882636630076_991318428119822"/>
        <s v="172882636630076_991329311452067"/>
        <s v="172882636630076_991250004793331"/>
        <s v="172882636630076_991272001457798"/>
        <s v="172882636630076_403992904533768"/>
        <s v="172882636630076_874280446610068"/>
        <s v="172882636630076_992517154666616"/>
        <s v="172882636630076_992549451330053"/>
        <s v="172882636630076_699373684355247"/>
        <s v="172882636630076_424186866092505"/>
        <s v="172882636630076_993086827942982"/>
        <s v="172882636630076_287173213277608"/>
        <s v="172882636630076_266636538744720"/>
        <s v="172882636630076_240826381288570"/>
        <s v="172882636630076_994303424487989"/>
        <s v="172882636630076_994557011129297"/>
        <s v="172882636630076_994927227758942"/>
        <s v="172882636630076_995475351037463"/>
        <s v="172882636630076_995567364361595"/>
        <s v="172882636630076_996049987646666"/>
        <s v="172882636630076_996102694308062"/>
        <s v="172882636630076_996665127585152"/>
        <s v="172882636630076_996848754233456"/>
        <s v="172882636630076_997263320858666"/>
        <s v="172882636630076_997901074128224"/>
        <s v="172882636630076_997945124123819"/>
        <s v="172882636630076_998456574072674"/>
        <s v="172882636630076_998503534067978"/>
        <s v="172882636630076_943157496307517"/>
        <s v="172882636630076_998530390731959"/>
        <s v="172882636630076_999088734009458"/>
        <s v="172882636630076_999121967339468"/>
        <s v="172882636630076_999185517333113"/>
        <s v="172882636630076_999260497325615"/>
        <s v="172882636630076_999276717323993"/>
        <s v="172882636630076_999281797323485"/>
        <s v="172882636630076_999091954009136"/>
        <s v="172882636630076_999696490615349"/>
        <s v="172882636630076_999859547265710"/>
        <s v="172882636630076_999096604008671"/>
        <s v="172882636630076_999871137264551"/>
        <s v="172882636630076_1000369933881338"/>
        <s v="172882636630076_1000417933876538"/>
        <s v="172882636630076_1000440563874275"/>
        <s v="172882636630076_1000466597205005"/>
        <s v="172882636630076_1000447847206880"/>
        <s v="172882636630076_1000429033875428"/>
        <s v="172882636630076_1001062310478767"/>
        <s v="172882636630076_1001283097123355"/>
        <s v="172882636630076_1001291520455846"/>
        <s v="172882636630076_1001572340427764"/>
        <s v="172882636630076_1001741087077556"/>
        <s v="172882636630076_1001808150404183"/>
        <s v="172882636630076_1001915433726788"/>
        <s v="172882636630076_1001924903725841"/>
        <s v="172882636630076_1002338103684521"/>
        <s v="172882636630076_1002358573682474"/>
        <s v="172882636630076_1002650746986590"/>
        <s v="172882636630076_1002995990285399"/>
        <s v="172882636630076_1003059263612405"/>
        <s v="172882636630076_1003126920272306"/>
        <s v="172882636630076_1003122253606106"/>
        <s v="172882636630076_1003205673597764"/>
        <s v="172882636630076_1003626886888976"/>
        <s v="172882636630076_1003660933552238"/>
        <s v="172882636630076_1003683373549994"/>
        <s v="172882636630076_1003860053532326"/>
        <s v="172882636630076_1004171890167809"/>
        <s v="172882636630076_1004216456830019"/>
        <s v="172882636630076_1004261323492199"/>
        <s v="172882636630076_1004509010134097"/>
        <s v="172882636630076_1004514486800216"/>
        <s v="172882636630076_1004861883432143"/>
        <s v="172882636630076_1004804416771223"/>
        <s v="172882636630076_1004897060095292"/>
        <s v="172882636630076_1005123576739307"/>
        <s v="172882636630076_1005134566738208"/>
        <s v="172882636630076_1004930273425304"/>
        <s v="172882636630076_1005493426702322"/>
        <s v="172882636630076_1005613603356971"/>
        <s v="172882636630076_1005758736675791"/>
        <s v="172882636630076_1005877146663950"/>
        <s v="172882636630076_1005813916670273"/>
        <s v="172882636630076_1005921279992870"/>
        <s v="172882636630076_1005935756658089"/>
        <s v="172882636630076_1005700296681635"/>
        <s v="172882636630076_1006579676593697"/>
        <s v="172882636630076_1006587349926263"/>
        <s v="172882636630076_1005926013325730"/>
        <s v="172882636630076_1007177663200565"/>
        <s v="172882636630076_1007219633196368"/>
        <s v="172882636630076_1007561479828850"/>
        <s v="172882636630076_1007589999825998"/>
        <s v="172882636630076_1007592689825729"/>
        <s v="172882636630076_587002365858520"/>
        <s v="172882636630076_1007623696489295"/>
        <s v="172882636630076_1007813089803689"/>
        <s v="172882636630076_1007863359798662"/>
        <s v="172882636630076_1008169273101404"/>
        <s v="172882636630076_1008328726418792"/>
        <s v="172882636630076_1008401143078217"/>
        <s v="172882636630076_1008135323104799"/>
        <s v="172882636630076_1008454713072860"/>
        <s v="172882636630076_1008768976374767"/>
        <s v="172882636630076_1008791016372563"/>
        <s v="172882636630076_1008795433038788"/>
        <s v="172882636630076_1008790769705921"/>
        <s v="172882636630076_1008780796373585"/>
        <s v="172882636630076_1009036856347979"/>
        <s v="172882636630076_1009374452980886"/>
        <s v="172882636630076_1009398206311844"/>
        <s v="172882636630076_1009575606294104"/>
        <s v="172882636630076_1009768216274843"/>
        <s v="172882636630076_1010142522904079"/>
        <s v="172882636630076_1010219899563008"/>
        <s v="172882636630076_1010234416228223"/>
        <s v="172882636630076_1010255829559415"/>
        <s v="172882636630076_1010225402895791"/>
        <s v="172882636630076_1010510302867301"/>
        <s v="172882636630076_1010822766169388"/>
        <s v="172882636630076_1011030879481910"/>
        <s v="172882636630076_1010515446200120"/>
        <s v="172882636630076_1011462816105383"/>
        <s v="172882636630076_1011606189424379"/>
        <s v="172882636630076_1011017489483249"/>
        <s v="172882636630076_1012283736023291"/>
        <s v="172882636630076_1012621895989475"/>
        <s v="172882636630076_1012243712693960"/>
        <s v="172882636630076_1012606602657671"/>
        <s v="172882636630076_1012700112648320"/>
        <s v="172882636630076_1012891612629170"/>
        <s v="172882636630076_1013230399261958"/>
        <s v="172882636630076_1013251422593189"/>
        <s v="172882636630076_1013266309258367"/>
        <s v="172882636630076_1013318095919855"/>
        <s v="172882636630076_1013544389230559"/>
        <s v="172882636630076_1013823322535999"/>
        <s v="172882636630076_1013909035860761"/>
        <s v="172882636630076_1013333265918338"/>
        <s v="172882636630076_1013947185856946"/>
        <s v="172882636630076_1014090272509304"/>
        <s v="172882636630076_1014168805834784"/>
        <s v="172882636630076_1014471625804502"/>
        <s v="172882636630076_1014482262470105"/>
        <s v="172882636630076_1014489645802700"/>
        <s v="172882636630076_1014537342464597"/>
        <s v="172882636630076_1014187265832938"/>
        <s v="172882636630076_1014653392452992"/>
        <s v="172882636630076_1014469522471379"/>
        <s v="172882636630076_1014938215757843"/>
        <s v="172882636630076_1014949152423416"/>
        <s v="172882636630076_1015450285706636"/>
        <s v="172882636630076_1014939492424382"/>
        <s v="172882636630076_1015878822330449"/>
        <s v="172882636630076_1015898692328462"/>
        <s v="172882636630076_1016029862315345"/>
        <s v="172882636630076_1016094915642173"/>
        <s v="172882636630076_1016474115604253"/>
        <s v="172882636630076_1016596568925341"/>
        <s v="172882636630076_1017030578881940"/>
        <s v="172882636630076_1017105642207767"/>
        <s v="172882636630076_1016987565552908"/>
        <s v="172882636630076_1017489112169420"/>
        <s v="172882636630076_1017506038834394"/>
        <s v="172882636630076_1017542245497440"/>
        <s v="172882636630076_1017589345492730"/>
        <s v="172882636630076_1017834152134916"/>
        <s v="172882636630076_1018144412103890"/>
        <s v="172882636630076_1018340555417609"/>
        <s v="172882636630076_1018687355382929"/>
        <s v="172882636630076_1018778448707153"/>
        <s v="172882636630076_1018676585384006"/>
        <s v="172882636630076_1018820962036235"/>
        <s v="172882636630076_1018844178700580"/>
        <s v="172882636630076_1018981242020207"/>
        <s v="172882636630076_1019350951983236"/>
        <s v="172882636630076_1019558645295800"/>
        <s v="172882636630076_1019943645257300"/>
        <s v="172882636630076_1019983768586621"/>
        <s v="172882636630076_1020042835247381"/>
        <s v="172882636630076_1020152101903121"/>
        <s v="172882636630076_1020158005235864"/>
        <s v="172882636630076_1020170918567906"/>
        <s v="172882636630076_1020555818529416"/>
        <s v="172882636630076_1020635191854812"/>
        <s v="172882636630076_1020646178520380"/>
        <s v="172882636630076_1021170775134587"/>
        <s v="172882636630076_1021798985071766"/>
        <s v="172882636630076_1023655268219471"/>
        <s v="172882636630076_1023704381547893"/>
        <s v="172882636630076_1023840101534321"/>
      </sharedItems>
    </cacheField>
    <cacheField name="Post type" numFmtId="0">
      <sharedItems>
        <s v="added_video"/>
        <s v="added_photos"/>
        <s v="shared_story"/>
        <s v="mobile_status_update"/>
      </sharedItems>
    </cacheField>
    <cacheField name="Content type" numFmtId="0">
      <sharedItems containsBlank="1">
        <s v="video_inline"/>
        <s v="photo"/>
        <s v="share"/>
        <s v="video"/>
        <s v="native_templates"/>
        <s v="profile_media"/>
        <s v="cover_photo"/>
        <s v="album"/>
        <m/>
        <s v="video_direct_response"/>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 v="🔥🔥 นับถอยหลัง 6 เกมสุดท้ายเชียร์ให้สุดกับ 5 ทีมไทย ในการแข่งขัน 𝐏𝐔𝐁𝐆 𝐂𝐨𝐧𝐭𝐢𝐧𝐞𝐧𝐭𝐚𝐥 𝐒𝐞𝐫𝐢𝐞𝐬 𝟓 𝗔𝗣𝗔𝗖 !!&#10;.&#10;🏆🇹🇭 ห้ามพลาดรวมส่งพลังใจ ชมสดและเชียร์ 5 ทีมไทย คว้าตั๋วลุยชิงแชมป์โลก!&#10;🗓#วันที่แข่งขัน (ทุกวันพฤหัสบดี และ ศุกร์) เวลา 18."/>
        <s v="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10; .&#10;🏆🇹🇭 ห้ามพลาดรวมส่งพลังใจ ชมสดและเชียร์ 5 ทีมไทย คว้าตั๋วลุยชิงแ"/>
        <s v="สวัสดีทุกคน!&#10;&#10;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
        <s v="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10;.&#10;&#10;🔴 #ดูย้อนหลังได้ที่&#10;- PUBG Official -&#10;🎥🟥 http://bit.ly/2P5Ibz"/>
        <s v="ตัวแทนทีมไทย🇹🇭🇹🇭ลุยชิงแชมป์โลก PUBG Global Championship 2021 มาตามเชียร์ 2 ตัวแทน 🇹🇭Buriram United Esports และ 🇹🇭Attack All Around ลุยศึกใหญ่ได้ พฤศจิกายน นี้ !!!&#10;.&#10;&#10;🔴 #ดูย้อนหลังได้ที่&#10;- PUBG Official -&#10;🎥🟥 http://bit.ly/2P5IbzQ&#10;🎥🟦 PLAYERUNKN"/>
        <s v="🔥🔥 6 ทีม slot โซน APAC ได้ตั๋วไปลุยต่อ PUBG Global Championship 2021 มาตามเชียร์ 2 ตัวแทน 🇹🇭Buriram United Esports และ 🇹🇭Attack All Around ลุยศึกใหญ่ได้ พฤศจิกายน นี้ ไปพร้อมกัน  !!!&#10;.&#10;🔴 #รับชมย้อนหลังได้ที่&#10;- PUBG Official -&#10;🎥🟥 http://bit.ly/2P5"/>
        <s v="&quot;🔴Live สด! PCS5 ASIA สัปดาห์ที่ 3 วันที่ 1 l 🏆ทีมทีมไหนจะได้ไปเจอไทยที่ชิงแชมป์โลก!&#10;🔥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
        <s v="🍗 วันแรกของการแข่งขันสัปดาห์สุดท้าย Petrichor Road 🇨🇳 กลับมาทวงบัลลังก์คว้าไป 1 ไก่กับอีก 40 คิลในวันนี้ แล้วมาพบศึกตัดสินชะตาวันพรุ่งนี้ &#10;&#10;พากย์ไทยจัดเต็มความมันส์! ทุกวันเสาร์ - อาทิตย์ เวลา 17.00 น. เป็นต้นไป&#10;🗓18 - 19, 25 - 26, กันยายน และ 2 - 3 ตุ"/>
        <s v="🔥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10;#PUBG #ESPORTS #PCS5&#10;▬▬▬▬▬▬▬▬▬▬▬▬▬▬▬&#10;🗓#วันที่"/>
        <s v="📢การต่อสู้ที่สูสี “PUBG Continental Series #5 - ASIA” จบลงไปแล้ว และทีม Petrichor Road 🇨🇳 คว้าแชมป์ในครั้งนี้ไปอย่างสวยงามพร้อมไปต่อรอบชิงแชมป์โลก&#10;&#10;พากย์ไทยจัดเต็มความมันส์! ทุกวันเสาร์ - อาทิตย์ เวลา &#10;17.00 น. เป็นต้นไป&#10;&#10;🏆🇹🇭 ห้ามพลาดรวมส่งพลังใจ ชม"/>
        <s v="📢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10;&#10;พากย์ไทยจัดเต็มความมันส์! ทุกวันเสาร์ - อาทิตย์ เวลา &#10;17.00 น."/>
        <s v="‼🎁 ประกาศรายชื่อผู้โชคดีจากการตอบคำถามผ่านช่องแชทในไลฟ์ถ่ายทอดสด PCS5 APAC&#10;สัปดาห์ที่ 3&#10;&#10;#วิธีการรายงานตัว&#10;- ผู้โชคดีต้องพิมพ์ &quot;รายงานตัวผู้ได้รับรางวัล&quot; ที่คอมเม็นต์ไต้โพสนี้&#10;- Inbox หาทีมงานเพื่อยืนยันตัวและยืนยันที่อยู่ในการรับของรางวัล&#10;- ผู้โชคดีจะต้"/>
        <s v="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10;&#10;🔔 กดติดตามช่องทางเพิ่มเติมได้ที่:&#10;🎥 YouTube h"/>
        <s v="ส่งท้ายความมันส์ Highlight สัปดาห์ที่ 3 ในการแข่งขัน 𝐏𝐔𝐁𝐆 𝐂𝐨𝐧𝐭𝐢𝐧𝐞𝐧𝐭𝐚𝐥 𝐒𝐞𝐫𝐢𝐞𝐬 𝟓 𝗔𝗣𝗔𝗖 &#10;&#10;เตรียมตัวไปลุยกันต่อกับ ศึกใหญ่ชิงแชมป์โลก PUBG Global Championship 2021 ตามเชียร์ 2 ตัวแทน 🇹🇭Buriram United Esports และ 🇹🇭Attack All Aroun"/>
        <s v="⚠โปรดทราบ⚠&#10;&#10;ในวันที่ 6 ตุลาคม 2021 ตั้งแต่เวลา 7:30 น. เป็นต้นไป&#10;จะมีการปิดบำรุงรักษาเซิร์ฟเวอร์ และทำการอัปเดตตัวเกมเป็นอัปเดต 14.1&#10;โดยคาดว่าจะใช้เวลาในดำเนินการประมาณ 8 ชั่วโมง&#10;&#10;ในระหว่างที่เราดำเนินการปรับปรุงอยู่ ผู้เล่นจะไม่สามารถล็อคอินเข้าสู่ตัวเกม"/>
        <s v="🔻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10;.&#10;เงินรางวัลแบ่งออกเป็น 2 Phase&#10;- เฟสละ 38,000 บาท&#10;- ทีมที"/>
        <s v="🎉เปิดให้&quot;แบก&quot;แล้ว กับอัปเดตใหม่ล่าสุด 14.1 ระบบใหม่ล่าสุด &quot;เดอะแบก&quot;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
        <s v="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s v="🏆🌏 𝐏𝐔𝐁𝐆 𝐆𝐥𝐨𝐛𝐚𝐥 𝐂𝐡𝐚𝐦𝐩𝐢𝐨𝐧𝐬𝐡𝐢𝐩 𝟐𝟎𝟐𝟏 ครบแล้ว 32 ทีมที่ดีที่สุดในโลก!!&#10;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
        <s v="🎥 ไฮไลท์แข่งพับจี ช็อตเด็ด PCS5 จากทั่วโลก #16 | PUBG Esports Moments&#10;&#10;🔥🔥  ไฮไลท์ศึก 𝐏𝐂𝐒𝟓 ส่งท้าย แล้วเจอกันศึกชิงแชมป์โลก 19 พ.ย.นี้ มาเชียร์ 2 ทีมไทยกัน!&#10;&#10;🇹🇭 #2ทีมที่ได้เป็นตัวแทนประเทศไทย ลุย PGC2021 🇹🇭&#10;▪Buriram United Esports&#10;▪Attack All Ar"/>
        <s v="👻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
        <s v="🏆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10;&#10;💎Made in Thailand&#10;💎Attack All Around&#10;💎DAYTRADE "/>
        <s v="🔴LIVE NOW🔴 AOC MASTERS TOURNAMENT 2021 l 🇹🇭&#10;&#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
        <s v="💞💁‍♀️ รวมทีมสุดคิ้วท์น้องมุก&amp;เฌอแตม + มือโปรพับจี แข่งเกม!! ในรายการ PUBG Battle Girls EP.5 !&#10;&#10;ช่องทางติดตาม สาวๆใน PUBG Battle Girls&#10;Mook : https://www.instagram.com/mooktiikaikanomjeenah/&#10;Jetaime : https://www.instagram.com/jetaime_triya/&#10;&#10;ห้ามพลาด เช"/>
        <s v="👻Trick-or-Treat M416!!👻 สกินปืนอัปเกรดได้แบบใหม่ล่าสุด ของปืนกลไรเฟิลยอดนิยมของชาวพับจี ที่สามารถเปิดกล่อง&quot;คอนทราแบนด์&quot; (Contraband Crate) ในเมนู &quot;ที่ซ่อน&quot; หรือ &quot;Hideout&quot; ได้ เพื่อลุ้นปืนต้นแบบและอัปเกรดแต่งเติมจัดเต็มได้สูงสุดถึง 10 เลเวล เพื่อนๆ PUBG "/>
        <s v="4 โมงเย็นวันนี้ไปเฝ้าจอชมบนยูทูปพร้อมกัน!! https://youtu.be/6w4gvFSdr7U &#10;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
        <s v="🔴LIVE NOW🔴 AOC MASTERS TOURNAMENT 2021 l 🇹🇭&#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ท"/>
        <s v="🔔 ผลคะแนน GROUP FINAL DAY 2 🔔&#10;พรุ่งนี้วันชี้ชะตา !! ใครจะได้เป็น 2 ทีมตัวแทนประเทศไทย 🇹🇭&#10;ไปแข่งขันต่อในรอบ Regional Finals 🪐&#10;📍 ติดตามชมการแข่งขัน เวลา 18.30 น. 🪂  โดดแรกเริ่ม 19:00 น. เป็นต้นไป&#10;📺 รับชมการถ่ายทอดสด วันที่ 7 - 9 ตุลาคม เวลา 18.30 น."/>
        <s v="🔴LIVE NOW🔴 AOC MASTERS TOURNAMENT 2021 l 🇹🇭&#10;🏆วันนี้ตัดสิน!! ใครจะได้เป็น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
        <s v="💞💁‍♀️ สายฮาก็มาดิค๊าบ เมื่อน้องโม&amp;เอิร์น จับมือมือโปรพับจี แข่งเกม!! ใน PUBG Battle Girls EP.6 !&#10;&#10;ช่องทางติดตาม สาวๆใน PUBG Battle Girls&#10;Mo : https://www.instagram.com/virachaaaa/&#10;Earn : https://www.instagram.com/eaarrns/&#10;&#10;ห้ามพลาด เชียร์ตัวแทนทีมไทย🇹�"/>
        <s v="🎉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10;&#10;🪂 ระเบิดศึกแห่งศักดิ์ศรี ร่วมส่งแรงเชียร์ให้กับทั้ง 2 ทีมตัวแ"/>
        <s v="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10;&#10;🔔 กดติดตามช่องทางเพิ่มเติมได้ที่:&#10;🎥 YouTube http://bit.ly/2P5IbzQ&#10;🎥 PLAYERUNKNOWN'S BATTLEG"/>
        <s v="แฟนๆ พับจีคนไหนเคยเห็นการผจญภัยและทันทีมนักล่ามังกรทั้ง 4 ใน Erangel บ้าง?&#10;&#10;🔔 กดติดตามช่องทางเพิ่มเติมได้ที่:&#10;🎥 YouTube http://bit.ly/2P5IbzQ&#10;🎥 PLAYERUNKNOWN'S BATTLEGROUNDS&#10;🎥 Twitch.tv/pubgthailandofficial&#10;🎥 Tiktok.com/@pubgthailandofficial&#10;#พับจี #"/>
        <s v="👻เพื่อนๆ เกม PUBG พีซีได้สัมผัสบรรยากาศและสภาพอากาศของฮัลโลวีนใน School, Hospital และเกาะเกิดของแผนที่ Erangel หรือยัง? หลอนดีไหม👻&#10;&#10;🔔 กดติดตามช่องทางเพิ่มเติมได้ที่:&#10;🎥 YouTube http://bit.ly/2P5IbzQ&#10;🎥 PLAYERUNKNOWN'S BATTLEGROUNDS&#10;🎥 Twitch.tv/pubgtha"/>
        <s v="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10;&#10;🔔 กดติดตามช่องทางเพิ"/>
        <s v="👻เลเวลอะไรกัน? แล้วกับสกินปืนแบบอัปเกรดใหม่ล่าสุดรับเทศกาลฮัลโลวีนอย่าง Trick-or-Treat M416!! มาอวดกันหน่อยเป็นไง👻&#10;&#10;🔔 กดติดตามช่องทางเพิ่มเติมได้ที่:&#10;🎥 YouTube http://bit.ly/2P5IbzQ&#10;🎥 PLAYERUNKNOWN'S BATTLEGROUNDS&#10;🎥 Twitch.tv/pubgthailandofficial&#10;🎥"/>
        <s v="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10;&#10;🔔 กดติดตามช่องทางเพิ่มเติมได้ที่:&#10;🎥 YouTube http://bit."/>
        <s v="นักเวทย์ไฟที่สามารถปลดปล่อยพลังเวทย์เพลิงทำลายล้างศัตรูให้เป็นจุลที่ Halloween Battle Royale เร็วๆ นี้ที่ PUBG: BATTLEGROUNDS เท่านั้น&#10;&#10;🔔 กดติดตามช่องทางเพิ่มเติมได้ที่:&#10;🎥 YouTube http://bit.ly/2P5IbzQ&#10;🎥 PLAYERUNKNOWN'S BATTLEGROUNDS&#10;🎥 Twitch.tv/pubgt"/>
        <s v="🎯เรนเจอร์โคตรเท่!! สายซุ่มยิงโจมตีระยะไกลต้องไม่พลาดอาชีพใน Halloween Battle Royale เร็วๆ นี้ที่ PUBG: BATTLEGROUNDS เท่านั้น&#10;&#10;🔔 กดติดตามช่องทางเพิ่มเติมได้ที่:&#10;🎥 YouTube http://bit.ly/2P5IbzQ&#10;🎥 PLAYERUNKNOWN'S BATTLEGROUNDS&#10;🎥 Twitch.tv/pubgthailando"/>
        <s v="⚔ นักบู๊ตัวสุดโหด ที่เหล่าศัตรูต่อกรและเอาชีวิตรอดจากเขี้ยวคมขวานได้ยากที่สุด พบกับ Executioner ใน Halloween Battle Royale เร็วๆ นี้ที่ PUBG: BATTLEGROUNDS เท่านั้น&#10;&#10;🔔 กดติดตามช่องทางเพิ่มเติมได้ที่:&#10;🎥 YouTube http://bit.ly/2P5IbzQ&#10;🎥 PLAYERUNKNOWN'S BA"/>
        <s v="ในวันที่ 20 ตุลาคม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บริ"/>
        <s v="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
        <s v="👻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
        <s v="🏆 PUBG Global Championship 2021 ห้ามพลาด เชียร์ตัวแทนทีมไทย🇹🇭🇹🇭ลุยชิงแชมป์โลก 🇹🇭Buriram United Esports และ 🇹🇭Attack All Around ลุยศึกใหญ่ เริ่ม 19 พฤศจิกายน นี้ !!!&#10;&#10;#PUBG #ESPORTS #PGC2021 #พับจีชิงแชมป์โลก&#10;#เชียร์ไทยไปชิงแชมป์โลก&#10;&#10;🔔 กดติดตามคว"/>
        <s v="📢📢 รายชื่อ 16 ทีม ที่จะมาปะทะกันรอบ Regional Finals รายการ AOC MASTERS TOURNAMENT 2021🪂 เจอกัน 2-7 พ.ย.นี้&#10;&#10;🔥 เตรียมตัวให้พร้อม แล้วมาส่งเสียงเชียร์ให้กับ 2 ทีมตัวแทนจากประเทศไทย&#10;ทีม eArena และ MiTH !! 🇹🇭🇹🇭🇹🇭 🏆&#10;&#10;🇹🇭 TH : eArena , MiTH&#10;🇻🇳 VN "/>
        <s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10;&#10;ดูรายละเอียดแพทช์ 14.2"/>
        <s v="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
        <s v="🔴Live ไปส่ง 💙AAA และ 💙BRU บินตรงไปเกาหลี สู่เวทีชิงแชมป์โลก PGC2021 มาให้กำลังใจผู้เล่นทั้งสองทีมและทีมงานทุกคน &#10;ขอบคุณไลฟ์จากเพจ MS Chonburi PUBG&#10;&#10;#PUBG #ESPORTS #PGC2021 #พับจีชิงแชมป์โลก&#10;#AAA #BRU"/>
        <s v="🪂✈ เมื่อคืนที่ผ่านมา ทีม 💙AAA และ 💙BRU ได้เดินทางบินลัดฟ้าสู่ประเทศเกาหลีใต้🇰🇷&#10;และช่วงเช้าทั้งสองทีมก็ได้ถึงเกาหลีเป็นที่เรียบร้อย พร้อมเริ่มมาตรการกักตัว 14 วันต่อไป&#10;&#10;🇹🇭👏 อย่าลืมมาให้กำลังใจและส่งแรงเชียร์ทีมไทย ในเวทีชิงแชมป์โลก PGC2021 เริ่ม 19"/>
        <s v="&quot;เจ้าเชื่อเรื่องบั้งไฟบ่&quot; MORTAR ปืนใหม่ เฮ็ดในสิ่งที่เชื่อ เชื่อในสิ่งที่เฮ็ด 3 พ.ย.นี้&#10;&#10;ดูรายละเอียดแพทช์ 14.2 แบบเต็มๆ ได้ที่: https://bit.ly/3Ei5wFN&#10;&#10;🔔 กดติดตามช่องทางเพิ่มเติมได้ที่:&#10;🎥 YouTube http://bit.ly/2P5IbzQ&#10;🎥 PLAYERUNKNOWN'S BATTLEGROUNDS&#10;"/>
        <s v="ขอให้เป็นวันฮัลโลวีนที่พิเศษสำหรับเพื่อนๆ ชาวพับจีทุกคน 🎃Happy Halloween🎃&#10;&#10;🔔 กดติดตามช่องทางเพิ่มเติมได้ที่:&#10;🎥 YouTube http://bit.ly/2P5IbzQ&#10;🎥 PLAYERUNKNOWN'S BATTLEGROUNDS&#10;🎥 Twitch.tv/pubgthailandofficial&#10;🎥 Tiktok.com/@pubgthailandofficial&#10;#พับจี "/>
        <s v="🏆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
        <s v="🔥 วันนี้ 18.30 น. เริ่มเดือด !! 16 ทีมสุดท้ายเตรียมปะทะกันในศึก 🔥&#10;AOC MASTERS TOURNAMENT 2021💣🪂&#10;&#10;เตรียมตัวให้พร้อม แล้วมาส่งเสียงเชียร์ให้กับ 2 ทีมตัวแทนจากประเทศไทย&#10;ทีม eArena และ MiTH !! 🇹🇭🇹🇭🇹🇭 🏆&#10;&#10;📺 ถ่ายทอดสดวันที่ 2 - 7 พฤศจิกายน 2564 | 18."/>
        <s v="🔴LIVE NOW🔴 [TH]  AOC MASTERS TOURNAMENT 2021 l REGIONAL FINALS&#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 7 พ"/>
        <s v="⚠โปรดทราบ⚠&#10;ในวันที่ 3 พฤศจิกายน 2021 ตั้งแต่เวลา 7:30 น. จะมีการปิดบำรุงรักษาเซิร์ฟเวอร์&#10;และทำการอัปเดตตัวเกมเป็นอัปเดต 14.2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
        <s v="🔥 ตารางคะแนน AOC MASTERS TOURNAMENT 2021💣🪂 วันแรก บอกเลยแค่อุ่นเครื่อง วันนี้ 18.30 น. มาตามดูวันที่ 2 ทีมไทยจะเร่งฟอร์มขึ้นมาได้หรือไม่ มาเชียร์กัน 🔥 &#10;&#10;📺 ถ่ายทอดสดวันที่ 2 - 7 พฤศจิกายน 2564 | 18.30 น. เป็นต้นไป&#10;🔴 Facebook : AOC Monitor, AOC Game Z"/>
        <s v="🎉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10;&#10;ดูรายละเอียดแพทช์ 14.2 แบบเต็มๆ"/>
        <s v="🔎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10;&#10;🔔 กดติดตามช่องทางเพิ่มเติมได้ที่:&#10;🎥 YouTube http://bit.ly/2P5IbzQ&#10;🎥 PLAYERUNKNOWN'S BATTLEGROUNDS&#10;�"/>
        <s v="🔴LIVE NOW🔴 [TH]  AOC MASTERS TOURNAMENT 2021 l REGIONAL FINALS DAY 2&#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LIVE NOW🔴 [TH]  AOC MASTERS TOURNAMENT 2021 l REGIONAL FINALS DAY 3&#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10;&#10;🏆 ห้ามพลาด เชียร์ตัวแทนทีมไทย🇹🇭🇹🇭ลุยชิงแชมป์โลก 🇹🇭Buriram United "/>
        <s v="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s v="🔴LIVE NOW🔴 [TH]  AOC MASTERS TOURNAMENT 2021 l REGIONAL FINALS DAY 4&#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เหลือ 2 วันสุดท้าย !!! ตารางคะแนน AOC MASTERS TOURNAMENT 2021💣🪂 &#10;เสาร์ - อาทิตย์นี้ 18.30 น. มาเชียร์ทีมไทย #MITH #EARENA ให้ปาดหน้าคว้าแชมป์กันกันให้ 🔥&#10;&#10;📺 ถ่ายทอดสดวันที่ 2 - 7 พฤศจิกายน 2564 | 18.30 น. เป็นต้นไป&#10;🔴 Facebook : AOC Monitor, AOC Gam"/>
        <s v="🔴LIVE NOW🔴 [TH]  AOC MASTERS TOURNAMENT 2021 l REGIONAL FINALS DAY 5&#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LIVE NOW🔴 [TH]  AOC MASTERS TOURNAMENT 2021 l REGIONAL FINALS DAY 6&#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ขอแสดงความยินดีกับทีมจากประเทศออสเตรเลีย &#10;🏆 FURY Thailand  🏆 แชมป์รายการ AOC MASTERS TOURNAMENT 2021 🪂🔥 &#10;💎 และรองแชมป์อย่าง MiTH  จากประเทศไทย บอกเลยว่าเดือดลุ้นกันจนถึงหยดสุดท้ายกันเลย&#10;Get your Squad ready, Battlefield is on fire 🔥&#10;-------------"/>
        <s v="🏆🇹🇭 สายการแข่งรอบ Rank Desision 𝐏𝐔𝐁𝐆 𝐆𝐥𝐨𝐛𝐚𝐥 𝐂𝐡𝐚𝐦𝐩𝐢𝐨𝐧𝐬𝐡𝐢𝐩 𝟐𝟎𝟐𝟏  &#10;ดูคลิปจับฉลากได้ที่ ➡➡  https://asia.battlegrounds.pubg.com/th/2021/11/08/pgc-2021-rank-decision-group-selection-results&#10;&#10;⏰ วันที่แข่งขันรอบ Rank Decision:&#10;⭕ วันท"/>
        <s v="🪂😋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10;&#10;🏆🇹🇭 สายการแข่งรอบ Rank Desision 𝐏𝐔𝐁𝐆 𝐆𝐥𝐨𝐛𝐚𝐥 𝐂𝐡𝐚𝐦𝐩𝐢𝐨𝐧𝐬𝐡𝐢𝐩 𝟐𝟎𝟐𝟏"/>
        <s v="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10;&#10;#พับจี #เกมพับจี #PUBG "/>
        <s v="พรุ่งนี้ PUBG: NEW STATE จะเปิดแล้ว &#10;ไปรับน้องกันหน่อยดีไหม! 😁&#10;&#10;🪂PUBG: NEW STATE&#10;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s v="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10;&#10;⭐หมายเหตุ: ใช้สิทธิ์ได้เพียง 1 ครั้งต่อ 1 บัญชี / แพ็คเท่านั้น⭐&#10;PC&#10;🪙ซื้อ 500 G-Coin + โบ"/>
        <s v="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10;&#10;⭐ห"/>
        <s v="🔥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
        <s v="🍗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10;&#10;#PUBG #ฟางโกะ"/>
        <s v="🦺🔎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10;&#10;🏆🇹🇭 รายละเอียดกา"/>
        <s v="🦺🔎 จัดมาให้อีก 2 ภาพ อัพเดทการสร้างสนามแข่ง 𝐏𝐔𝐁𝐆 𝐆𝐥𝐨𝐛𝐚𝐥 𝐂𝐡𝐚𝐦𝐩𝐢𝐨𝐧𝐬𝐡𝐢𝐩 𝟐𝟎𝟐𝟏 &#10;&#10;🏆 ห้ามพลาด เชียร์ตัวแทนทีมไทย🇹🇭🇹🇭ลุยชิงแชมป์โลก 🇹🇭Buriram United Esports และ 🇹🇭Attack All Around ลุยศึกใหญ่ เริ่ม 19 พฤศจิกายน นี้ !!!&#10;&#10;#PUBG "/>
        <s v="🇹🇭เตรียมพบกับ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
        <s v="🔥 บอกเลยว่าร้ายกาจ! ไอเทมเซ็ท 𝐏𝐆𝐂𝟐𝟎𝟐𝟏 ลายทองสุดปัง ต้องจัดแล้ว!&#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
        <s v="📌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10;&#10;.&#10;🔔 กดติดตามช่"/>
        <s v="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s v="เจอกัน 4 โมงเย็น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
        <s v="🏆🌏 ศุกร์นี้เริ่มศึกเดือด เวทีชิงแชมป์โลก 𝐏𝐔𝐁𝐆 𝐆𝐥𝐨𝐛𝐚𝐥 𝐂𝐡𝐚𝐦𝐩𝐢𝐨𝐧𝐬𝐡𝐢𝐩 𝟐𝟎𝟐𝟏 จะลุกเป็นไฟ&#10;🔥 🇹🇭 ห้ามพลาด เชียร์ตัวแทนทีมไทย🇹🇭🇹🇭ลุยชิงแชมป์โลก 🇹🇭Buriram United Esports และ 🇹🇭Attack All Around ลุยศึกใหญ่  💵เงินรางวัลรวมกว่า 6"/>
        <s v="💞ยามว่างของ Attack All Around ก่อนลุยศุกร์นี้! อย่าลืมมาตามเชียร์ 2 ทีมไทยกันด้วยนะสาวก&#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
        <s v="🗞 เจาะลึกรูปแบบการแข่ง PGC2021 มีกี่รอบ ใช้กฏอะไร ไป Grand Final กี่ทีม มาดูกันเลย!&#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
        <s v="💞 เพราะกองทัพต้องเดินด้วยท้อง! ใครคิดถึง Buriram United Esports  กันบ้างขอเสียงหน่อย 🇹🇭 แล้วศุกร์นี้อย่าลืมมาตามเชียร์ 2 ทีมไทยกันด้วยนะสาวก !!&#10;&#10;🛒 ไอเทมเซ็ทใหม่ต้อนรับศึกใหญ่ชิงแชมป์โลก 𝐏𝐆𝐂𝟐𝟎𝟐𝟏 จะมีอะไรบ้าง บอกเลยว่าแจ่มจัดๆ ซื้อแล้วยังได้ตั๋ว "/>
        <s v="ในวันที่ 17 พฤศจิกายน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
        <s v="🏆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10;&#10;🔥 🇹🇭 ห้ามพลาด เชียร์ตัวแทนทีมไทย🇹🇭🇹🇭ลุยชิงแชมป์"/>
        <s v="🏆🌏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
        <s v="🏆🌏 PGC2021 มาชมศึกเดือดระหว่าง 32 ทีมที่ดีที่สุดในโลก ใครจะเป็น No.1 เริ่ม 19 พ.ย.นี้! ชิงแชมป์โลก&#10;&#10;🏆🇹🇭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s v="🔥คำคมส่งตรงจากเกาหลี &quot;คิดอะไรไม่ค่อยออก อยากจะบอกว่าจะเต็มที่ที่สุด &quot; จาก Conaxy ทีม ปราสาทสายฟ้า Buriram United Esports🇹🇭 ก่อนลุยศึกเดือดศุกร์นี้ ในเวทีชิงแชมป์โลก 𝐏𝐔𝐁𝐆 𝐆𝐥𝐨𝐛𝐚𝐥 𝐂𝐡𝐚𝐦𝐩𝐢𝐨𝐧𝐬𝐡𝐢𝐩 𝟐𝟎𝟐𝟏 &#10;.&#10;มาเชียร์ตัวแทนทีมไทยลุยชิงแช"/>
        <s v="🏆🌏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
        <s v="🔥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10;&#10;🏆🌏 PGC"/>
        <s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
        <s v="🏆🌏 พบกับเหล่านักพากย์ที่จะมาสร้างความมันส์ตลอดการแข่งขัน กับ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กว่า 60 ล้าน"/>
        <s v="🔥 เผยคำพูดก่อนแข่งส่งตรงจากเกาหลี  &quot; Pecado Pochinki ใครก็ได้ที่ไม่ใช่ Soniqs กับ 17gaming &quot; จากทีม 🇹🇭Attack All Around ก่อนลุยศึกเดือดศุกร์นี้ ในเวทีชิงแชมป์โลก 𝐏𝐔𝐁𝐆 𝐆𝐥𝐨𝐛𝐚𝐥 𝐂𝐡𝐚𝐦𝐩𝐢𝐨𝐧𝐬𝐡𝐢𝐩 𝟐𝟎𝟐𝟏 &#10;.&#10;มาเชียร์ตัวแทนทีมไทยลุยชิงแชมป์"/>
        <s v="📜 อัพเดทข่าวสาร PUBG ESPORTS NEWS แบบคิ้วท์ๆ ในรายการข่าว PGC2021 รอบโลก EP.13&#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
        <s v="❤️🪂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10;&#10;🔥 อย่างเดือด! ไอเทมเซ็ทใหม่ต้อนรับศึกใหญ่ชิงแชมป์โลก 𝐏𝐆𝐂𝟐𝟎𝟐𝟏 จะ"/>
        <s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10;.&#10;มาเชียร์ตัวแทนทีมไทยลุยชิงแชมป์โลก 🇹🇭Buriram United Esports และ"/>
        <s v="🏆🌏อัพเดทตารางคะแนนกลุ่ม A VS B &#10;เปิดมาวันแรก Gen.G มาแรงอยู่ที่ 1ของกลุ่ม ไทยของเรา 🇹🇭Attack All Around อยู่อันดับที่ 4 เก็บมา 39 คะแนน และ 🇹🇭Buriram United Esports  อยู่อันดับ 15 เก็บมา 17 คะแนน &#10;.&#10;ในเวทีชิงแชมป์โลก 𝐏𝐔𝐁𝐆 𝐆𝐥𝐨𝐛𝐚𝐥 𝐂𝐡𝐚𝐦𝐩"/>
        <s v="🏆🌏อัพเดทตารางคะแนนรวมทั้งหมด 32 ทีม วันแรก พรุ่งนี้มาลุ้นกันต่อกับศึกชิงเมือง 3 ทีม Attack All Around , Soniqs และ 17 Gaming  ตั้งแต่เวลา 11.00 น.เป็นต้นไป !!&#10;&#10;.&#10;ในเวทีชิงแชมป์โลก 𝐏𝐔𝐁𝐆 𝐆𝐥𝐨𝐛𝐚𝐥 𝐂𝐡𝐚𝐦𝐩𝐢𝐨𝐧𝐬𝐡𝐢𝐩 𝟐𝟎𝟐𝟏  🔥 รอบ 𝗥𝗮𝗻𝗸 "/>
        <s v="🏆🌏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10;.&#10;มาเชียร์ตัวแทนทีมไทยลุยชิงแชมป์โลก 🇹🇭Buriram United Esports และ "/>
        <s v="🔥🔥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10;&#10;.&#10;มาเชียร์ตัวแทนทีมไทยลุยชิงแชมป์โลก 🇹🇭Buriram United"/>
        <s v="🏆🌏อัพเดทตารางคะแนน 32 ทีม หลังจบกลุ่ม B VS D&#10;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10;.&#10;ในเวทีชิงแชมป์โลก 𝐏𝐔𝐁𝐆 𝐆�"/>
        <s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10;.&#10;มาเชียร์ตัวแทนทีมไทยลุยชิงแชมป์โลก 🇹🇭Buriram Unit"/>
        <s v="🏆🌏อัพเดทตารางคะแนน 32 ทีม หลังจบกลุ่ม A VS C&#10;🇹🇭Buriram United Esports วันนี้มาดีกินไก่แรกให้ไทยและเก็บคะแนนเพิ่มไป 48 แต้ม รวม 65 แต้มขึ้นมาอยู่อันดับ 15 วันที่ 2&#10;.&#10;ในเวทีชิงแชมป์โลก 𝐏𝐔𝐁𝐆 𝐆𝐥𝐨𝐛𝐚𝐥 𝐂𝐡𝐚𝐦𝐩𝐢𝐨𝐧𝐬𝐡𝐢𝐩 𝟐𝟎𝟐𝟏  🔥 รอบ 𝗥𝗮"/>
        <s v="🏆🌏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10;.&#10;มาเชียร์ตัวแทนทีมไทยลุยชิงแชมป์โลก 🇹🇭Buriram United "/>
        <s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10;.&#10;มาเชียร์ตัวแทนทีมไทย"/>
        <s v="🏆🌏อัพเดทตารางคะแนน 32 ทีม หลังจบกลุ่ม A VS D&#10;🇹🇭Buriram United Esports ขยับขึ้นมาอยู่อันดับ 11 ชั่วคราว หลังกินไก่เพิ่ม ได้ 1 WWCD มีคะแนนรวม 108 แต้ม  &#10;.&#10;ในเวทีชิงแชมป์โลก 𝐏𝐔𝐁𝐆 𝐆𝐥𝐨𝐛𝐚𝐥 𝐂𝐡𝐚𝐦𝐩𝐢𝐨𝐧𝐬𝐡𝐢𝐩 𝟐𝟎𝟐𝟏  🔥 รอบ 𝗥𝗮𝗻𝗸 𝗗𝗲𝗰"/>
        <s v="🏆🌏 สรุปตารางคะแนน 32 ทีม รอบ 𝗥𝗮𝗻𝗸 𝗗𝗲𝗰𝗶𝘀𝗶𝗼𝗻  วันสุดท้าย&#10;&#10;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
        <s v="🎥 𝐏𝐆𝐂 𝐃𝐢𝐚𝐫𝐢𝐞𝐬 ตามติดชีวิตนักแข่ง PUBG ชิงแชมป์โลก กักตัวทำอะไรกันบ้าง ไปดูกันเลยสาวก!&#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
        <s v="🏆🌏  Kill Top 5 ผู้เล่นที่ยิงคมหลังจบรอบ 𝗥𝗮𝗻𝗸 𝗗𝗲𝗰𝗶𝘀𝗶𝗼𝗻 ในเวทีชิงแชมป์โลก 𝐏𝐔𝐁𝐆 𝐆𝐥𝐨𝐛𝐚𝐥 𝐂𝐡𝐚𝐦𝐩𝐢𝐨𝐧𝐬𝐡𝐢𝐩 𝟐𝟎𝟐𝟏 &#10;.&#10;อันดับ 1 Snakers ผู้เล่นทีม Oath Gaming Kill ไปถึง 35 Kills จาก 18 แมทช์ ร่วมเชียร์ทีมไทยกันต่อ 𝗪𝗲𝗲𝗸𝗹𝘆 �"/>
        <s v="🇹🇭🇹🇭ผลงานผู้เล่นไทยรอบ 𝗥𝗮𝗻𝗸 𝗗𝗲𝗰𝗶𝘀𝗶𝗼𝗻 ในเวทีชิงแชมป์โลก 𝐏𝐔𝐁𝐆 𝐆𝐥𝐨𝐛𝐚𝐥 𝐂𝐡𝐚𝐦𝐩𝐢𝐨𝐧𝐬𝐡𝐢𝐩 𝟐𝟎𝟐𝟏 &#10;.&#10;อันดับทีมไทย 🇹🇭&#10;🎖อันดับ 15 Buriram United Esports &#10;🎖อันดับ 28 Attack All Around  (จะได้ลงเล่นในแมทช์ที่ 13 )&#10;.&#10;มาเชียร์ตั"/>
        <s v="🎆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
        <s v="🎥 𝐏𝐆𝐂𝟐𝟎𝟐𝟏 𝐒𝐂𝐎𝐏𝐄 พาบุกกองงาน Media Day อย่างหล่ออย่างเท่ห์ เจอ AAA และ BRU ด้วยนะ"/>
        <s v="🏆🌏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10;.&#10;มาเชียร์ตัวแทนทีมไทยลุยชิ"/>
        <s v="🏆🇹🇭 ร่วมเชียร์ไทยลุยชิงแชมป์โลกไปด้วยกันผ่าน 🎥&quot;FANCAM&quot; ที่จะเปิดให้ผู้ชมทางบ้านร่วมเชียร์กันผ่าน Discord ตลอดการแข่งขัน 𝐏𝐔𝐁𝐆 𝐆𝐥𝐨𝐛𝐚𝐥 𝐂𝐡𝐚𝐦𝐩𝐢𝐨𝐧𝐬𝐡𝐢𝐩 𝟐𝟎𝟐𝟏 &#10;.&#10; วิธีการเข้าร่วมสนุก &#10;▶ 1.พร้อมเปิดกล้อง WEBCAM และ Microphone ระหว่างเช"/>
        <s v="🪂💥 ไฮไลท์ 5 ช็อทเด็ด ศึกชิงแชมป์โลก PGC2021 รอบ Rank Decision วันนี้มาต่อกันในรอบ Weekly Survival กินไก่ได้เข้ารอบ!&#10;&#10;🔥 อย่างเดือด! ไอเทมเซ็ทใหม่ต้อนรับศึกใหญ่ชิงแชมป์โลก 𝐏𝐆𝐂𝟐𝟎𝟐𝟏 จะมีอะไรบ้าง บอกเลยว่าแจ่มจัดๆ ซื้อแล้วยังได้ตั๋ว PICK’EM CHALLENGE"/>
        <s v="🏆🌏  สรุปทีมกินไก่ รอบ 𝗪𝗲𝗲𝗸𝗹𝘆 𝗦𝘂𝗿𝘃𝗶𝘃𝗮𝗹 สัปดาห์ที่ 1 วันที่ 1&#10;&#10;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
        <s v="🎊เริ่มขึ้นแล้วกับกิจกรรมแบล็คฟรายเดย์สุดเซอร์ไพรส์!🎊&#10;&#10;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
        <s v="🏆🌏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10;.&#10;มาเชียร์ตัวแทนทีมไทยลุยชิงแชมป์โลก 🇹🇭Buriram United Esports และ 🇹�"/>
        <s v="อัปเดต 15.1 เปิดให้ทดสอบที่เซิร์ฟเวอร์ทดสอบแล้ว!&#10;&#10;มาพบกับการปรับโฉมซึ่งเป็นจุดโดดยอดนิยมของแผนที่ Sanhok, การปรับสมดุลอาวุธรอบใหม่, และพาหนะใหม่ &quot;จักรยานภูเขา&quot;🚲 ที่สามารถพกติดตัวไว้ใช้ในยามฉุกเฉินได้! มาลองสัมผัสเนื้อหาใหม่เหล่านี้ก่อนถูกอัปเดตเข้าสู่เซิ"/>
        <s v="🏆🌏  สรุปทีมกินไก่ รอบ 𝗪𝗲𝗲𝗸𝗹𝘆 𝗦𝘂𝗿𝘃𝗶𝘃𝗮𝗹 สัปดาห์ที่ 1 วันที่ 2&#10;&#10;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s v="🇹🇭Buriram United Esports ชวดไก่🍗 2 วัน &quot;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
        <s v="🏆🌏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10;.&#10;มาเชียร์ตัวแทนทีมไทยลุยชิงแชมป์โลก 🇹🇭Buriram United Espo"/>
        <s v="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10;&#10;#พับจี #เกมพับจี #PUBG #Season14 #GodV"/>
        <s v="🏆 PGC2021 ศึกชิงแชมป์โลก สู้กันด้วยศักดิ์ศรี บนสมรภูมิแห่งเกียรติ์ยศ&#10; วันที่แข่งขัน : 19 พฤศจิกายน - 19 ธันวาคม นี้ !!!&#10;&#10;❤️👫 มาร่วมสนุกและเชียร์ทีมที่คุณชื่นชอบ ในศึก PGC2021 กับกิจกรรม &quot;การ์ดเชียร์ทีมรัก&quot; โดยสาวกสามารถเข้าไปสร้างการ์ดเชียร์ทีมรักที่มีช"/>
        <s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
        <s v="🏆🌏  สรุปทีมกินไก่ รอบ 𝗪𝗲𝗲𝗸𝗹𝘆 𝗦𝘂𝗿𝘃𝗶𝘃𝗮𝗹 สัปดาห์ที่ 1 วันที่ 3&#10;.&#10;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
        <s v="🎬 PGC Moments #1 รวมช็อทเฟี้ยวปั่นลั่นทุ่ง จากการแข่งขันพับจีชิงแชมป์โลก 2021&#10;&#10;� PUBG Global Championship 2021 ห้ามพลาด เชียร์ตัวแทนทีมไทย🇹🇭🇹🇭ลุยชิงแชมป์โลก 🇹🇭Buriram United Esports และ 🇹🇭Attack All Around ลุยศึกใหญ่ 19 พฤศจิกายน - 19 ธันวาคม นี้"/>
        <s v="❤️👫 มาร่วมสนุกและเชียร์ทีมที่คุณชื่นชอบ ในศึก PGC2021 กับกิจกรรม &quot;การ์ดเชียร์ทีมรัก&quot;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10;&#10;⭐"/>
        <s v="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10;&#10;#พับจี #เกมพับจี #PUBG #Season"/>
        <s v="VLOG PGC EP.1 (BRU) บรรยากาศของทีม BRU ในศึก  PUBG GLOBAL CHAMPIONSHIP 2021 &#10;&#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
        <s v="🏆🌏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10;.&#10;มาเชียร์ตัวแทนทีมไทยลุยชิงแชมป์โลก 🇹🇭Burir"/>
        <s v="VLOG PGC EP.1 (AAA) บรรยากาศของทีม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0"/>
        <s v="🏆🌏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10;&#10;.&#10;มาเชียร์ตัวแทนทีมไทยลุยชิงแชมป์โลก 🇹🇭Buriram United Esports และ 🇹🇭Attack All Around  💵เงินรางวัลรว"/>
        <s v="📣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10;.&#10;PC&#10;🪙ซื้อ 500 G-Coin + โบนัส 520 G-C"/>
        <s v="🏆🌏 สรุปตารางคะแนนรอบ 𝗪𝗲𝗲𝗸𝗹𝘆 𝗙𝗶𝗻𝗮𝗹 สัปดาห์ที่ 1 วันที่ 1&#10;&#10;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
        <s v="🏆🌏 Player of the day  𝗪𝗲𝗲𝗸𝗹𝘆 𝗙𝗶𝗻𝗮𝗹 สัปดาห์ที่ 1 วันที่ 1&#10;&#10;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10;.&#10;มาเชียร์ตัวแทนทีมไทยลุยช"/>
        <s v="🏆🌏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10;&#10;.&#10;มาเชียร์ตัวแ"/>
        <s v="🏆🌏  เชียร์ 🇹🇭Attack All Around ไปด้วยกันรอบ 𝗕𝗼𝘁𝘁𝗼𝗺 𝟭𝟲 สัปดาห์ที่ 1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
        <s v="🏆 PGC2021 ศึกพับจีชิงแชมป์โลก รวมพล 32 ทีมที่ดีที่สุดในโลก ชิงเงินรางวัลกว่า 60 ล้าน 19พ.ย.-19ธ.ค!&#10;&#10;❤️👫 มาร่วมสนุกและเชียร์ทีมที่คุณชื่นชอบ ในศึก PGC2021 กับกิจกรรม &quot;ตั๋วเชียร์ทีมรัก&quot; โดยสาวกสามารถเข้าไปสร้างการ์ดเชียร์ทีมรักที่มีชื่อคุณและทีมที่เชียร์อ"/>
        <s v="เตรียมตัวต้อนรับเพื่อนใหม่...ที่กำลังมายึดครองพื้นที่ Dino Land ใน Vikendi พร้อมเทศกาลแห่งความสุข เริ่ม 1 ธันวาคมนี้&#10;KAKAO FRIENDS x BATTLEGROUNDS&#10;&#10;#พับจี #เกมพับจี #PUBG #Season15 #KakaoFriends #KakaoFriendxPUBG #KakaoFriendxBattlegrounds"/>
        <s v="5 ผู้เล่นที่ทำผลงานดีที่สุดรอบ 𝗪𝗲𝗲𝗸𝗹𝘆 𝗙𝗶𝗻𝗮𝗹 สัปดาห์ที่ 1 &#10;&#10;Dr4FTk1NG จากทีม KPI Gaming ทำผลงานดีที่สุดมาเป็นอับดับ 1 Kills ไปถึง 24 Kills ในเวทีชิงแชมป์โลก 𝐏𝐔𝐁𝐆 𝐆𝐥𝐨𝐛𝐚𝐥 𝐂𝐡𝐚𝐦𝐩𝐢𝐨𝐧𝐬𝐡𝐢𝐩 𝟐𝟎𝟐𝟏&#10; .&#10;มาเชียร์ตัวแทนทีมไทยลุยชิงแชม"/>
        <s v="🔴Live สด! 𝐏𝐆𝐂𝟐𝟎𝟐𝟏 รอบ Bottom 16  สัปดาห์ที่ 1  l 🇹🇭 🏆พับจีชิงแชมป์โลก !&#10;🏆🌏 𝐏𝐔𝐁𝐆 𝐆𝐥𝐨𝐛𝐚𝐥 𝐂𝐡𝐚𝐦𝐩𝐢𝐨𝐧𝐬𝐡𝐢𝐩 𝟐𝟎𝟐𝟏 มาชมศึกเดือดระหว่าง 32 ทีมที่ดีที่สุดในโลก ใครจะเป็น No.1 เริ่ม 19 พ.ย. - 19 ธ.ค นี้! &#10;&#10;🔥 อย่างเดือด! ไอเทมเซ็"/>
        <s v="🎬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10;&#10;🗓วันนี้ ทีม Attack All Around🇹🇭 จะได้เล่นในรอบ  𝗕𝗼𝘁𝘁𝗼𝗺 𝟭𝟲 สัปดาห์ที่ 1 เริ่มแข่งเวลา 17:00 น. (แข่ง"/>
        <s v="🏆🌏 สรุปตารางคะแนน รอบ 𝗕𝗼𝘁𝘁𝗼𝗺 𝟭𝟲 สัปดาห์ที่ 1&#10;&#10;🇹🇭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10;&#10;.&#10;มาเช"/>
        <s v="🎬  PGC2021 Rivals EP.1 คมเฉือนคมนอกจอ เมื่อ Pio vs TGLTN พับจี | PUBG&#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
        <s v="🏆🌏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10;.&#10;มาเชียร์ตัวแทนทีมไทยลุยชิงแชมป์โลก 🇹🇭Buriram United Esports "/>
        <s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10;.&#10;มาเชียร์ตัวแทนทีมไทยลุยชิงแชมป์โลก 🇹🇭Buriram United "/>
        <s v="🍗สรุปทีมกินไก่ 𝗪𝗲𝗲𝗸𝗹𝘆 𝗦𝘂𝗿𝘃𝗶𝘃𝗮𝗹 สัปดาห์ที่ 2 วันที่ 1&#10;.&#10;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
        <s v="⚠โปรดทราบ⚠&#10;ในวันที่ 1 ธันวาคม 2021 ตั้งแต่เวลา 7:30 น. จะมีการปิดบำรุงรักษาเซิร์ฟเวอร์&#10;และทำการอัปเดตตัวเกมเป็นอัปเดต 15.1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เก"/>
        <s v="👨‍🏫 อัพเดทการแข่งขันพับจีชิงแชมป์โลก ในรายการ Weekly PGC2021 EP.3&#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กรร"/>
        <s v="🏆🌏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10;&#10;.&#10;มาเชียร์ตัวแทนทีมไทยลุยชิงแชมป์โลก 🇹🇭Buriram United Esports และ 🇹🇭Attack A"/>
        <s v="🏆 ดูแข่งชิงแชมป์โลกแล้วอยากลองโชว์สกิลบ้าง ก็มาดิค๊าบ! &#10;🤜“Logitech G Tournament PUBG Winter Season”🤛 เปิดรับสมัครพร้อมไฟว์เดือด!&#10;&#10;🎇พร้อมเดือดหัวอุ่นช่วงเดือนธันวาคมของปีนี้ พร้อมเงินรางวัลรวมกว่า 70,000 บาท และของรางวัลอื่นๆ อีกมากมาย ง้างนิ้วรอลงสมัค"/>
        <s v="🎬 PGC Moments #2 รวมช็อทเฟี้ยวปั่นลั่นทุ่ง จากการแข่งขันพับจีชิงแชมป์โลก 2021&#10;&#10;�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s v="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10;&#10;ดูรายละเอียดแพทช์ 15.1 แบบเต็มๆ ได้ที่: https://bit.ly/31kDP0H&#10;&#10;#พับจี #เกมพับจี #PUBG #Season"/>
        <s v="🇹🇭🍗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
        <s v="🍗สรุปทีมกินไก่ 𝗪𝗲𝗲𝗸𝗹𝘆 𝗦𝘂𝗿𝘃𝗶𝘃𝗮𝗹 สัปดาห์ที่ 2 วันที่ 2&#10;.&#10;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
        <s v="VLOG PGC EP.2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
        <s v="🔎เจาะลึกอัปเดต 15.1🔎 ของใหม่ล่าสุดเข้าเกม PUBG: BATTLEGROUNDS แล้ว มีอะไรส่งท้ายปีให้เพื่อนๆ สาวกพับจีบ้าง? ไปดู!!&#10;&#10;ดูรายละเอียดแพทช์ 15.1 แบบเต็มๆ ได้ที่: https://bit.ly/31kDP0H&#10;&#10;#พับจี #เกมพับจี #PUBG #Season15"/>
        <s v="🍗สรุปทีมกินไก่ 𝗪𝗲𝗲𝗸𝗹𝘆 𝗦𝘂𝗿𝘃𝗶𝘃𝗮𝗹 สัปดาห์ที่ 2 วันที่ 3&#10;.&#10;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
        <s v="👨‍🏫 PGC2021 PLAYBOOK EP.1 ย้อนดูแผนการเล่นของ Oath ในเกมที่คว้าไก่ พร้อมวิเคราะห์แบบเจาะลึกแต่ละช็อท&#10;&#10;� PUBG Global Championship 2021 อย่าลืมมาตามเชียร์กันต่อในสัปดาห์ที่ 2 🏆 PGC2021 ศึกชิงแชมป์โลก สู้กันด้วยศักดิ์ศรี บนสมรภูมิแห่งเกียรติ์ยศ  วันที่แข่"/>
        <s v="สัมภาษณ์ 2 ตัวแทนทีมไทยในการแข่งขัน PUBG GLOBAL CHAMPIONSHIP 2021 หลังจากผ่านไปแล้ว 1 สัปดาห์  (AAA , BRU)&#10;&#10;🏆🇹🇭 รายละเอียดการแข่งพับจีชิงแชมป์โลก 𝐏𝐔𝐁𝐆 𝐆𝐥𝐨𝐛𝐚𝐥 𝐂𝐡𝐚𝐦𝐩𝐢𝐨𝐧𝐬𝐡𝐢𝐩 𝟐𝟎𝟐𝟏 อ่านได้ที่นี่เลยสาวก ➡➡ https://bit.ly/PGCFormatTH"/>
        <s v="🎀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
        <s v="🎬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10;&#10;◾ร่วมเชียร์ 🇹🇭Buriram United Esports ลุยต่อวัน เสาร์-อาทิตย์นี้ รอบ 𝗪𝗲𝗲𝗸𝗹𝘆 𝗙𝗶𝗻𝗮𝗹 สัปดาห์ที่ 2 "/>
        <s v="VLOG PGC EP.2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
        <s v="🪂💥 ไฮไลท์ 5 ช็อทเด็ด ศึกชิงแชมป์โลก PGC2021 สัปดาห์ที่ 2 พับจี | PUBG&#10;&#10; #PUBG #ESPORTS #PGC2021 #พับจีชิงแชมป์โลก&#10;#เชียร์ไทยไปชิงแชมป์โลก #BRU #AAA"/>
        <s v="🏆🌏 สรุปตารางคะแนน รอบ 𝗪𝗲𝗲𝗸𝗹𝘆 𝗙𝗶𝗻𝗮𝗹 สัปดาห์ที่ 2 วันที่ 1&#10;&#10;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10;"/>
        <s v="🏆🌏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10;.&#10;มาเ"/>
        <s v="🔥🔥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
        <s v="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10;.&#10;มาเชียร์ตัวแทนทีมไทยลุยชิงแชมป์โลก �"/>
        <s v="🏆🌏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10;.&#10;มาเชียร์ตัวแทนทีมไทยลุยชิงแชม"/>
        <s v="🏆🌏 สรุปตารางคะแนน รอบ 𝗕𝗼𝘁𝘁𝗼𝗺 𝟭𝟲 สัปดาห์ที่ 2&#10;&#10;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
        <s v="🎬 PUBG Squad Reunion EP.1การกลับมาเจอกันของสมาชิกทีม GEN.G ที่คุณคิดถึง&#10;&#10;#PUBG #ESPORTS #PGC2021 #พับจีชิงแชมป์โลก &#10;#เชียร์ไทยไปชิงแชมป์โลก #BRU #AAA #GENG"/>
        <s v="🏆🌏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
        <s v="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
        <s v="🎬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10;&#10;◾ร่วมเชียร์ 🇹🇭Buriram United Esports ลุยต่อวัน รอบ 𝗪𝗲𝗲𝗸𝗹𝘆 𝗦𝘂𝗿𝘃𝗶𝘃𝗮𝗹 สัปดาห์ที่ 3 ในเวทีชิงแชมป์โลก"/>
        <s v="🏆🌏 สรุปทีมกินไก่รอบ 𝗪𝗲𝗲𝗸𝗹𝘆 𝗦𝘂𝗿𝘃𝗶𝘃𝗮𝗹 สัปดาห์ที่ 3 วันที่ 1&#10;&#10;ลุ้นทีมไทยกินไก่กันต่อวันพรุ่งนี้ รอบ 𝗪𝗲𝗲𝗸𝗹𝘆 𝗦𝘂𝗿𝘃𝗶𝘃𝗮𝗹 สัปดาห์ที่ 3 เวลา 17.00 น.เป็นต้นไป !!!&#10;&#10;.&#10;มาเชียร์ตัวแทนทีมไทยลุยชิงแชมป์โลก 🇹🇭Buriram United Esports และ 🇹�"/>
        <s v="🎬 Team Voice PGC2021 Rivals EP.2 อารมณ์หลังกินไก่ในสัปดาห์ที่ 2&#10;&#10;#PUBG #ESPORTS #PGC2021 #พับจีชิงแชมป์โลก"/>
        <s v="🎬 ทำซีนปั่นๆแล้วใส่เพลงประกอบ ดูแล้วอินขึ้นปั่นขึ้นนิดนึง 555 &#10;แล้วมาเชียร์ไทยกันต่อเย็นนี้ 17.00 น. ลุ้นเข้ารอบกันหน่อย!&#10;#PUBG #ESPORTS #PGC2021 #พับจีชิงแชมป์โลก"/>
        <s v="🏆🌏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10;&#10;.&#10;มาเชียร์ตัวแทนทีมไทยลุยชิงแชมป์โลก 🇹🇭Buriram United Es"/>
        <s v="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
        <s v="🏆🌏 สรุปทีมกินไก่รอบ 𝗪𝗲𝗲𝗸𝗹𝘆 𝗦𝘂𝗿𝘃𝗶𝘃𝗮𝗹 สัปดาห์ที่ 3 วันที่ 2&#10;&#10;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
        <s v="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10;&#10;#พับจี #เกมพับจี #PUBG"/>
        <s v="🏆🌏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Buriram United Espo"/>
        <s v="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
        <s v="&quot; สู้ ไม่ ถอย &quot;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10;&#10;.&#10;มาเชียร์ตัวแทนทีมไทยลุ"/>
        <s v="🇹🇭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10;&#10;.&#10;เชียร์ 🇹🇭Buriram United Esports "/>
        <s v="🏆🌏 สรุปทีมกินไก่รอบ 𝗪𝗲𝗲𝗸𝗹𝘆 𝗦𝘂𝗿𝘃𝗶𝘃𝗮𝗹 สัปดาห์ที่ 3 วันที่ 3&#10;&#10;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s v="เกมพับจีเล่นฟรี 12 มกราคม 2022 เป็นต้นไป ลงทะเบียนล่วงหน้าที่ https://bit.ly/PUBG_F2P_PreRegister&#10;&#10;#PUBG #BATTLEGROUNDS #BATTLEROYALE #FREETOPLAY #พับจี #เกมพับจี"/>
        <s v="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10;&#10;จดหมายจากทีมพัฒนา: เรื่องการรับมือการจัดการโปรแกรมโกงเมื่อเกมเปิ"/>
        <s v="🇹🇭🍗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ก 🇹�"/>
        <s v="🎥ไฮไลท์จัดเต็มการแข่งขัน รอบ 𝗪𝗲𝗲𝗸𝗹𝘆 𝗦𝘂𝗿𝘃𝗶𝘃𝗮𝗹 สัปดาห์ที่ 3 ในเวทีชิงแชมป์โลก 𝐏𝐆𝐂𝟐𝟎𝟐𝟏&#10;&#10;🎬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10;&#10;"/>
        <s v="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
        <s v="🏆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
        <s v="VLOG PGC EP.3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 สรุปตารางคะแนน  รอบ 𝗪𝗲𝗲𝗸𝗹𝘆 𝗙𝗶𝗻𝗮𝗹 สัปดาห์ที่ 3 วันที่ 1&#10;&#10;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
        <s v="🏆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ลก �"/>
        <s v="🇹🇭🎥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10;&#10;◾ร่วมเชียร์ 🇹🇭Attack All Around ลุยต่อในวันนี้ รอบ 𝗪𝗲𝗲𝗸𝗹𝘆"/>
        <s v="🔥🔥ก่อนแข่งวันสุดท้าย เรามาดู Head To Head ของ 2 ทีม ที่กำลังเข้มข้นแย่งชิงอันดับ 1 กัน ระหว่าง Natus Vincere(NaVi)  𝗩𝘀 Gen.G &#10;&#10;หลังจบ 5 เกมวันแรก รอบ 𝗪𝗲𝗲𝗸𝗹𝘆 𝗙𝗶𝗻𝗮𝗹 สัปดาห์สุดท้าย ในเวทีชิงแชมป์โลก 𝐏𝐔𝐁𝐆 𝐆𝐥𝐨𝐛𝐚𝐥 𝐂𝐡𝐚𝐦𝐩𝐢𝐨𝐧𝐬𝐡𝐢"/>
        <s v="🔥🔥ส่งท้ายไก่เกมสุดท้ายสวย ๆ Gen.G ตัวแทนจากประเทศเกาหลีใต้ พวกเขากลับมาแรงในวีคนี้ &#10;.&#10;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
        <s v="🏆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10;.&#10;ร่วมลุ้น 2 ตัวแทนทีมไทย 🇹🇭Buriram"/>
        <s v="🎬 ระดับโลกของจิ๊ง!! สไนเปอร์บนรถที่กำลังวิ่งอยู่! จาก Team Liquid&#10;&#10;� PUBG Global Championship 2021 รอบ Grand Survival อย่าลืมมาตามเชียร์ตัวแทนทีมไทย🇹🇭🇹🇭ลุยชิงแชมป์โลก 🇹🇭Buriram United Esports และ 🇹🇭Attack All Around กินไก่ได้เข้าชิงชนะเลิศ 16 ธ.ค"/>
        <s v="🎥 𝐏𝐆𝐂𝟐𝟎𝟐𝟏 𝐒𝐂𝐎𝐏𝐄 บุกกองพาชมเบื้องหลังการแข่งขันชิงแชมป์โลก ณ เกาหลี&#10;&#10;� PUBG Global Championship 2021 รอบ Grand Survival อย่าลืมมาตามเชียร์ตัวแทนทีมไทย🇹🇭🇹🇭ลุยชิงแชมป์โลก 🇹🇭Buriram United Esports และ 🇹🇭Attack All Around กินไก่ได้เข้าชิงช"/>
        <s v="VLOG PGC EP.3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บกฎกิ"/>
        <s v="⚠โปรดทราบ⚠&#10;ในวันที่ 15 ธันวาคม 2021 ตั้งแต่เวลา 7:30 น. เป็นต้นไป จะมีการปิดบำรุงรักษาเซิร์ฟเวอร์ซึ่งจะใช้เวลาดำเนินการประมาณ 4 ชั่วโมง&#10;&#10;ในระหว่างที่เราดำเนินการบำรุงรักษาอยู่ ผู้เล่นจะไม่สามารถล็อคอินเข้าสู่ตัวเกมได้ เมื่อเซิร์ฟเวอร์เปิดให้บริการแล้วเราจ"/>
        <s v="🏆เปิดรับสมัครลุยทัวร์สุดท้ายของปี แข่ง 25 ธันวาคมนี้ ในรายการ Nitro Gaming Night : PUBG &#10;.&#10;เปิดรับสมัครตั้งแต่วันนี้ - 22 ธ.ค. เวลา 23:45 น. &#10;⏳ เปิดรับ256 ทีม แบ่งออกเป็น 4 Tournament  (ทัวร์ฯ ละ 64 ทีม) คัดจนเหลือ 16 ทีม เพื่อไปแข่ง Grand Final Tourname"/>
        <s v="❄️PUBG LABS กลับมาอีกครั้งเพื่อมาเพิ่มสีสันให้กับฤดูหนาวปีนี้!❄️&#10;&#10;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
        <s v="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10;&#10;โดยสกิน Jeremy Lin จะวางขายที่ร้านค้าในเกมตั้งแต่วันนี้จนถึงวันที่ 15 มีนาคม 2022  เท่านั้น เหล่าแฟน"/>
        <s v="🇹🇭🎥ไฮไลท์ TEAM TALKS เปิดไมค์วินาทีกินไก่ ของ  Buriram United Esports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
        <s v="🎬 PGC Moments #4 รวมช็อทเฟี้ยวปั่นลั่นทุ่ง จากการแข่งขันพับจีชิงแชมป์โลก 2021 𝐏𝐔𝐁𝐆 𝐆𝐥𝐨𝐛𝐚𝐥 𝐂𝐡𝐚𝐦𝐩𝐢𝐨𝐧𝐬𝐡𝐢𝐩 𝟐𝟎𝟐𝟏&#10;.&#10;ร่วมลุ้น 2 ตัวแทนทีมไทย 🇹🇭Buriram United Esports และ 🇹🇭Attack All Around กันต่อในรอบ Grand Survival กับกฎกินไก่ 4 "/>
        <s v="🏆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s v="🔥🔥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10;.&#10;🗓ต"/>
        <s v="👨‍🏫 PGC2021 PLAYBOOK ย้อนดูแผนการเล่นของ GEN.G ในเกมคว้าไก่ พร้อมวิเคราะห์แต่ละช็อท ก่อนลุย 𝗚𝗿𝗮𝗻𝗱 𝗙𝗶𝗻𝗮𝗹&#10;&#10;🗓ตารางการแข่งขันรอบ 𝗚𝗿𝗮𝗻𝗱 𝗙𝗶𝗻𝗮𝗹&#10;⭕️17/ 18 / 19 ธันวาคม (แข่งวันละ 5 / 5/ 5 แมทช์) รอบ Grand Final &#10;⭕️ เริ่มแข่งเวลา 17:00 น.&#10;&#10;🛒"/>
        <s v="🏆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10;&#10;.&#10;🗓ตารางการแข่งขันรอบ 𝗚𝗿𝗮𝗻𝗱 𝗙𝗶𝗻𝗮𝗹&#10;⭕️1"/>
        <s v="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s v="🔥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10;.&#10;🗓ตารางการแข่ง"/>
        <s v="🏆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
        <s v="🏆 สรุปตารางคะแนนรอบ 𝗚𝗿𝗮𝗻𝗱 𝗙𝗶𝗻𝗮𝗹 วันที่ 1&#10;&#10;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
        <s v="🏆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𝗮𝗻𝗱 𝗙𝗶𝗻𝗮𝗹&#10;⭕"/>
        <s v="🏆 สรุปตารางคะแนนรอบ 𝗚𝗿𝗮𝗻𝗱 𝗙𝗶𝗻𝗮𝗹 วันที่ 2&#10;&#10;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
        <s v="🏆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
        <s v="🎬 PGC2021 Rivals EP.4 คมเฉือนคมนอกจอ เมื่อ Team Liquid vs KPI Gaming&#10;&#10;🏆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
        <s v="🏆🌎 ข่าวด่วน PUBG E-SPORTS ❗❗ ผังการแข่งขันปี 2022 พร้อมการกลับมาของทัวร์นาเมต์ที่หลายคนรอคอย 𝐏𝐍𝐂 (PUBG Nations Cup) หรือที่หลายคนให้คำนิยามว่า &quot;พับจีทีมชาติ&quot; !! &#10;&#10;อ่านรายละเอียดเพิ่มได้เติมได้ที่ ➡➡ https://asia.battlegrounds.pubg.com/th/2021/12/19/p"/>
        <s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10;.&#10;พวกเขาสามารถเก็บคะแนน  รอบ 𝗚𝗿𝗮𝗻𝗱 𝗙𝗶𝗻𝗮𝗹 ไปถึ"/>
        <s v="🏆 สรุปอันดับและเงินรางวัลทั้ง 32 ทีม ในเวทีชิงแชมป์โลก 𝐏𝐔𝐁𝐆 𝐆𝐥𝐨𝐛𝐚𝐥 𝐂𝐡𝐚𝐦𝐩𝐢𝐨𝐧𝐬𝐡𝐢𝐩 𝟐𝟎𝟐𝟏 &#10;&#10;.&#10;#PUBG #ESPORTS #PGC2021 #พับจีชิงแชมป์โลก&#10;#เชียร์ไทยไปชิงแชมป์โลก #BRU #AAA&#10;.&#10;🔔 กดติดตามความเคลื่อนไหวเกม PUBG ได้ที่:&#10;🎥 YouTube http://b"/>
        <s v="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
        <s v="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10;&#10;นอกจากสกินแบบพิเศษแล้ว ผ"/>
        <s v="🎥ไฮไลท์จัดเต็มการแข่งขัน รอบ 𝗚𝗿𝗮𝗻𝗱 𝗙𝗶𝗻𝗮𝗹 ทั้ง 3 วัน ในเวทีชิงแชมป์โลก 𝐏𝐔𝐁𝐆 𝐆𝐥𝐨𝐛𝐚𝐥 𝐂𝐡𝐚𝐦𝐩𝐢𝐨𝐧𝐬𝐡𝐢𝐩 𝟐𝟎𝟐𝟏&#10;.&#10;#PUBG #ESPORTS #PGC2021 #พับจีชิงแชมป์โลก&#10;#เชียร์ไทยไปชิงแชมป์โลก #BRU #AAA&#10;.&#10;🔔 กดติดตามความเคลื่อนไหวเกม PUBG ได้ท"/>
        <s v="🏆 2 วันสุดท้าย Nitro Gaming Night : PUBG  💥แข่งคัดเลือกยาวไปถึงชิงแชมป์ครบจบในวันเดียว! สมัครด่วน! กดได้ที่ลิงก์ด้านล่างนี้เลย&#10;🔗https://p9.gg/Nitro_PUBGA&#10;🔗https://p9.gg/Nitro_PUBGB&#10;🔗https://p9.gg/Nitro_PUBGC&#10;🔗https://p9.gg/Nitro_PUBGD  &#10;&#10;#สอบถามรายล"/>
        <s v="🏆💓 ส่งท้ายความประทับใจ PGC2021 แล้วเจอกันใหม่ในศึก PUBG ESPORTS 2022 ปีหน้ามาลุยกันมันส์ตลอดปี!&#10;&#10;#PUBG #ESPORTS #PGC2021 #PUBGESPORTS"/>
        <s v="🎬 PGC Moments #5 รวมช็อทเฟี้ยวปั่นลั่นทุ่ง จากการแข่งขันพับจีชิงแชมป์โลก 2021&#10;&#10;🏆💓 ส่งท้ายความประทับใจ PGC2021 แล้วเจอกันใหม่ในศึก PUBG ESPORTS 2022 ปีหน้ามาลุยกันมันส์ตลอดปี!&#10;&#10;#PUBG #ESPORTS #PGC2021 #PUBGESPORTS"/>
        <s v="สวัสดีผู้รอดชีวิตทุกคน&#10;&#10;ในขณะที่เรากำลังจะก้าวเข้าสู่ปี 2022 เราอยากขอเวลาซักครู่เพื่อขอขอบคุณทุกท่านสำหรับปีที่ยอดเยี่ยมปีนี้&#10;โดยในปี 2021 มีการเปลี่ยนแปลงหลายสิ่งเกิดขึ้นใน PUBG : Battlegrounds &#10;ทั้งการเปิดแผนที่สนามรบใหม่ที่ออกแบบในธีมเกาหลีขนาด 8X8 กม"/>
        <s v="Logitech G Tournament Winter Season จบไปอย่างสุดมันส์ตั้งแต่เกมแรกจนเกมสุดท้าย  🏆ขอแสดงความยินดีกับ ให้กับ&#10;.&#10;🥇Champion  ทีม THEERATHON FIVE  รับเงินรางวัล 40,000 บาท &#10;🥈1st Runner-up : ทีม The Infinity Esport รับเงินรางวัล 20,000 บาท &#10;🥉2nd Runner-up : "/>
        <s v="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 v="https://www.facebook.com/172882636630076/posts/969476276970704/"/>
        <s v="https://www.facebook.com/172882636630076/posts/970284500223215/"/>
        <s v="https://www.facebook.com/172882636630076/posts/970669680184697/"/>
        <s v="https://www.facebook.com/172882636630076/posts/970942463490752/"/>
        <s v="https://www.facebook.com/172882636630076/posts/970945460157119/"/>
        <s v="https://www.facebook.com/172882636630076/posts/971000823484916/"/>
        <s v="https://www.facebook.com/pubg.battlegrounds.th/videos/401104991611623/"/>
        <s v="https://www.facebook.com/172882636630076/posts/971543223430676/"/>
        <s v="https://www.facebook.com/pubg.battlegrounds.th/videos/941368270062200/"/>
        <s v="https://www.facebook.com/172882636630076/posts/972150376703294/"/>
        <s v="https://www.facebook.com/172882636630076/posts/972161813368817/"/>
        <s v="https://www.facebook.com/172882636630076/posts/972919619959703/"/>
        <s v="https://www.facebook.com/172882636630076/posts/973096053275393/"/>
        <s v="https://www.facebook.com/172882636630076/posts/973095346608797/"/>
        <s v="https://www.facebook.com/172882636630076/posts/972880253296973/"/>
        <s v="https://www.facebook.com/172882636630076/posts/973550876563244/"/>
        <s v="https://www.facebook.com/172882636630076/posts/973652123219786/"/>
        <s v="https://www.facebook.com/172882636630076/posts/973674283217570/"/>
        <s v="https://www.facebook.com/172882636630076/posts/973689799882685/"/>
        <s v="https://www.facebook.com/172882636630076/posts/974253753159623/"/>
        <s v="https://www.facebook.com/172882636630076/posts/974324759819189/"/>
        <s v="https://www.facebook.com/172882636630076/posts/974353596482972/"/>
        <s v="https://www.facebook.com/172882636630076/posts/974385706479761/"/>
        <s v="https://www.facebook.com/172882636630076/posts/974893623095636/"/>
        <s v="https://www.facebook.com/172882636630076/posts/974967039754961/"/>
        <s v="https://www.facebook.com/172882636630076/posts/974981129753552/"/>
        <s v="https://www.facebook.com/172882636630076/posts/975060066412325/"/>
        <s v="https://www.facebook.com/172882636630076/posts/975672303017768/"/>
        <s v="https://www.facebook.com/172882636630076/posts/975724409679224/"/>
        <s v="https://www.facebook.com/172882636630076/posts/976362902948708/"/>
        <s v="https://www.facebook.com/172882636630076/posts/976953709556294/"/>
        <s v="https://www.facebook.com/172882636630076/posts/977696136148718/"/>
        <s v="https://www.facebook.com/172882636630076/posts/977708739480791/"/>
        <s v="https://www.facebook.com/172882636630076/posts/977798096138522/"/>
        <s v="https://www.facebook.com/172882636630076/posts/977895402795458/"/>
        <s v="https://www.facebook.com/172882636630076/posts/979679202617078/"/>
        <s v="https://www.facebook.com/172882636630076/posts/980953712489627/"/>
        <s v="https://www.facebook.com/172882636630076/posts/980958539155811/"/>
        <s v="https://www.facebook.com/172882636630076/posts/981491159102549/"/>
        <s v="https://www.facebook.com/172882636630076/posts/982061412378857/"/>
        <s v="https://www.facebook.com/172882636630076/posts/982020615716270/"/>
        <s v="https://www.facebook.com/172882636630076/posts/982696852315313/"/>
        <s v="https://www.facebook.com/172882636630076/posts/982766825641649/"/>
        <s v="https://www.facebook.com/172882636630076/posts/982779412307057/"/>
        <s v="https://www.facebook.com/172882636630076/posts/986268008624864/"/>
        <s v="https://www.facebook.com/172882636630076/posts/986959085222423/"/>
        <s v="https://www.facebook.com/172882636630076/posts/987063738545291/"/>
        <s v="https://www.facebook.com/172882636630076/posts/987097465208585/"/>
        <s v="https://www.facebook.com/172882636630076/posts/987160195202312/"/>
        <s v="https://www.facebook.com/172882636630076/posts/987509225167409/"/>
        <s v="https://www.facebook.com/172882636630076/posts/988271731757825/"/>
        <s v="https://www.facebook.com/172882636630076/posts/989524938299171/"/>
        <s v="https://www.facebook.com/172882636630076/posts/990130271571971/"/>
        <s v="https://www.facebook.com/172882636630076/posts/990526674865664/"/>
        <s v="https://www.facebook.com/pubg.battlegrounds.th/videos/625073651855177/"/>
        <s v="https://www.facebook.com/172882636630076/posts/990554618196203/"/>
        <s v="https://www.facebook.com/172882636630076/posts/991318428119822/"/>
        <s v="https://www.facebook.com/172882636630076/posts/991329311452067/"/>
        <s v="https://www.facebook.com/172882636630076/posts/991250004793331/"/>
        <s v="https://www.facebook.com/172882636630076/posts/991272001457798/"/>
        <s v="https://www.facebook.com/pubg.battlegrounds.th/videos/403992904533768/"/>
        <s v="https://www.facebook.com/pubg.battlegrounds.th/videos/874280446610068/"/>
        <s v="https://www.facebook.com/172882636630076/posts/992517154666616/"/>
        <s v="https://www.facebook.com/172882636630076/posts/992549451330053/"/>
        <s v="https://www.facebook.com/pubg.battlegrounds.th/videos/699373684355247/"/>
        <s v="https://www.facebook.com/pubg.battlegrounds.th/videos/424186866092505/"/>
        <s v="https://www.facebook.com/172882636630076/posts/993086827942982/"/>
        <s v="https://www.facebook.com/pubg.battlegrounds.th/videos/287173213277608/"/>
        <s v="https://www.facebook.com/pubg.battlegrounds.th/videos/266636538744720/"/>
        <s v="https://www.facebook.com/pubg.battlegrounds.th/videos/240826381288570/"/>
        <s v="https://www.facebook.com/172882636630076/posts/994303424487989/"/>
        <s v="https://www.facebook.com/172882636630076/posts/994557011129297/"/>
        <s v="https://www.facebook.com/172882636630076/posts/994927227758942/"/>
        <s v="https://www.facebook.com/172882636630076/posts/995475351037463/"/>
        <s v="https://www.facebook.com/172882636630076/posts/995567364361595/"/>
        <s v="https://www.facebook.com/172882636630076/posts/996049987646666/"/>
        <s v="https://www.facebook.com/172882636630076/posts/996102694308062/"/>
        <s v="https://www.facebook.com/172882636630076/posts/996665127585152/"/>
        <s v="https://www.facebook.com/172882636630076/posts/996848754233456/"/>
        <s v="https://www.facebook.com/172882636630076/posts/997263320858666/"/>
        <s v="https://www.facebook.com/172882636630076/posts/997901074128224/"/>
        <s v="https://www.facebook.com/172882636630076/posts/997945124123819/"/>
        <s v="https://www.facebook.com/172882636630076/posts/998456574072674/"/>
        <s v="https://www.facebook.com/172882636630076/posts/998503534067978/"/>
        <s v="https://www.facebook.com/pubg.battlegrounds.th/videos/943157496307517/"/>
        <s v="https://www.facebook.com/172882636630076/posts/998530390731959/"/>
        <s v="https://www.facebook.com/172882636630076/posts/999088734009458/"/>
        <s v="https://www.facebook.com/172882636630076/posts/999121967339468/"/>
        <s v="https://www.facebook.com/172882636630076/posts/999185517333113/"/>
        <s v="https://www.facebook.com/172882636630076/posts/999260497325615/"/>
        <s v="https://www.facebook.com/172882636630076/posts/999276717323993/"/>
        <s v="https://www.facebook.com/172882636630076/posts/999281797323485/"/>
        <s v="https://www.facebook.com/172882636630076/posts/999091954009136/"/>
        <s v="https://www.facebook.com/172882636630076/posts/999696490615349/"/>
        <s v="https://www.facebook.com/172882636630076/posts/999859547265710/"/>
        <s v="https://www.facebook.com/172882636630076/posts/999096604008671/"/>
        <s v="https://www.facebook.com/172882636630076/posts/999871137264551/"/>
        <s v="https://www.facebook.com/172882636630076/posts/1000369933881338/"/>
        <s v="https://www.facebook.com/172882636630076/posts/1000417933876538/"/>
        <s v="https://www.facebook.com/172882636630076/posts/1000440563874275/"/>
        <s v="https://www.facebook.com/172882636630076/posts/1000466597205005/"/>
        <s v="https://www.facebook.com/172882636630076/posts/1000447847206880/"/>
        <s v="https://www.facebook.com/172882636630076/posts/1000429033875428/"/>
        <s v="https://www.facebook.com/172882636630076/posts/1001062310478767/"/>
        <s v="https://www.facebook.com/172882636630076/posts/1001283097123355/"/>
        <s v="https://www.facebook.com/172882636630076/posts/1001291520455846/"/>
        <s v="https://www.facebook.com/172882636630076/posts/1001572340427764/"/>
        <s v="https://www.facebook.com/172882636630076/posts/1001741087077556/"/>
        <s v="https://www.facebook.com/172882636630076/posts/1001808150404183/"/>
        <s v="https://www.facebook.com/172882636630076/posts/1001915433726788/"/>
        <s v="https://www.facebook.com/172882636630076/posts/1001924903725841/"/>
        <s v="https://www.facebook.com/172882636630076/posts/1002338103684521/"/>
        <s v="https://www.facebook.com/172882636630076/posts/1002358573682474/"/>
        <s v="https://www.facebook.com/172882636630076/posts/1002650746986590/"/>
        <s v="https://www.facebook.com/172882636630076/posts/1002995990285399/"/>
        <s v="https://www.facebook.com/172882636630076/posts/1003059263612405/"/>
        <s v="https://www.facebook.com/172882636630076/posts/1003126920272306/"/>
        <s v="https://www.facebook.com/172882636630076/posts/1003122253606106/"/>
        <s v="https://www.facebook.com/172882636630076/posts/1003205673597764/"/>
        <s v="https://www.facebook.com/172882636630076/posts/1003626886888976/"/>
        <s v="https://www.facebook.com/172882636630076/posts/1003660933552238/"/>
        <s v="https://www.facebook.com/172882636630076/posts/1003683373549994/"/>
        <s v="https://www.facebook.com/172882636630076/posts/1003860053532326/"/>
        <s v="https://www.facebook.com/172882636630076/posts/1004171890167809/"/>
        <s v="https://www.facebook.com/172882636630076/posts/1004216456830019/"/>
        <s v="https://www.facebook.com/172882636630076/posts/1004261323492199/"/>
        <s v="https://www.facebook.com/172882636630076/posts/1004509010134097/"/>
        <s v="https://www.facebook.com/172882636630076/posts/1004514486800216/"/>
        <s v="https://www.facebook.com/172882636630076/posts/1004861883432143/"/>
        <s v="https://www.facebook.com/172882636630076/posts/1004804416771223/"/>
        <s v="https://www.facebook.com/172882636630076/posts/1004897060095292/"/>
        <s v="https://www.facebook.com/172882636630076/posts/1005123576739307/"/>
        <s v="https://www.facebook.com/172882636630076/posts/1005134566738208/"/>
        <s v="https://www.facebook.com/172882636630076/posts/1004930273425304/"/>
        <s v="https://www.facebook.com/172882636630076/posts/1005493426702322/"/>
        <s v="https://www.facebook.com/172882636630076/posts/1005613603356971/"/>
        <s v="https://www.facebook.com/172882636630076/posts/1005758736675791/"/>
        <s v="https://www.facebook.com/172882636630076/posts/1005877146663950/"/>
        <s v="https://www.facebook.com/172882636630076/posts/1005813916670273/"/>
        <s v="https://www.facebook.com/172882636630076/posts/1005921279992870/"/>
        <s v="https://www.facebook.com/172882636630076/posts/1005935756658089/"/>
        <s v="https://www.facebook.com/172882636630076/posts/1005700296681635/"/>
        <s v="https://www.facebook.com/172882636630076/posts/1006579676593697/"/>
        <s v="https://www.facebook.com/172882636630076/posts/1006587349926263/"/>
        <s v="https://www.facebook.com/172882636630076/posts/1005926013325730/"/>
        <s v="https://www.facebook.com/172882636630076/posts/1007177663200565/"/>
        <s v="https://www.facebook.com/172882636630076/posts/1007219633196368/"/>
        <s v="https://www.facebook.com/172882636630076/posts/1007561479828850/"/>
        <s v="https://www.facebook.com/172882636630076/posts/1007589999825998/"/>
        <s v="https://www.facebook.com/172882636630076/posts/1007592689825729/"/>
        <s v="https://www.facebook.com/pubg.battlegrounds.th/videos/587002365858520/"/>
        <s v="https://www.facebook.com/172882636630076/posts/1007623696489295/"/>
        <s v="https://www.facebook.com/172882636630076/posts/1007813089803689/"/>
        <s v="https://www.facebook.com/172882636630076/posts/1007863359798662/"/>
        <s v="https://www.facebook.com/172882636630076/posts/1008169273101404/"/>
        <s v="https://www.facebook.com/172882636630076/posts/1008328726418792/"/>
        <s v="https://www.facebook.com/172882636630076/posts/1008401143078217/"/>
        <s v="https://www.facebook.com/172882636630076/posts/1008135323104799/"/>
        <s v="https://www.facebook.com/172882636630076/posts/1008454713072860/"/>
        <s v="https://www.facebook.com/172882636630076/posts/1008768976374767/"/>
        <s v="https://www.facebook.com/172882636630076/posts/1008791016372563/"/>
        <s v="https://www.facebook.com/172882636630076/posts/1008795433038788/"/>
        <s v="https://www.facebook.com/172882636630076/posts/1008790769705921/"/>
        <s v="https://www.facebook.com/172882636630076/posts/1008780796373585/"/>
        <s v="https://www.facebook.com/172882636630076/posts/1009036856347979/"/>
        <s v="https://www.facebook.com/172882636630076/posts/1009374452980886/"/>
        <s v="https://www.facebook.com/172882636630076/posts/1009398206311844/"/>
        <s v="https://www.facebook.com/172882636630076/posts/1009575606294104/"/>
        <s v="https://www.facebook.com/172882636630076/posts/1009768216274843/"/>
        <s v="https://www.facebook.com/172882636630076/posts/1010142522904079/"/>
        <s v="https://www.facebook.com/172882636630076/posts/1010219899563008/"/>
        <s v="https://www.facebook.com/172882636630076/posts/1010234416228223/"/>
        <s v="https://www.facebook.com/172882636630076/posts/1010255829559415/"/>
        <s v="https://www.facebook.com/172882636630076/posts/1010225402895791/"/>
        <s v="https://www.facebook.com/172882636630076/posts/1010510302867301/"/>
        <s v="https://www.facebook.com/172882636630076/posts/1010822766169388/"/>
        <s v="https://www.facebook.com/172882636630076/posts/1011030879481910/"/>
        <s v="https://www.facebook.com/172882636630076/posts/1010515446200120/"/>
        <s v="https://www.facebook.com/172882636630076/posts/1011462816105383/"/>
        <s v="https://www.facebook.com/172882636630076/posts/1011606189424379/"/>
        <s v="https://www.facebook.com/172882636630076/posts/1011017489483249/"/>
        <s v="https://www.facebook.com/172882636630076/posts/1012283736023291/"/>
        <s v="https://www.facebook.com/172882636630076/posts/1012621895989475/"/>
        <s v="https://www.facebook.com/172882636630076/posts/1012243712693960/"/>
        <s v="https://www.facebook.com/172882636630076/posts/1012606602657671/"/>
        <s v="https://www.facebook.com/172882636630076/posts/1012700112648320/"/>
        <s v="https://www.facebook.com/172882636630076/posts/1012891612629170/"/>
        <s v="https://www.facebook.com/172882636630076/posts/1013230399261958/"/>
        <s v="https://www.facebook.com/172882636630076/posts/1013251422593189/"/>
        <s v="https://www.facebook.com/172882636630076/posts/1013266309258367/"/>
        <s v="https://www.facebook.com/172882636630076/posts/1013318095919855/"/>
        <s v="https://www.facebook.com/172882636630076/posts/1013544389230559/"/>
        <s v="https://www.facebook.com/172882636630076/posts/1013823322535999/"/>
        <s v="https://www.facebook.com/172882636630076/posts/1013909035860761/"/>
        <s v="https://www.facebook.com/172882636630076/posts/1013333265918338/"/>
        <s v="https://www.facebook.com/172882636630076/posts/1013947185856946/"/>
        <s v="https://www.facebook.com/172882636630076/posts/1014090272509304/"/>
        <s v="https://www.facebook.com/172882636630076/posts/1014168805834784/"/>
        <s v="https://www.facebook.com/172882636630076/posts/1014471625804502/"/>
        <s v="https://www.facebook.com/172882636630076/posts/1014482262470105/"/>
        <s v="https://www.facebook.com/172882636630076/posts/1014489645802700/"/>
        <s v="https://www.facebook.com/172882636630076/posts/1014537342464597/"/>
        <s v="https://www.facebook.com/172882636630076/posts/1014187265832938/"/>
        <s v="https://www.facebook.com/172882636630076/posts/1014653392452992/"/>
        <s v="https://www.facebook.com/172882636630076/posts/1014469522471379/"/>
        <s v="https://www.facebook.com/172882636630076/posts/1014938215757843/"/>
        <s v="https://www.facebook.com/172882636630076/posts/1014949152423416/"/>
        <s v="https://www.facebook.com/172882636630076/posts/1015450285706636/"/>
        <s v="https://www.facebook.com/172882636630076/posts/1014939492424382/"/>
        <s v="https://www.facebook.com/172882636630076/posts/1015878822330449/"/>
        <s v="https://www.facebook.com/172882636630076/posts/1015898692328462/"/>
        <s v="https://www.facebook.com/172882636630076/posts/1016029862315345/"/>
        <s v="https://www.facebook.com/172882636630076/posts/1016094915642173/"/>
        <s v="https://www.facebook.com/172882636630076/posts/1016474115604253/"/>
        <s v="https://www.facebook.com/172882636630076/posts/1016596568925341/"/>
        <s v="https://www.facebook.com/172882636630076/posts/1017030578881940/"/>
        <s v="https://www.facebook.com/172882636630076/posts/1017105642207767/"/>
        <s v="https://www.facebook.com/172882636630076/posts/1016987565552908/"/>
        <s v="https://www.facebook.com/172882636630076/posts/1017489112169420/"/>
        <s v="https://www.facebook.com/172882636630076/posts/1017506038834394/"/>
        <s v="https://www.facebook.com/172882636630076/posts/1017542245497440/"/>
        <s v="https://www.facebook.com/172882636630076/posts/1017589345492730/"/>
        <s v="https://www.facebook.com/172882636630076/posts/1017834152134916/"/>
        <s v="https://www.facebook.com/172882636630076/posts/1018144412103890/"/>
        <s v="https://www.facebook.com/172882636630076/posts/1018340555417609/"/>
        <s v="https://www.facebook.com/172882636630076/posts/1018687355382929/"/>
        <s v="https://www.facebook.com/172882636630076/posts/1018778448707153/"/>
        <s v="https://www.facebook.com/172882636630076/posts/1018676585384006/"/>
        <s v="https://www.facebook.com/172882636630076/posts/1018820962036235/"/>
        <s v="https://www.facebook.com/172882636630076/posts/1018844178700580/"/>
        <s v="https://www.facebook.com/172882636630076/posts/1018981242020207/"/>
        <s v="https://www.facebook.com/172882636630076/posts/1019350951983236/"/>
        <s v="https://www.facebook.com/172882636630076/posts/1019558645295800/"/>
        <s v="https://www.facebook.com/172882636630076/posts/1019943645257300/"/>
        <s v="https://www.facebook.com/172882636630076/posts/1019983768586621/"/>
        <s v="https://www.facebook.com/172882636630076/posts/1020042835247381/"/>
        <s v="https://www.facebook.com/172882636630076/posts/1020152101903121/"/>
        <s v="https://www.facebook.com/172882636630076/posts/1020158005235864/"/>
        <s v="https://www.facebook.com/172882636630076/posts/1020170918567906/"/>
        <s v="https://www.facebook.com/172882636630076/posts/1020555818529416/"/>
        <s v="https://www.facebook.com/172882636630076/posts/1020635191854812/"/>
        <s v="https://www.facebook.com/172882636630076/posts/1020646178520380/"/>
        <s v="https://www.facebook.com/172882636630076/posts/1021170775134587/"/>
        <s v="https://www.facebook.com/172882636630076/posts/1021798985071766/"/>
        <s v="https://www.facebook.com/172882636630076/posts/1023655268219471/"/>
        <s v="https://www.facebook.com/172882636630076/posts/1023704381547893/"/>
        <s v="https://www.facebook.com/172882636630076/posts/1023840101534321/"/>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n v="1111.0"/>
        <n v="2758.0"/>
        <n v="109.0"/>
        <n v="1049.0"/>
        <n v="5203.0"/>
        <n v="3015.0"/>
        <n v="549.0"/>
        <n v="483.0"/>
        <n v="493.0"/>
        <n v="231.0"/>
        <n v="74.0"/>
        <n v="1321.0"/>
        <n v="165.0"/>
        <n v="225.0"/>
        <n v="250.0"/>
        <n v="642.0"/>
        <n v="1164.0"/>
        <n v="1872.0"/>
        <n v="268.0"/>
        <n v="148.0"/>
        <n v="1259.0"/>
        <n v="63.0"/>
        <n v="145.0"/>
        <n v="597.0"/>
        <n v="93.0"/>
        <n v="1108.0"/>
        <n v="39.0"/>
        <n v="147.0"/>
        <n v="1613.0"/>
        <n v="242.0"/>
        <n v="152.0"/>
        <n v="389.0"/>
        <n v="282.0"/>
        <n v="106.0"/>
        <n v="96.0"/>
        <n v="111.0"/>
        <n v="92.0"/>
        <n v="126.0"/>
        <n v="592.0"/>
        <n v="518.0"/>
        <n v="1459.0"/>
        <n v="1204.0"/>
        <n v="5448.0"/>
        <n v="359.0"/>
        <n v="643.0"/>
        <n v="4392.0"/>
        <n v="439.0"/>
        <n v="176.0"/>
        <n v="387.0"/>
        <n v="2313.0"/>
        <n v="1740.0"/>
        <n v="200.0"/>
        <n v="253.0"/>
        <n v="661.0"/>
        <n v="484.0"/>
        <n v="1558.0"/>
        <n v="1289.0"/>
        <n v="1570.0"/>
        <n v="136.0"/>
        <n v="843.0"/>
        <n v="817.0"/>
        <n v="943.0"/>
        <n v="975.0"/>
        <n v="1323.0"/>
        <n v="3060.0"/>
        <n v="1623.0"/>
        <n v="307.0"/>
        <n v="450.0"/>
        <n v="334.0"/>
        <n v="623.0"/>
        <n v="324.0"/>
        <n v="211.0"/>
        <n v="2995.0"/>
        <n v="2529.0"/>
        <n v="1061.0"/>
        <n v="1724.0"/>
        <n v="1885.0"/>
        <n v="2429.0"/>
        <n v="501.0"/>
        <n v="2063.0"/>
        <n v="164.0"/>
        <n v="1208.0"/>
        <n v="612.0"/>
        <n v="1467.0"/>
        <n v="1261.0"/>
        <n v="315.0"/>
        <n v="2043.0"/>
        <n v="1874.0"/>
        <n v="3021.0"/>
        <n v="3418.0"/>
        <n v="2087.0"/>
        <n v="1758.0"/>
        <n v="986.0"/>
        <n v="971.0"/>
        <n v="1074.0"/>
        <n v="5572.0"/>
        <n v="1281.0"/>
        <n v="6579.0"/>
        <n v="1058.0"/>
        <n v="1465.0"/>
        <n v="435.0"/>
        <n v="1309.0"/>
        <n v="1912.0"/>
        <n v="88.0"/>
        <n v="227.0"/>
        <n v="1305.0"/>
        <n v="1264.0"/>
        <n v="381.0"/>
        <n v="633.0"/>
        <n v="199.0"/>
        <n v="1199.0"/>
        <n v="2059.0"/>
        <n v="788.0"/>
        <n v="393.0"/>
        <n v="5893.0"/>
        <n v="2053.0"/>
        <n v="97.0"/>
        <n v="872.0"/>
        <n v="1917.0"/>
        <n v="494.0"/>
        <n v="2067.0"/>
        <n v="203.0"/>
        <n v="803.0"/>
        <n v="171.0"/>
        <n v="983.0"/>
        <n v="935.0"/>
        <n v="1113.0"/>
        <n v="572.0"/>
        <n v="686.0"/>
        <n v="46.0"/>
        <n v="937.0"/>
        <n v="190.0"/>
        <n v="4396.0"/>
        <n v="1682.0"/>
        <n v="161.0"/>
        <n v="135.0"/>
        <n v="342.0"/>
        <n v="60.0"/>
        <n v="3520.0"/>
        <n v="1025.0"/>
        <n v="696.0"/>
        <n v="182.0"/>
        <n v="468.0"/>
        <n v="262.0"/>
        <n v="905.0"/>
        <n v="129.0"/>
        <n v="115.0"/>
        <n v="1355.0"/>
        <n v="70.0"/>
        <n v="698.0"/>
        <n v="499.0"/>
        <n v="56.0"/>
        <n v="1060.0"/>
        <n v="1257.0"/>
        <n v="945.0"/>
        <n v="59.0"/>
        <n v="409.0"/>
        <n v="107.0"/>
        <n v="77.0"/>
        <n v="669.0"/>
        <n v="76.0"/>
        <n v="363.0"/>
        <n v="298.0"/>
        <n v="713.0"/>
        <n v="573.0"/>
        <n v="647.0"/>
        <n v="170.0"/>
        <n v="1443.0"/>
        <n v="4145.0"/>
        <n v="1560.0"/>
        <n v="890.0"/>
        <n v="33.0"/>
        <n v="906.0"/>
        <n v="1749.0"/>
        <n v="350.0"/>
        <n v="1142.0"/>
        <n v="583.0"/>
        <n v="648.0"/>
        <n v="598.0"/>
        <n v="1054.0"/>
        <n v="1132.0"/>
        <n v="2001.0"/>
        <n v="61.0"/>
        <n v="238.0"/>
        <n v="137.0"/>
        <n v="99.0"/>
        <n v="173.0"/>
        <n v="142.0"/>
        <n v="3112.0"/>
        <n v="2552.0"/>
        <n v="1504.0"/>
        <n v="81.0"/>
        <n v="979.0"/>
        <n v="2600.0"/>
        <n v="961.0"/>
        <n v="895.0"/>
        <n v="355.0"/>
        <n v="1091.0"/>
        <n v="28953.0"/>
        <n v="1066.0"/>
        <n v="2992.0"/>
        <n v="41.0"/>
        <n v="263.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n v="0.0"/>
        <n v="4.0"/>
        <n v="3.0"/>
        <n v="15.0"/>
        <n v="20.0"/>
        <n v="44.0"/>
        <n v="1.0"/>
        <n v="75.0"/>
        <n v="5.0"/>
        <n v="742.0"/>
        <n v="11.0"/>
        <n v="717.0"/>
        <n v="919.0"/>
        <n v="317.0"/>
        <n v="312.0"/>
        <n v="347.0"/>
        <n v="412.0"/>
        <n v="760.0"/>
        <n v="12.0"/>
        <n v="53.0"/>
        <n v="22.0"/>
        <n v="220.0"/>
        <n v="159.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n v="130.0"/>
        <n v="157.0"/>
        <n v="222.0"/>
        <n v="79.0"/>
        <n v="514.0"/>
        <n v="184.0"/>
        <n v="177.0"/>
        <n v="268.0"/>
        <n v="114.0"/>
        <n v="192.0"/>
        <n v="145.0"/>
        <n v="98.0"/>
        <n v="113.0"/>
        <n v="283.0"/>
        <n v="60.0"/>
        <n v="211.0"/>
        <n v="194.0"/>
        <n v="367.0"/>
        <n v="104.0"/>
        <n v="123.0"/>
        <n v="359.0"/>
        <n v="478.0"/>
        <n v="395.0"/>
        <n v="1026.0"/>
        <n v="95.0"/>
        <n v="34.0"/>
        <n v="110.0"/>
        <n v="532.0"/>
        <n v="108.0"/>
        <n v="19.0"/>
        <n v="294.0"/>
        <n v="306.0"/>
        <n v="187.0"/>
        <n v="455.0"/>
        <n v="112.0"/>
        <n v="189.0"/>
        <n v="437.0"/>
        <n v="58.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WEEKNUM" numFmtId="0">
      <sharedItems containsSemiMixedTypes="0" containsString="0" containsNumber="1" containsInteger="1">
        <n v="40.0"/>
        <n v="41.0"/>
        <n v="42.0"/>
        <n v="43.0"/>
        <n v="44.0"/>
        <n v="45.0"/>
        <n v="46.0"/>
        <n v="47.0"/>
        <n v="48.0"/>
        <n v="49.0"/>
        <n v="51.0"/>
        <n v="52.0"/>
        <n v="50.0"/>
      </sharedItems>
    </cacheField>
    <cacheField name="HOUR" numFmtId="0">
      <sharedItems containsSemiMixedTypes="0" containsString="0" containsNumber="1" containsInteger="1">
        <n v="13.0"/>
        <n v="15.0"/>
        <n v="20.0"/>
        <n v="8.0"/>
        <n v="9.0"/>
        <n v="11.0"/>
        <n v="16.0"/>
        <n v="18.0"/>
        <n v="12.0"/>
        <n v="14.0"/>
        <n v="17.0"/>
        <n v="21.0"/>
        <n v="7.0"/>
        <n v="19.0"/>
        <n v="10.0"/>
        <n v="22.0"/>
        <n v="1.0"/>
        <n v="2.0"/>
        <n v="23.0"/>
      </sharedItems>
    </cacheField>
    <cacheField name="PROMOTION" numFmtId="0">
      <sharedItems containsSemiMixedTypes="0" containsString="0" containsNumber="1" containsInteger="1">
        <n v="0.0"/>
        <n v="1.0"/>
      </sharedItems>
    </cacheField>
    <cacheField name="Only Reactions" numFmtId="0">
      <sharedItems containsSemiMixedTypes="0" containsString="0" containsNumber="1" containsInteger="1">
        <n v="172.0"/>
        <n v="7.0"/>
        <n v="23.0"/>
        <n v="15.0"/>
        <n v="78.0"/>
        <n v="5.0"/>
        <n v="4.0"/>
        <n v="199.0"/>
        <n v="9.0"/>
        <n v="63.0"/>
        <n v="52.0"/>
        <n v="32.0"/>
        <n v="400.0"/>
        <n v="33.0"/>
        <n v="154.0"/>
        <n v="143.0"/>
        <n v="519.0"/>
        <n v="36.0"/>
        <n v="273.0"/>
        <n v="112.0"/>
        <n v="892.0"/>
        <n v="21.0"/>
        <n v="20.0"/>
        <n v="517.0"/>
        <n v="1774.0"/>
        <n v="60.0"/>
        <n v="65.0"/>
        <n v="4507.0"/>
        <n v="59.0"/>
        <n v="84.0"/>
        <n v="8.0"/>
        <n v="6.0"/>
        <n v="118.0"/>
        <n v="359.0"/>
        <n v="561.0"/>
        <n v="19.0"/>
        <n v="13.0"/>
        <n v="55.0"/>
        <n v="91.0"/>
        <n v="1062.0"/>
        <n v="5838.0"/>
        <n v="518.0"/>
        <n v="29.0"/>
        <n v="42.0"/>
        <n v="14.0"/>
        <n v="35.0"/>
        <n v="79.0"/>
        <n v="40.0"/>
        <n v="340.0"/>
        <n v="134.0"/>
        <n v="121.0"/>
        <n v="58.0"/>
        <n v="831.0"/>
        <n v="49.0"/>
        <n v="295.0"/>
        <n v="5827.0"/>
        <n v="26.0"/>
        <n v="240.0"/>
        <n v="274.0"/>
        <n v="111.0"/>
        <n v="286.0"/>
        <n v="101.0"/>
        <n v="39.0"/>
        <n v="122.0"/>
        <n v="173.0"/>
        <n v="89.0"/>
        <n v="141.0"/>
        <n v="24.0"/>
        <n v="712.0"/>
        <n v="171.0"/>
        <n v="290.0"/>
        <n v="813.0"/>
        <n v="268.0"/>
        <n v="28.0"/>
        <n v="880.0"/>
        <n v="383.0"/>
        <n v="113.0"/>
        <n v="229.0"/>
        <n v="418.0"/>
        <n v="17.0"/>
        <n v="255.0"/>
        <n v="318.0"/>
        <n v="203.0"/>
        <n v="596.0"/>
        <n v="127.0"/>
        <n v="698.0"/>
        <n v="25.0"/>
        <n v="385.0"/>
        <n v="1112.0"/>
        <n v="110.0"/>
        <n v="576.0"/>
        <n v="226.0"/>
        <n v="64.0"/>
        <n v="316.0"/>
        <n v="222.0"/>
        <n v="1830.0"/>
        <n v="47.0"/>
        <n v="144.0"/>
        <n v="116.0"/>
        <n v="152.0"/>
        <n v="50812.0"/>
        <n v="592.0"/>
        <n v="302.0"/>
        <n v="11.0"/>
        <n v="231.0"/>
        <n v="738.0"/>
        <n v="68.0"/>
        <n v="12.0"/>
        <n v="8500.0"/>
        <n v="83.0"/>
        <n v="94.0"/>
        <n v="197.0"/>
        <n v="22.0"/>
        <n v="232.0"/>
        <n v="2684.0"/>
        <n v="140.0"/>
        <n v="155.0"/>
        <n v="87.0"/>
        <n v="2135.0"/>
        <n v="69.0"/>
        <n v="16.0"/>
        <n v="704.0"/>
        <n v="785.0"/>
        <n v="80.0"/>
        <n v="314.0"/>
        <n v="3490.0"/>
        <n v="115.0"/>
        <n v="421.0"/>
        <n v="182.0"/>
        <n v="746.0"/>
        <n v="97.0"/>
        <n v="244.0"/>
        <n v="103.0"/>
        <n v="236.0"/>
        <n v="531.0"/>
        <n v="249.0"/>
        <n v="86.0"/>
        <n v="104.0"/>
        <n v="159.0"/>
        <n v="90.0"/>
        <n v="66.0"/>
        <n v="227.0"/>
        <n v="18.0"/>
        <n v="88.0"/>
        <n v="37.0"/>
        <n v="270.0"/>
        <n v="53.0"/>
        <n v="1535.0"/>
        <n v="96.0"/>
        <n v="700.0"/>
        <n v="788.0"/>
        <n v="31.0"/>
        <n v="685.0"/>
        <n v="196.0"/>
        <n v="3507.0"/>
        <n v="1657.0"/>
        <n v="30.0"/>
        <n v="151.0"/>
        <n v="41.0"/>
        <n v="158.0"/>
        <n v="124.0"/>
        <n v="504.0"/>
        <n v="816.0"/>
        <n v="556.0"/>
        <n v="294.0"/>
        <n v="1674.0"/>
        <n v="800.0"/>
        <n v="2034.0"/>
        <n v="307.0"/>
        <n v="70.0"/>
        <n v="3.0"/>
        <n v="368.0"/>
        <n v="1664.0"/>
        <n v="883.0"/>
        <n v="427.0"/>
        <n v="146.0"/>
        <n v="987.0"/>
        <n v="2075.0"/>
        <n v="10.0"/>
        <n v="180.0"/>
        <n v="833.0"/>
        <n v="125.0"/>
        <n v="107.0"/>
        <n v="175.0"/>
        <n v="136.0"/>
        <n v="2403.0"/>
        <n v="321.0"/>
        <n v="67.0"/>
        <n v="192.0"/>
        <n v="285.0"/>
        <n v="369.0"/>
        <n v="43.0"/>
        <n v="753.0"/>
        <n v="397.0"/>
        <n v="293.0"/>
        <n v="1.0"/>
        <n v="2.0"/>
        <n v="0.0"/>
        <n v="50.0"/>
        <n v="34.0"/>
        <n v="328.0"/>
        <n v="413.0"/>
        <n v="455.0"/>
        <n v="330.0"/>
        <n v="252.0"/>
        <n v="218.0"/>
        <n v="447.0"/>
        <n v="72.0"/>
        <n v="169.0"/>
        <n v="224.0"/>
        <n v="27.0"/>
        <n v="552.0"/>
        <n v="139.0"/>
        <n v="550.0"/>
        <n v="591.0"/>
        <n v="71.0"/>
        <n v="842.0"/>
        <n v="149.0"/>
        <n v="185.0"/>
        <n v="472.0"/>
        <n v="93.0"/>
        <n v="62.0"/>
        <n v="445.0"/>
        <n v="51.0"/>
        <n v="157.0"/>
        <n v="92.0"/>
        <n v="338.0"/>
        <n v="120.0"/>
        <n v="57.0"/>
        <n v="248.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J301" sheet="FreeFire"/>
  </cacheSource>
  <cacheFields>
    <cacheField name="Created date" numFmtId="164">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sharedItems>
    </cacheField>
    <cacheField name="Created time" numFmtId="165">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sharedItems>
    </cacheField>
    <cacheField name="Name (Profile)" numFmtId="0">
      <sharedItems>
        <s v="Garena Free Fire"/>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haredItems>
    </cacheField>
    <cacheField name="Post type" numFmtId="0">
      <sharedItems>
        <s v="added_video"/>
        <s v="added_photos"/>
        <s v="shared_story"/>
        <s v="mobile_status_update"/>
      </sharedItems>
    </cacheField>
    <cacheField name="Content type" numFmtId="0">
      <sharedItems>
        <s v="video_inline"/>
        <s v="photo"/>
        <s v="share"/>
        <s v="video"/>
        <s v="native_templates"/>
        <s v="profile_media"/>
        <s v="cover_photo"/>
        <s v="album"/>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sharedItems>
    </cacheField>
    <cacheField name="WEEKNUM" numFmtId="0">
      <sharedItems containsSemiMixedTypes="0" containsString="0" containsNumber="1" containsInteger="1">
        <n v="40.0"/>
        <n v="41.0"/>
        <n v="42.0"/>
        <n v="43.0"/>
        <n v="44.0"/>
        <n v="45.0"/>
        <n v="46.0"/>
        <n v="47.0"/>
        <n v="48.0"/>
        <n v="49.0"/>
        <n v="51.0"/>
        <n v="52.0"/>
      </sharedItems>
    </cacheField>
    <cacheField name="HOUR" numFmtId="0">
      <sharedItems containsSemiMixedTypes="0" containsString="0" containsNumber="1" containsInteger="1">
        <n v="13.0"/>
        <n v="15.0"/>
        <n v="20.0"/>
        <n v="8.0"/>
        <n v="9.0"/>
        <n v="11.0"/>
        <n v="16.0"/>
        <n v="18.0"/>
        <n v="12.0"/>
        <n v="14.0"/>
        <n v="17.0"/>
        <n v="21.0"/>
        <n v="7.0"/>
        <n v="19.0"/>
        <n v="10.0"/>
        <n v="22.0"/>
        <n v="1.0"/>
        <n v="2.0"/>
      </sharedItems>
    </cacheField>
    <cacheField name="PROMOTION" numFmtId="0">
      <sharedItems containsSemiMixedTypes="0" containsString="0" containsNumber="1" containsInteger="1">
        <n v="0.0"/>
        <n v="1.0"/>
      </sharedItems>
    </cacheField>
    <cacheField name="Only Reactions" numFmtId="0">
      <sharedItems containsSemiMixedTypes="0" containsString="0" containsNumber="1" containsInteger="1">
        <n v="172.0"/>
        <n v="7.0"/>
        <n v="23.0"/>
        <n v="15.0"/>
        <n v="78.0"/>
        <n v="5.0"/>
        <n v="4.0"/>
        <n v="199.0"/>
        <n v="9.0"/>
        <n v="63.0"/>
        <n v="52.0"/>
        <n v="32.0"/>
        <n v="400.0"/>
        <n v="33.0"/>
        <n v="154.0"/>
        <n v="143.0"/>
        <n v="519.0"/>
        <n v="36.0"/>
        <n v="273.0"/>
        <n v="112.0"/>
        <n v="892.0"/>
        <n v="21.0"/>
        <n v="20.0"/>
        <n v="517.0"/>
        <n v="1774.0"/>
        <n v="60.0"/>
        <n v="65.0"/>
        <n v="4507.0"/>
        <n v="59.0"/>
        <n v="84.0"/>
        <n v="8.0"/>
        <n v="6.0"/>
        <n v="118.0"/>
        <n v="359.0"/>
        <n v="561.0"/>
        <n v="19.0"/>
        <n v="13.0"/>
        <n v="55.0"/>
        <n v="91.0"/>
        <n v="1062.0"/>
        <n v="5838.0"/>
        <n v="518.0"/>
        <n v="29.0"/>
        <n v="42.0"/>
        <n v="14.0"/>
        <n v="35.0"/>
        <n v="79.0"/>
        <n v="40.0"/>
        <n v="340.0"/>
        <n v="134.0"/>
        <n v="121.0"/>
        <n v="58.0"/>
        <n v="831.0"/>
        <n v="49.0"/>
        <n v="295.0"/>
        <n v="5827.0"/>
        <n v="26.0"/>
        <n v="240.0"/>
        <n v="274.0"/>
        <n v="111.0"/>
        <n v="286.0"/>
        <n v="101.0"/>
        <n v="39.0"/>
        <n v="122.0"/>
        <n v="173.0"/>
        <n v="89.0"/>
        <n v="141.0"/>
        <n v="24.0"/>
        <n v="712.0"/>
        <n v="171.0"/>
        <n v="290.0"/>
        <n v="813.0"/>
        <n v="268.0"/>
        <n v="28.0"/>
        <n v="880.0"/>
        <n v="383.0"/>
        <n v="113.0"/>
        <n v="229.0"/>
        <n v="418.0"/>
        <n v="17.0"/>
        <n v="255.0"/>
        <n v="318.0"/>
        <n v="203.0"/>
        <n v="596.0"/>
        <n v="127.0"/>
        <n v="698.0"/>
        <n v="25.0"/>
        <n v="385.0"/>
        <n v="1112.0"/>
        <n v="110.0"/>
        <n v="576.0"/>
        <n v="226.0"/>
        <n v="64.0"/>
        <n v="316.0"/>
        <n v="222.0"/>
        <n v="1830.0"/>
        <n v="47.0"/>
        <n v="144.0"/>
        <n v="116.0"/>
        <n v="152.0"/>
        <n v="50812.0"/>
        <n v="592.0"/>
        <n v="302.0"/>
        <n v="11.0"/>
        <n v="231.0"/>
        <n v="738.0"/>
        <n v="68.0"/>
        <n v="12.0"/>
        <n v="8500.0"/>
        <n v="83.0"/>
        <n v="94.0"/>
        <n v="197.0"/>
        <n v="22.0"/>
        <n v="232.0"/>
        <n v="2684.0"/>
        <n v="140.0"/>
        <n v="155.0"/>
        <n v="87.0"/>
        <n v="2135.0"/>
        <n v="69.0"/>
        <n v="16.0"/>
        <n v="704.0"/>
        <n v="785.0"/>
        <n v="80.0"/>
        <n v="314.0"/>
        <n v="3490.0"/>
        <n v="115.0"/>
        <n v="421.0"/>
        <n v="182.0"/>
        <n v="746.0"/>
        <n v="97.0"/>
        <n v="244.0"/>
        <n v="103.0"/>
        <n v="236.0"/>
        <n v="531.0"/>
        <n v="249.0"/>
        <n v="86.0"/>
        <n v="104.0"/>
        <n v="159.0"/>
        <n v="90.0"/>
        <n v="66.0"/>
        <n v="227.0"/>
        <n v="18.0"/>
        <n v="88.0"/>
        <n v="37.0"/>
        <n v="270.0"/>
        <n v="53.0"/>
        <n v="1535.0"/>
        <n v="96.0"/>
        <n v="700.0"/>
        <n v="788.0"/>
        <n v="31.0"/>
        <n v="685.0"/>
        <n v="196.0"/>
        <n v="3507.0"/>
        <n v="1657.0"/>
        <n v="30.0"/>
        <n v="151.0"/>
        <n v="41.0"/>
        <n v="158.0"/>
        <n v="124.0"/>
        <n v="504.0"/>
        <n v="816.0"/>
        <n v="556.0"/>
        <n v="294.0"/>
        <n v="1674.0"/>
        <n v="800.0"/>
        <n v="2034.0"/>
        <n v="307.0"/>
        <n v="70.0"/>
        <n v="3.0"/>
        <n v="368.0"/>
        <n v="1664.0"/>
        <n v="883.0"/>
        <n v="427.0"/>
        <n v="146.0"/>
        <n v="987.0"/>
        <n v="2075.0"/>
        <n v="10.0"/>
        <n v="180.0"/>
        <n v="833.0"/>
        <n v="125.0"/>
        <n v="107.0"/>
        <n v="175.0"/>
        <n v="136.0"/>
        <n v="2403.0"/>
        <n v="321.0"/>
        <n v="67.0"/>
        <n v="192.0"/>
        <n v="285.0"/>
        <n v="369.0"/>
        <n v="43.0"/>
        <n v="753.0"/>
        <n v="397.0"/>
      </sharedItems>
    </cacheField>
    <cacheField name="=FILTER(A1:Q301,Q1:Q301)" numFmtId="0">
      <sharedItems containsString="0" containsBlank="1">
        <m/>
      </sharedItems>
    </cacheField>
    <cacheField name="REFINE queries" numFmtId="164">
      <sharedItems containsDate="1" containsString="0" containsBlank="1">
        <d v="2021-10-03T00:00:00Z"/>
        <d v="2021-10-04T00:00:00Z"/>
        <d v="2021-10-13T00:00:00Z"/>
        <d v="2021-10-17T00:00:00Z"/>
        <d v="2021-10-21T00:00:00Z"/>
        <d v="2021-10-29T00:00:00Z"/>
        <d v="2021-10-30T00:00:00Z"/>
        <d v="2021-10-31T00:00:00Z"/>
        <d v="2021-11-03T00:00:00Z"/>
        <d v="2021-11-06T00:00:00Z"/>
        <d v="2021-11-17T00:00:00Z"/>
        <d v="2021-11-20T00:00:00Z"/>
        <d v="2021-11-21T00:00:00Z"/>
        <d v="2021-11-24T00:00:00Z"/>
        <d v="2021-11-25T00:00:00Z"/>
        <d v="2021-11-28T00:00:00Z"/>
        <d v="2021-12-17T00:00:00Z"/>
        <d v="2021-12-18T00:00:00Z"/>
        <d v="2021-12-20T00:00:00Z"/>
        <d v="2021-12-21T00:00:00Z"/>
        <d v="2021-12-23T00:00:00Z"/>
        <m/>
      </sharedItems>
    </cacheField>
    <cacheField name=" " numFmtId="165">
      <sharedItems containsDate="1" containsString="0" containsBlank="1">
        <d v="2021-10-03T08:00:01Z"/>
        <d v="2021-10-04T11:00:01Z"/>
        <d v="2021-10-13T12:00:01Z"/>
        <d v="2021-10-17T11:00:00Z"/>
        <d v="2021-10-21T11:00:03Z"/>
        <d v="2021-10-29T11:00:04Z"/>
        <d v="2021-10-30T07:00:02Z"/>
        <d v="2021-10-31T11:00:04Z"/>
        <d v="2021-11-03T11:00:02Z"/>
        <d v="2021-11-06T15:00:01Z"/>
        <d v="2021-11-17T13:00:00Z"/>
        <d v="2021-11-20T15:00:01Z"/>
        <d v="2021-11-21T10:00:02Z"/>
        <d v="2021-11-24T16:00:01Z"/>
        <d v="2021-11-25T12:00:02Z"/>
        <d v="2021-11-28T11:00:01Z"/>
        <d v="2021-12-17T08:00:00Z"/>
        <d v="2021-12-18T09:00:01Z"/>
        <d v="2021-12-18T15:00:00Z"/>
        <d v="2021-12-20T10:00:00Z"/>
        <d v="2021-12-21T08:00:01Z"/>
        <d v="2021-12-21T10:00:00Z"/>
        <d v="2021-12-23T10:00:00Z"/>
        <m/>
      </sharedItems>
    </cacheField>
    <cacheField name=" 2" numFmtId="0">
      <sharedItems containsBlank="1">
        <s v="Garena Free Fire"/>
        <m/>
      </sharedItems>
    </cacheField>
    <cacheField name=" 3" numFmtId="0">
      <sharedItems containsBlank="1">
        <s v="740460599475760_1905939169594558"/>
        <s v="740460599475760_1905162739672201"/>
        <s v="740460599475760_1914639852057823"/>
        <s v="740460599475760_1917094281812380"/>
        <s v="740460599475760_1920381241483684"/>
        <s v="740460599475760_1925663274288814"/>
        <s v="740460599475760_1928423800679428"/>
        <s v="740460599475760_1925661867622288"/>
        <s v="740460599475760_1931154987072976"/>
        <s v="740460599475760_1932661716922303"/>
        <s v="740460599475760_1940979659423842"/>
        <s v="740460599475760_1943970059124802"/>
        <s v="740460599475760_1941444886043986"/>
        <s v="740460599475760_1946179912237150"/>
        <s v="740460599475760_1947520292103112"/>
        <s v="740460599475760_1947591738762634"/>
        <s v="740460599475760_1958524954335979"/>
        <s v="740460599475760_1963789900476151"/>
        <s v="740460599475760_1958525884335886"/>
        <s v="740460599475760_1962250917296716"/>
        <s v="740460599475760_1966941793494295"/>
        <s v="740460599475760_1966951500159991"/>
        <s v="740460599475760_1966884233500051"/>
        <m/>
      </sharedItems>
    </cacheField>
    <cacheField name=" 4" numFmtId="0">
      <sharedItems containsBlank="1">
        <s v="added_photos"/>
        <m/>
      </sharedItems>
    </cacheField>
    <cacheField name=" 5" numFmtId="0">
      <sharedItems containsBlank="1">
        <s v="photo"/>
        <m/>
      </sharedItems>
    </cacheField>
    <cacheField name=" 6" numFmtId="0">
      <sharedItems containsBlank="1">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m/>
      </sharedItems>
    </cacheField>
    <cacheField name=" 7" numFmtId="0">
      <sharedItems containsBlank="1">
        <s v="https://www.facebook.com/740460599475760/posts/1905939169594558/"/>
        <s v="https://www.facebook.com/740460599475760/posts/1905162739672201/"/>
        <s v="https://www.facebook.com/740460599475760/posts/1914639852057823/"/>
        <s v="https://www.facebook.com/740460599475760/posts/1917094281812380/"/>
        <s v="https://www.facebook.com/740460599475760/posts/1920381241483684/"/>
        <s v="https://www.facebook.com/740460599475760/posts/1925663274288814/"/>
        <s v="https://www.facebook.com/740460599475760/posts/1928423800679428/"/>
        <s v="https://www.facebook.com/740460599475760/posts/1925661867622288/"/>
        <s v="https://www.facebook.com/740460599475760/posts/1931154987072976/"/>
        <s v="https://www.facebook.com/740460599475760/posts/1932661716922303/"/>
        <s v="https://www.facebook.com/740460599475760/posts/1940979659423842/"/>
        <s v="https://www.facebook.com/740460599475760/posts/1943970059124802/"/>
        <s v="https://www.facebook.com/740460599475760/posts/1941444886043986/"/>
        <s v="https://www.facebook.com/740460599475760/posts/1946179912237150/"/>
        <s v="https://www.facebook.com/740460599475760/posts/1947520292103112/"/>
        <s v="https://www.facebook.com/740460599475760/posts/1947591738762634/"/>
        <s v="https://www.facebook.com/740460599475760/posts/1958524954335979/"/>
        <s v="https://www.facebook.com/740460599475760/posts/1963789900476151/"/>
        <s v="https://www.facebook.com/740460599475760/posts/1958525884335886/"/>
        <s v="https://www.facebook.com/740460599475760/posts/1962250917296716/"/>
        <s v="https://www.facebook.com/740460599475760/posts/1966941793494295/"/>
        <s v="https://www.facebook.com/740460599475760/posts/1966951500159991/"/>
        <s v="https://www.facebook.com/740460599475760/posts/1966884233500051/"/>
        <m/>
      </sharedItems>
    </cacheField>
    <cacheField name=" 8" numFmtId="0">
      <sharedItems containsString="0" containsBlank="1" containsNumber="1" containsInteger="1">
        <n v="1.0"/>
        <m/>
      </sharedItems>
    </cacheField>
    <cacheField name=" 9" numFmtId="0">
      <sharedItems containsString="0" containsBlank="1" containsNumber="1" containsInteger="1">
        <n v="1552.0"/>
        <n v="307.0"/>
        <n v="226.0"/>
        <n v="158.0"/>
        <n v="186.0"/>
        <n v="172.0"/>
        <n v="1185.0"/>
        <n v="157.0"/>
        <n v="257.0"/>
        <n v="210.0"/>
        <n v="219.0"/>
        <n v="1519.0"/>
        <n v="203.0"/>
        <n v="255.0"/>
        <n v="208.0"/>
        <n v="479.0"/>
        <n v="206.0"/>
        <n v="9349.0"/>
        <n v="162.0"/>
        <n v="190.0"/>
        <n v="8227.0"/>
        <n v="6797.0"/>
        <n v="177.0"/>
        <m/>
      </sharedItems>
    </cacheField>
    <cacheField name=" 10" numFmtId="0">
      <sharedItems containsString="0" containsBlank="1" containsNumber="1" containsInteger="1">
        <n v="1630.0"/>
        <n v="316.0"/>
        <n v="234.0"/>
        <n v="162.0"/>
        <n v="191.0"/>
        <n v="178.0"/>
        <n v="1232.0"/>
        <n v="163.0"/>
        <n v="261.0"/>
        <n v="224.0"/>
        <n v="228.0"/>
        <n v="1572.0"/>
        <n v="212.0"/>
        <n v="264.0"/>
        <n v="214.0"/>
        <n v="496.0"/>
        <n v="218.0"/>
        <n v="9464.0"/>
        <n v="167.0"/>
        <n v="194.0"/>
        <n v="8334.0"/>
        <n v="6937.0"/>
        <n v="180.0"/>
        <m/>
      </sharedItems>
    </cacheField>
    <cacheField name=" 11" numFmtId="0">
      <sharedItems containsString="0" containsBlank="1" containsNumber="1" containsInteger="1">
        <n v="331.0"/>
        <n v="56.0"/>
        <n v="32.0"/>
        <n v="14.0"/>
        <n v="30.0"/>
        <n v="33.0"/>
        <n v="161.0"/>
        <n v="28.0"/>
        <n v="25.0"/>
        <n v="253.0"/>
        <n v="24.0"/>
        <n v="17.0"/>
        <n v="60.0"/>
        <n v="23.0"/>
        <n v="240.0"/>
        <n v="158.0"/>
        <n v="217.0"/>
        <n v="16.0"/>
        <m/>
      </sharedItems>
    </cacheField>
    <cacheField name=" 12" numFmtId="0">
      <sharedItems containsString="0" containsBlank="1" containsNumber="1" containsInteger="1">
        <n v="54.0"/>
        <n v="7.0"/>
        <n v="9.0"/>
        <n v="1.0"/>
        <n v="5.0"/>
        <n v="41.0"/>
        <n v="3.0"/>
        <n v="12.0"/>
        <n v="2.0"/>
        <n v="21.0"/>
        <n v="4.0"/>
        <n v="10.0"/>
        <n v="11.0"/>
        <n v="25.0"/>
        <n v="6.0"/>
        <n v="44.0"/>
        <n v="51.0"/>
        <m/>
      </sharedItems>
    </cacheField>
    <cacheField name=" 13" numFmtId="0">
      <sharedItems containsString="0" containsBlank="1" containsNumber="1" containsInteger="1">
        <n v="1552.0"/>
        <n v="307.0"/>
        <n v="226.0"/>
        <n v="158.0"/>
        <n v="186.0"/>
        <n v="172.0"/>
        <n v="1185.0"/>
        <n v="157.0"/>
        <n v="257.0"/>
        <n v="210.0"/>
        <n v="219.0"/>
        <n v="1519.0"/>
        <n v="203.0"/>
        <n v="255.0"/>
        <n v="208.0"/>
        <n v="479.0"/>
        <n v="206.0"/>
        <n v="9349.0"/>
        <n v="162.0"/>
        <n v="190.0"/>
        <n v="8227.0"/>
        <n v="6797.0"/>
        <n v="177.0"/>
        <m/>
      </sharedItems>
    </cacheField>
    <cacheField name=" 14" numFmtId="0">
      <sharedItems containsString="0" containsBlank="1" containsNumber="1" containsInteger="1">
        <n v="41.0"/>
        <n v="42.0"/>
        <n v="43.0"/>
        <n v="44.0"/>
        <n v="45.0"/>
        <n v="47.0"/>
        <n v="48.0"/>
        <n v="49.0"/>
        <n v="51.0"/>
        <n v="52.0"/>
        <m/>
      </sharedItems>
    </cacheField>
    <cacheField name=" 15" numFmtId="0">
      <sharedItems containsString="0" containsBlank="1" containsNumber="1" containsInteger="1">
        <n v="8.0"/>
        <n v="11.0"/>
        <n v="12.0"/>
        <n v="7.0"/>
        <n v="15.0"/>
        <n v="13.0"/>
        <n v="10.0"/>
        <n v="16.0"/>
        <n v="9.0"/>
        <m/>
      </sharedItems>
    </cacheField>
    <cacheField name=" 16" numFmtId="0">
      <sharedItems containsString="0" containsBlank="1" containsNumber="1" containsInteger="1">
        <n v="1.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Overview" cacheId="0" dataCaption="" compact="0" compactData="0">
  <location ref="I37:M48" firstHeaderRow="0" firstDataRow="2" firstDataCol="0"/>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axis="axisRow" dataField="1" compact="0" outline="0" multipleItemSelectionAllowed="1" showAll="0" sortType="ascending">
      <items>
        <item x="8"/>
        <item x="7"/>
        <item x="6"/>
        <item x="4"/>
        <item x="1"/>
        <item x="5"/>
        <item x="2"/>
        <item x="3"/>
        <item x="9"/>
        <item x="0"/>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WEEKNUM" compact="0" outline="0" multipleItemSelectionAllowed="1" showAll="0">
      <items>
        <item x="0"/>
        <item x="1"/>
        <item x="2"/>
        <item x="3"/>
        <item x="4"/>
        <item x="5"/>
        <item x="6"/>
        <item x="7"/>
        <item x="8"/>
        <item x="9"/>
        <item x="10"/>
        <item x="11"/>
        <item x="12"/>
        <item t="default"/>
      </items>
    </pivotField>
    <pivotField name="HOUR" compact="0" outline="0" multipleItemSelectionAllowed="1" showAll="0">
      <items>
        <item x="0"/>
        <item x="1"/>
        <item x="2"/>
        <item x="3"/>
        <item x="4"/>
        <item x="5"/>
        <item x="6"/>
        <item x="7"/>
        <item x="8"/>
        <item x="9"/>
        <item x="10"/>
        <item x="11"/>
        <item x="12"/>
        <item x="13"/>
        <item x="14"/>
        <item x="15"/>
        <item x="16"/>
        <item x="17"/>
        <item x="18"/>
        <item t="default"/>
      </items>
    </pivotField>
    <pivotField name="PROMOTION" compact="0" outline="0" multipleItemSelectionAllowed="1" showAll="0">
      <items>
        <item x="0"/>
        <item x="1"/>
        <item t="default"/>
      </items>
    </pivotField>
    <pivotField name="Only 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s>
  <rowFields>
    <field x="5"/>
  </rowFields>
  <colFields>
    <field x="-2"/>
  </colFields>
  <dataFields>
    <dataField name="COUNTA of Content type" fld="5" subtotal="count" baseField="0"/>
    <dataField name="SUM of Likes" fld="9" baseField="0"/>
    <dataField name="SUM of Post shares" fld="12" baseField="0"/>
    <dataField name="SUM of Comments" fld="11" baseField="0"/>
  </dataFields>
</pivotTableDefinition>
</file>

<file path=xl/pivotTables/pivotTable2.xml><?xml version="1.0" encoding="utf-8"?>
<pivotTableDefinition xmlns="http://schemas.openxmlformats.org/spreadsheetml/2006/main" name="Pivot Table 1" cacheId="1" dataCaption="" compact="0" compactData="0">
  <location ref="A1:D10" firstHeaderRow="0" firstDataRow="2" firstDataCol="0"/>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name="Name (Profile)" compact="0" outline="0" multipleItemSelectionAllowed="1" showAll="0">
      <items>
        <item x="0"/>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name="Post type" compact="0" outline="0" multipleItemSelectionAllowed="1" showAll="0">
      <items>
        <item x="0"/>
        <item x="1"/>
        <item x="2"/>
        <item x="3"/>
        <item t="default"/>
      </items>
    </pivotField>
    <pivotField name="Content type" axis="axisRow" dataField="1" compact="0" outline="0" multipleItemSelectionAllowed="1" showAll="0" sortType="ascending">
      <items>
        <item x="7"/>
        <item x="6"/>
        <item x="4"/>
        <item x="1"/>
        <item x="5"/>
        <item x="2"/>
        <item x="3"/>
        <item x="0"/>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name="Posts" compact="0" outline="0" multipleItemSelectionAllowed="1" showAll="0">
      <items>
        <item x="0"/>
        <item t="default"/>
      </items>
    </pivotField>
    <pivotField name="Lik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WEEKNUM" compact="0" outline="0" multipleItemSelectionAllowed="1" showAll="0">
      <items>
        <item x="0"/>
        <item x="1"/>
        <item x="2"/>
        <item x="3"/>
        <item x="4"/>
        <item x="5"/>
        <item x="6"/>
        <item x="7"/>
        <item x="8"/>
        <item x="9"/>
        <item x="10"/>
        <item x="11"/>
        <item t="default"/>
      </items>
    </pivotField>
    <pivotField name="HOUR" compact="0" outline="0" multipleItemSelectionAllowed="1" showAll="0">
      <items>
        <item x="0"/>
        <item x="1"/>
        <item x="2"/>
        <item x="3"/>
        <item x="4"/>
        <item x="5"/>
        <item x="6"/>
        <item x="7"/>
        <item x="8"/>
        <item x="9"/>
        <item x="10"/>
        <item x="11"/>
        <item x="12"/>
        <item x="13"/>
        <item x="14"/>
        <item x="15"/>
        <item x="16"/>
        <item x="17"/>
        <item t="default"/>
      </items>
    </pivotField>
    <pivotField name="PROMOTION" compact="0" outline="0" multipleItemSelectionAllowed="1" showAll="0">
      <items>
        <item x="0"/>
        <item x="1"/>
        <item t="default"/>
      </items>
    </pivotField>
    <pivotField name="Only 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t="default"/>
      </items>
    </pivotField>
    <pivotField name="=FILTER(A1:Q301,Q1:Q301)" compact="0" outline="0" multipleItemSelectionAllowed="1" showAll="0">
      <items>
        <item x="0"/>
        <item t="default"/>
      </items>
    </pivotField>
    <pivotField name="REFINE queries" compact="0" numFmtId="164"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 "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2" compact="0" outline="0" multipleItemSelectionAllowed="1" showAll="0">
      <items>
        <item x="0"/>
        <item x="1"/>
        <item t="default"/>
      </items>
    </pivotField>
    <pivotField name=" 3"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4" compact="0" outline="0" multipleItemSelectionAllowed="1" showAll="0">
      <items>
        <item x="0"/>
        <item x="1"/>
        <item t="default"/>
      </items>
    </pivotField>
    <pivotField name=" 5" compact="0" outline="0" multipleItemSelectionAllowed="1" showAll="0">
      <items>
        <item x="0"/>
        <item x="1"/>
        <item t="default"/>
      </items>
    </pivotField>
    <pivotField name=" 6"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7"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8" compact="0" outline="0" multipleItemSelectionAllowed="1" showAll="0">
      <items>
        <item x="0"/>
        <item x="1"/>
        <item t="default"/>
      </items>
    </pivotField>
    <pivotField name=" 9"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10"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11" compact="0" outline="0" multipleItemSelectionAllowed="1" showAll="0">
      <items>
        <item x="0"/>
        <item x="1"/>
        <item x="2"/>
        <item x="3"/>
        <item x="4"/>
        <item x="5"/>
        <item x="6"/>
        <item x="7"/>
        <item x="8"/>
        <item x="9"/>
        <item x="10"/>
        <item x="11"/>
        <item x="12"/>
        <item x="13"/>
        <item x="14"/>
        <item x="15"/>
        <item x="16"/>
        <item x="17"/>
        <item x="18"/>
        <item t="default"/>
      </items>
    </pivotField>
    <pivotField name=" 12" compact="0" outline="0" multipleItemSelectionAllowed="1" showAll="0">
      <items>
        <item x="0"/>
        <item x="1"/>
        <item x="2"/>
        <item x="3"/>
        <item x="4"/>
        <item x="5"/>
        <item x="6"/>
        <item x="7"/>
        <item x="8"/>
        <item x="9"/>
        <item x="10"/>
        <item x="11"/>
        <item x="12"/>
        <item x="13"/>
        <item x="14"/>
        <item x="15"/>
        <item x="16"/>
        <item x="17"/>
        <item t="default"/>
      </items>
    </pivotField>
    <pivotField name=" 13"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 14" compact="0" outline="0" multipleItemSelectionAllowed="1" showAll="0">
      <items>
        <item x="0"/>
        <item x="1"/>
        <item x="2"/>
        <item x="3"/>
        <item x="4"/>
        <item x="5"/>
        <item x="6"/>
        <item x="7"/>
        <item x="8"/>
        <item x="9"/>
        <item x="10"/>
        <item t="default"/>
      </items>
    </pivotField>
    <pivotField name=" 15" compact="0" outline="0" multipleItemSelectionAllowed="1" showAll="0">
      <items>
        <item x="0"/>
        <item x="1"/>
        <item x="2"/>
        <item x="3"/>
        <item x="4"/>
        <item x="5"/>
        <item x="6"/>
        <item x="7"/>
        <item x="8"/>
        <item x="9"/>
        <item t="default"/>
      </items>
    </pivotField>
    <pivotField name=" 16" compact="0" outline="0" multipleItemSelectionAllowed="1" showAll="0">
      <items>
        <item x="0"/>
        <item x="1"/>
        <item t="default"/>
      </items>
    </pivotField>
  </pivotFields>
  <rowFields>
    <field x="5"/>
  </rowFields>
  <colFields>
    <field x="-2"/>
  </colFields>
  <dataFields>
    <dataField name="COUNTA of Content type" fld="5" subtotal="count" baseField="0"/>
    <dataField name="SUM of Likes" fld="9" baseField="0"/>
    <dataField name="AVERAGE of Likes" fld="9"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Name (Profile)">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WEEKNUM">
  <x14:extLst>
    <ext uri="{2F2917AC-EB37-4324-AD4E-5DD8C200BD13}">
      <x15:tableSlicerCache tableId="1" column="1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5" sourceName="WEEKNUM">
  <x14:extLst>
    <ext uri="{2F2917AC-EB37-4324-AD4E-5DD8C200BD13}">
      <x15:tableSlicerCache tableId="2" column="1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5" sourceName="WEEKNUM">
  <x14:extLst>
    <ext uri="{2F2917AC-EB37-4324-AD4E-5DD8C200BD13}">
      <x15:tableSlicerCache tableId="3" column="1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Name (Profile)_1" cache="SlicerCache_Table_1_Col_3" caption="Name (Profile)" rowHeight="247650"/>
  <x14:slicer name="WEEKNUM_2" cache="SlicerCache_Table_1_Col_15" caption="WEEKNU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WEEKNUM_3" cache="SlicerCache_Table_1_Col_15" caption="WEEKNUM" rowHeight="247650"/>
  <x14:slicer name="WEEKNUM_4" cache="SlicerCache_Table_1_Col_15" caption="WEEKNUM"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WEEKNUM_5" cache="SlicerCache_Table_2_Col_15" caption="WEEKNUM"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WEEKNUM_6" cache="SlicerCache_Table_3_Col_15" caption="WEEKNUM" rowHeight="247650"/>
</x14:slicers>
</file>

<file path=xl/tables/table1.xml><?xml version="1.0" encoding="utf-8"?>
<table xmlns="http://schemas.openxmlformats.org/spreadsheetml/2006/main" ref="A1:T548" displayName="Table_1" id="1">
  <autoFilter ref="$A$1:$T$548"/>
  <tableColumns count="20">
    <tableColumn name="Created date" id="1"/>
    <tableColumn name="Created time" id="2"/>
    <tableColumn name="Name (Profile)" id="3"/>
    <tableColumn name="Post ID" id="4"/>
    <tableColumn name="Post type" id="5"/>
    <tableColumn name="Content type" id="6"/>
    <tableColumn name="Message" id="7"/>
    <tableColumn name="Link to post" id="8"/>
    <tableColumn name="Posts" id="9"/>
    <tableColumn name="Likes" id="10"/>
    <tableColumn name="Reactions" id="11"/>
    <tableColumn name="Comments" id="12"/>
    <tableColumn name="Post shares" id="13"/>
    <tableColumn name="Likes per post" id="14"/>
    <tableColumn name="WEEKNUM" id="15"/>
    <tableColumn name="HOUR" id="16"/>
    <tableColumn name="PROMOTION" id="17"/>
    <tableColumn name="Only Reactions" id="18"/>
    <tableColumn name="=FILTER(A1:Q301,Q1:Q301)" id="19"/>
    <tableColumn name="REFINE queries" id="20"/>
  </tableColumns>
  <tableStyleInfo showColumnStripes="0" showFirstColumn="0" showLastColumn="0" showRowStripes="0"/>
</table>
</file>

<file path=xl/tables/table2.xml><?xml version="1.0" encoding="utf-8"?>
<table xmlns="http://schemas.openxmlformats.org/spreadsheetml/2006/main" ref="A1:T301" displayName="Table_2" id="2">
  <autoFilter ref="$A$1:$T$301"/>
  <tableColumns count="20">
    <tableColumn name="Created date" id="1"/>
    <tableColumn name="Created time" id="2"/>
    <tableColumn name="Name (Profile)" id="3"/>
    <tableColumn name="Post ID" id="4"/>
    <tableColumn name="Post type" id="5"/>
    <tableColumn name="Content type" id="6"/>
    <tableColumn name="Message" id="7"/>
    <tableColumn name="Link to post" id="8"/>
    <tableColumn name="Posts" id="9"/>
    <tableColumn name="Likes" id="10"/>
    <tableColumn name="Reactions" id="11"/>
    <tableColumn name="Comments" id="12"/>
    <tableColumn name="Post shares" id="13"/>
    <tableColumn name="Likes per post" id="14"/>
    <tableColumn name="WEEKNUM" id="15"/>
    <tableColumn name="HOUR" id="16"/>
    <tableColumn name="PROMOTION" id="17"/>
    <tableColumn name="Only Reactions" id="18"/>
    <tableColumn name="=FILTER(A1:Q301,Q1:Q301)" id="19"/>
    <tableColumn name="REFINE queries" id="20"/>
  </tableColumns>
  <tableStyleInfo showColumnStripes="0" showFirstColumn="0" showLastColumn="0" showRowStripes="0"/>
</table>
</file>

<file path=xl/tables/table3.xml><?xml version="1.0" encoding="utf-8"?>
<table xmlns="http://schemas.openxmlformats.org/spreadsheetml/2006/main" ref="A1:R248" displayName="Table_3" id="3">
  <autoFilter ref="$A$1:$R$248"/>
  <tableColumns count="18">
    <tableColumn name="Created date" id="1"/>
    <tableColumn name="Created time" id="2"/>
    <tableColumn name="Name (Profile)" id="3"/>
    <tableColumn name="Post ID" id="4"/>
    <tableColumn name="Post type" id="5"/>
    <tableColumn name="Content type" id="6"/>
    <tableColumn name="Message" id="7"/>
    <tableColumn name="Link to post" id="8"/>
    <tableColumn name="Posts" id="9"/>
    <tableColumn name="Likes" id="10"/>
    <tableColumn name="Reactions" id="11"/>
    <tableColumn name="Comments" id="12"/>
    <tableColumn name="Post shares" id="13"/>
    <tableColumn name="Likes per post" id="14"/>
    <tableColumn name="WEEKNUM" id="15"/>
    <tableColumn name="HOUR" id="16"/>
    <tableColumn name="PROMOTION" id="17"/>
    <tableColumn name="Only Reactions" id="18"/>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hyperlink" Target="mailto:nenynoramon@gmail.com" TargetMode="External"/><Relationship Id="rId3"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acebook.com/740460599475760/posts/1962250917296716/" TargetMode="External"/><Relationship Id="rId190" Type="http://schemas.openxmlformats.org/officeDocument/2006/relationships/hyperlink" Target="https://www.facebook.com/740460599475760/posts/1936441439877664/" TargetMode="External"/><Relationship Id="rId42" Type="http://schemas.openxmlformats.org/officeDocument/2006/relationships/hyperlink" Target="https://www.facebook.com/740460599475760/posts/1966941793494295/" TargetMode="External"/><Relationship Id="rId41" Type="http://schemas.openxmlformats.org/officeDocument/2006/relationships/hyperlink" Target="https://www.facebook.com/740460599475760/posts/1909625719225903/" TargetMode="External"/><Relationship Id="rId44" Type="http://schemas.openxmlformats.org/officeDocument/2006/relationships/hyperlink" Target="https://www.facebook.com/740460599475760/posts/1966951500159991/" TargetMode="External"/><Relationship Id="rId194" Type="http://schemas.openxmlformats.org/officeDocument/2006/relationships/hyperlink" Target="https://www.facebook.com/740460599475760/posts/1936327786555696/" TargetMode="External"/><Relationship Id="rId43" Type="http://schemas.openxmlformats.org/officeDocument/2006/relationships/hyperlink" Target="https://www.facebook.com/740460599475760/posts/1910441942477614/" TargetMode="External"/><Relationship Id="rId193" Type="http://schemas.openxmlformats.org/officeDocument/2006/relationships/hyperlink" Target="https://www.facebook.com/740460599475760/posts/1936318723223269/" TargetMode="External"/><Relationship Id="rId46" Type="http://schemas.openxmlformats.org/officeDocument/2006/relationships/hyperlink" Target="https://www.facebook.com/740460599475760/posts/1966884233500051/" TargetMode="External"/><Relationship Id="rId192" Type="http://schemas.openxmlformats.org/officeDocument/2006/relationships/hyperlink" Target="https://www.facebook.com/740460599475760/posts/1936446436543831/" TargetMode="External"/><Relationship Id="rId45" Type="http://schemas.openxmlformats.org/officeDocument/2006/relationships/hyperlink" Target="https://www.facebook.com/740460599475760/posts/1910533969135078/" TargetMode="External"/><Relationship Id="rId191" Type="http://schemas.openxmlformats.org/officeDocument/2006/relationships/hyperlink" Target="https://www.facebook.com/740460599475760/posts/1933548783500263/" TargetMode="External"/><Relationship Id="rId48" Type="http://schemas.openxmlformats.org/officeDocument/2006/relationships/hyperlink" Target="https://www.facebook.com/740460599475760/posts/1910465929141882/" TargetMode="External"/><Relationship Id="rId187" Type="http://schemas.openxmlformats.org/officeDocument/2006/relationships/hyperlink" Target="https://www.facebook.com/740460599475760/posts/1935583059963502/" TargetMode="External"/><Relationship Id="rId47" Type="http://schemas.openxmlformats.org/officeDocument/2006/relationships/hyperlink" Target="https://www.facebook.com/740460599475760/posts/1910576212464187/" TargetMode="External"/><Relationship Id="rId186" Type="http://schemas.openxmlformats.org/officeDocument/2006/relationships/hyperlink" Target="https://www.facebook.com/740460599475760/posts/1935564853298656/" TargetMode="External"/><Relationship Id="rId185" Type="http://schemas.openxmlformats.org/officeDocument/2006/relationships/hyperlink" Target="https://www.facebook.com/740460599475760/posts/1935555239966284/" TargetMode="External"/><Relationship Id="rId49" Type="http://schemas.openxmlformats.org/officeDocument/2006/relationships/hyperlink" Target="https://www.facebook.com/740460599475760/posts/1910471942474614/" TargetMode="External"/><Relationship Id="rId184" Type="http://schemas.openxmlformats.org/officeDocument/2006/relationships/hyperlink" Target="https://www.facebook.com/740460599475760/posts/1933545816833893/" TargetMode="External"/><Relationship Id="rId189" Type="http://schemas.openxmlformats.org/officeDocument/2006/relationships/hyperlink" Target="https://www.facebook.com/740460599475760/posts/1936200256568449/" TargetMode="External"/><Relationship Id="rId188" Type="http://schemas.openxmlformats.org/officeDocument/2006/relationships/hyperlink" Target="https://www.facebook.com/740460599475760/posts/1935728093282332/" TargetMode="External"/><Relationship Id="rId31" Type="http://schemas.openxmlformats.org/officeDocument/2006/relationships/hyperlink" Target="https://www.facebook.com/740460599475760/posts/1908796339308841/" TargetMode="External"/><Relationship Id="rId30" Type="http://schemas.openxmlformats.org/officeDocument/2006/relationships/hyperlink" Target="https://www.facebook.com/740460599475760/posts/1947520292103112/" TargetMode="External"/><Relationship Id="rId33" Type="http://schemas.openxmlformats.org/officeDocument/2006/relationships/hyperlink" Target="https://www.facebook.com/740460599475760/posts/1909427849245690/" TargetMode="External"/><Relationship Id="rId183" Type="http://schemas.openxmlformats.org/officeDocument/2006/relationships/hyperlink" Target="https://www.facebook.com/740460599475760/posts/1933474060174402/" TargetMode="External"/><Relationship Id="rId32" Type="http://schemas.openxmlformats.org/officeDocument/2006/relationships/hyperlink" Target="https://www.facebook.com/740460599475760/posts/1947591738762634/" TargetMode="External"/><Relationship Id="rId182" Type="http://schemas.openxmlformats.org/officeDocument/2006/relationships/hyperlink" Target="https://www.facebook.com/740460599475760/posts/1935447329977075/" TargetMode="External"/><Relationship Id="rId35" Type="http://schemas.openxmlformats.org/officeDocument/2006/relationships/hyperlink" Target="https://www.facebook.com/740460599475760/posts/1908796782642130/" TargetMode="External"/><Relationship Id="rId181" Type="http://schemas.openxmlformats.org/officeDocument/2006/relationships/hyperlink" Target="https://www.facebook.com/740460599475760/posts/1933473546841120/" TargetMode="External"/><Relationship Id="rId34" Type="http://schemas.openxmlformats.org/officeDocument/2006/relationships/hyperlink" Target="https://www.facebook.com/740460599475760/posts/1958524954335979/" TargetMode="External"/><Relationship Id="rId180" Type="http://schemas.openxmlformats.org/officeDocument/2006/relationships/hyperlink" Target="https://www.facebook.com/freefireth/videos/306128691099558/" TargetMode="External"/><Relationship Id="rId37" Type="http://schemas.openxmlformats.org/officeDocument/2006/relationships/hyperlink" Target="https://www.facebook.com/740460599475760/posts/1908797172642091/" TargetMode="External"/><Relationship Id="rId176" Type="http://schemas.openxmlformats.org/officeDocument/2006/relationships/hyperlink" Target="https://www.facebook.com/740460599475760/posts/1933552703499871/" TargetMode="External"/><Relationship Id="rId297" Type="http://schemas.openxmlformats.org/officeDocument/2006/relationships/hyperlink" Target="https://www.facebook.com/740460599475760/posts/1966795856842222/" TargetMode="External"/><Relationship Id="rId36" Type="http://schemas.openxmlformats.org/officeDocument/2006/relationships/hyperlink" Target="https://www.facebook.com/740460599475760/posts/1963789900476151/" TargetMode="External"/><Relationship Id="rId175" Type="http://schemas.openxmlformats.org/officeDocument/2006/relationships/hyperlink" Target="https://www.facebook.com/740460599475760/posts/1932661716922303/" TargetMode="External"/><Relationship Id="rId296" Type="http://schemas.openxmlformats.org/officeDocument/2006/relationships/hyperlink" Target="https://www.facebook.com/740460599475760/posts/1963836677138140/" TargetMode="External"/><Relationship Id="rId39" Type="http://schemas.openxmlformats.org/officeDocument/2006/relationships/hyperlink" Target="https://www.facebook.com/740460599475760/posts/1909602242561584/" TargetMode="External"/><Relationship Id="rId174" Type="http://schemas.openxmlformats.org/officeDocument/2006/relationships/hyperlink" Target="https://www.facebook.com/740460599475760/posts/1933489020172906/" TargetMode="External"/><Relationship Id="rId295" Type="http://schemas.openxmlformats.org/officeDocument/2006/relationships/hyperlink" Target="https://www.facebook.com/740460599475760/posts/1962250917296716/" TargetMode="External"/><Relationship Id="rId38" Type="http://schemas.openxmlformats.org/officeDocument/2006/relationships/hyperlink" Target="https://www.facebook.com/740460599475760/posts/1958525884335886/" TargetMode="External"/><Relationship Id="rId173" Type="http://schemas.openxmlformats.org/officeDocument/2006/relationships/hyperlink" Target="https://www.facebook.com/740460599475760/posts/1932852616903213/" TargetMode="External"/><Relationship Id="rId294" Type="http://schemas.openxmlformats.org/officeDocument/2006/relationships/hyperlink" Target="https://www.facebook.com/740460599475760/posts/1963833767138431/" TargetMode="External"/><Relationship Id="rId179" Type="http://schemas.openxmlformats.org/officeDocument/2006/relationships/hyperlink" Target="https://www.facebook.com/740460599475760/posts/1933467933508348/" TargetMode="External"/><Relationship Id="rId178" Type="http://schemas.openxmlformats.org/officeDocument/2006/relationships/hyperlink" Target="https://www.facebook.com/740460599475760/posts/1933766253478516/" TargetMode="External"/><Relationship Id="rId299" Type="http://schemas.openxmlformats.org/officeDocument/2006/relationships/hyperlink" Target="https://www.facebook.com/740460599475760/posts/1966958943492580/" TargetMode="External"/><Relationship Id="rId177" Type="http://schemas.openxmlformats.org/officeDocument/2006/relationships/hyperlink" Target="https://www.facebook.com/740460599475760/posts/1933463956842079/" TargetMode="External"/><Relationship Id="rId298" Type="http://schemas.openxmlformats.org/officeDocument/2006/relationships/hyperlink" Target="https://www.facebook.com/freefireth/videos/3272605146348688/" TargetMode="External"/><Relationship Id="rId20" Type="http://schemas.openxmlformats.org/officeDocument/2006/relationships/hyperlink" Target="https://www.facebook.com/740460599475760/posts/1932661716922303/" TargetMode="External"/><Relationship Id="rId22" Type="http://schemas.openxmlformats.org/officeDocument/2006/relationships/hyperlink" Target="https://www.facebook.com/740460599475760/posts/1940979659423842/" TargetMode="External"/><Relationship Id="rId21" Type="http://schemas.openxmlformats.org/officeDocument/2006/relationships/hyperlink" Target="https://www.facebook.com/740460599475760/posts/1908168186038323/" TargetMode="External"/><Relationship Id="rId24" Type="http://schemas.openxmlformats.org/officeDocument/2006/relationships/hyperlink" Target="https://www.facebook.com/740460599475760/posts/1943970059124802/" TargetMode="External"/><Relationship Id="rId23" Type="http://schemas.openxmlformats.org/officeDocument/2006/relationships/hyperlink" Target="https://www.facebook.com/740460599475760/posts/1908168586038283/" TargetMode="External"/><Relationship Id="rId26" Type="http://schemas.openxmlformats.org/officeDocument/2006/relationships/hyperlink" Target="https://www.facebook.com/740460599475760/posts/1941444886043986/" TargetMode="External"/><Relationship Id="rId25" Type="http://schemas.openxmlformats.org/officeDocument/2006/relationships/hyperlink" Target="https://www.facebook.com/740460599475760/posts/1908404846014657/" TargetMode="External"/><Relationship Id="rId28" Type="http://schemas.openxmlformats.org/officeDocument/2006/relationships/hyperlink" Target="https://www.facebook.com/740460599475760/posts/1946179912237150/" TargetMode="External"/><Relationship Id="rId27" Type="http://schemas.openxmlformats.org/officeDocument/2006/relationships/hyperlink" Target="https://www.facebook.com/740460599475760/posts/1908703655984776/" TargetMode="External"/><Relationship Id="rId29" Type="http://schemas.openxmlformats.org/officeDocument/2006/relationships/hyperlink" Target="https://www.facebook.com/740460599475760/posts/1908306979357777/" TargetMode="External"/><Relationship Id="rId11" Type="http://schemas.openxmlformats.org/officeDocument/2006/relationships/hyperlink" Target="https://www.facebook.com/740460599475760/posts/1905076383014170/" TargetMode="External"/><Relationship Id="rId10" Type="http://schemas.openxmlformats.org/officeDocument/2006/relationships/hyperlink" Target="https://www.facebook.com/740460599475760/posts/1920381241483684/" TargetMode="External"/><Relationship Id="rId13" Type="http://schemas.openxmlformats.org/officeDocument/2006/relationships/hyperlink" Target="https://www.facebook.com/740460599475760/posts/1905076663014142/" TargetMode="External"/><Relationship Id="rId12" Type="http://schemas.openxmlformats.org/officeDocument/2006/relationships/hyperlink" Target="https://www.facebook.com/740460599475760/posts/1925663274288814/" TargetMode="External"/><Relationship Id="rId15" Type="http://schemas.openxmlformats.org/officeDocument/2006/relationships/hyperlink" Target="https://www.facebook.com/740460599475760/posts/1905962889592186/" TargetMode="External"/><Relationship Id="rId198" Type="http://schemas.openxmlformats.org/officeDocument/2006/relationships/hyperlink" Target="https://www.facebook.com/740460599475760/posts/1937032936485181/" TargetMode="External"/><Relationship Id="rId14" Type="http://schemas.openxmlformats.org/officeDocument/2006/relationships/hyperlink" Target="https://www.facebook.com/740460599475760/posts/1928423800679428/" TargetMode="External"/><Relationship Id="rId197" Type="http://schemas.openxmlformats.org/officeDocument/2006/relationships/hyperlink" Target="https://www.facebook.com/740460599475760/posts/1936337043221437/" TargetMode="External"/><Relationship Id="rId17" Type="http://schemas.openxmlformats.org/officeDocument/2006/relationships/hyperlink" Target="https://www.facebook.com/740460599475760/posts/1905162739672201/" TargetMode="External"/><Relationship Id="rId196" Type="http://schemas.openxmlformats.org/officeDocument/2006/relationships/hyperlink" Target="https://www.facebook.com/freefireth/videos/4546634405427841/" TargetMode="External"/><Relationship Id="rId16" Type="http://schemas.openxmlformats.org/officeDocument/2006/relationships/hyperlink" Target="https://www.facebook.com/740460599475760/posts/1925661867622288/" TargetMode="External"/><Relationship Id="rId195" Type="http://schemas.openxmlformats.org/officeDocument/2006/relationships/hyperlink" Target="https://www.facebook.com/740460599475760/posts/1936326133222528/" TargetMode="External"/><Relationship Id="rId19" Type="http://schemas.openxmlformats.org/officeDocument/2006/relationships/hyperlink" Target="https://www.facebook.com/740460599475760/posts/1905971419591333/" TargetMode="External"/><Relationship Id="rId18" Type="http://schemas.openxmlformats.org/officeDocument/2006/relationships/hyperlink" Target="https://www.facebook.com/740460599475760/posts/1931154987072976/" TargetMode="External"/><Relationship Id="rId199" Type="http://schemas.openxmlformats.org/officeDocument/2006/relationships/hyperlink" Target="https://www.facebook.com/740460599475760/posts/1937030689818739/" TargetMode="External"/><Relationship Id="rId84" Type="http://schemas.openxmlformats.org/officeDocument/2006/relationships/hyperlink" Target="https://www.facebook.com/740460599475760/posts/1916023201919488/" TargetMode="External"/><Relationship Id="rId83" Type="http://schemas.openxmlformats.org/officeDocument/2006/relationships/hyperlink" Target="https://www.facebook.com/740460599475760/posts/1914643625390779/" TargetMode="External"/><Relationship Id="rId86" Type="http://schemas.openxmlformats.org/officeDocument/2006/relationships/hyperlink" Target="https://www.facebook.com/740460599475760/posts/1917113598477115/" TargetMode="External"/><Relationship Id="rId85" Type="http://schemas.openxmlformats.org/officeDocument/2006/relationships/hyperlink" Target="https://www.facebook.com/740460599475760/posts/1916236491898159/" TargetMode="External"/><Relationship Id="rId88" Type="http://schemas.openxmlformats.org/officeDocument/2006/relationships/hyperlink" Target="https://www.facebook.com/740460599475760/posts/1917028241818984/" TargetMode="External"/><Relationship Id="rId150" Type="http://schemas.openxmlformats.org/officeDocument/2006/relationships/hyperlink" Target="https://www.facebook.com/740460599475760/posts/1928427537345721/" TargetMode="External"/><Relationship Id="rId271" Type="http://schemas.openxmlformats.org/officeDocument/2006/relationships/hyperlink" Target="https://www.facebook.com/freefireth/videos/447029496861849/" TargetMode="External"/><Relationship Id="rId87" Type="http://schemas.openxmlformats.org/officeDocument/2006/relationships/hyperlink" Target="https://www.facebook.com/740460599475760/posts/1917008835154258/" TargetMode="External"/><Relationship Id="rId270" Type="http://schemas.openxmlformats.org/officeDocument/2006/relationships/hyperlink" Target="https://www.facebook.com/740460599475760/posts/1963277000527441/" TargetMode="External"/><Relationship Id="rId89" Type="http://schemas.openxmlformats.org/officeDocument/2006/relationships/hyperlink" Target="https://www.facebook.com/740460599475760/posts/1917063088482166/" TargetMode="External"/><Relationship Id="rId80" Type="http://schemas.openxmlformats.org/officeDocument/2006/relationships/hyperlink" Target="https://www.facebook.com/740460599475760/posts/1914641738724301/" TargetMode="External"/><Relationship Id="rId82" Type="http://schemas.openxmlformats.org/officeDocument/2006/relationships/hyperlink" Target="https://www.facebook.com/740460599475760/posts/1916081251913683/" TargetMode="External"/><Relationship Id="rId81" Type="http://schemas.openxmlformats.org/officeDocument/2006/relationships/hyperlink" Target="https://www.facebook.com/740460599475760/posts/1914733125381829/"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939169594558/" TargetMode="External"/><Relationship Id="rId3" Type="http://schemas.openxmlformats.org/officeDocument/2006/relationships/hyperlink" Target="https://www.facebook.com/740460599475760/posts/1905065849681890/" TargetMode="External"/><Relationship Id="rId149" Type="http://schemas.openxmlformats.org/officeDocument/2006/relationships/hyperlink" Target="https://www.facebook.com/740460599475760/posts/1928451200676688/" TargetMode="External"/><Relationship Id="rId4" Type="http://schemas.openxmlformats.org/officeDocument/2006/relationships/hyperlink" Target="https://www.facebook.com/740460599475760/posts/1905162739672201/" TargetMode="External"/><Relationship Id="rId148" Type="http://schemas.openxmlformats.org/officeDocument/2006/relationships/hyperlink" Target="https://www.facebook.com/740460599475760/posts/1928425317345943/" TargetMode="External"/><Relationship Id="rId269" Type="http://schemas.openxmlformats.org/officeDocument/2006/relationships/hyperlink" Target="https://www.facebook.com/740460599475760/posts/1963778730477268/" TargetMode="External"/><Relationship Id="rId9" Type="http://schemas.openxmlformats.org/officeDocument/2006/relationships/hyperlink" Target="https://www.facebook.com/740460599475760/posts/1905939169594558/" TargetMode="External"/><Relationship Id="rId143" Type="http://schemas.openxmlformats.org/officeDocument/2006/relationships/hyperlink" Target="https://www.facebook.com/740460599475760/posts/1927470357441439/" TargetMode="External"/><Relationship Id="rId264" Type="http://schemas.openxmlformats.org/officeDocument/2006/relationships/hyperlink" Target="https://www.facebook.com/740460599475760/posts/1951271898394618/" TargetMode="External"/><Relationship Id="rId142" Type="http://schemas.openxmlformats.org/officeDocument/2006/relationships/hyperlink" Target="https://www.facebook.com/740460599475760/posts/1927801720741636/?substory_index=0" TargetMode="External"/><Relationship Id="rId263" Type="http://schemas.openxmlformats.org/officeDocument/2006/relationships/hyperlink" Target="https://www.facebook.com/740460599475760/posts/1949241151931026/" TargetMode="External"/><Relationship Id="rId141" Type="http://schemas.openxmlformats.org/officeDocument/2006/relationships/hyperlink" Target="https://www.facebook.com/740460599475760/posts/1927797234075418/" TargetMode="External"/><Relationship Id="rId262" Type="http://schemas.openxmlformats.org/officeDocument/2006/relationships/hyperlink" Target="https://www.facebook.com/740460599475760/posts/1949254281929713/" TargetMode="External"/><Relationship Id="rId140" Type="http://schemas.openxmlformats.org/officeDocument/2006/relationships/hyperlink" Target="https://www.facebook.com/740460599475760/posts/1926689657519509/" TargetMode="External"/><Relationship Id="rId261" Type="http://schemas.openxmlformats.org/officeDocument/2006/relationships/hyperlink" Target="https://www.facebook.com/740460599475760/posts/1948421818679626/" TargetMode="External"/><Relationship Id="rId5" Type="http://schemas.openxmlformats.org/officeDocument/2006/relationships/hyperlink" Target="https://www.facebook.com/740460599475760/posts/1905729416282200/" TargetMode="External"/><Relationship Id="rId147" Type="http://schemas.openxmlformats.org/officeDocument/2006/relationships/hyperlink" Target="https://www.facebook.com/740460599475760/posts/1928424837345991/" TargetMode="External"/><Relationship Id="rId268" Type="http://schemas.openxmlformats.org/officeDocument/2006/relationships/hyperlink" Target="https://www.facebook.com/740460599475760/posts/1963557903832684/" TargetMode="External"/><Relationship Id="rId6" Type="http://schemas.openxmlformats.org/officeDocument/2006/relationships/hyperlink" Target="https://www.facebook.com/740460599475760/posts/1914639852057823/" TargetMode="External"/><Relationship Id="rId146" Type="http://schemas.openxmlformats.org/officeDocument/2006/relationships/hyperlink" Target="https://www.facebook.com/740460599475760/posts/1928423800679428/" TargetMode="External"/><Relationship Id="rId267" Type="http://schemas.openxmlformats.org/officeDocument/2006/relationships/hyperlink" Target="https://www.facebook.com/740460599475760/posts/1951423808379427/" TargetMode="External"/><Relationship Id="rId7" Type="http://schemas.openxmlformats.org/officeDocument/2006/relationships/hyperlink" Target="https://www.facebook.com/740460599475760/posts/1905068203014988/" TargetMode="External"/><Relationship Id="rId145" Type="http://schemas.openxmlformats.org/officeDocument/2006/relationships/hyperlink" Target="https://www.facebook.com/740460599475760/posts/1928356114019530/" TargetMode="External"/><Relationship Id="rId266" Type="http://schemas.openxmlformats.org/officeDocument/2006/relationships/hyperlink" Target="https://www.facebook.com/740460599475760/posts/1951513731703768/" TargetMode="External"/><Relationship Id="rId8" Type="http://schemas.openxmlformats.org/officeDocument/2006/relationships/hyperlink" Target="https://www.facebook.com/740460599475760/posts/1917094281812380/" TargetMode="External"/><Relationship Id="rId144" Type="http://schemas.openxmlformats.org/officeDocument/2006/relationships/hyperlink" Target="https://www.facebook.com/740460599475760/posts/1925663274288814/" TargetMode="External"/><Relationship Id="rId265" Type="http://schemas.openxmlformats.org/officeDocument/2006/relationships/hyperlink" Target="https://www.facebook.com/740460599475760/posts/1951403998381408/" TargetMode="External"/><Relationship Id="rId73" Type="http://schemas.openxmlformats.org/officeDocument/2006/relationships/hyperlink" Target="https://www.facebook.com/740460599475760/posts/1914580795397062/" TargetMode="External"/><Relationship Id="rId72" Type="http://schemas.openxmlformats.org/officeDocument/2006/relationships/hyperlink" Target="https://www.facebook.com/740460599475760/posts/1913811978807277/" TargetMode="External"/><Relationship Id="rId75" Type="http://schemas.openxmlformats.org/officeDocument/2006/relationships/hyperlink" Target="https://www.facebook.com/740460599475760/posts/1913812335473908/" TargetMode="External"/><Relationship Id="rId74" Type="http://schemas.openxmlformats.org/officeDocument/2006/relationships/hyperlink" Target="https://www.facebook.com/740460599475760/posts/1914615942060214/" TargetMode="External"/><Relationship Id="rId77" Type="http://schemas.openxmlformats.org/officeDocument/2006/relationships/hyperlink" Target="https://www.facebook.com/740460599475760/posts/1914639852057823/" TargetMode="External"/><Relationship Id="rId260" Type="http://schemas.openxmlformats.org/officeDocument/2006/relationships/hyperlink" Target="https://www.facebook.com/740460599475760/posts/1949239088597899/" TargetMode="External"/><Relationship Id="rId76" Type="http://schemas.openxmlformats.org/officeDocument/2006/relationships/hyperlink" Target="https://www.facebook.com/740460599475760/posts/1914640848724390/" TargetMode="External"/><Relationship Id="rId79" Type="http://schemas.openxmlformats.org/officeDocument/2006/relationships/hyperlink" Target="https://www.facebook.com/740460599475760/posts/1914729018715573/" TargetMode="External"/><Relationship Id="rId78" Type="http://schemas.openxmlformats.org/officeDocument/2006/relationships/hyperlink" Target="https://www.facebook.com/740460599475760/posts/1914765935378548/" TargetMode="External"/><Relationship Id="rId71" Type="http://schemas.openxmlformats.org/officeDocument/2006/relationships/hyperlink" Target="https://www.facebook.com/740460599475760/posts/1913642725490869/" TargetMode="External"/><Relationship Id="rId70" Type="http://schemas.openxmlformats.org/officeDocument/2006/relationships/hyperlink" Target="https://www.facebook.com/740460599475760/posts/1911250759063399/" TargetMode="External"/><Relationship Id="rId139" Type="http://schemas.openxmlformats.org/officeDocument/2006/relationships/hyperlink" Target="https://www.facebook.com/740460599475760/posts/1926680174187124/" TargetMode="External"/><Relationship Id="rId138" Type="http://schemas.openxmlformats.org/officeDocument/2006/relationships/hyperlink" Target="https://www.facebook.com/740460599475760/posts/1927511477437327/" TargetMode="External"/><Relationship Id="rId259" Type="http://schemas.openxmlformats.org/officeDocument/2006/relationships/hyperlink" Target="https://www.facebook.com/740460599475760/posts/1949240285264446/" TargetMode="External"/><Relationship Id="rId137" Type="http://schemas.openxmlformats.org/officeDocument/2006/relationships/hyperlink" Target="https://www.facebook.com/740460599475760/posts/1926629087525566/" TargetMode="External"/><Relationship Id="rId258" Type="http://schemas.openxmlformats.org/officeDocument/2006/relationships/hyperlink" Target="https://www.facebook.com/740460599475760/posts/1947591738762634/" TargetMode="External"/><Relationship Id="rId132" Type="http://schemas.openxmlformats.org/officeDocument/2006/relationships/hyperlink" Target="https://www.facebook.com/740460599475760/posts/1925742604280881/" TargetMode="External"/><Relationship Id="rId253" Type="http://schemas.openxmlformats.org/officeDocument/2006/relationships/hyperlink" Target="https://www.facebook.com/740460599475760/posts/1947013265487148/" TargetMode="External"/><Relationship Id="rId131" Type="http://schemas.openxmlformats.org/officeDocument/2006/relationships/hyperlink" Target="https://www.facebook.com/740460599475760/posts/1925741547614320/" TargetMode="External"/><Relationship Id="rId252" Type="http://schemas.openxmlformats.org/officeDocument/2006/relationships/hyperlink" Target="https://www.facebook.com/740460599475760/posts/1949208095267665/" TargetMode="External"/><Relationship Id="rId130" Type="http://schemas.openxmlformats.org/officeDocument/2006/relationships/hyperlink" Target="https://www.facebook.com/740460599475760/posts/1925619187626556/" TargetMode="External"/><Relationship Id="rId251" Type="http://schemas.openxmlformats.org/officeDocument/2006/relationships/hyperlink" Target="https://www.facebook.com/740460599475760/posts/1948391182016023/" TargetMode="External"/><Relationship Id="rId250" Type="http://schemas.openxmlformats.org/officeDocument/2006/relationships/hyperlink" Target="https://www.facebook.com/740460599475760/posts/1947673822087759/" TargetMode="External"/><Relationship Id="rId136" Type="http://schemas.openxmlformats.org/officeDocument/2006/relationships/hyperlink" Target="https://www.facebook.com/740460599475760/posts/1926628300858978/" TargetMode="External"/><Relationship Id="rId257" Type="http://schemas.openxmlformats.org/officeDocument/2006/relationships/hyperlink" Target="https://www.facebook.com/740460599475760/posts/1949234531931688/" TargetMode="External"/><Relationship Id="rId135" Type="http://schemas.openxmlformats.org/officeDocument/2006/relationships/hyperlink" Target="https://www.facebook.com/740460599475760/posts/1926627490859059/" TargetMode="External"/><Relationship Id="rId256" Type="http://schemas.openxmlformats.org/officeDocument/2006/relationships/hyperlink" Target="https://www.facebook.com/740460599475760/posts/1949238361931305/" TargetMode="External"/><Relationship Id="rId134" Type="http://schemas.openxmlformats.org/officeDocument/2006/relationships/hyperlink" Target="https://www.facebook.com/740460599475760/posts/1926468667541608/" TargetMode="External"/><Relationship Id="rId255" Type="http://schemas.openxmlformats.org/officeDocument/2006/relationships/hyperlink" Target="https://www.facebook.com/740460599475760/posts/1949233491931792/" TargetMode="External"/><Relationship Id="rId133" Type="http://schemas.openxmlformats.org/officeDocument/2006/relationships/hyperlink" Target="https://www.facebook.com/740460599475760/posts/1925738904281251/" TargetMode="External"/><Relationship Id="rId254" Type="http://schemas.openxmlformats.org/officeDocument/2006/relationships/hyperlink" Target="https://www.facebook.com/740460599475760/posts/1949044658617342/" TargetMode="External"/><Relationship Id="rId62" Type="http://schemas.openxmlformats.org/officeDocument/2006/relationships/hyperlink" Target="https://www.facebook.com/740460599475760/posts/1911245965730545/" TargetMode="External"/><Relationship Id="rId61" Type="http://schemas.openxmlformats.org/officeDocument/2006/relationships/hyperlink" Target="https://www.facebook.com/740460599475760/posts/1911245445730597/" TargetMode="External"/><Relationship Id="rId64" Type="http://schemas.openxmlformats.org/officeDocument/2006/relationships/hyperlink" Target="https://www.facebook.com/740460599475760/posts/1911247819063693/" TargetMode="External"/><Relationship Id="rId63" Type="http://schemas.openxmlformats.org/officeDocument/2006/relationships/hyperlink" Target="https://www.facebook.com/740460599475760/posts/1911247305730411/" TargetMode="External"/><Relationship Id="rId66" Type="http://schemas.openxmlformats.org/officeDocument/2006/relationships/hyperlink" Target="https://www.facebook.com/740460599475760/posts/1911249899063485/" TargetMode="External"/><Relationship Id="rId172" Type="http://schemas.openxmlformats.org/officeDocument/2006/relationships/hyperlink" Target="https://www.facebook.com/740460599475760/posts/1933425790179229/" TargetMode="External"/><Relationship Id="rId293" Type="http://schemas.openxmlformats.org/officeDocument/2006/relationships/hyperlink" Target="https://www.facebook.com/freefireth/videos/4347917948653797/" TargetMode="External"/><Relationship Id="rId65" Type="http://schemas.openxmlformats.org/officeDocument/2006/relationships/hyperlink" Target="https://www.facebook.com/740460599475760/posts/1913161612205647/" TargetMode="External"/><Relationship Id="rId171" Type="http://schemas.openxmlformats.org/officeDocument/2006/relationships/hyperlink" Target="https://www.facebook.com/740460599475760/posts/1932850766903398/" TargetMode="External"/><Relationship Id="rId292" Type="http://schemas.openxmlformats.org/officeDocument/2006/relationships/hyperlink" Target="https://www.facebook.com/740460599475760/posts/1964809903707484/" TargetMode="External"/><Relationship Id="rId68" Type="http://schemas.openxmlformats.org/officeDocument/2006/relationships/hyperlink" Target="https://www.facebook.com/740460599475760/posts/1913685608819914/" TargetMode="External"/><Relationship Id="rId170" Type="http://schemas.openxmlformats.org/officeDocument/2006/relationships/hyperlink" Target="https://www.facebook.com/740460599475760/posts/1932849380236870/" TargetMode="External"/><Relationship Id="rId291" Type="http://schemas.openxmlformats.org/officeDocument/2006/relationships/hyperlink" Target="https://www.facebook.com/740460599475760/posts/1963839930471148/" TargetMode="External"/><Relationship Id="rId67" Type="http://schemas.openxmlformats.org/officeDocument/2006/relationships/hyperlink" Target="https://www.facebook.com/740460599475760/posts/1913522198836255/?substory_index=1" TargetMode="External"/><Relationship Id="rId290" Type="http://schemas.openxmlformats.org/officeDocument/2006/relationships/hyperlink" Target="https://www.facebook.com/740460599475760/posts/1954317724756702/" TargetMode="External"/><Relationship Id="rId60" Type="http://schemas.openxmlformats.org/officeDocument/2006/relationships/hyperlink" Target="https://www.facebook.com/740460599475760/posts/1911244862397322/" TargetMode="External"/><Relationship Id="rId165" Type="http://schemas.openxmlformats.org/officeDocument/2006/relationships/hyperlink" Target="https://www.facebook.com/740460599475760/posts/1932009396987535/" TargetMode="External"/><Relationship Id="rId286" Type="http://schemas.openxmlformats.org/officeDocument/2006/relationships/hyperlink" Target="https://www.facebook.com/freefireth/videos/295978249106529/" TargetMode="External"/><Relationship Id="rId69" Type="http://schemas.openxmlformats.org/officeDocument/2006/relationships/hyperlink" Target="https://www.facebook.com/740460599475760/posts/1913537378834737/" TargetMode="External"/><Relationship Id="rId164" Type="http://schemas.openxmlformats.org/officeDocument/2006/relationships/hyperlink" Target="https://www.facebook.com/740460599475760/posts/1932005006987974/" TargetMode="External"/><Relationship Id="rId285" Type="http://schemas.openxmlformats.org/officeDocument/2006/relationships/hyperlink" Target="https://www.facebook.com/740460599475760/posts/1963833210471820/" TargetMode="External"/><Relationship Id="rId163" Type="http://schemas.openxmlformats.org/officeDocument/2006/relationships/hyperlink" Target="https://www.facebook.com/740460599475760/posts/1931154987072976/" TargetMode="External"/><Relationship Id="rId284" Type="http://schemas.openxmlformats.org/officeDocument/2006/relationships/hyperlink" Target="https://www.facebook.com/740460599475760/posts/1958525884335886/" TargetMode="External"/><Relationship Id="rId162" Type="http://schemas.openxmlformats.org/officeDocument/2006/relationships/hyperlink" Target="https://www.facebook.com/740460599475760/posts/1931244117064063/" TargetMode="External"/><Relationship Id="rId283" Type="http://schemas.openxmlformats.org/officeDocument/2006/relationships/hyperlink" Target="https://www.facebook.com/740460599475760/posts/1957749637746844/" TargetMode="External"/><Relationship Id="rId169" Type="http://schemas.openxmlformats.org/officeDocument/2006/relationships/hyperlink" Target="https://www.facebook.com/740460599475760/posts/1932024120319396/" TargetMode="External"/><Relationship Id="rId168" Type="http://schemas.openxmlformats.org/officeDocument/2006/relationships/hyperlink" Target="https://www.facebook.com/740460599475760/posts/1932019070319901/" TargetMode="External"/><Relationship Id="rId289" Type="http://schemas.openxmlformats.org/officeDocument/2006/relationships/hyperlink" Target="https://www.facebook.com/740460599475760/posts/1963822657139542/" TargetMode="External"/><Relationship Id="rId167" Type="http://schemas.openxmlformats.org/officeDocument/2006/relationships/hyperlink" Target="https://www.facebook.com/740460599475760/posts/1932721116916363/" TargetMode="External"/><Relationship Id="rId288" Type="http://schemas.openxmlformats.org/officeDocument/2006/relationships/hyperlink" Target="https://www.facebook.com/740460599475760/posts/1963845677137240/" TargetMode="External"/><Relationship Id="rId166" Type="http://schemas.openxmlformats.org/officeDocument/2006/relationships/hyperlink" Target="https://www.facebook.com/740460599475760/posts/1932017340320074/" TargetMode="External"/><Relationship Id="rId287" Type="http://schemas.openxmlformats.org/officeDocument/2006/relationships/hyperlink" Target="https://www.facebook.com/740460599475760/posts/1963790573809417/" TargetMode="External"/><Relationship Id="rId51" Type="http://schemas.openxmlformats.org/officeDocument/2006/relationships/hyperlink" Target="https://www.facebook.com/740460599475760/posts/1910557712466037/" TargetMode="External"/><Relationship Id="rId50" Type="http://schemas.openxmlformats.org/officeDocument/2006/relationships/hyperlink" Target="https://www.facebook.com/740460599475760/posts/1910342392487569/" TargetMode="External"/><Relationship Id="rId53" Type="http://schemas.openxmlformats.org/officeDocument/2006/relationships/hyperlink" Target="https://www.facebook.com/740460599475760/posts/1911243259064149/" TargetMode="External"/><Relationship Id="rId52" Type="http://schemas.openxmlformats.org/officeDocument/2006/relationships/hyperlink" Target="https://www.facebook.com/740460599475760/posts/1910351379153337/" TargetMode="External"/><Relationship Id="rId55" Type="http://schemas.openxmlformats.org/officeDocument/2006/relationships/hyperlink" Target="https://www.facebook.com/740460599475760/posts/1911243639064111/" TargetMode="External"/><Relationship Id="rId161" Type="http://schemas.openxmlformats.org/officeDocument/2006/relationships/hyperlink" Target="https://www.facebook.com/740460599475760/posts/1930818393773302/" TargetMode="External"/><Relationship Id="rId282" Type="http://schemas.openxmlformats.org/officeDocument/2006/relationships/hyperlink" Target="https://www.facebook.com/740460599475760/posts/1963827217139086/" TargetMode="External"/><Relationship Id="rId54" Type="http://schemas.openxmlformats.org/officeDocument/2006/relationships/hyperlink" Target="https://www.facebook.com/740460599475760/posts/1911360665719075/" TargetMode="External"/><Relationship Id="rId160" Type="http://schemas.openxmlformats.org/officeDocument/2006/relationships/hyperlink" Target="https://www.facebook.com/740460599475760/posts/1930474490474359/" TargetMode="External"/><Relationship Id="rId281" Type="http://schemas.openxmlformats.org/officeDocument/2006/relationships/hyperlink" Target="https://www.facebook.com/740460599475760/posts/1963789900476151/" TargetMode="External"/><Relationship Id="rId57" Type="http://schemas.openxmlformats.org/officeDocument/2006/relationships/hyperlink" Target="https://www.facebook.com/740460599475760/posts/1911244335730708/" TargetMode="External"/><Relationship Id="rId280" Type="http://schemas.openxmlformats.org/officeDocument/2006/relationships/hyperlink" Target="https://www.facebook.com/740460599475760/posts/1963789357142872/" TargetMode="External"/><Relationship Id="rId56" Type="http://schemas.openxmlformats.org/officeDocument/2006/relationships/hyperlink" Target="https://www.facebook.com/740460599475760/posts/1911524132369395/" TargetMode="External"/><Relationship Id="rId159" Type="http://schemas.openxmlformats.org/officeDocument/2006/relationships/hyperlink" Target="https://www.facebook.com/freefireth/videos/1269931843454044/" TargetMode="External"/><Relationship Id="rId59" Type="http://schemas.openxmlformats.org/officeDocument/2006/relationships/hyperlink" Target="https://www.facebook.com/740460599475760/posts/1911625359025939/" TargetMode="External"/><Relationship Id="rId154" Type="http://schemas.openxmlformats.org/officeDocument/2006/relationships/hyperlink" Target="https://www.facebook.com/740460599475760/posts/1928431267345348/" TargetMode="External"/><Relationship Id="rId275" Type="http://schemas.openxmlformats.org/officeDocument/2006/relationships/hyperlink" Target="https://www.facebook.com/740460599475760/posts/1963788033809671/" TargetMode="External"/><Relationship Id="rId58" Type="http://schemas.openxmlformats.org/officeDocument/2006/relationships/hyperlink" Target="https://www.facebook.com/740460599475760/posts/1911365515718590/" TargetMode="External"/><Relationship Id="rId153" Type="http://schemas.openxmlformats.org/officeDocument/2006/relationships/hyperlink" Target="https://www.facebook.com/740460599475760/posts/1928120204043121/" TargetMode="External"/><Relationship Id="rId274" Type="http://schemas.openxmlformats.org/officeDocument/2006/relationships/hyperlink" Target="https://www.facebook.com/740460599475760/posts/1963787453809729/" TargetMode="External"/><Relationship Id="rId152" Type="http://schemas.openxmlformats.org/officeDocument/2006/relationships/hyperlink" Target="https://www.facebook.com/740460599475760/posts/1928446460677162/" TargetMode="External"/><Relationship Id="rId273" Type="http://schemas.openxmlformats.org/officeDocument/2006/relationships/hyperlink" Target="https://www.facebook.com/740460599475760/posts/1958524954335979/" TargetMode="External"/><Relationship Id="rId151" Type="http://schemas.openxmlformats.org/officeDocument/2006/relationships/hyperlink" Target="https://www.facebook.com/740460599475760/posts/1928430600678748/" TargetMode="External"/><Relationship Id="rId272" Type="http://schemas.openxmlformats.org/officeDocument/2006/relationships/hyperlink" Target="https://www.facebook.com/740460599475760/posts/1963760730479068/" TargetMode="External"/><Relationship Id="rId158" Type="http://schemas.openxmlformats.org/officeDocument/2006/relationships/hyperlink" Target="https://www.facebook.com/740460599475760/posts/1928433627345112/" TargetMode="External"/><Relationship Id="rId279" Type="http://schemas.openxmlformats.org/officeDocument/2006/relationships/hyperlink" Target="https://www.facebook.com/freefireth/videos/1017690712111095/" TargetMode="External"/><Relationship Id="rId157" Type="http://schemas.openxmlformats.org/officeDocument/2006/relationships/hyperlink" Target="https://www.facebook.com/740460599475760/posts/1928432400678568/" TargetMode="External"/><Relationship Id="rId278" Type="http://schemas.openxmlformats.org/officeDocument/2006/relationships/hyperlink" Target="https://www.facebook.com/740460599475760/posts/1964072870447854/" TargetMode="External"/><Relationship Id="rId156" Type="http://schemas.openxmlformats.org/officeDocument/2006/relationships/hyperlink" Target="https://www.facebook.com/freefireth/videos/282532207073795/" TargetMode="External"/><Relationship Id="rId277" Type="http://schemas.openxmlformats.org/officeDocument/2006/relationships/hyperlink" Target="https://www.facebook.com/740460599475760/posts/1964456007076207/" TargetMode="External"/><Relationship Id="rId155" Type="http://schemas.openxmlformats.org/officeDocument/2006/relationships/hyperlink" Target="https://www.facebook.com/740460599475760/posts/1925661867622288/" TargetMode="External"/><Relationship Id="rId276" Type="http://schemas.openxmlformats.org/officeDocument/2006/relationships/hyperlink" Target="https://www.facebook.com/740460599475760/posts/1964448330410308/" TargetMode="External"/><Relationship Id="rId107" Type="http://schemas.openxmlformats.org/officeDocument/2006/relationships/hyperlink" Target="https://www.facebook.com/740460599475760/posts/1921183174736824/" TargetMode="External"/><Relationship Id="rId228" Type="http://schemas.openxmlformats.org/officeDocument/2006/relationships/hyperlink" Target="https://www.facebook.com/740460599475760/posts/1943970605791414/" TargetMode="External"/><Relationship Id="rId106" Type="http://schemas.openxmlformats.org/officeDocument/2006/relationships/hyperlink" Target="https://www.facebook.com/740460599475760/posts/1921114361410372/" TargetMode="External"/><Relationship Id="rId227" Type="http://schemas.openxmlformats.org/officeDocument/2006/relationships/hyperlink" Target="https://www.facebook.com/740460599475760/posts/1944013139120494/" TargetMode="External"/><Relationship Id="rId105" Type="http://schemas.openxmlformats.org/officeDocument/2006/relationships/hyperlink" Target="https://www.facebook.com/740460599475760/posts/1920381241483684/" TargetMode="External"/><Relationship Id="rId226" Type="http://schemas.openxmlformats.org/officeDocument/2006/relationships/hyperlink" Target="https://www.facebook.com/740460599475760/posts/1944766482378493/" TargetMode="External"/><Relationship Id="rId104" Type="http://schemas.openxmlformats.org/officeDocument/2006/relationships/hyperlink" Target="https://www.facebook.com/740460599475760/posts/1919542078234267/" TargetMode="External"/><Relationship Id="rId225" Type="http://schemas.openxmlformats.org/officeDocument/2006/relationships/hyperlink" Target="https://www.facebook.com/740460599475760/posts/1943970059124802/" TargetMode="External"/><Relationship Id="rId109" Type="http://schemas.openxmlformats.org/officeDocument/2006/relationships/hyperlink" Target="https://www.facebook.com/740460599475760/posts/1921852924669849/" TargetMode="External"/><Relationship Id="rId108" Type="http://schemas.openxmlformats.org/officeDocument/2006/relationships/hyperlink" Target="https://www.facebook.com/740460599475760/posts/1921818054673336/" TargetMode="External"/><Relationship Id="rId229" Type="http://schemas.openxmlformats.org/officeDocument/2006/relationships/hyperlink" Target="https://www.facebook.com/740460599475760/posts/1941444886043986/" TargetMode="External"/><Relationship Id="rId220" Type="http://schemas.openxmlformats.org/officeDocument/2006/relationships/hyperlink" Target="https://www.facebook.com/740460599475760/posts/1943173239204484/" TargetMode="External"/><Relationship Id="rId103" Type="http://schemas.openxmlformats.org/officeDocument/2006/relationships/hyperlink" Target="https://www.facebook.com/740460599475760/posts/1920949781426830/" TargetMode="External"/><Relationship Id="rId224" Type="http://schemas.openxmlformats.org/officeDocument/2006/relationships/hyperlink" Target="https://www.facebook.com/740460599475760/posts/1943968502458291/" TargetMode="External"/><Relationship Id="rId102" Type="http://schemas.openxmlformats.org/officeDocument/2006/relationships/hyperlink" Target="https://www.facebook.com/740460599475760/posts/1920915854763556/" TargetMode="External"/><Relationship Id="rId223" Type="http://schemas.openxmlformats.org/officeDocument/2006/relationships/hyperlink" Target="https://www.facebook.com/740460599475760/posts/1943967959125012/" TargetMode="External"/><Relationship Id="rId101" Type="http://schemas.openxmlformats.org/officeDocument/2006/relationships/hyperlink" Target="https://www.facebook.com/740460599475760/posts/1919541568234318/" TargetMode="External"/><Relationship Id="rId222" Type="http://schemas.openxmlformats.org/officeDocument/2006/relationships/hyperlink" Target="https://www.facebook.com/740460599475760/posts/1943020629219745/" TargetMode="External"/><Relationship Id="rId100" Type="http://schemas.openxmlformats.org/officeDocument/2006/relationships/hyperlink" Target="https://www.facebook.com/740460599475760/posts/1917073385147803/" TargetMode="External"/><Relationship Id="rId221" Type="http://schemas.openxmlformats.org/officeDocument/2006/relationships/hyperlink" Target="https://www.facebook.com/740460599475760/posts/1943902472464894/" TargetMode="External"/><Relationship Id="rId217" Type="http://schemas.openxmlformats.org/officeDocument/2006/relationships/hyperlink" Target="https://www.facebook.com/740460599475760/posts/1943028985885576/" TargetMode="External"/><Relationship Id="rId216" Type="http://schemas.openxmlformats.org/officeDocument/2006/relationships/hyperlink" Target="https://www.facebook.com/740460599475760/posts/1943171275871347/" TargetMode="External"/><Relationship Id="rId215" Type="http://schemas.openxmlformats.org/officeDocument/2006/relationships/hyperlink" Target="https://www.facebook.com/740460599475760/posts/1942317042623437/" TargetMode="External"/><Relationship Id="rId214" Type="http://schemas.openxmlformats.org/officeDocument/2006/relationships/hyperlink" Target="https://www.facebook.com/740460599475760/posts/1940979659423842/" TargetMode="External"/><Relationship Id="rId219" Type="http://schemas.openxmlformats.org/officeDocument/2006/relationships/hyperlink" Target="https://www.facebook.com/740460599475760/posts/1943825175805957/" TargetMode="External"/><Relationship Id="rId218" Type="http://schemas.openxmlformats.org/officeDocument/2006/relationships/hyperlink" Target="https://www.facebook.com/740460599475760/posts/1943172792537862/" TargetMode="External"/><Relationship Id="rId213" Type="http://schemas.openxmlformats.org/officeDocument/2006/relationships/hyperlink" Target="https://www.facebook.com/740460599475760/posts/1941531746035300/" TargetMode="External"/><Relationship Id="rId212" Type="http://schemas.openxmlformats.org/officeDocument/2006/relationships/hyperlink" Target="https://www.facebook.com/740460599475760/posts/1941486246039850/" TargetMode="External"/><Relationship Id="rId211" Type="http://schemas.openxmlformats.org/officeDocument/2006/relationships/hyperlink" Target="https://www.facebook.com/740460599475760/posts/1940855049436303/" TargetMode="External"/><Relationship Id="rId210" Type="http://schemas.openxmlformats.org/officeDocument/2006/relationships/hyperlink" Target="https://www.facebook.com/740460599475760/posts/1940854602769681/" TargetMode="External"/><Relationship Id="rId129" Type="http://schemas.openxmlformats.org/officeDocument/2006/relationships/hyperlink" Target="https://www.facebook.com/740460599475760/posts/1924909847697490/" TargetMode="External"/><Relationship Id="rId128" Type="http://schemas.openxmlformats.org/officeDocument/2006/relationships/hyperlink" Target="https://www.facebook.com/740460599475760/posts/1921844304670711/" TargetMode="External"/><Relationship Id="rId249" Type="http://schemas.openxmlformats.org/officeDocument/2006/relationships/hyperlink" Target="https://www.facebook.com/740460599475760/posts/1947622975426177/" TargetMode="External"/><Relationship Id="rId127" Type="http://schemas.openxmlformats.org/officeDocument/2006/relationships/hyperlink" Target="https://www.facebook.com/740460599475760/posts/1924094991112309/" TargetMode="External"/><Relationship Id="rId248" Type="http://schemas.openxmlformats.org/officeDocument/2006/relationships/hyperlink" Target="https://www.facebook.com/740460599475760/posts/1947695698752238/" TargetMode="External"/><Relationship Id="rId126" Type="http://schemas.openxmlformats.org/officeDocument/2006/relationships/hyperlink" Target="https://www.facebook.com/740460599475760/posts/1921842081337600/" TargetMode="External"/><Relationship Id="rId247" Type="http://schemas.openxmlformats.org/officeDocument/2006/relationships/hyperlink" Target="https://www.facebook.com/740460599475760/posts/1948389112016230/" TargetMode="External"/><Relationship Id="rId121" Type="http://schemas.openxmlformats.org/officeDocument/2006/relationships/hyperlink" Target="https://www.facebook.com/740460599475760/posts/1923459334509208/" TargetMode="External"/><Relationship Id="rId242" Type="http://schemas.openxmlformats.org/officeDocument/2006/relationships/hyperlink" Target="https://www.facebook.com/740460599475760/posts/1947017738820034/" TargetMode="External"/><Relationship Id="rId120" Type="http://schemas.openxmlformats.org/officeDocument/2006/relationships/hyperlink" Target="https://www.facebook.com/740460599475760/posts/1923251744529967/" TargetMode="External"/><Relationship Id="rId241" Type="http://schemas.openxmlformats.org/officeDocument/2006/relationships/hyperlink" Target="https://www.facebook.com/740460599475760/posts/1947016335486841/" TargetMode="External"/><Relationship Id="rId240" Type="http://schemas.openxmlformats.org/officeDocument/2006/relationships/hyperlink" Target="https://www.facebook.com/740460599475760/posts/1947015365486938/" TargetMode="External"/><Relationship Id="rId125" Type="http://schemas.openxmlformats.org/officeDocument/2006/relationships/hyperlink" Target="https://www.facebook.com/740460599475760/posts/1921843774670764/" TargetMode="External"/><Relationship Id="rId246" Type="http://schemas.openxmlformats.org/officeDocument/2006/relationships/hyperlink" Target="https://www.facebook.com/740460599475760/posts/1947520292103112/" TargetMode="External"/><Relationship Id="rId124" Type="http://schemas.openxmlformats.org/officeDocument/2006/relationships/hyperlink" Target="https://www.facebook.com/740460599475760/posts/1921843044670837/" TargetMode="External"/><Relationship Id="rId245" Type="http://schemas.openxmlformats.org/officeDocument/2006/relationships/hyperlink" Target="https://www.facebook.com/740460599475760/posts/1947713838750424/" TargetMode="External"/><Relationship Id="rId123" Type="http://schemas.openxmlformats.org/officeDocument/2006/relationships/hyperlink" Target="https://www.facebook.com/740460599475760/posts/1921992781322530/" TargetMode="External"/><Relationship Id="rId244" Type="http://schemas.openxmlformats.org/officeDocument/2006/relationships/hyperlink" Target="https://www.facebook.com/740460599475760/posts/1947019415486533/" TargetMode="External"/><Relationship Id="rId122" Type="http://schemas.openxmlformats.org/officeDocument/2006/relationships/hyperlink" Target="https://www.facebook.com/740460599475760/posts/1921840288004446/" TargetMode="External"/><Relationship Id="rId243" Type="http://schemas.openxmlformats.org/officeDocument/2006/relationships/hyperlink" Target="https://www.facebook.com/740460599475760/posts/1946179912237150/" TargetMode="External"/><Relationship Id="rId95" Type="http://schemas.openxmlformats.org/officeDocument/2006/relationships/hyperlink" Target="https://www.facebook.com/740460599475760/posts/1917094281812380/" TargetMode="External"/><Relationship Id="rId94" Type="http://schemas.openxmlformats.org/officeDocument/2006/relationships/hyperlink" Target="https://www.facebook.com/740460599475760/posts/1917067105148431/" TargetMode="External"/><Relationship Id="rId97" Type="http://schemas.openxmlformats.org/officeDocument/2006/relationships/hyperlink" Target="https://www.facebook.com/740460599475760/posts/1917117195143422/" TargetMode="External"/><Relationship Id="rId96" Type="http://schemas.openxmlformats.org/officeDocument/2006/relationships/hyperlink" Target="https://www.facebook.com/740460599475760/posts/1918050318383443/" TargetMode="External"/><Relationship Id="rId99" Type="http://schemas.openxmlformats.org/officeDocument/2006/relationships/hyperlink" Target="https://www.facebook.com/740460599475760/posts/1919656528222822/" TargetMode="External"/><Relationship Id="rId98" Type="http://schemas.openxmlformats.org/officeDocument/2006/relationships/hyperlink" Target="https://www.facebook.com/740460599475760/posts/1917068655148276/" TargetMode="External"/><Relationship Id="rId91" Type="http://schemas.openxmlformats.org/officeDocument/2006/relationships/hyperlink" Target="https://www.facebook.com/740460599475760/posts/1917064441815364/" TargetMode="External"/><Relationship Id="rId90" Type="http://schemas.openxmlformats.org/officeDocument/2006/relationships/hyperlink" Target="https://www.facebook.com/740460599475760/posts/1917063811815427/" TargetMode="External"/><Relationship Id="rId93" Type="http://schemas.openxmlformats.org/officeDocument/2006/relationships/hyperlink" Target="https://www.facebook.com/740460599475760/posts/1917261255129016/" TargetMode="External"/><Relationship Id="rId92" Type="http://schemas.openxmlformats.org/officeDocument/2006/relationships/hyperlink" Target="https://www.facebook.com/740460599475760/posts/1917065585148583/" TargetMode="External"/><Relationship Id="rId118" Type="http://schemas.openxmlformats.org/officeDocument/2006/relationships/hyperlink" Target="https://www.facebook.com/740460599475760/posts/1922737251248083/" TargetMode="External"/><Relationship Id="rId239" Type="http://schemas.openxmlformats.org/officeDocument/2006/relationships/hyperlink" Target="https://www.facebook.com/740460599475760/posts/1946818968839911/" TargetMode="External"/><Relationship Id="rId117" Type="http://schemas.openxmlformats.org/officeDocument/2006/relationships/hyperlink" Target="https://www.facebook.com/740460599475760/posts/1921839284671213/" TargetMode="External"/><Relationship Id="rId238" Type="http://schemas.openxmlformats.org/officeDocument/2006/relationships/hyperlink" Target="https://www.facebook.com/740460599475760/posts/1946861385502336/" TargetMode="External"/><Relationship Id="rId116" Type="http://schemas.openxmlformats.org/officeDocument/2006/relationships/hyperlink" Target="https://www.facebook.com/740460599475760/posts/1921838101337998/" TargetMode="External"/><Relationship Id="rId237" Type="http://schemas.openxmlformats.org/officeDocument/2006/relationships/hyperlink" Target="https://www.facebook.com/740460599475760/posts/1946790715509403/" TargetMode="External"/><Relationship Id="rId115" Type="http://schemas.openxmlformats.org/officeDocument/2006/relationships/hyperlink" Target="https://www.facebook.com/740460599475760/posts/1921837141338094/" TargetMode="External"/><Relationship Id="rId236" Type="http://schemas.openxmlformats.org/officeDocument/2006/relationships/hyperlink" Target="https://www.facebook.com/740460599475760/posts/1946262388895569/" TargetMode="External"/><Relationship Id="rId119" Type="http://schemas.openxmlformats.org/officeDocument/2006/relationships/hyperlink" Target="https://www.facebook.com/740460599475760/posts/1922714304583711/" TargetMode="External"/><Relationship Id="rId110" Type="http://schemas.openxmlformats.org/officeDocument/2006/relationships/hyperlink" Target="https://www.facebook.com/740460599475760/posts/1921827931339015/" TargetMode="External"/><Relationship Id="rId231" Type="http://schemas.openxmlformats.org/officeDocument/2006/relationships/hyperlink" Target="https://www.facebook.com/740460599475760/posts/1945472215641253/" TargetMode="External"/><Relationship Id="rId230" Type="http://schemas.openxmlformats.org/officeDocument/2006/relationships/hyperlink" Target="https://www.facebook.com/740460599475760/posts/1943971055791369/" TargetMode="External"/><Relationship Id="rId114" Type="http://schemas.openxmlformats.org/officeDocument/2006/relationships/hyperlink" Target="https://www.facebook.com/740460599475760/posts/1921944611327347/" TargetMode="External"/><Relationship Id="rId235" Type="http://schemas.openxmlformats.org/officeDocument/2006/relationships/hyperlink" Target="https://www.facebook.com/740460599475760/posts/1946261052229036/" TargetMode="External"/><Relationship Id="rId113" Type="http://schemas.openxmlformats.org/officeDocument/2006/relationships/hyperlink" Target="https://www.facebook.com/740460599475760/posts/1922684047920070/" TargetMode="External"/><Relationship Id="rId234" Type="http://schemas.openxmlformats.org/officeDocument/2006/relationships/hyperlink" Target="https://www.facebook.com/740460599475760/posts/1946247932230348/" TargetMode="External"/><Relationship Id="rId112" Type="http://schemas.openxmlformats.org/officeDocument/2006/relationships/hyperlink" Target="https://www.facebook.com/740460599475760/posts/1921988727989602/" TargetMode="External"/><Relationship Id="rId233" Type="http://schemas.openxmlformats.org/officeDocument/2006/relationships/hyperlink" Target="https://www.facebook.com/740460599475760/posts/1946073798914428/" TargetMode="External"/><Relationship Id="rId111" Type="http://schemas.openxmlformats.org/officeDocument/2006/relationships/hyperlink" Target="https://www.facebook.com/740460599475760/posts/1921831148005360/" TargetMode="External"/><Relationship Id="rId232" Type="http://schemas.openxmlformats.org/officeDocument/2006/relationships/hyperlink" Target="https://www.facebook.com/740460599475760/posts/1944019885786486/" TargetMode="External"/><Relationship Id="rId305" Type="http://schemas.openxmlformats.org/officeDocument/2006/relationships/hyperlink" Target="https://www.facebook.com/740460599475760/posts/1967657196756088/" TargetMode="External"/><Relationship Id="rId304" Type="http://schemas.openxmlformats.org/officeDocument/2006/relationships/hyperlink" Target="https://www.facebook.com/740460599475760/posts/1967695280085613/" TargetMode="External"/><Relationship Id="rId303" Type="http://schemas.openxmlformats.org/officeDocument/2006/relationships/hyperlink" Target="https://www.facebook.com/740460599475760/posts/1967618723426602/" TargetMode="External"/><Relationship Id="rId302" Type="http://schemas.openxmlformats.org/officeDocument/2006/relationships/hyperlink" Target="https://www.facebook.com/740460599475760/posts/1966950776826730/" TargetMode="External"/><Relationship Id="rId309" Type="http://schemas.openxmlformats.org/officeDocument/2006/relationships/hyperlink" Target="https://www.facebook.com/740460599475760/posts/1968403463348128/" TargetMode="External"/><Relationship Id="rId308" Type="http://schemas.openxmlformats.org/officeDocument/2006/relationships/hyperlink" Target="https://www.facebook.com/740460599475760/posts/1967776100077531/" TargetMode="External"/><Relationship Id="rId307" Type="http://schemas.openxmlformats.org/officeDocument/2006/relationships/hyperlink" Target="https://www.facebook.com/740460599475760/posts/1967775646744243/" TargetMode="External"/><Relationship Id="rId306" Type="http://schemas.openxmlformats.org/officeDocument/2006/relationships/hyperlink" Target="https://www.facebook.com/740460599475760/posts/1967775140077627/" TargetMode="External"/><Relationship Id="rId301" Type="http://schemas.openxmlformats.org/officeDocument/2006/relationships/hyperlink" Target="https://www.facebook.com/740460599475760/posts/1966951500159991/" TargetMode="External"/><Relationship Id="rId300" Type="http://schemas.openxmlformats.org/officeDocument/2006/relationships/hyperlink" Target="https://www.facebook.com/740460599475760/posts/1966941793494295/" TargetMode="External"/><Relationship Id="rId206" Type="http://schemas.openxmlformats.org/officeDocument/2006/relationships/hyperlink" Target="https://www.facebook.com/740460599475760/posts/1938554809666327/" TargetMode="External"/><Relationship Id="rId327" Type="http://schemas.microsoft.com/office/2007/relationships/slicer" Target="../slicers/slicer2.xml"/><Relationship Id="rId205" Type="http://schemas.openxmlformats.org/officeDocument/2006/relationships/hyperlink" Target="https://www.facebook.com/740460599475760/posts/1938461969675611/" TargetMode="External"/><Relationship Id="rId326" Type="http://schemas.openxmlformats.org/officeDocument/2006/relationships/table" Target="../tables/table1.xml"/><Relationship Id="rId204" Type="http://schemas.openxmlformats.org/officeDocument/2006/relationships/hyperlink" Target="https://www.facebook.com/740460599475760/posts/1937055576482917/" TargetMode="External"/><Relationship Id="rId203" Type="http://schemas.openxmlformats.org/officeDocument/2006/relationships/hyperlink" Target="https://www.facebook.com/740460599475760/posts/1937029113152230/" TargetMode="External"/><Relationship Id="rId324" Type="http://schemas.openxmlformats.org/officeDocument/2006/relationships/drawing" Target="../drawings/drawing8.xml"/><Relationship Id="rId209" Type="http://schemas.openxmlformats.org/officeDocument/2006/relationships/hyperlink" Target="https://www.facebook.com/740460599475760/posts/1940827519439056/" TargetMode="External"/><Relationship Id="rId208" Type="http://schemas.openxmlformats.org/officeDocument/2006/relationships/hyperlink" Target="https://www.facebook.com/740460599475760/posts/1938587642996377/" TargetMode="External"/><Relationship Id="rId207" Type="http://schemas.openxmlformats.org/officeDocument/2006/relationships/hyperlink" Target="https://www.facebook.com/freefireth/videos/901966987347375/" TargetMode="External"/><Relationship Id="rId202" Type="http://schemas.openxmlformats.org/officeDocument/2006/relationships/hyperlink" Target="https://www.facebook.com/740460599475760/posts/1937028466485628/" TargetMode="External"/><Relationship Id="rId323" Type="http://schemas.openxmlformats.org/officeDocument/2006/relationships/hyperlink" Target="https://www.facebook.com/740460599475760/posts/1969128239942317/" TargetMode="External"/><Relationship Id="rId201" Type="http://schemas.openxmlformats.org/officeDocument/2006/relationships/hyperlink" Target="https://www.facebook.com/740460599475760/posts/1937027923152349/" TargetMode="External"/><Relationship Id="rId322" Type="http://schemas.openxmlformats.org/officeDocument/2006/relationships/hyperlink" Target="https://www.facebook.com/740460599475760/posts/1968551743333300/" TargetMode="External"/><Relationship Id="rId200" Type="http://schemas.openxmlformats.org/officeDocument/2006/relationships/hyperlink" Target="https://www.facebook.com/740460599475760/posts/1937027513152390/" TargetMode="External"/><Relationship Id="rId321" Type="http://schemas.openxmlformats.org/officeDocument/2006/relationships/hyperlink" Target="https://www.facebook.com/740460599475760/posts/1968551040000037/" TargetMode="External"/><Relationship Id="rId320" Type="http://schemas.openxmlformats.org/officeDocument/2006/relationships/hyperlink" Target="https://www.facebook.com/740460599475760/posts/1969269273261547/" TargetMode="External"/><Relationship Id="rId316" Type="http://schemas.openxmlformats.org/officeDocument/2006/relationships/hyperlink" Target="https://www.facebook.com/740460599475760/posts/1968548526666955/" TargetMode="External"/><Relationship Id="rId315" Type="http://schemas.openxmlformats.org/officeDocument/2006/relationships/hyperlink" Target="https://www.facebook.com/740460599475760/posts/1966884233500051/" TargetMode="External"/><Relationship Id="rId314" Type="http://schemas.openxmlformats.org/officeDocument/2006/relationships/hyperlink" Target="https://www.facebook.com/740460599475760/posts/1968547556667052/" TargetMode="External"/><Relationship Id="rId313" Type="http://schemas.openxmlformats.org/officeDocument/2006/relationships/hyperlink" Target="https://www.facebook.com/740460599475760/posts/1968546566667151/" TargetMode="External"/><Relationship Id="rId319" Type="http://schemas.openxmlformats.org/officeDocument/2006/relationships/hyperlink" Target="https://www.facebook.com/740460599475760/posts/1969321056589702/" TargetMode="External"/><Relationship Id="rId318" Type="http://schemas.openxmlformats.org/officeDocument/2006/relationships/hyperlink" Target="https://www.facebook.com/740460599475760/posts/1969123923276082/" TargetMode="External"/><Relationship Id="rId317" Type="http://schemas.openxmlformats.org/officeDocument/2006/relationships/hyperlink" Target="https://www.facebook.com/740460599475760/posts/1968550000000141/" TargetMode="External"/><Relationship Id="rId312" Type="http://schemas.openxmlformats.org/officeDocument/2006/relationships/hyperlink" Target="https://www.facebook.com/740460599475760/posts/1968512446670563/" TargetMode="External"/><Relationship Id="rId311" Type="http://schemas.openxmlformats.org/officeDocument/2006/relationships/hyperlink" Target="https://www.facebook.com/740460599475760/posts/1967821676739640/" TargetMode="External"/><Relationship Id="rId310" Type="http://schemas.openxmlformats.org/officeDocument/2006/relationships/hyperlink" Target="https://www.facebook.com/740460599475760/posts/196777714341076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facebook.com/740460599475760/posts/1962250917296716/" TargetMode="External"/><Relationship Id="rId190" Type="http://schemas.openxmlformats.org/officeDocument/2006/relationships/hyperlink" Target="https://www.facebook.com/740460599475760/posts/1936441439877664/" TargetMode="External"/><Relationship Id="rId42" Type="http://schemas.openxmlformats.org/officeDocument/2006/relationships/hyperlink" Target="https://www.facebook.com/740460599475760/posts/1966941793494295/" TargetMode="External"/><Relationship Id="rId41" Type="http://schemas.openxmlformats.org/officeDocument/2006/relationships/hyperlink" Target="https://www.facebook.com/740460599475760/posts/1909625719225903/" TargetMode="External"/><Relationship Id="rId44" Type="http://schemas.openxmlformats.org/officeDocument/2006/relationships/hyperlink" Target="https://www.facebook.com/740460599475760/posts/1966951500159991/" TargetMode="External"/><Relationship Id="rId194" Type="http://schemas.openxmlformats.org/officeDocument/2006/relationships/hyperlink" Target="https://www.facebook.com/740460599475760/posts/1936327786555696/" TargetMode="External"/><Relationship Id="rId43" Type="http://schemas.openxmlformats.org/officeDocument/2006/relationships/hyperlink" Target="https://www.facebook.com/740460599475760/posts/1910441942477614/" TargetMode="External"/><Relationship Id="rId193" Type="http://schemas.openxmlformats.org/officeDocument/2006/relationships/hyperlink" Target="https://www.facebook.com/740460599475760/posts/1936318723223269/" TargetMode="External"/><Relationship Id="rId46" Type="http://schemas.openxmlformats.org/officeDocument/2006/relationships/hyperlink" Target="https://www.facebook.com/740460599475760/posts/1966884233500051/" TargetMode="External"/><Relationship Id="rId192" Type="http://schemas.openxmlformats.org/officeDocument/2006/relationships/hyperlink" Target="https://www.facebook.com/740460599475760/posts/1936446436543831/" TargetMode="External"/><Relationship Id="rId45" Type="http://schemas.openxmlformats.org/officeDocument/2006/relationships/hyperlink" Target="https://www.facebook.com/740460599475760/posts/1910533969135078/" TargetMode="External"/><Relationship Id="rId191" Type="http://schemas.openxmlformats.org/officeDocument/2006/relationships/hyperlink" Target="https://www.facebook.com/740460599475760/posts/1933548783500263/" TargetMode="External"/><Relationship Id="rId48" Type="http://schemas.openxmlformats.org/officeDocument/2006/relationships/hyperlink" Target="https://www.facebook.com/740460599475760/posts/1910465929141882/" TargetMode="External"/><Relationship Id="rId187" Type="http://schemas.openxmlformats.org/officeDocument/2006/relationships/hyperlink" Target="https://www.facebook.com/740460599475760/posts/1935583059963502/" TargetMode="External"/><Relationship Id="rId47" Type="http://schemas.openxmlformats.org/officeDocument/2006/relationships/hyperlink" Target="https://www.facebook.com/740460599475760/posts/1910576212464187/" TargetMode="External"/><Relationship Id="rId186" Type="http://schemas.openxmlformats.org/officeDocument/2006/relationships/hyperlink" Target="https://www.facebook.com/740460599475760/posts/1935564853298656/" TargetMode="External"/><Relationship Id="rId185" Type="http://schemas.openxmlformats.org/officeDocument/2006/relationships/hyperlink" Target="https://www.facebook.com/740460599475760/posts/1935555239966284/" TargetMode="External"/><Relationship Id="rId49" Type="http://schemas.openxmlformats.org/officeDocument/2006/relationships/hyperlink" Target="https://www.facebook.com/740460599475760/posts/1910471942474614/" TargetMode="External"/><Relationship Id="rId184" Type="http://schemas.openxmlformats.org/officeDocument/2006/relationships/hyperlink" Target="https://www.facebook.com/740460599475760/posts/1933545816833893/" TargetMode="External"/><Relationship Id="rId189" Type="http://schemas.openxmlformats.org/officeDocument/2006/relationships/hyperlink" Target="https://www.facebook.com/740460599475760/posts/1936200256568449/" TargetMode="External"/><Relationship Id="rId188" Type="http://schemas.openxmlformats.org/officeDocument/2006/relationships/hyperlink" Target="https://www.facebook.com/740460599475760/posts/1935728093282332/" TargetMode="External"/><Relationship Id="rId31" Type="http://schemas.openxmlformats.org/officeDocument/2006/relationships/hyperlink" Target="https://www.facebook.com/740460599475760/posts/1908796339308841/" TargetMode="External"/><Relationship Id="rId30" Type="http://schemas.openxmlformats.org/officeDocument/2006/relationships/hyperlink" Target="https://www.facebook.com/740460599475760/posts/1947520292103112/" TargetMode="External"/><Relationship Id="rId33" Type="http://schemas.openxmlformats.org/officeDocument/2006/relationships/hyperlink" Target="https://www.facebook.com/740460599475760/posts/1909427849245690/" TargetMode="External"/><Relationship Id="rId183" Type="http://schemas.openxmlformats.org/officeDocument/2006/relationships/hyperlink" Target="https://www.facebook.com/740460599475760/posts/1933474060174402/" TargetMode="External"/><Relationship Id="rId32" Type="http://schemas.openxmlformats.org/officeDocument/2006/relationships/hyperlink" Target="https://www.facebook.com/740460599475760/posts/1947591738762634/" TargetMode="External"/><Relationship Id="rId182" Type="http://schemas.openxmlformats.org/officeDocument/2006/relationships/hyperlink" Target="https://www.facebook.com/740460599475760/posts/1935447329977075/" TargetMode="External"/><Relationship Id="rId35" Type="http://schemas.openxmlformats.org/officeDocument/2006/relationships/hyperlink" Target="https://www.facebook.com/740460599475760/posts/1908796782642130/" TargetMode="External"/><Relationship Id="rId181" Type="http://schemas.openxmlformats.org/officeDocument/2006/relationships/hyperlink" Target="https://www.facebook.com/740460599475760/posts/1933473546841120/" TargetMode="External"/><Relationship Id="rId34" Type="http://schemas.openxmlformats.org/officeDocument/2006/relationships/hyperlink" Target="https://www.facebook.com/740460599475760/posts/1958524954335979/" TargetMode="External"/><Relationship Id="rId180" Type="http://schemas.openxmlformats.org/officeDocument/2006/relationships/hyperlink" Target="https://www.facebook.com/freefireth/videos/306128691099558/" TargetMode="External"/><Relationship Id="rId37" Type="http://schemas.openxmlformats.org/officeDocument/2006/relationships/hyperlink" Target="https://www.facebook.com/740460599475760/posts/1908797172642091/" TargetMode="External"/><Relationship Id="rId176" Type="http://schemas.openxmlformats.org/officeDocument/2006/relationships/hyperlink" Target="https://www.facebook.com/740460599475760/posts/1933552703499871/" TargetMode="External"/><Relationship Id="rId297" Type="http://schemas.openxmlformats.org/officeDocument/2006/relationships/hyperlink" Target="https://www.facebook.com/740460599475760/posts/1966795856842222/" TargetMode="External"/><Relationship Id="rId36" Type="http://schemas.openxmlformats.org/officeDocument/2006/relationships/hyperlink" Target="https://www.facebook.com/740460599475760/posts/1963789900476151/" TargetMode="External"/><Relationship Id="rId175" Type="http://schemas.openxmlformats.org/officeDocument/2006/relationships/hyperlink" Target="https://www.facebook.com/740460599475760/posts/1932661716922303/" TargetMode="External"/><Relationship Id="rId296" Type="http://schemas.openxmlformats.org/officeDocument/2006/relationships/hyperlink" Target="https://www.facebook.com/740460599475760/posts/1963836677138140/" TargetMode="External"/><Relationship Id="rId39" Type="http://schemas.openxmlformats.org/officeDocument/2006/relationships/hyperlink" Target="https://www.facebook.com/740460599475760/posts/1909602242561584/" TargetMode="External"/><Relationship Id="rId174" Type="http://schemas.openxmlformats.org/officeDocument/2006/relationships/hyperlink" Target="https://www.facebook.com/740460599475760/posts/1933489020172906/" TargetMode="External"/><Relationship Id="rId295" Type="http://schemas.openxmlformats.org/officeDocument/2006/relationships/hyperlink" Target="https://www.facebook.com/740460599475760/posts/1962250917296716/" TargetMode="External"/><Relationship Id="rId38" Type="http://schemas.openxmlformats.org/officeDocument/2006/relationships/hyperlink" Target="https://www.facebook.com/740460599475760/posts/1958525884335886/" TargetMode="External"/><Relationship Id="rId173" Type="http://schemas.openxmlformats.org/officeDocument/2006/relationships/hyperlink" Target="https://www.facebook.com/740460599475760/posts/1932852616903213/" TargetMode="External"/><Relationship Id="rId294" Type="http://schemas.openxmlformats.org/officeDocument/2006/relationships/hyperlink" Target="https://www.facebook.com/740460599475760/posts/1963833767138431/" TargetMode="External"/><Relationship Id="rId179" Type="http://schemas.openxmlformats.org/officeDocument/2006/relationships/hyperlink" Target="https://www.facebook.com/740460599475760/posts/1933467933508348/" TargetMode="External"/><Relationship Id="rId178" Type="http://schemas.openxmlformats.org/officeDocument/2006/relationships/hyperlink" Target="https://www.facebook.com/740460599475760/posts/1933766253478516/" TargetMode="External"/><Relationship Id="rId299" Type="http://schemas.openxmlformats.org/officeDocument/2006/relationships/hyperlink" Target="https://www.facebook.com/740460599475760/posts/1966958943492580/" TargetMode="External"/><Relationship Id="rId177" Type="http://schemas.openxmlformats.org/officeDocument/2006/relationships/hyperlink" Target="https://www.facebook.com/740460599475760/posts/1933463956842079/" TargetMode="External"/><Relationship Id="rId298" Type="http://schemas.openxmlformats.org/officeDocument/2006/relationships/hyperlink" Target="https://www.facebook.com/freefireth/videos/3272605146348688/" TargetMode="External"/><Relationship Id="rId20" Type="http://schemas.openxmlformats.org/officeDocument/2006/relationships/hyperlink" Target="https://www.facebook.com/740460599475760/posts/1932661716922303/" TargetMode="External"/><Relationship Id="rId22" Type="http://schemas.openxmlformats.org/officeDocument/2006/relationships/hyperlink" Target="https://www.facebook.com/740460599475760/posts/1940979659423842/" TargetMode="External"/><Relationship Id="rId21" Type="http://schemas.openxmlformats.org/officeDocument/2006/relationships/hyperlink" Target="https://www.facebook.com/740460599475760/posts/1908168186038323/" TargetMode="External"/><Relationship Id="rId24" Type="http://schemas.openxmlformats.org/officeDocument/2006/relationships/hyperlink" Target="https://www.facebook.com/740460599475760/posts/1943970059124802/" TargetMode="External"/><Relationship Id="rId23" Type="http://schemas.openxmlformats.org/officeDocument/2006/relationships/hyperlink" Target="https://www.facebook.com/740460599475760/posts/1908168586038283/" TargetMode="External"/><Relationship Id="rId26" Type="http://schemas.openxmlformats.org/officeDocument/2006/relationships/hyperlink" Target="https://www.facebook.com/740460599475760/posts/1941444886043986/" TargetMode="External"/><Relationship Id="rId25" Type="http://schemas.openxmlformats.org/officeDocument/2006/relationships/hyperlink" Target="https://www.facebook.com/740460599475760/posts/1908404846014657/" TargetMode="External"/><Relationship Id="rId28" Type="http://schemas.openxmlformats.org/officeDocument/2006/relationships/hyperlink" Target="https://www.facebook.com/740460599475760/posts/1946179912237150/" TargetMode="External"/><Relationship Id="rId27" Type="http://schemas.openxmlformats.org/officeDocument/2006/relationships/hyperlink" Target="https://www.facebook.com/740460599475760/posts/1908703655984776/" TargetMode="External"/><Relationship Id="rId29" Type="http://schemas.openxmlformats.org/officeDocument/2006/relationships/hyperlink" Target="https://www.facebook.com/740460599475760/posts/1908306979357777/" TargetMode="External"/><Relationship Id="rId11" Type="http://schemas.openxmlformats.org/officeDocument/2006/relationships/hyperlink" Target="https://www.facebook.com/740460599475760/posts/1905076383014170/" TargetMode="External"/><Relationship Id="rId10" Type="http://schemas.openxmlformats.org/officeDocument/2006/relationships/hyperlink" Target="https://www.facebook.com/740460599475760/posts/1920381241483684/" TargetMode="External"/><Relationship Id="rId13" Type="http://schemas.openxmlformats.org/officeDocument/2006/relationships/hyperlink" Target="https://www.facebook.com/740460599475760/posts/1905076663014142/" TargetMode="External"/><Relationship Id="rId12" Type="http://schemas.openxmlformats.org/officeDocument/2006/relationships/hyperlink" Target="https://www.facebook.com/740460599475760/posts/1925663274288814/" TargetMode="External"/><Relationship Id="rId15" Type="http://schemas.openxmlformats.org/officeDocument/2006/relationships/hyperlink" Target="https://www.facebook.com/740460599475760/posts/1905962889592186/" TargetMode="External"/><Relationship Id="rId198" Type="http://schemas.openxmlformats.org/officeDocument/2006/relationships/hyperlink" Target="https://www.facebook.com/740460599475760/posts/1937032936485181/" TargetMode="External"/><Relationship Id="rId14" Type="http://schemas.openxmlformats.org/officeDocument/2006/relationships/hyperlink" Target="https://www.facebook.com/740460599475760/posts/1928423800679428/" TargetMode="External"/><Relationship Id="rId197" Type="http://schemas.openxmlformats.org/officeDocument/2006/relationships/hyperlink" Target="https://www.facebook.com/740460599475760/posts/1936337043221437/" TargetMode="External"/><Relationship Id="rId17" Type="http://schemas.openxmlformats.org/officeDocument/2006/relationships/hyperlink" Target="https://www.facebook.com/740460599475760/posts/1905162739672201/" TargetMode="External"/><Relationship Id="rId196" Type="http://schemas.openxmlformats.org/officeDocument/2006/relationships/hyperlink" Target="https://www.facebook.com/freefireth/videos/4546634405427841/" TargetMode="External"/><Relationship Id="rId16" Type="http://schemas.openxmlformats.org/officeDocument/2006/relationships/hyperlink" Target="https://www.facebook.com/740460599475760/posts/1925661867622288/" TargetMode="External"/><Relationship Id="rId195" Type="http://schemas.openxmlformats.org/officeDocument/2006/relationships/hyperlink" Target="https://www.facebook.com/740460599475760/posts/1936326133222528/" TargetMode="External"/><Relationship Id="rId19" Type="http://schemas.openxmlformats.org/officeDocument/2006/relationships/hyperlink" Target="https://www.facebook.com/740460599475760/posts/1905971419591333/" TargetMode="External"/><Relationship Id="rId18" Type="http://schemas.openxmlformats.org/officeDocument/2006/relationships/hyperlink" Target="https://www.facebook.com/740460599475760/posts/1931154987072976/" TargetMode="External"/><Relationship Id="rId199" Type="http://schemas.openxmlformats.org/officeDocument/2006/relationships/hyperlink" Target="https://www.facebook.com/740460599475760/posts/1937030689818739/" TargetMode="External"/><Relationship Id="rId84" Type="http://schemas.openxmlformats.org/officeDocument/2006/relationships/hyperlink" Target="https://www.facebook.com/740460599475760/posts/1916023201919488/" TargetMode="External"/><Relationship Id="rId83" Type="http://schemas.openxmlformats.org/officeDocument/2006/relationships/hyperlink" Target="https://www.facebook.com/740460599475760/posts/1914643625390779/" TargetMode="External"/><Relationship Id="rId86" Type="http://schemas.openxmlformats.org/officeDocument/2006/relationships/hyperlink" Target="https://www.facebook.com/740460599475760/posts/1917113598477115/" TargetMode="External"/><Relationship Id="rId85" Type="http://schemas.openxmlformats.org/officeDocument/2006/relationships/hyperlink" Target="https://www.facebook.com/740460599475760/posts/1916236491898159/" TargetMode="External"/><Relationship Id="rId88" Type="http://schemas.openxmlformats.org/officeDocument/2006/relationships/hyperlink" Target="https://www.facebook.com/740460599475760/posts/1917028241818984/" TargetMode="External"/><Relationship Id="rId150" Type="http://schemas.openxmlformats.org/officeDocument/2006/relationships/hyperlink" Target="https://www.facebook.com/740460599475760/posts/1928427537345721/" TargetMode="External"/><Relationship Id="rId271" Type="http://schemas.openxmlformats.org/officeDocument/2006/relationships/hyperlink" Target="https://www.facebook.com/freefireth/videos/447029496861849/" TargetMode="External"/><Relationship Id="rId87" Type="http://schemas.openxmlformats.org/officeDocument/2006/relationships/hyperlink" Target="https://www.facebook.com/740460599475760/posts/1917008835154258/" TargetMode="External"/><Relationship Id="rId270" Type="http://schemas.openxmlformats.org/officeDocument/2006/relationships/hyperlink" Target="https://www.facebook.com/740460599475760/posts/1963277000527441/" TargetMode="External"/><Relationship Id="rId89" Type="http://schemas.openxmlformats.org/officeDocument/2006/relationships/hyperlink" Target="https://www.facebook.com/740460599475760/posts/1917063088482166/" TargetMode="External"/><Relationship Id="rId80" Type="http://schemas.openxmlformats.org/officeDocument/2006/relationships/hyperlink" Target="https://www.facebook.com/740460599475760/posts/1914641738724301/" TargetMode="External"/><Relationship Id="rId82" Type="http://schemas.openxmlformats.org/officeDocument/2006/relationships/hyperlink" Target="https://www.facebook.com/740460599475760/posts/1916081251913683/" TargetMode="External"/><Relationship Id="rId81" Type="http://schemas.openxmlformats.org/officeDocument/2006/relationships/hyperlink" Target="https://www.facebook.com/740460599475760/posts/1914733125381829/"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939169594558/" TargetMode="External"/><Relationship Id="rId3" Type="http://schemas.openxmlformats.org/officeDocument/2006/relationships/hyperlink" Target="https://www.facebook.com/740460599475760/posts/1905065849681890/" TargetMode="External"/><Relationship Id="rId149" Type="http://schemas.openxmlformats.org/officeDocument/2006/relationships/hyperlink" Target="https://www.facebook.com/740460599475760/posts/1928451200676688/" TargetMode="External"/><Relationship Id="rId4" Type="http://schemas.openxmlformats.org/officeDocument/2006/relationships/hyperlink" Target="https://www.facebook.com/740460599475760/posts/1905162739672201/" TargetMode="External"/><Relationship Id="rId148" Type="http://schemas.openxmlformats.org/officeDocument/2006/relationships/hyperlink" Target="https://www.facebook.com/740460599475760/posts/1928425317345943/" TargetMode="External"/><Relationship Id="rId269" Type="http://schemas.openxmlformats.org/officeDocument/2006/relationships/hyperlink" Target="https://www.facebook.com/740460599475760/posts/1963778730477268/" TargetMode="External"/><Relationship Id="rId9" Type="http://schemas.openxmlformats.org/officeDocument/2006/relationships/hyperlink" Target="https://www.facebook.com/740460599475760/posts/1905939169594558/" TargetMode="External"/><Relationship Id="rId143" Type="http://schemas.openxmlformats.org/officeDocument/2006/relationships/hyperlink" Target="https://www.facebook.com/740460599475760/posts/1927470357441439/" TargetMode="External"/><Relationship Id="rId264" Type="http://schemas.openxmlformats.org/officeDocument/2006/relationships/hyperlink" Target="https://www.facebook.com/740460599475760/posts/1951271898394618/" TargetMode="External"/><Relationship Id="rId142" Type="http://schemas.openxmlformats.org/officeDocument/2006/relationships/hyperlink" Target="https://www.facebook.com/740460599475760/posts/1927801720741636/?substory_index=0" TargetMode="External"/><Relationship Id="rId263" Type="http://schemas.openxmlformats.org/officeDocument/2006/relationships/hyperlink" Target="https://www.facebook.com/740460599475760/posts/1949241151931026/" TargetMode="External"/><Relationship Id="rId141" Type="http://schemas.openxmlformats.org/officeDocument/2006/relationships/hyperlink" Target="https://www.facebook.com/740460599475760/posts/1927797234075418/" TargetMode="External"/><Relationship Id="rId262" Type="http://schemas.openxmlformats.org/officeDocument/2006/relationships/hyperlink" Target="https://www.facebook.com/740460599475760/posts/1949254281929713/" TargetMode="External"/><Relationship Id="rId140" Type="http://schemas.openxmlformats.org/officeDocument/2006/relationships/hyperlink" Target="https://www.facebook.com/740460599475760/posts/1926689657519509/" TargetMode="External"/><Relationship Id="rId261" Type="http://schemas.openxmlformats.org/officeDocument/2006/relationships/hyperlink" Target="https://www.facebook.com/740460599475760/posts/1948421818679626/" TargetMode="External"/><Relationship Id="rId5" Type="http://schemas.openxmlformats.org/officeDocument/2006/relationships/hyperlink" Target="https://www.facebook.com/740460599475760/posts/1905729416282200/" TargetMode="External"/><Relationship Id="rId147" Type="http://schemas.openxmlformats.org/officeDocument/2006/relationships/hyperlink" Target="https://www.facebook.com/740460599475760/posts/1928424837345991/" TargetMode="External"/><Relationship Id="rId268" Type="http://schemas.openxmlformats.org/officeDocument/2006/relationships/hyperlink" Target="https://www.facebook.com/740460599475760/posts/1963557903832684/" TargetMode="External"/><Relationship Id="rId6" Type="http://schemas.openxmlformats.org/officeDocument/2006/relationships/hyperlink" Target="https://www.facebook.com/740460599475760/posts/1914639852057823/" TargetMode="External"/><Relationship Id="rId146" Type="http://schemas.openxmlformats.org/officeDocument/2006/relationships/hyperlink" Target="https://www.facebook.com/740460599475760/posts/1928423800679428/" TargetMode="External"/><Relationship Id="rId267" Type="http://schemas.openxmlformats.org/officeDocument/2006/relationships/hyperlink" Target="https://www.facebook.com/740460599475760/posts/1951423808379427/" TargetMode="External"/><Relationship Id="rId7" Type="http://schemas.openxmlformats.org/officeDocument/2006/relationships/hyperlink" Target="https://www.facebook.com/740460599475760/posts/1905068203014988/" TargetMode="External"/><Relationship Id="rId145" Type="http://schemas.openxmlformats.org/officeDocument/2006/relationships/hyperlink" Target="https://www.facebook.com/740460599475760/posts/1928356114019530/" TargetMode="External"/><Relationship Id="rId266" Type="http://schemas.openxmlformats.org/officeDocument/2006/relationships/hyperlink" Target="https://www.facebook.com/740460599475760/posts/1951513731703768/" TargetMode="External"/><Relationship Id="rId8" Type="http://schemas.openxmlformats.org/officeDocument/2006/relationships/hyperlink" Target="https://www.facebook.com/740460599475760/posts/1917094281812380/" TargetMode="External"/><Relationship Id="rId144" Type="http://schemas.openxmlformats.org/officeDocument/2006/relationships/hyperlink" Target="https://www.facebook.com/740460599475760/posts/1925663274288814/" TargetMode="External"/><Relationship Id="rId265" Type="http://schemas.openxmlformats.org/officeDocument/2006/relationships/hyperlink" Target="https://www.facebook.com/740460599475760/posts/1951403998381408/" TargetMode="External"/><Relationship Id="rId73" Type="http://schemas.openxmlformats.org/officeDocument/2006/relationships/hyperlink" Target="https://www.facebook.com/740460599475760/posts/1914580795397062/" TargetMode="External"/><Relationship Id="rId72" Type="http://schemas.openxmlformats.org/officeDocument/2006/relationships/hyperlink" Target="https://www.facebook.com/740460599475760/posts/1913811978807277/" TargetMode="External"/><Relationship Id="rId75" Type="http://schemas.openxmlformats.org/officeDocument/2006/relationships/hyperlink" Target="https://www.facebook.com/740460599475760/posts/1913812335473908/" TargetMode="External"/><Relationship Id="rId74" Type="http://schemas.openxmlformats.org/officeDocument/2006/relationships/hyperlink" Target="https://www.facebook.com/740460599475760/posts/1914615942060214/" TargetMode="External"/><Relationship Id="rId77" Type="http://schemas.openxmlformats.org/officeDocument/2006/relationships/hyperlink" Target="https://www.facebook.com/740460599475760/posts/1914639852057823/" TargetMode="External"/><Relationship Id="rId260" Type="http://schemas.openxmlformats.org/officeDocument/2006/relationships/hyperlink" Target="https://www.facebook.com/740460599475760/posts/1949239088597899/" TargetMode="External"/><Relationship Id="rId76" Type="http://schemas.openxmlformats.org/officeDocument/2006/relationships/hyperlink" Target="https://www.facebook.com/740460599475760/posts/1914640848724390/" TargetMode="External"/><Relationship Id="rId79" Type="http://schemas.openxmlformats.org/officeDocument/2006/relationships/hyperlink" Target="https://www.facebook.com/740460599475760/posts/1914729018715573/" TargetMode="External"/><Relationship Id="rId78" Type="http://schemas.openxmlformats.org/officeDocument/2006/relationships/hyperlink" Target="https://www.facebook.com/740460599475760/posts/1914765935378548/" TargetMode="External"/><Relationship Id="rId71" Type="http://schemas.openxmlformats.org/officeDocument/2006/relationships/hyperlink" Target="https://www.facebook.com/740460599475760/posts/1913642725490869/" TargetMode="External"/><Relationship Id="rId70" Type="http://schemas.openxmlformats.org/officeDocument/2006/relationships/hyperlink" Target="https://www.facebook.com/740460599475760/posts/1911250759063399/" TargetMode="External"/><Relationship Id="rId139" Type="http://schemas.openxmlformats.org/officeDocument/2006/relationships/hyperlink" Target="https://www.facebook.com/740460599475760/posts/1926680174187124/" TargetMode="External"/><Relationship Id="rId138" Type="http://schemas.openxmlformats.org/officeDocument/2006/relationships/hyperlink" Target="https://www.facebook.com/740460599475760/posts/1927511477437327/" TargetMode="External"/><Relationship Id="rId259" Type="http://schemas.openxmlformats.org/officeDocument/2006/relationships/hyperlink" Target="https://www.facebook.com/740460599475760/posts/1949240285264446/" TargetMode="External"/><Relationship Id="rId137" Type="http://schemas.openxmlformats.org/officeDocument/2006/relationships/hyperlink" Target="https://www.facebook.com/740460599475760/posts/1926629087525566/" TargetMode="External"/><Relationship Id="rId258" Type="http://schemas.openxmlformats.org/officeDocument/2006/relationships/hyperlink" Target="https://www.facebook.com/740460599475760/posts/1947591738762634/" TargetMode="External"/><Relationship Id="rId132" Type="http://schemas.openxmlformats.org/officeDocument/2006/relationships/hyperlink" Target="https://www.facebook.com/740460599475760/posts/1925742604280881/" TargetMode="External"/><Relationship Id="rId253" Type="http://schemas.openxmlformats.org/officeDocument/2006/relationships/hyperlink" Target="https://www.facebook.com/740460599475760/posts/1947013265487148/" TargetMode="External"/><Relationship Id="rId131" Type="http://schemas.openxmlformats.org/officeDocument/2006/relationships/hyperlink" Target="https://www.facebook.com/740460599475760/posts/1925741547614320/" TargetMode="External"/><Relationship Id="rId252" Type="http://schemas.openxmlformats.org/officeDocument/2006/relationships/hyperlink" Target="https://www.facebook.com/740460599475760/posts/1949208095267665/" TargetMode="External"/><Relationship Id="rId130" Type="http://schemas.openxmlformats.org/officeDocument/2006/relationships/hyperlink" Target="https://www.facebook.com/740460599475760/posts/1925619187626556/" TargetMode="External"/><Relationship Id="rId251" Type="http://schemas.openxmlformats.org/officeDocument/2006/relationships/hyperlink" Target="https://www.facebook.com/740460599475760/posts/1948391182016023/" TargetMode="External"/><Relationship Id="rId250" Type="http://schemas.openxmlformats.org/officeDocument/2006/relationships/hyperlink" Target="https://www.facebook.com/740460599475760/posts/1947673822087759/" TargetMode="External"/><Relationship Id="rId136" Type="http://schemas.openxmlformats.org/officeDocument/2006/relationships/hyperlink" Target="https://www.facebook.com/740460599475760/posts/1926628300858978/" TargetMode="External"/><Relationship Id="rId257" Type="http://schemas.openxmlformats.org/officeDocument/2006/relationships/hyperlink" Target="https://www.facebook.com/740460599475760/posts/1949234531931688/" TargetMode="External"/><Relationship Id="rId135" Type="http://schemas.openxmlformats.org/officeDocument/2006/relationships/hyperlink" Target="https://www.facebook.com/740460599475760/posts/1926627490859059/" TargetMode="External"/><Relationship Id="rId256" Type="http://schemas.openxmlformats.org/officeDocument/2006/relationships/hyperlink" Target="https://www.facebook.com/740460599475760/posts/1949238361931305/" TargetMode="External"/><Relationship Id="rId134" Type="http://schemas.openxmlformats.org/officeDocument/2006/relationships/hyperlink" Target="https://www.facebook.com/740460599475760/posts/1926468667541608/" TargetMode="External"/><Relationship Id="rId255" Type="http://schemas.openxmlformats.org/officeDocument/2006/relationships/hyperlink" Target="https://www.facebook.com/740460599475760/posts/1949233491931792/" TargetMode="External"/><Relationship Id="rId133" Type="http://schemas.openxmlformats.org/officeDocument/2006/relationships/hyperlink" Target="https://www.facebook.com/740460599475760/posts/1925738904281251/" TargetMode="External"/><Relationship Id="rId254" Type="http://schemas.openxmlformats.org/officeDocument/2006/relationships/hyperlink" Target="https://www.facebook.com/740460599475760/posts/1949044658617342/" TargetMode="External"/><Relationship Id="rId62" Type="http://schemas.openxmlformats.org/officeDocument/2006/relationships/hyperlink" Target="https://www.facebook.com/740460599475760/posts/1911245965730545/" TargetMode="External"/><Relationship Id="rId61" Type="http://schemas.openxmlformats.org/officeDocument/2006/relationships/hyperlink" Target="https://www.facebook.com/740460599475760/posts/1911245445730597/" TargetMode="External"/><Relationship Id="rId64" Type="http://schemas.openxmlformats.org/officeDocument/2006/relationships/hyperlink" Target="https://www.facebook.com/740460599475760/posts/1911247819063693/" TargetMode="External"/><Relationship Id="rId63" Type="http://schemas.openxmlformats.org/officeDocument/2006/relationships/hyperlink" Target="https://www.facebook.com/740460599475760/posts/1911247305730411/" TargetMode="External"/><Relationship Id="rId66" Type="http://schemas.openxmlformats.org/officeDocument/2006/relationships/hyperlink" Target="https://www.facebook.com/740460599475760/posts/1911249899063485/" TargetMode="External"/><Relationship Id="rId172" Type="http://schemas.openxmlformats.org/officeDocument/2006/relationships/hyperlink" Target="https://www.facebook.com/740460599475760/posts/1933425790179229/" TargetMode="External"/><Relationship Id="rId293" Type="http://schemas.openxmlformats.org/officeDocument/2006/relationships/hyperlink" Target="https://www.facebook.com/freefireth/videos/4347917948653797/" TargetMode="External"/><Relationship Id="rId65" Type="http://schemas.openxmlformats.org/officeDocument/2006/relationships/hyperlink" Target="https://www.facebook.com/740460599475760/posts/1913161612205647/" TargetMode="External"/><Relationship Id="rId171" Type="http://schemas.openxmlformats.org/officeDocument/2006/relationships/hyperlink" Target="https://www.facebook.com/740460599475760/posts/1932850766903398/" TargetMode="External"/><Relationship Id="rId292" Type="http://schemas.openxmlformats.org/officeDocument/2006/relationships/hyperlink" Target="https://www.facebook.com/740460599475760/posts/1964809903707484/" TargetMode="External"/><Relationship Id="rId68" Type="http://schemas.openxmlformats.org/officeDocument/2006/relationships/hyperlink" Target="https://www.facebook.com/740460599475760/posts/1913685608819914/" TargetMode="External"/><Relationship Id="rId170" Type="http://schemas.openxmlformats.org/officeDocument/2006/relationships/hyperlink" Target="https://www.facebook.com/740460599475760/posts/1932849380236870/" TargetMode="External"/><Relationship Id="rId291" Type="http://schemas.openxmlformats.org/officeDocument/2006/relationships/hyperlink" Target="https://www.facebook.com/740460599475760/posts/1963839930471148/" TargetMode="External"/><Relationship Id="rId67" Type="http://schemas.openxmlformats.org/officeDocument/2006/relationships/hyperlink" Target="https://www.facebook.com/740460599475760/posts/1913522198836255/?substory_index=1" TargetMode="External"/><Relationship Id="rId290" Type="http://schemas.openxmlformats.org/officeDocument/2006/relationships/hyperlink" Target="https://www.facebook.com/740460599475760/posts/1954317724756702/" TargetMode="External"/><Relationship Id="rId60" Type="http://schemas.openxmlformats.org/officeDocument/2006/relationships/hyperlink" Target="https://www.facebook.com/740460599475760/posts/1911244862397322/" TargetMode="External"/><Relationship Id="rId165" Type="http://schemas.openxmlformats.org/officeDocument/2006/relationships/hyperlink" Target="https://www.facebook.com/740460599475760/posts/1932009396987535/" TargetMode="External"/><Relationship Id="rId286" Type="http://schemas.openxmlformats.org/officeDocument/2006/relationships/hyperlink" Target="https://www.facebook.com/freefireth/videos/295978249106529/" TargetMode="External"/><Relationship Id="rId69" Type="http://schemas.openxmlformats.org/officeDocument/2006/relationships/hyperlink" Target="https://www.facebook.com/740460599475760/posts/1913537378834737/" TargetMode="External"/><Relationship Id="rId164" Type="http://schemas.openxmlformats.org/officeDocument/2006/relationships/hyperlink" Target="https://www.facebook.com/740460599475760/posts/1932005006987974/" TargetMode="External"/><Relationship Id="rId285" Type="http://schemas.openxmlformats.org/officeDocument/2006/relationships/hyperlink" Target="https://www.facebook.com/740460599475760/posts/1963833210471820/" TargetMode="External"/><Relationship Id="rId163" Type="http://schemas.openxmlformats.org/officeDocument/2006/relationships/hyperlink" Target="https://www.facebook.com/740460599475760/posts/1931154987072976/" TargetMode="External"/><Relationship Id="rId284" Type="http://schemas.openxmlformats.org/officeDocument/2006/relationships/hyperlink" Target="https://www.facebook.com/740460599475760/posts/1958525884335886/" TargetMode="External"/><Relationship Id="rId162" Type="http://schemas.openxmlformats.org/officeDocument/2006/relationships/hyperlink" Target="https://www.facebook.com/740460599475760/posts/1931244117064063/" TargetMode="External"/><Relationship Id="rId283" Type="http://schemas.openxmlformats.org/officeDocument/2006/relationships/hyperlink" Target="https://www.facebook.com/740460599475760/posts/1957749637746844/" TargetMode="External"/><Relationship Id="rId169" Type="http://schemas.openxmlformats.org/officeDocument/2006/relationships/hyperlink" Target="https://www.facebook.com/740460599475760/posts/1932024120319396/" TargetMode="External"/><Relationship Id="rId168" Type="http://schemas.openxmlformats.org/officeDocument/2006/relationships/hyperlink" Target="https://www.facebook.com/740460599475760/posts/1932019070319901/" TargetMode="External"/><Relationship Id="rId289" Type="http://schemas.openxmlformats.org/officeDocument/2006/relationships/hyperlink" Target="https://www.facebook.com/740460599475760/posts/1963822657139542/" TargetMode="External"/><Relationship Id="rId167" Type="http://schemas.openxmlformats.org/officeDocument/2006/relationships/hyperlink" Target="https://www.facebook.com/740460599475760/posts/1932721116916363/" TargetMode="External"/><Relationship Id="rId288" Type="http://schemas.openxmlformats.org/officeDocument/2006/relationships/hyperlink" Target="https://www.facebook.com/740460599475760/posts/1963845677137240/" TargetMode="External"/><Relationship Id="rId166" Type="http://schemas.openxmlformats.org/officeDocument/2006/relationships/hyperlink" Target="https://www.facebook.com/740460599475760/posts/1932017340320074/" TargetMode="External"/><Relationship Id="rId287" Type="http://schemas.openxmlformats.org/officeDocument/2006/relationships/hyperlink" Target="https://www.facebook.com/740460599475760/posts/1963790573809417/" TargetMode="External"/><Relationship Id="rId51" Type="http://schemas.openxmlformats.org/officeDocument/2006/relationships/hyperlink" Target="https://www.facebook.com/740460599475760/posts/1910557712466037/" TargetMode="External"/><Relationship Id="rId50" Type="http://schemas.openxmlformats.org/officeDocument/2006/relationships/hyperlink" Target="https://www.facebook.com/740460599475760/posts/1910342392487569/" TargetMode="External"/><Relationship Id="rId53" Type="http://schemas.openxmlformats.org/officeDocument/2006/relationships/hyperlink" Target="https://www.facebook.com/740460599475760/posts/1911243259064149/" TargetMode="External"/><Relationship Id="rId52" Type="http://schemas.openxmlformats.org/officeDocument/2006/relationships/hyperlink" Target="https://www.facebook.com/740460599475760/posts/1910351379153337/" TargetMode="External"/><Relationship Id="rId55" Type="http://schemas.openxmlformats.org/officeDocument/2006/relationships/hyperlink" Target="https://www.facebook.com/740460599475760/posts/1911243639064111/" TargetMode="External"/><Relationship Id="rId161" Type="http://schemas.openxmlformats.org/officeDocument/2006/relationships/hyperlink" Target="https://www.facebook.com/740460599475760/posts/1930818393773302/" TargetMode="External"/><Relationship Id="rId282" Type="http://schemas.openxmlformats.org/officeDocument/2006/relationships/hyperlink" Target="https://www.facebook.com/740460599475760/posts/1963827217139086/" TargetMode="External"/><Relationship Id="rId54" Type="http://schemas.openxmlformats.org/officeDocument/2006/relationships/hyperlink" Target="https://www.facebook.com/740460599475760/posts/1911360665719075/" TargetMode="External"/><Relationship Id="rId160" Type="http://schemas.openxmlformats.org/officeDocument/2006/relationships/hyperlink" Target="https://www.facebook.com/740460599475760/posts/1930474490474359/" TargetMode="External"/><Relationship Id="rId281" Type="http://schemas.openxmlformats.org/officeDocument/2006/relationships/hyperlink" Target="https://www.facebook.com/740460599475760/posts/1963789900476151/" TargetMode="External"/><Relationship Id="rId57" Type="http://schemas.openxmlformats.org/officeDocument/2006/relationships/hyperlink" Target="https://www.facebook.com/740460599475760/posts/1911244335730708/" TargetMode="External"/><Relationship Id="rId280" Type="http://schemas.openxmlformats.org/officeDocument/2006/relationships/hyperlink" Target="https://www.facebook.com/740460599475760/posts/1963789357142872/" TargetMode="External"/><Relationship Id="rId56" Type="http://schemas.openxmlformats.org/officeDocument/2006/relationships/hyperlink" Target="https://www.facebook.com/740460599475760/posts/1911524132369395/" TargetMode="External"/><Relationship Id="rId159" Type="http://schemas.openxmlformats.org/officeDocument/2006/relationships/hyperlink" Target="https://www.facebook.com/freefireth/videos/1269931843454044/" TargetMode="External"/><Relationship Id="rId59" Type="http://schemas.openxmlformats.org/officeDocument/2006/relationships/hyperlink" Target="https://www.facebook.com/740460599475760/posts/1911625359025939/" TargetMode="External"/><Relationship Id="rId154" Type="http://schemas.openxmlformats.org/officeDocument/2006/relationships/hyperlink" Target="https://www.facebook.com/740460599475760/posts/1928431267345348/" TargetMode="External"/><Relationship Id="rId275" Type="http://schemas.openxmlformats.org/officeDocument/2006/relationships/hyperlink" Target="https://www.facebook.com/740460599475760/posts/1963788033809671/" TargetMode="External"/><Relationship Id="rId58" Type="http://schemas.openxmlformats.org/officeDocument/2006/relationships/hyperlink" Target="https://www.facebook.com/740460599475760/posts/1911365515718590/" TargetMode="External"/><Relationship Id="rId153" Type="http://schemas.openxmlformats.org/officeDocument/2006/relationships/hyperlink" Target="https://www.facebook.com/740460599475760/posts/1928120204043121/" TargetMode="External"/><Relationship Id="rId274" Type="http://schemas.openxmlformats.org/officeDocument/2006/relationships/hyperlink" Target="https://www.facebook.com/740460599475760/posts/1963787453809729/" TargetMode="External"/><Relationship Id="rId152" Type="http://schemas.openxmlformats.org/officeDocument/2006/relationships/hyperlink" Target="https://www.facebook.com/740460599475760/posts/1928446460677162/" TargetMode="External"/><Relationship Id="rId273" Type="http://schemas.openxmlformats.org/officeDocument/2006/relationships/hyperlink" Target="https://www.facebook.com/740460599475760/posts/1958524954335979/" TargetMode="External"/><Relationship Id="rId151" Type="http://schemas.openxmlformats.org/officeDocument/2006/relationships/hyperlink" Target="https://www.facebook.com/740460599475760/posts/1928430600678748/" TargetMode="External"/><Relationship Id="rId272" Type="http://schemas.openxmlformats.org/officeDocument/2006/relationships/hyperlink" Target="https://www.facebook.com/740460599475760/posts/1963760730479068/" TargetMode="External"/><Relationship Id="rId158" Type="http://schemas.openxmlformats.org/officeDocument/2006/relationships/hyperlink" Target="https://www.facebook.com/740460599475760/posts/1928433627345112/" TargetMode="External"/><Relationship Id="rId279" Type="http://schemas.openxmlformats.org/officeDocument/2006/relationships/hyperlink" Target="https://www.facebook.com/freefireth/videos/1017690712111095/" TargetMode="External"/><Relationship Id="rId157" Type="http://schemas.openxmlformats.org/officeDocument/2006/relationships/hyperlink" Target="https://www.facebook.com/740460599475760/posts/1928432400678568/" TargetMode="External"/><Relationship Id="rId278" Type="http://schemas.openxmlformats.org/officeDocument/2006/relationships/hyperlink" Target="https://www.facebook.com/740460599475760/posts/1964072870447854/" TargetMode="External"/><Relationship Id="rId156" Type="http://schemas.openxmlformats.org/officeDocument/2006/relationships/hyperlink" Target="https://www.facebook.com/freefireth/videos/282532207073795/" TargetMode="External"/><Relationship Id="rId277" Type="http://schemas.openxmlformats.org/officeDocument/2006/relationships/hyperlink" Target="https://www.facebook.com/740460599475760/posts/1964456007076207/" TargetMode="External"/><Relationship Id="rId155" Type="http://schemas.openxmlformats.org/officeDocument/2006/relationships/hyperlink" Target="https://www.facebook.com/740460599475760/posts/1925661867622288/" TargetMode="External"/><Relationship Id="rId276" Type="http://schemas.openxmlformats.org/officeDocument/2006/relationships/hyperlink" Target="https://www.facebook.com/740460599475760/posts/1964448330410308/" TargetMode="External"/><Relationship Id="rId107" Type="http://schemas.openxmlformats.org/officeDocument/2006/relationships/hyperlink" Target="https://www.facebook.com/740460599475760/posts/1921183174736824/" TargetMode="External"/><Relationship Id="rId228" Type="http://schemas.openxmlformats.org/officeDocument/2006/relationships/hyperlink" Target="https://www.facebook.com/740460599475760/posts/1943970605791414/" TargetMode="External"/><Relationship Id="rId106" Type="http://schemas.openxmlformats.org/officeDocument/2006/relationships/hyperlink" Target="https://www.facebook.com/740460599475760/posts/1921114361410372/" TargetMode="External"/><Relationship Id="rId227" Type="http://schemas.openxmlformats.org/officeDocument/2006/relationships/hyperlink" Target="https://www.facebook.com/740460599475760/posts/1944013139120494/" TargetMode="External"/><Relationship Id="rId105" Type="http://schemas.openxmlformats.org/officeDocument/2006/relationships/hyperlink" Target="https://www.facebook.com/740460599475760/posts/1920381241483684/" TargetMode="External"/><Relationship Id="rId226" Type="http://schemas.openxmlformats.org/officeDocument/2006/relationships/hyperlink" Target="https://www.facebook.com/740460599475760/posts/1944766482378493/" TargetMode="External"/><Relationship Id="rId104" Type="http://schemas.openxmlformats.org/officeDocument/2006/relationships/hyperlink" Target="https://www.facebook.com/740460599475760/posts/1919542078234267/" TargetMode="External"/><Relationship Id="rId225" Type="http://schemas.openxmlformats.org/officeDocument/2006/relationships/hyperlink" Target="https://www.facebook.com/740460599475760/posts/1943970059124802/" TargetMode="External"/><Relationship Id="rId109" Type="http://schemas.openxmlformats.org/officeDocument/2006/relationships/hyperlink" Target="https://www.facebook.com/740460599475760/posts/1921852924669849/" TargetMode="External"/><Relationship Id="rId108" Type="http://schemas.openxmlformats.org/officeDocument/2006/relationships/hyperlink" Target="https://www.facebook.com/740460599475760/posts/1921818054673336/" TargetMode="External"/><Relationship Id="rId229" Type="http://schemas.openxmlformats.org/officeDocument/2006/relationships/hyperlink" Target="https://www.facebook.com/740460599475760/posts/1941444886043986/" TargetMode="External"/><Relationship Id="rId220" Type="http://schemas.openxmlformats.org/officeDocument/2006/relationships/hyperlink" Target="https://www.facebook.com/740460599475760/posts/1943173239204484/" TargetMode="External"/><Relationship Id="rId103" Type="http://schemas.openxmlformats.org/officeDocument/2006/relationships/hyperlink" Target="https://www.facebook.com/740460599475760/posts/1920949781426830/" TargetMode="External"/><Relationship Id="rId224" Type="http://schemas.openxmlformats.org/officeDocument/2006/relationships/hyperlink" Target="https://www.facebook.com/740460599475760/posts/1943968502458291/" TargetMode="External"/><Relationship Id="rId102" Type="http://schemas.openxmlformats.org/officeDocument/2006/relationships/hyperlink" Target="https://www.facebook.com/740460599475760/posts/1920915854763556/" TargetMode="External"/><Relationship Id="rId223" Type="http://schemas.openxmlformats.org/officeDocument/2006/relationships/hyperlink" Target="https://www.facebook.com/740460599475760/posts/1943967959125012/" TargetMode="External"/><Relationship Id="rId101" Type="http://schemas.openxmlformats.org/officeDocument/2006/relationships/hyperlink" Target="https://www.facebook.com/740460599475760/posts/1919541568234318/" TargetMode="External"/><Relationship Id="rId222" Type="http://schemas.openxmlformats.org/officeDocument/2006/relationships/hyperlink" Target="https://www.facebook.com/740460599475760/posts/1943020629219745/" TargetMode="External"/><Relationship Id="rId100" Type="http://schemas.openxmlformats.org/officeDocument/2006/relationships/hyperlink" Target="https://www.facebook.com/740460599475760/posts/1917073385147803/" TargetMode="External"/><Relationship Id="rId221" Type="http://schemas.openxmlformats.org/officeDocument/2006/relationships/hyperlink" Target="https://www.facebook.com/740460599475760/posts/1943902472464894/" TargetMode="External"/><Relationship Id="rId217" Type="http://schemas.openxmlformats.org/officeDocument/2006/relationships/hyperlink" Target="https://www.facebook.com/740460599475760/posts/1943028985885576/" TargetMode="External"/><Relationship Id="rId216" Type="http://schemas.openxmlformats.org/officeDocument/2006/relationships/hyperlink" Target="https://www.facebook.com/740460599475760/posts/1943171275871347/" TargetMode="External"/><Relationship Id="rId215" Type="http://schemas.openxmlformats.org/officeDocument/2006/relationships/hyperlink" Target="https://www.facebook.com/740460599475760/posts/1942317042623437/" TargetMode="External"/><Relationship Id="rId214" Type="http://schemas.openxmlformats.org/officeDocument/2006/relationships/hyperlink" Target="https://www.facebook.com/740460599475760/posts/1940979659423842/" TargetMode="External"/><Relationship Id="rId219" Type="http://schemas.openxmlformats.org/officeDocument/2006/relationships/hyperlink" Target="https://www.facebook.com/740460599475760/posts/1943825175805957/" TargetMode="External"/><Relationship Id="rId218" Type="http://schemas.openxmlformats.org/officeDocument/2006/relationships/hyperlink" Target="https://www.facebook.com/740460599475760/posts/1943172792537862/" TargetMode="External"/><Relationship Id="rId213" Type="http://schemas.openxmlformats.org/officeDocument/2006/relationships/hyperlink" Target="https://www.facebook.com/740460599475760/posts/1941531746035300/" TargetMode="External"/><Relationship Id="rId212" Type="http://schemas.openxmlformats.org/officeDocument/2006/relationships/hyperlink" Target="https://www.facebook.com/740460599475760/posts/1941486246039850/" TargetMode="External"/><Relationship Id="rId211" Type="http://schemas.openxmlformats.org/officeDocument/2006/relationships/hyperlink" Target="https://www.facebook.com/740460599475760/posts/1940855049436303/" TargetMode="External"/><Relationship Id="rId210" Type="http://schemas.openxmlformats.org/officeDocument/2006/relationships/hyperlink" Target="https://www.facebook.com/740460599475760/posts/1940854602769681/" TargetMode="External"/><Relationship Id="rId129" Type="http://schemas.openxmlformats.org/officeDocument/2006/relationships/hyperlink" Target="https://www.facebook.com/740460599475760/posts/1924909847697490/" TargetMode="External"/><Relationship Id="rId128" Type="http://schemas.openxmlformats.org/officeDocument/2006/relationships/hyperlink" Target="https://www.facebook.com/740460599475760/posts/1921844304670711/" TargetMode="External"/><Relationship Id="rId249" Type="http://schemas.openxmlformats.org/officeDocument/2006/relationships/hyperlink" Target="https://www.facebook.com/740460599475760/posts/1947622975426177/" TargetMode="External"/><Relationship Id="rId127" Type="http://schemas.openxmlformats.org/officeDocument/2006/relationships/hyperlink" Target="https://www.facebook.com/740460599475760/posts/1924094991112309/" TargetMode="External"/><Relationship Id="rId248" Type="http://schemas.openxmlformats.org/officeDocument/2006/relationships/hyperlink" Target="https://www.facebook.com/740460599475760/posts/1947695698752238/" TargetMode="External"/><Relationship Id="rId126" Type="http://schemas.openxmlformats.org/officeDocument/2006/relationships/hyperlink" Target="https://www.facebook.com/740460599475760/posts/1921842081337600/" TargetMode="External"/><Relationship Id="rId247" Type="http://schemas.openxmlformats.org/officeDocument/2006/relationships/hyperlink" Target="https://www.facebook.com/740460599475760/posts/1948389112016230/" TargetMode="External"/><Relationship Id="rId121" Type="http://schemas.openxmlformats.org/officeDocument/2006/relationships/hyperlink" Target="https://www.facebook.com/740460599475760/posts/1923459334509208/" TargetMode="External"/><Relationship Id="rId242" Type="http://schemas.openxmlformats.org/officeDocument/2006/relationships/hyperlink" Target="https://www.facebook.com/740460599475760/posts/1947017738820034/" TargetMode="External"/><Relationship Id="rId120" Type="http://schemas.openxmlformats.org/officeDocument/2006/relationships/hyperlink" Target="https://www.facebook.com/740460599475760/posts/1923251744529967/" TargetMode="External"/><Relationship Id="rId241" Type="http://schemas.openxmlformats.org/officeDocument/2006/relationships/hyperlink" Target="https://www.facebook.com/740460599475760/posts/1947016335486841/" TargetMode="External"/><Relationship Id="rId240" Type="http://schemas.openxmlformats.org/officeDocument/2006/relationships/hyperlink" Target="https://www.facebook.com/740460599475760/posts/1947015365486938/" TargetMode="External"/><Relationship Id="rId125" Type="http://schemas.openxmlformats.org/officeDocument/2006/relationships/hyperlink" Target="https://www.facebook.com/740460599475760/posts/1921843774670764/" TargetMode="External"/><Relationship Id="rId246" Type="http://schemas.openxmlformats.org/officeDocument/2006/relationships/hyperlink" Target="https://www.facebook.com/740460599475760/posts/1947520292103112/" TargetMode="External"/><Relationship Id="rId124" Type="http://schemas.openxmlformats.org/officeDocument/2006/relationships/hyperlink" Target="https://www.facebook.com/740460599475760/posts/1921843044670837/" TargetMode="External"/><Relationship Id="rId245" Type="http://schemas.openxmlformats.org/officeDocument/2006/relationships/hyperlink" Target="https://www.facebook.com/740460599475760/posts/1947713838750424/" TargetMode="External"/><Relationship Id="rId123" Type="http://schemas.openxmlformats.org/officeDocument/2006/relationships/hyperlink" Target="https://www.facebook.com/740460599475760/posts/1921992781322530/" TargetMode="External"/><Relationship Id="rId244" Type="http://schemas.openxmlformats.org/officeDocument/2006/relationships/hyperlink" Target="https://www.facebook.com/740460599475760/posts/1947019415486533/" TargetMode="External"/><Relationship Id="rId122" Type="http://schemas.openxmlformats.org/officeDocument/2006/relationships/hyperlink" Target="https://www.facebook.com/740460599475760/posts/1921840288004446/" TargetMode="External"/><Relationship Id="rId243" Type="http://schemas.openxmlformats.org/officeDocument/2006/relationships/hyperlink" Target="https://www.facebook.com/740460599475760/posts/1946179912237150/" TargetMode="External"/><Relationship Id="rId95" Type="http://schemas.openxmlformats.org/officeDocument/2006/relationships/hyperlink" Target="https://www.facebook.com/740460599475760/posts/1917094281812380/" TargetMode="External"/><Relationship Id="rId94" Type="http://schemas.openxmlformats.org/officeDocument/2006/relationships/hyperlink" Target="https://www.facebook.com/740460599475760/posts/1917067105148431/" TargetMode="External"/><Relationship Id="rId97" Type="http://schemas.openxmlformats.org/officeDocument/2006/relationships/hyperlink" Target="https://www.facebook.com/740460599475760/posts/1917117195143422/" TargetMode="External"/><Relationship Id="rId96" Type="http://schemas.openxmlformats.org/officeDocument/2006/relationships/hyperlink" Target="https://www.facebook.com/740460599475760/posts/1918050318383443/" TargetMode="External"/><Relationship Id="rId99" Type="http://schemas.openxmlformats.org/officeDocument/2006/relationships/hyperlink" Target="https://www.facebook.com/740460599475760/posts/1919656528222822/" TargetMode="External"/><Relationship Id="rId98" Type="http://schemas.openxmlformats.org/officeDocument/2006/relationships/hyperlink" Target="https://www.facebook.com/740460599475760/posts/1917068655148276/" TargetMode="External"/><Relationship Id="rId91" Type="http://schemas.openxmlformats.org/officeDocument/2006/relationships/hyperlink" Target="https://www.facebook.com/740460599475760/posts/1917064441815364/" TargetMode="External"/><Relationship Id="rId90" Type="http://schemas.openxmlformats.org/officeDocument/2006/relationships/hyperlink" Target="https://www.facebook.com/740460599475760/posts/1917063811815427/" TargetMode="External"/><Relationship Id="rId93" Type="http://schemas.openxmlformats.org/officeDocument/2006/relationships/hyperlink" Target="https://www.facebook.com/740460599475760/posts/1917261255129016/" TargetMode="External"/><Relationship Id="rId92" Type="http://schemas.openxmlformats.org/officeDocument/2006/relationships/hyperlink" Target="https://www.facebook.com/740460599475760/posts/1917065585148583/" TargetMode="External"/><Relationship Id="rId118" Type="http://schemas.openxmlformats.org/officeDocument/2006/relationships/hyperlink" Target="https://www.facebook.com/740460599475760/posts/1922737251248083/" TargetMode="External"/><Relationship Id="rId239" Type="http://schemas.openxmlformats.org/officeDocument/2006/relationships/hyperlink" Target="https://www.facebook.com/740460599475760/posts/1946818968839911/" TargetMode="External"/><Relationship Id="rId117" Type="http://schemas.openxmlformats.org/officeDocument/2006/relationships/hyperlink" Target="https://www.facebook.com/740460599475760/posts/1921839284671213/" TargetMode="External"/><Relationship Id="rId238" Type="http://schemas.openxmlformats.org/officeDocument/2006/relationships/hyperlink" Target="https://www.facebook.com/740460599475760/posts/1946861385502336/" TargetMode="External"/><Relationship Id="rId116" Type="http://schemas.openxmlformats.org/officeDocument/2006/relationships/hyperlink" Target="https://www.facebook.com/740460599475760/posts/1921838101337998/" TargetMode="External"/><Relationship Id="rId237" Type="http://schemas.openxmlformats.org/officeDocument/2006/relationships/hyperlink" Target="https://www.facebook.com/740460599475760/posts/1946790715509403/" TargetMode="External"/><Relationship Id="rId115" Type="http://schemas.openxmlformats.org/officeDocument/2006/relationships/hyperlink" Target="https://www.facebook.com/740460599475760/posts/1921837141338094/" TargetMode="External"/><Relationship Id="rId236" Type="http://schemas.openxmlformats.org/officeDocument/2006/relationships/hyperlink" Target="https://www.facebook.com/740460599475760/posts/1946262388895569/" TargetMode="External"/><Relationship Id="rId119" Type="http://schemas.openxmlformats.org/officeDocument/2006/relationships/hyperlink" Target="https://www.facebook.com/740460599475760/posts/1922714304583711/" TargetMode="External"/><Relationship Id="rId110" Type="http://schemas.openxmlformats.org/officeDocument/2006/relationships/hyperlink" Target="https://www.facebook.com/740460599475760/posts/1921827931339015/" TargetMode="External"/><Relationship Id="rId231" Type="http://schemas.openxmlformats.org/officeDocument/2006/relationships/hyperlink" Target="https://www.facebook.com/740460599475760/posts/1945472215641253/" TargetMode="External"/><Relationship Id="rId230" Type="http://schemas.openxmlformats.org/officeDocument/2006/relationships/hyperlink" Target="https://www.facebook.com/740460599475760/posts/1943971055791369/" TargetMode="External"/><Relationship Id="rId114" Type="http://schemas.openxmlformats.org/officeDocument/2006/relationships/hyperlink" Target="https://www.facebook.com/740460599475760/posts/1921944611327347/" TargetMode="External"/><Relationship Id="rId235" Type="http://schemas.openxmlformats.org/officeDocument/2006/relationships/hyperlink" Target="https://www.facebook.com/740460599475760/posts/1946261052229036/" TargetMode="External"/><Relationship Id="rId113" Type="http://schemas.openxmlformats.org/officeDocument/2006/relationships/hyperlink" Target="https://www.facebook.com/740460599475760/posts/1922684047920070/" TargetMode="External"/><Relationship Id="rId234" Type="http://schemas.openxmlformats.org/officeDocument/2006/relationships/hyperlink" Target="https://www.facebook.com/740460599475760/posts/1946247932230348/" TargetMode="External"/><Relationship Id="rId112" Type="http://schemas.openxmlformats.org/officeDocument/2006/relationships/hyperlink" Target="https://www.facebook.com/740460599475760/posts/1921988727989602/" TargetMode="External"/><Relationship Id="rId233" Type="http://schemas.openxmlformats.org/officeDocument/2006/relationships/hyperlink" Target="https://www.facebook.com/740460599475760/posts/1946073798914428/" TargetMode="External"/><Relationship Id="rId111" Type="http://schemas.openxmlformats.org/officeDocument/2006/relationships/hyperlink" Target="https://www.facebook.com/740460599475760/posts/1921831148005360/" TargetMode="External"/><Relationship Id="rId232" Type="http://schemas.openxmlformats.org/officeDocument/2006/relationships/hyperlink" Target="https://www.facebook.com/740460599475760/posts/1944019885786486/" TargetMode="External"/><Relationship Id="rId305" Type="http://schemas.openxmlformats.org/officeDocument/2006/relationships/hyperlink" Target="https://www.facebook.com/740460599475760/posts/1967657196756088/" TargetMode="External"/><Relationship Id="rId304" Type="http://schemas.openxmlformats.org/officeDocument/2006/relationships/hyperlink" Target="https://www.facebook.com/740460599475760/posts/1967695280085613/" TargetMode="External"/><Relationship Id="rId303" Type="http://schemas.openxmlformats.org/officeDocument/2006/relationships/hyperlink" Target="https://www.facebook.com/740460599475760/posts/1967618723426602/" TargetMode="External"/><Relationship Id="rId302" Type="http://schemas.openxmlformats.org/officeDocument/2006/relationships/hyperlink" Target="https://www.facebook.com/740460599475760/posts/1966950776826730/" TargetMode="External"/><Relationship Id="rId309" Type="http://schemas.openxmlformats.org/officeDocument/2006/relationships/hyperlink" Target="https://www.facebook.com/740460599475760/posts/1968403463348128/" TargetMode="External"/><Relationship Id="rId308" Type="http://schemas.openxmlformats.org/officeDocument/2006/relationships/hyperlink" Target="https://www.facebook.com/740460599475760/posts/1967776100077531/" TargetMode="External"/><Relationship Id="rId307" Type="http://schemas.openxmlformats.org/officeDocument/2006/relationships/hyperlink" Target="https://www.facebook.com/740460599475760/posts/1967775646744243/" TargetMode="External"/><Relationship Id="rId306" Type="http://schemas.openxmlformats.org/officeDocument/2006/relationships/hyperlink" Target="https://www.facebook.com/740460599475760/posts/1967775140077627/" TargetMode="External"/><Relationship Id="rId301" Type="http://schemas.openxmlformats.org/officeDocument/2006/relationships/hyperlink" Target="https://www.facebook.com/740460599475760/posts/1966951500159991/" TargetMode="External"/><Relationship Id="rId300" Type="http://schemas.openxmlformats.org/officeDocument/2006/relationships/hyperlink" Target="https://www.facebook.com/740460599475760/posts/1966941793494295/" TargetMode="External"/><Relationship Id="rId206" Type="http://schemas.openxmlformats.org/officeDocument/2006/relationships/hyperlink" Target="https://www.facebook.com/740460599475760/posts/1938554809666327/" TargetMode="External"/><Relationship Id="rId327" Type="http://schemas.microsoft.com/office/2007/relationships/slicer" Target="../slicers/slicer3.xml"/><Relationship Id="rId205" Type="http://schemas.openxmlformats.org/officeDocument/2006/relationships/hyperlink" Target="https://www.facebook.com/740460599475760/posts/1938461969675611/" TargetMode="External"/><Relationship Id="rId326" Type="http://schemas.openxmlformats.org/officeDocument/2006/relationships/table" Target="../tables/table2.xml"/><Relationship Id="rId204" Type="http://schemas.openxmlformats.org/officeDocument/2006/relationships/hyperlink" Target="https://www.facebook.com/740460599475760/posts/1937055576482917/" TargetMode="External"/><Relationship Id="rId203" Type="http://schemas.openxmlformats.org/officeDocument/2006/relationships/hyperlink" Target="https://www.facebook.com/740460599475760/posts/1937029113152230/" TargetMode="External"/><Relationship Id="rId324" Type="http://schemas.openxmlformats.org/officeDocument/2006/relationships/drawing" Target="../drawings/drawing9.xml"/><Relationship Id="rId209" Type="http://schemas.openxmlformats.org/officeDocument/2006/relationships/hyperlink" Target="https://www.facebook.com/740460599475760/posts/1940827519439056/" TargetMode="External"/><Relationship Id="rId208" Type="http://schemas.openxmlformats.org/officeDocument/2006/relationships/hyperlink" Target="https://www.facebook.com/740460599475760/posts/1938587642996377/" TargetMode="External"/><Relationship Id="rId207" Type="http://schemas.openxmlformats.org/officeDocument/2006/relationships/hyperlink" Target="https://www.facebook.com/freefireth/videos/901966987347375/" TargetMode="External"/><Relationship Id="rId202" Type="http://schemas.openxmlformats.org/officeDocument/2006/relationships/hyperlink" Target="https://www.facebook.com/740460599475760/posts/1937028466485628/" TargetMode="External"/><Relationship Id="rId323" Type="http://schemas.openxmlformats.org/officeDocument/2006/relationships/hyperlink" Target="https://www.facebook.com/740460599475760/posts/1969128239942317/" TargetMode="External"/><Relationship Id="rId201" Type="http://schemas.openxmlformats.org/officeDocument/2006/relationships/hyperlink" Target="https://www.facebook.com/740460599475760/posts/1937027923152349/" TargetMode="External"/><Relationship Id="rId322" Type="http://schemas.openxmlformats.org/officeDocument/2006/relationships/hyperlink" Target="https://www.facebook.com/740460599475760/posts/1968551743333300/" TargetMode="External"/><Relationship Id="rId200" Type="http://schemas.openxmlformats.org/officeDocument/2006/relationships/hyperlink" Target="https://www.facebook.com/740460599475760/posts/1937027513152390/" TargetMode="External"/><Relationship Id="rId321" Type="http://schemas.openxmlformats.org/officeDocument/2006/relationships/hyperlink" Target="https://www.facebook.com/740460599475760/posts/1968551040000037/" TargetMode="External"/><Relationship Id="rId320" Type="http://schemas.openxmlformats.org/officeDocument/2006/relationships/hyperlink" Target="https://www.facebook.com/740460599475760/posts/1969269273261547/" TargetMode="External"/><Relationship Id="rId316" Type="http://schemas.openxmlformats.org/officeDocument/2006/relationships/hyperlink" Target="https://www.facebook.com/740460599475760/posts/1968548526666955/" TargetMode="External"/><Relationship Id="rId315" Type="http://schemas.openxmlformats.org/officeDocument/2006/relationships/hyperlink" Target="https://www.facebook.com/740460599475760/posts/1966884233500051/" TargetMode="External"/><Relationship Id="rId314" Type="http://schemas.openxmlformats.org/officeDocument/2006/relationships/hyperlink" Target="https://www.facebook.com/740460599475760/posts/1968547556667052/" TargetMode="External"/><Relationship Id="rId313" Type="http://schemas.openxmlformats.org/officeDocument/2006/relationships/hyperlink" Target="https://www.facebook.com/740460599475760/posts/1968546566667151/" TargetMode="External"/><Relationship Id="rId319" Type="http://schemas.openxmlformats.org/officeDocument/2006/relationships/hyperlink" Target="https://www.facebook.com/740460599475760/posts/1969321056589702/" TargetMode="External"/><Relationship Id="rId318" Type="http://schemas.openxmlformats.org/officeDocument/2006/relationships/hyperlink" Target="https://www.facebook.com/740460599475760/posts/1969123923276082/" TargetMode="External"/><Relationship Id="rId317" Type="http://schemas.openxmlformats.org/officeDocument/2006/relationships/hyperlink" Target="https://www.facebook.com/740460599475760/posts/1968550000000141/" TargetMode="External"/><Relationship Id="rId312" Type="http://schemas.openxmlformats.org/officeDocument/2006/relationships/hyperlink" Target="https://www.facebook.com/740460599475760/posts/1968512446670563/" TargetMode="External"/><Relationship Id="rId311" Type="http://schemas.openxmlformats.org/officeDocument/2006/relationships/hyperlink" Target="https://www.facebook.com/740460599475760/posts/1967821676739640/" TargetMode="External"/><Relationship Id="rId310" Type="http://schemas.openxmlformats.org/officeDocument/2006/relationships/hyperlink" Target="https://www.facebook.com/740460599475760/posts/196777714341076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facebook.com/172882636630076/posts/982061412378857/" TargetMode="External"/><Relationship Id="rId190" Type="http://schemas.openxmlformats.org/officeDocument/2006/relationships/hyperlink" Target="https://www.facebook.com/172882636630076/posts/1013266309258367/" TargetMode="External"/><Relationship Id="rId42" Type="http://schemas.openxmlformats.org/officeDocument/2006/relationships/hyperlink" Target="https://www.facebook.com/172882636630076/posts/982696852315313/" TargetMode="External"/><Relationship Id="rId41" Type="http://schemas.openxmlformats.org/officeDocument/2006/relationships/hyperlink" Target="https://www.facebook.com/172882636630076/posts/982020615716270/" TargetMode="External"/><Relationship Id="rId44" Type="http://schemas.openxmlformats.org/officeDocument/2006/relationships/hyperlink" Target="https://www.facebook.com/172882636630076/posts/982779412307057/" TargetMode="External"/><Relationship Id="rId194" Type="http://schemas.openxmlformats.org/officeDocument/2006/relationships/hyperlink" Target="https://www.facebook.com/172882636630076/posts/1013909035860761/" TargetMode="External"/><Relationship Id="rId43" Type="http://schemas.openxmlformats.org/officeDocument/2006/relationships/hyperlink" Target="https://www.facebook.com/172882636630076/posts/982766825641649/" TargetMode="External"/><Relationship Id="rId193" Type="http://schemas.openxmlformats.org/officeDocument/2006/relationships/hyperlink" Target="https://www.facebook.com/172882636630076/posts/1013823322535999/" TargetMode="External"/><Relationship Id="rId46" Type="http://schemas.openxmlformats.org/officeDocument/2006/relationships/hyperlink" Target="https://www.facebook.com/172882636630076/posts/986959085222423/" TargetMode="External"/><Relationship Id="rId192" Type="http://schemas.openxmlformats.org/officeDocument/2006/relationships/hyperlink" Target="https://www.facebook.com/172882636630076/posts/1013544389230559/" TargetMode="External"/><Relationship Id="rId45" Type="http://schemas.openxmlformats.org/officeDocument/2006/relationships/hyperlink" Target="https://www.facebook.com/172882636630076/posts/986268008624864/" TargetMode="External"/><Relationship Id="rId191" Type="http://schemas.openxmlformats.org/officeDocument/2006/relationships/hyperlink" Target="https://www.facebook.com/172882636630076/posts/1013318095919855/" TargetMode="External"/><Relationship Id="rId48" Type="http://schemas.openxmlformats.org/officeDocument/2006/relationships/hyperlink" Target="https://www.facebook.com/172882636630076/posts/987097465208585/" TargetMode="External"/><Relationship Id="rId187" Type="http://schemas.openxmlformats.org/officeDocument/2006/relationships/hyperlink" Target="https://www.facebook.com/172882636630076/posts/1012891612629170/" TargetMode="External"/><Relationship Id="rId47" Type="http://schemas.openxmlformats.org/officeDocument/2006/relationships/hyperlink" Target="https://www.facebook.com/172882636630076/posts/987063738545291/" TargetMode="External"/><Relationship Id="rId186" Type="http://schemas.openxmlformats.org/officeDocument/2006/relationships/hyperlink" Target="https://www.facebook.com/172882636630076/posts/1012700112648320/" TargetMode="External"/><Relationship Id="rId185" Type="http://schemas.openxmlformats.org/officeDocument/2006/relationships/hyperlink" Target="https://www.facebook.com/172882636630076/posts/1012606602657671/" TargetMode="External"/><Relationship Id="rId49" Type="http://schemas.openxmlformats.org/officeDocument/2006/relationships/hyperlink" Target="https://www.facebook.com/172882636630076/posts/987160195202312/" TargetMode="External"/><Relationship Id="rId184" Type="http://schemas.openxmlformats.org/officeDocument/2006/relationships/hyperlink" Target="https://www.facebook.com/172882636630076/posts/1012243712693960/" TargetMode="External"/><Relationship Id="rId189" Type="http://schemas.openxmlformats.org/officeDocument/2006/relationships/hyperlink" Target="https://www.facebook.com/172882636630076/posts/1013251422593189/" TargetMode="External"/><Relationship Id="rId188" Type="http://schemas.openxmlformats.org/officeDocument/2006/relationships/hyperlink" Target="https://www.facebook.com/172882636630076/posts/1013230399261958/" TargetMode="External"/><Relationship Id="rId31" Type="http://schemas.openxmlformats.org/officeDocument/2006/relationships/hyperlink" Target="https://www.facebook.com/172882636630076/posts/976953709556294/" TargetMode="External"/><Relationship Id="rId30" Type="http://schemas.openxmlformats.org/officeDocument/2006/relationships/hyperlink" Target="https://www.facebook.com/172882636630076/posts/976362902948708/" TargetMode="External"/><Relationship Id="rId33" Type="http://schemas.openxmlformats.org/officeDocument/2006/relationships/hyperlink" Target="https://www.facebook.com/172882636630076/posts/977708739480791/" TargetMode="External"/><Relationship Id="rId183" Type="http://schemas.openxmlformats.org/officeDocument/2006/relationships/hyperlink" Target="https://www.facebook.com/172882636630076/posts/1012621895989475/" TargetMode="External"/><Relationship Id="rId32" Type="http://schemas.openxmlformats.org/officeDocument/2006/relationships/hyperlink" Target="https://www.facebook.com/172882636630076/posts/977696136148718/" TargetMode="External"/><Relationship Id="rId182" Type="http://schemas.openxmlformats.org/officeDocument/2006/relationships/hyperlink" Target="https://www.facebook.com/172882636630076/posts/1012283736023291/" TargetMode="External"/><Relationship Id="rId35" Type="http://schemas.openxmlformats.org/officeDocument/2006/relationships/hyperlink" Target="https://www.facebook.com/172882636630076/posts/977895402795458/" TargetMode="External"/><Relationship Id="rId181" Type="http://schemas.openxmlformats.org/officeDocument/2006/relationships/hyperlink" Target="https://www.facebook.com/172882636630076/posts/1011017489483249/" TargetMode="External"/><Relationship Id="rId34" Type="http://schemas.openxmlformats.org/officeDocument/2006/relationships/hyperlink" Target="https://www.facebook.com/172882636630076/posts/977798096138522/" TargetMode="External"/><Relationship Id="rId180" Type="http://schemas.openxmlformats.org/officeDocument/2006/relationships/hyperlink" Target="https://www.facebook.com/172882636630076/posts/1011606189424379/" TargetMode="External"/><Relationship Id="rId37" Type="http://schemas.openxmlformats.org/officeDocument/2006/relationships/hyperlink" Target="https://www.facebook.com/172882636630076/posts/980953712489627/" TargetMode="External"/><Relationship Id="rId176" Type="http://schemas.openxmlformats.org/officeDocument/2006/relationships/hyperlink" Target="https://www.facebook.com/172882636630076/posts/1010822766169388/" TargetMode="External"/><Relationship Id="rId36" Type="http://schemas.openxmlformats.org/officeDocument/2006/relationships/hyperlink" Target="https://www.facebook.com/172882636630076/posts/979679202617078/" TargetMode="External"/><Relationship Id="rId175" Type="http://schemas.openxmlformats.org/officeDocument/2006/relationships/hyperlink" Target="https://www.facebook.com/172882636630076/posts/1010510302867301/" TargetMode="External"/><Relationship Id="rId39" Type="http://schemas.openxmlformats.org/officeDocument/2006/relationships/hyperlink" Target="https://www.facebook.com/172882636630076/posts/981491159102549/" TargetMode="External"/><Relationship Id="rId174" Type="http://schemas.openxmlformats.org/officeDocument/2006/relationships/hyperlink" Target="https://www.facebook.com/172882636630076/posts/1010225402895791/" TargetMode="External"/><Relationship Id="rId38" Type="http://schemas.openxmlformats.org/officeDocument/2006/relationships/hyperlink" Target="https://www.facebook.com/172882636630076/posts/980958539155811/" TargetMode="External"/><Relationship Id="rId173" Type="http://schemas.openxmlformats.org/officeDocument/2006/relationships/hyperlink" Target="https://www.facebook.com/172882636630076/posts/1010255829559415/" TargetMode="External"/><Relationship Id="rId179" Type="http://schemas.openxmlformats.org/officeDocument/2006/relationships/hyperlink" Target="https://www.facebook.com/172882636630076/posts/1011462816105383/" TargetMode="External"/><Relationship Id="rId178" Type="http://schemas.openxmlformats.org/officeDocument/2006/relationships/hyperlink" Target="https://www.facebook.com/172882636630076/posts/1010515446200120/" TargetMode="External"/><Relationship Id="rId177" Type="http://schemas.openxmlformats.org/officeDocument/2006/relationships/hyperlink" Target="https://www.facebook.com/172882636630076/posts/1011030879481910/" TargetMode="External"/><Relationship Id="rId20" Type="http://schemas.openxmlformats.org/officeDocument/2006/relationships/hyperlink" Target="https://www.facebook.com/172882636630076/posts/974253753159623/" TargetMode="External"/><Relationship Id="rId22" Type="http://schemas.openxmlformats.org/officeDocument/2006/relationships/hyperlink" Target="https://www.facebook.com/172882636630076/posts/974353596482972/" TargetMode="External"/><Relationship Id="rId21" Type="http://schemas.openxmlformats.org/officeDocument/2006/relationships/hyperlink" Target="https://www.facebook.com/172882636630076/posts/974324759819189/" TargetMode="External"/><Relationship Id="rId24" Type="http://schemas.openxmlformats.org/officeDocument/2006/relationships/hyperlink" Target="https://www.facebook.com/172882636630076/posts/974893623095636/" TargetMode="External"/><Relationship Id="rId23" Type="http://schemas.openxmlformats.org/officeDocument/2006/relationships/hyperlink" Target="https://www.facebook.com/172882636630076/posts/974385706479761/" TargetMode="External"/><Relationship Id="rId26" Type="http://schemas.openxmlformats.org/officeDocument/2006/relationships/hyperlink" Target="https://www.facebook.com/172882636630076/posts/974981129753552/" TargetMode="External"/><Relationship Id="rId25" Type="http://schemas.openxmlformats.org/officeDocument/2006/relationships/hyperlink" Target="https://www.facebook.com/172882636630076/posts/974967039754961/" TargetMode="External"/><Relationship Id="rId28" Type="http://schemas.openxmlformats.org/officeDocument/2006/relationships/hyperlink" Target="https://www.facebook.com/172882636630076/posts/975672303017768/" TargetMode="External"/><Relationship Id="rId27" Type="http://schemas.openxmlformats.org/officeDocument/2006/relationships/hyperlink" Target="https://www.facebook.com/172882636630076/posts/975060066412325/" TargetMode="External"/><Relationship Id="rId29" Type="http://schemas.openxmlformats.org/officeDocument/2006/relationships/hyperlink" Target="https://www.facebook.com/172882636630076/posts/975724409679224/" TargetMode="External"/><Relationship Id="rId11" Type="http://schemas.openxmlformats.org/officeDocument/2006/relationships/hyperlink" Target="https://www.facebook.com/172882636630076/posts/972161813368817/" TargetMode="External"/><Relationship Id="rId10" Type="http://schemas.openxmlformats.org/officeDocument/2006/relationships/hyperlink" Target="https://www.facebook.com/172882636630076/posts/972150376703294/" TargetMode="External"/><Relationship Id="rId13" Type="http://schemas.openxmlformats.org/officeDocument/2006/relationships/hyperlink" Target="https://www.facebook.com/172882636630076/posts/973096053275393/" TargetMode="External"/><Relationship Id="rId12" Type="http://schemas.openxmlformats.org/officeDocument/2006/relationships/hyperlink" Target="https://www.facebook.com/172882636630076/posts/972919619959703/" TargetMode="External"/><Relationship Id="rId15" Type="http://schemas.openxmlformats.org/officeDocument/2006/relationships/hyperlink" Target="https://www.facebook.com/172882636630076/posts/972880253296973/" TargetMode="External"/><Relationship Id="rId198" Type="http://schemas.openxmlformats.org/officeDocument/2006/relationships/hyperlink" Target="https://www.facebook.com/172882636630076/posts/1014168805834784/" TargetMode="External"/><Relationship Id="rId14" Type="http://schemas.openxmlformats.org/officeDocument/2006/relationships/hyperlink" Target="https://www.facebook.com/172882636630076/posts/973095346608797/" TargetMode="External"/><Relationship Id="rId197" Type="http://schemas.openxmlformats.org/officeDocument/2006/relationships/hyperlink" Target="https://www.facebook.com/172882636630076/posts/1014090272509304/" TargetMode="External"/><Relationship Id="rId17" Type="http://schemas.openxmlformats.org/officeDocument/2006/relationships/hyperlink" Target="https://www.facebook.com/172882636630076/posts/973652123219786/" TargetMode="External"/><Relationship Id="rId196" Type="http://schemas.openxmlformats.org/officeDocument/2006/relationships/hyperlink" Target="https://www.facebook.com/172882636630076/posts/1013947185856946/" TargetMode="External"/><Relationship Id="rId16" Type="http://schemas.openxmlformats.org/officeDocument/2006/relationships/hyperlink" Target="https://www.facebook.com/172882636630076/posts/973550876563244/" TargetMode="External"/><Relationship Id="rId195" Type="http://schemas.openxmlformats.org/officeDocument/2006/relationships/hyperlink" Target="https://www.facebook.com/172882636630076/posts/1013333265918338/" TargetMode="External"/><Relationship Id="rId19" Type="http://schemas.openxmlformats.org/officeDocument/2006/relationships/hyperlink" Target="https://www.facebook.com/172882636630076/posts/973689799882685/" TargetMode="External"/><Relationship Id="rId18" Type="http://schemas.openxmlformats.org/officeDocument/2006/relationships/hyperlink" Target="https://www.facebook.com/172882636630076/posts/973674283217570/" TargetMode="External"/><Relationship Id="rId199" Type="http://schemas.openxmlformats.org/officeDocument/2006/relationships/hyperlink" Target="https://www.facebook.com/172882636630076/posts/1014471625804502/" TargetMode="External"/><Relationship Id="rId84" Type="http://schemas.openxmlformats.org/officeDocument/2006/relationships/hyperlink" Target="https://www.facebook.com/172882636630076/posts/998503534067978/" TargetMode="External"/><Relationship Id="rId83" Type="http://schemas.openxmlformats.org/officeDocument/2006/relationships/hyperlink" Target="https://www.facebook.com/172882636630076/posts/998456574072674/" TargetMode="External"/><Relationship Id="rId86" Type="http://schemas.openxmlformats.org/officeDocument/2006/relationships/hyperlink" Target="https://www.facebook.com/172882636630076/posts/998530390731959/" TargetMode="External"/><Relationship Id="rId85" Type="http://schemas.openxmlformats.org/officeDocument/2006/relationships/hyperlink" Target="https://www.facebook.com/pubg.battlegrounds.th/videos/943157496307517/" TargetMode="External"/><Relationship Id="rId88" Type="http://schemas.openxmlformats.org/officeDocument/2006/relationships/hyperlink" Target="https://www.facebook.com/172882636630076/posts/999121967339468/" TargetMode="External"/><Relationship Id="rId150" Type="http://schemas.openxmlformats.org/officeDocument/2006/relationships/hyperlink" Target="https://www.facebook.com/172882636630076/posts/1007592689825729/" TargetMode="External"/><Relationship Id="rId87" Type="http://schemas.openxmlformats.org/officeDocument/2006/relationships/hyperlink" Target="https://www.facebook.com/172882636630076/posts/999088734009458/" TargetMode="External"/><Relationship Id="rId89" Type="http://schemas.openxmlformats.org/officeDocument/2006/relationships/hyperlink" Target="https://www.facebook.com/172882636630076/posts/999185517333113/" TargetMode="External"/><Relationship Id="rId80" Type="http://schemas.openxmlformats.org/officeDocument/2006/relationships/hyperlink" Target="https://www.facebook.com/172882636630076/posts/997263320858666/" TargetMode="External"/><Relationship Id="rId82" Type="http://schemas.openxmlformats.org/officeDocument/2006/relationships/hyperlink" Target="https://www.facebook.com/172882636630076/posts/997945124123819/" TargetMode="External"/><Relationship Id="rId81" Type="http://schemas.openxmlformats.org/officeDocument/2006/relationships/hyperlink" Target="https://www.facebook.com/172882636630076/posts/997901074128224/" TargetMode="External"/><Relationship Id="rId1" Type="http://schemas.openxmlformats.org/officeDocument/2006/relationships/hyperlink" Target="https://www.facebook.com/172882636630076/posts/969476276970704/" TargetMode="External"/><Relationship Id="rId2" Type="http://schemas.openxmlformats.org/officeDocument/2006/relationships/hyperlink" Target="https://www.facebook.com/172882636630076/posts/970284500223215/" TargetMode="External"/><Relationship Id="rId3" Type="http://schemas.openxmlformats.org/officeDocument/2006/relationships/hyperlink" Target="https://www.facebook.com/172882636630076/posts/970669680184697/" TargetMode="External"/><Relationship Id="rId149" Type="http://schemas.openxmlformats.org/officeDocument/2006/relationships/hyperlink" Target="https://www.facebook.com/172882636630076/posts/1007589999825998/" TargetMode="External"/><Relationship Id="rId4" Type="http://schemas.openxmlformats.org/officeDocument/2006/relationships/hyperlink" Target="https://www.facebook.com/172882636630076/posts/970942463490752/" TargetMode="External"/><Relationship Id="rId148" Type="http://schemas.openxmlformats.org/officeDocument/2006/relationships/hyperlink" Target="https://www.facebook.com/172882636630076/posts/1007561479828850/" TargetMode="External"/><Relationship Id="rId9" Type="http://schemas.openxmlformats.org/officeDocument/2006/relationships/hyperlink" Target="https://www.facebook.com/pubg.battlegrounds.th/videos/941368270062200/" TargetMode="External"/><Relationship Id="rId143" Type="http://schemas.openxmlformats.org/officeDocument/2006/relationships/hyperlink" Target="https://www.facebook.com/172882636630076/posts/1006579676593697/" TargetMode="External"/><Relationship Id="rId142" Type="http://schemas.openxmlformats.org/officeDocument/2006/relationships/hyperlink" Target="https://www.facebook.com/172882636630076/posts/1005700296681635/" TargetMode="External"/><Relationship Id="rId141" Type="http://schemas.openxmlformats.org/officeDocument/2006/relationships/hyperlink" Target="https://www.facebook.com/172882636630076/posts/1005935756658089/" TargetMode="External"/><Relationship Id="rId140" Type="http://schemas.openxmlformats.org/officeDocument/2006/relationships/hyperlink" Target="https://www.facebook.com/172882636630076/posts/1005921279992870/" TargetMode="External"/><Relationship Id="rId5" Type="http://schemas.openxmlformats.org/officeDocument/2006/relationships/hyperlink" Target="https://www.facebook.com/172882636630076/posts/970945460157119/" TargetMode="External"/><Relationship Id="rId147" Type="http://schemas.openxmlformats.org/officeDocument/2006/relationships/hyperlink" Target="https://www.facebook.com/172882636630076/posts/1007219633196368/" TargetMode="External"/><Relationship Id="rId6" Type="http://schemas.openxmlformats.org/officeDocument/2006/relationships/hyperlink" Target="https://www.facebook.com/172882636630076/posts/971000823484916/" TargetMode="External"/><Relationship Id="rId146" Type="http://schemas.openxmlformats.org/officeDocument/2006/relationships/hyperlink" Target="https://www.facebook.com/172882636630076/posts/1007177663200565/" TargetMode="External"/><Relationship Id="rId7" Type="http://schemas.openxmlformats.org/officeDocument/2006/relationships/hyperlink" Target="https://www.facebook.com/pubg.battlegrounds.th/videos/401104991611623/" TargetMode="External"/><Relationship Id="rId145" Type="http://schemas.openxmlformats.org/officeDocument/2006/relationships/hyperlink" Target="https://www.facebook.com/172882636630076/posts/1005926013325730/" TargetMode="External"/><Relationship Id="rId8" Type="http://schemas.openxmlformats.org/officeDocument/2006/relationships/hyperlink" Target="https://www.facebook.com/172882636630076/posts/971543223430676/" TargetMode="External"/><Relationship Id="rId144" Type="http://schemas.openxmlformats.org/officeDocument/2006/relationships/hyperlink" Target="https://www.facebook.com/172882636630076/posts/1006587349926263/" TargetMode="External"/><Relationship Id="rId73" Type="http://schemas.openxmlformats.org/officeDocument/2006/relationships/hyperlink" Target="https://www.facebook.com/172882636630076/posts/994927227758942/" TargetMode="External"/><Relationship Id="rId72" Type="http://schemas.openxmlformats.org/officeDocument/2006/relationships/hyperlink" Target="https://www.facebook.com/172882636630076/posts/994557011129297/" TargetMode="External"/><Relationship Id="rId75" Type="http://schemas.openxmlformats.org/officeDocument/2006/relationships/hyperlink" Target="https://www.facebook.com/172882636630076/posts/995567364361595/" TargetMode="External"/><Relationship Id="rId74" Type="http://schemas.openxmlformats.org/officeDocument/2006/relationships/hyperlink" Target="https://www.facebook.com/172882636630076/posts/995475351037463/" TargetMode="External"/><Relationship Id="rId77" Type="http://schemas.openxmlformats.org/officeDocument/2006/relationships/hyperlink" Target="https://www.facebook.com/172882636630076/posts/996102694308062/" TargetMode="External"/><Relationship Id="rId76" Type="http://schemas.openxmlformats.org/officeDocument/2006/relationships/hyperlink" Target="https://www.facebook.com/172882636630076/posts/996049987646666/" TargetMode="External"/><Relationship Id="rId79" Type="http://schemas.openxmlformats.org/officeDocument/2006/relationships/hyperlink" Target="https://www.facebook.com/172882636630076/posts/996848754233456/" TargetMode="External"/><Relationship Id="rId78" Type="http://schemas.openxmlformats.org/officeDocument/2006/relationships/hyperlink" Target="https://www.facebook.com/172882636630076/posts/996665127585152/" TargetMode="External"/><Relationship Id="rId71" Type="http://schemas.openxmlformats.org/officeDocument/2006/relationships/hyperlink" Target="https://www.facebook.com/172882636630076/posts/994303424487989/" TargetMode="External"/><Relationship Id="rId70" Type="http://schemas.openxmlformats.org/officeDocument/2006/relationships/hyperlink" Target="https://www.facebook.com/pubg.battlegrounds.th/videos/240826381288570/" TargetMode="External"/><Relationship Id="rId139" Type="http://schemas.openxmlformats.org/officeDocument/2006/relationships/hyperlink" Target="https://www.facebook.com/172882636630076/posts/1005813916670273/" TargetMode="External"/><Relationship Id="rId138" Type="http://schemas.openxmlformats.org/officeDocument/2006/relationships/hyperlink" Target="https://www.facebook.com/172882636630076/posts/1005877146663950/" TargetMode="External"/><Relationship Id="rId137" Type="http://schemas.openxmlformats.org/officeDocument/2006/relationships/hyperlink" Target="https://www.facebook.com/172882636630076/posts/1005758736675791/" TargetMode="External"/><Relationship Id="rId132" Type="http://schemas.openxmlformats.org/officeDocument/2006/relationships/hyperlink" Target="https://www.facebook.com/172882636630076/posts/1005123576739307/" TargetMode="External"/><Relationship Id="rId131" Type="http://schemas.openxmlformats.org/officeDocument/2006/relationships/hyperlink" Target="https://www.facebook.com/172882636630076/posts/1004897060095292/" TargetMode="External"/><Relationship Id="rId130" Type="http://schemas.openxmlformats.org/officeDocument/2006/relationships/hyperlink" Target="https://www.facebook.com/172882636630076/posts/1004804416771223/" TargetMode="External"/><Relationship Id="rId251" Type="http://schemas.microsoft.com/office/2007/relationships/slicer" Target="../slicers/slicer4.xml"/><Relationship Id="rId250" Type="http://schemas.openxmlformats.org/officeDocument/2006/relationships/table" Target="../tables/table3.xml"/><Relationship Id="rId136" Type="http://schemas.openxmlformats.org/officeDocument/2006/relationships/hyperlink" Target="https://www.facebook.com/172882636630076/posts/1005613603356971/" TargetMode="External"/><Relationship Id="rId135" Type="http://schemas.openxmlformats.org/officeDocument/2006/relationships/hyperlink" Target="https://www.facebook.com/172882636630076/posts/1005493426702322/" TargetMode="External"/><Relationship Id="rId134" Type="http://schemas.openxmlformats.org/officeDocument/2006/relationships/hyperlink" Target="https://www.facebook.com/172882636630076/posts/1004930273425304/" TargetMode="External"/><Relationship Id="rId133" Type="http://schemas.openxmlformats.org/officeDocument/2006/relationships/hyperlink" Target="https://www.facebook.com/172882636630076/posts/1005134566738208/" TargetMode="External"/><Relationship Id="rId62" Type="http://schemas.openxmlformats.org/officeDocument/2006/relationships/hyperlink" Target="https://www.facebook.com/pubg.battlegrounds.th/videos/874280446610068/" TargetMode="External"/><Relationship Id="rId61" Type="http://schemas.openxmlformats.org/officeDocument/2006/relationships/hyperlink" Target="https://www.facebook.com/pubg.battlegrounds.th/videos/403992904533768/" TargetMode="External"/><Relationship Id="rId64" Type="http://schemas.openxmlformats.org/officeDocument/2006/relationships/hyperlink" Target="https://www.facebook.com/172882636630076/posts/992549451330053/" TargetMode="External"/><Relationship Id="rId63" Type="http://schemas.openxmlformats.org/officeDocument/2006/relationships/hyperlink" Target="https://www.facebook.com/172882636630076/posts/992517154666616/" TargetMode="External"/><Relationship Id="rId66" Type="http://schemas.openxmlformats.org/officeDocument/2006/relationships/hyperlink" Target="https://www.facebook.com/pubg.battlegrounds.th/videos/424186866092505/" TargetMode="External"/><Relationship Id="rId172" Type="http://schemas.openxmlformats.org/officeDocument/2006/relationships/hyperlink" Target="https://www.facebook.com/172882636630076/posts/1010234416228223/" TargetMode="External"/><Relationship Id="rId65" Type="http://schemas.openxmlformats.org/officeDocument/2006/relationships/hyperlink" Target="https://www.facebook.com/pubg.battlegrounds.th/videos/699373684355247/" TargetMode="External"/><Relationship Id="rId171" Type="http://schemas.openxmlformats.org/officeDocument/2006/relationships/hyperlink" Target="https://www.facebook.com/172882636630076/posts/1010219899563008/" TargetMode="External"/><Relationship Id="rId68" Type="http://schemas.openxmlformats.org/officeDocument/2006/relationships/hyperlink" Target="https://www.facebook.com/pubg.battlegrounds.th/videos/287173213277608/" TargetMode="External"/><Relationship Id="rId170" Type="http://schemas.openxmlformats.org/officeDocument/2006/relationships/hyperlink" Target="https://www.facebook.com/172882636630076/posts/1010142522904079/" TargetMode="External"/><Relationship Id="rId67" Type="http://schemas.openxmlformats.org/officeDocument/2006/relationships/hyperlink" Target="https://www.facebook.com/172882636630076/posts/993086827942982/" TargetMode="External"/><Relationship Id="rId60" Type="http://schemas.openxmlformats.org/officeDocument/2006/relationships/hyperlink" Target="https://www.facebook.com/172882636630076/posts/991272001457798/" TargetMode="External"/><Relationship Id="rId165" Type="http://schemas.openxmlformats.org/officeDocument/2006/relationships/hyperlink" Target="https://www.facebook.com/172882636630076/posts/1009036856347979/" TargetMode="External"/><Relationship Id="rId69" Type="http://schemas.openxmlformats.org/officeDocument/2006/relationships/hyperlink" Target="https://www.facebook.com/pubg.battlegrounds.th/videos/266636538744720/" TargetMode="External"/><Relationship Id="rId164" Type="http://schemas.openxmlformats.org/officeDocument/2006/relationships/hyperlink" Target="https://www.facebook.com/172882636630076/posts/1008780796373585/" TargetMode="External"/><Relationship Id="rId163" Type="http://schemas.openxmlformats.org/officeDocument/2006/relationships/hyperlink" Target="https://www.facebook.com/172882636630076/posts/1008790769705921/" TargetMode="External"/><Relationship Id="rId162" Type="http://schemas.openxmlformats.org/officeDocument/2006/relationships/hyperlink" Target="https://www.facebook.com/172882636630076/posts/1008795433038788/" TargetMode="External"/><Relationship Id="rId169" Type="http://schemas.openxmlformats.org/officeDocument/2006/relationships/hyperlink" Target="https://www.facebook.com/172882636630076/posts/1009768216274843/" TargetMode="External"/><Relationship Id="rId168" Type="http://schemas.openxmlformats.org/officeDocument/2006/relationships/hyperlink" Target="https://www.facebook.com/172882636630076/posts/1009575606294104/" TargetMode="External"/><Relationship Id="rId167" Type="http://schemas.openxmlformats.org/officeDocument/2006/relationships/hyperlink" Target="https://www.facebook.com/172882636630076/posts/1009398206311844/" TargetMode="External"/><Relationship Id="rId166" Type="http://schemas.openxmlformats.org/officeDocument/2006/relationships/hyperlink" Target="https://www.facebook.com/172882636630076/posts/1009374452980886/" TargetMode="External"/><Relationship Id="rId51" Type="http://schemas.openxmlformats.org/officeDocument/2006/relationships/hyperlink" Target="https://www.facebook.com/172882636630076/posts/988271731757825/" TargetMode="External"/><Relationship Id="rId50" Type="http://schemas.openxmlformats.org/officeDocument/2006/relationships/hyperlink" Target="https://www.facebook.com/172882636630076/posts/987509225167409/" TargetMode="External"/><Relationship Id="rId53" Type="http://schemas.openxmlformats.org/officeDocument/2006/relationships/hyperlink" Target="https://www.facebook.com/172882636630076/posts/990130271571971/" TargetMode="External"/><Relationship Id="rId52" Type="http://schemas.openxmlformats.org/officeDocument/2006/relationships/hyperlink" Target="https://www.facebook.com/172882636630076/posts/989524938299171/" TargetMode="External"/><Relationship Id="rId55" Type="http://schemas.openxmlformats.org/officeDocument/2006/relationships/hyperlink" Target="https://www.facebook.com/pubg.battlegrounds.th/videos/625073651855177/" TargetMode="External"/><Relationship Id="rId161" Type="http://schemas.openxmlformats.org/officeDocument/2006/relationships/hyperlink" Target="https://www.facebook.com/172882636630076/posts/1008791016372563/" TargetMode="External"/><Relationship Id="rId54" Type="http://schemas.openxmlformats.org/officeDocument/2006/relationships/hyperlink" Target="https://www.facebook.com/172882636630076/posts/990526674865664/" TargetMode="External"/><Relationship Id="rId160" Type="http://schemas.openxmlformats.org/officeDocument/2006/relationships/hyperlink" Target="https://www.facebook.com/172882636630076/posts/1008768976374767/" TargetMode="External"/><Relationship Id="rId57" Type="http://schemas.openxmlformats.org/officeDocument/2006/relationships/hyperlink" Target="https://www.facebook.com/172882636630076/posts/991318428119822/" TargetMode="External"/><Relationship Id="rId56" Type="http://schemas.openxmlformats.org/officeDocument/2006/relationships/hyperlink" Target="https://www.facebook.com/172882636630076/posts/990554618196203/" TargetMode="External"/><Relationship Id="rId159" Type="http://schemas.openxmlformats.org/officeDocument/2006/relationships/hyperlink" Target="https://www.facebook.com/172882636630076/posts/1008454713072860/" TargetMode="External"/><Relationship Id="rId59" Type="http://schemas.openxmlformats.org/officeDocument/2006/relationships/hyperlink" Target="https://www.facebook.com/172882636630076/posts/991250004793331/" TargetMode="External"/><Relationship Id="rId154" Type="http://schemas.openxmlformats.org/officeDocument/2006/relationships/hyperlink" Target="https://www.facebook.com/172882636630076/posts/1007863359798662/" TargetMode="External"/><Relationship Id="rId58" Type="http://schemas.openxmlformats.org/officeDocument/2006/relationships/hyperlink" Target="https://www.facebook.com/172882636630076/posts/991329311452067/" TargetMode="External"/><Relationship Id="rId153" Type="http://schemas.openxmlformats.org/officeDocument/2006/relationships/hyperlink" Target="https://www.facebook.com/172882636630076/posts/1007813089803689/" TargetMode="External"/><Relationship Id="rId152" Type="http://schemas.openxmlformats.org/officeDocument/2006/relationships/hyperlink" Target="https://www.facebook.com/172882636630076/posts/1007623696489295/" TargetMode="External"/><Relationship Id="rId151" Type="http://schemas.openxmlformats.org/officeDocument/2006/relationships/hyperlink" Target="https://www.facebook.com/pubg.battlegrounds.th/videos/587002365858520/" TargetMode="External"/><Relationship Id="rId158" Type="http://schemas.openxmlformats.org/officeDocument/2006/relationships/hyperlink" Target="https://www.facebook.com/172882636630076/posts/1008135323104799/" TargetMode="External"/><Relationship Id="rId157" Type="http://schemas.openxmlformats.org/officeDocument/2006/relationships/hyperlink" Target="https://www.facebook.com/172882636630076/posts/1008401143078217/" TargetMode="External"/><Relationship Id="rId156" Type="http://schemas.openxmlformats.org/officeDocument/2006/relationships/hyperlink" Target="https://www.facebook.com/172882636630076/posts/1008328726418792/" TargetMode="External"/><Relationship Id="rId155" Type="http://schemas.openxmlformats.org/officeDocument/2006/relationships/hyperlink" Target="https://www.facebook.com/172882636630076/posts/1008169273101404/" TargetMode="External"/><Relationship Id="rId107" Type="http://schemas.openxmlformats.org/officeDocument/2006/relationships/hyperlink" Target="https://www.facebook.com/172882636630076/posts/1001572340427764/" TargetMode="External"/><Relationship Id="rId228" Type="http://schemas.openxmlformats.org/officeDocument/2006/relationships/hyperlink" Target="https://www.facebook.com/172882636630076/posts/1018676585384006/" TargetMode="External"/><Relationship Id="rId106" Type="http://schemas.openxmlformats.org/officeDocument/2006/relationships/hyperlink" Target="https://www.facebook.com/172882636630076/posts/1001291520455846/" TargetMode="External"/><Relationship Id="rId227" Type="http://schemas.openxmlformats.org/officeDocument/2006/relationships/hyperlink" Target="https://www.facebook.com/172882636630076/posts/1018778448707153/" TargetMode="External"/><Relationship Id="rId105" Type="http://schemas.openxmlformats.org/officeDocument/2006/relationships/hyperlink" Target="https://www.facebook.com/172882636630076/posts/1001283097123355/" TargetMode="External"/><Relationship Id="rId226" Type="http://schemas.openxmlformats.org/officeDocument/2006/relationships/hyperlink" Target="https://www.facebook.com/172882636630076/posts/1018687355382929/" TargetMode="External"/><Relationship Id="rId104" Type="http://schemas.openxmlformats.org/officeDocument/2006/relationships/hyperlink" Target="https://www.facebook.com/172882636630076/posts/1001062310478767/" TargetMode="External"/><Relationship Id="rId225" Type="http://schemas.openxmlformats.org/officeDocument/2006/relationships/hyperlink" Target="https://www.facebook.com/172882636630076/posts/1018340555417609/" TargetMode="External"/><Relationship Id="rId109" Type="http://schemas.openxmlformats.org/officeDocument/2006/relationships/hyperlink" Target="https://www.facebook.com/172882636630076/posts/1001808150404183/" TargetMode="External"/><Relationship Id="rId108" Type="http://schemas.openxmlformats.org/officeDocument/2006/relationships/hyperlink" Target="https://www.facebook.com/172882636630076/posts/1001741087077556/" TargetMode="External"/><Relationship Id="rId229" Type="http://schemas.openxmlformats.org/officeDocument/2006/relationships/hyperlink" Target="https://www.facebook.com/172882636630076/posts/1018820962036235/" TargetMode="External"/><Relationship Id="rId220" Type="http://schemas.openxmlformats.org/officeDocument/2006/relationships/hyperlink" Target="https://www.facebook.com/172882636630076/posts/1017506038834394/" TargetMode="External"/><Relationship Id="rId103" Type="http://schemas.openxmlformats.org/officeDocument/2006/relationships/hyperlink" Target="https://www.facebook.com/172882636630076/posts/1000429033875428/" TargetMode="External"/><Relationship Id="rId224" Type="http://schemas.openxmlformats.org/officeDocument/2006/relationships/hyperlink" Target="https://www.facebook.com/172882636630076/posts/1018144412103890/" TargetMode="External"/><Relationship Id="rId102" Type="http://schemas.openxmlformats.org/officeDocument/2006/relationships/hyperlink" Target="https://www.facebook.com/172882636630076/posts/1000447847206880/" TargetMode="External"/><Relationship Id="rId223" Type="http://schemas.openxmlformats.org/officeDocument/2006/relationships/hyperlink" Target="https://www.facebook.com/172882636630076/posts/1017834152134916/" TargetMode="External"/><Relationship Id="rId101" Type="http://schemas.openxmlformats.org/officeDocument/2006/relationships/hyperlink" Target="https://www.facebook.com/172882636630076/posts/1000466597205005/" TargetMode="External"/><Relationship Id="rId222" Type="http://schemas.openxmlformats.org/officeDocument/2006/relationships/hyperlink" Target="https://www.facebook.com/172882636630076/posts/1017589345492730/" TargetMode="External"/><Relationship Id="rId100" Type="http://schemas.openxmlformats.org/officeDocument/2006/relationships/hyperlink" Target="https://www.facebook.com/172882636630076/posts/1000440563874275/" TargetMode="External"/><Relationship Id="rId221" Type="http://schemas.openxmlformats.org/officeDocument/2006/relationships/hyperlink" Target="https://www.facebook.com/172882636630076/posts/1017542245497440/" TargetMode="External"/><Relationship Id="rId217" Type="http://schemas.openxmlformats.org/officeDocument/2006/relationships/hyperlink" Target="https://www.facebook.com/172882636630076/posts/1017105642207767/" TargetMode="External"/><Relationship Id="rId216" Type="http://schemas.openxmlformats.org/officeDocument/2006/relationships/hyperlink" Target="https://www.facebook.com/172882636630076/posts/1017030578881940/" TargetMode="External"/><Relationship Id="rId215" Type="http://schemas.openxmlformats.org/officeDocument/2006/relationships/hyperlink" Target="https://www.facebook.com/172882636630076/posts/1016596568925341/" TargetMode="External"/><Relationship Id="rId214" Type="http://schemas.openxmlformats.org/officeDocument/2006/relationships/hyperlink" Target="https://www.facebook.com/172882636630076/posts/1016474115604253/" TargetMode="External"/><Relationship Id="rId219" Type="http://schemas.openxmlformats.org/officeDocument/2006/relationships/hyperlink" Target="https://www.facebook.com/172882636630076/posts/1017489112169420/" TargetMode="External"/><Relationship Id="rId218" Type="http://schemas.openxmlformats.org/officeDocument/2006/relationships/hyperlink" Target="https://www.facebook.com/172882636630076/posts/1016987565552908/" TargetMode="External"/><Relationship Id="rId213" Type="http://schemas.openxmlformats.org/officeDocument/2006/relationships/hyperlink" Target="https://www.facebook.com/172882636630076/posts/1016094915642173/" TargetMode="External"/><Relationship Id="rId212" Type="http://schemas.openxmlformats.org/officeDocument/2006/relationships/hyperlink" Target="https://www.facebook.com/172882636630076/posts/1016029862315345/" TargetMode="External"/><Relationship Id="rId211" Type="http://schemas.openxmlformats.org/officeDocument/2006/relationships/hyperlink" Target="https://www.facebook.com/172882636630076/posts/1015898692328462/" TargetMode="External"/><Relationship Id="rId210" Type="http://schemas.openxmlformats.org/officeDocument/2006/relationships/hyperlink" Target="https://www.facebook.com/172882636630076/posts/1015878822330449/" TargetMode="External"/><Relationship Id="rId129" Type="http://schemas.openxmlformats.org/officeDocument/2006/relationships/hyperlink" Target="https://www.facebook.com/172882636630076/posts/1004861883432143/" TargetMode="External"/><Relationship Id="rId128" Type="http://schemas.openxmlformats.org/officeDocument/2006/relationships/hyperlink" Target="https://www.facebook.com/172882636630076/posts/1004514486800216/" TargetMode="External"/><Relationship Id="rId127" Type="http://schemas.openxmlformats.org/officeDocument/2006/relationships/hyperlink" Target="https://www.facebook.com/172882636630076/posts/1004509010134097/" TargetMode="External"/><Relationship Id="rId248" Type="http://schemas.openxmlformats.org/officeDocument/2006/relationships/drawing" Target="../drawings/drawing10.xml"/><Relationship Id="rId126" Type="http://schemas.openxmlformats.org/officeDocument/2006/relationships/hyperlink" Target="https://www.facebook.com/172882636630076/posts/1004261323492199/" TargetMode="External"/><Relationship Id="rId247" Type="http://schemas.openxmlformats.org/officeDocument/2006/relationships/hyperlink" Target="https://www.facebook.com/172882636630076/posts/1023840101534321/" TargetMode="External"/><Relationship Id="rId121" Type="http://schemas.openxmlformats.org/officeDocument/2006/relationships/hyperlink" Target="https://www.facebook.com/172882636630076/posts/1003660933552238/" TargetMode="External"/><Relationship Id="rId242" Type="http://schemas.openxmlformats.org/officeDocument/2006/relationships/hyperlink" Target="https://www.facebook.com/172882636630076/posts/1020646178520380/" TargetMode="External"/><Relationship Id="rId120" Type="http://schemas.openxmlformats.org/officeDocument/2006/relationships/hyperlink" Target="https://www.facebook.com/172882636630076/posts/1003626886888976/" TargetMode="External"/><Relationship Id="rId241" Type="http://schemas.openxmlformats.org/officeDocument/2006/relationships/hyperlink" Target="https://www.facebook.com/172882636630076/posts/1020635191854812/" TargetMode="External"/><Relationship Id="rId240" Type="http://schemas.openxmlformats.org/officeDocument/2006/relationships/hyperlink" Target="https://www.facebook.com/172882636630076/posts/1020555818529416/" TargetMode="External"/><Relationship Id="rId125" Type="http://schemas.openxmlformats.org/officeDocument/2006/relationships/hyperlink" Target="https://www.facebook.com/172882636630076/posts/1004216456830019/" TargetMode="External"/><Relationship Id="rId246" Type="http://schemas.openxmlformats.org/officeDocument/2006/relationships/hyperlink" Target="https://www.facebook.com/172882636630076/posts/1023704381547893/" TargetMode="External"/><Relationship Id="rId124" Type="http://schemas.openxmlformats.org/officeDocument/2006/relationships/hyperlink" Target="https://www.facebook.com/172882636630076/posts/1004171890167809/" TargetMode="External"/><Relationship Id="rId245" Type="http://schemas.openxmlformats.org/officeDocument/2006/relationships/hyperlink" Target="https://www.facebook.com/172882636630076/posts/1023655268219471/" TargetMode="External"/><Relationship Id="rId123" Type="http://schemas.openxmlformats.org/officeDocument/2006/relationships/hyperlink" Target="https://www.facebook.com/172882636630076/posts/1003860053532326/" TargetMode="External"/><Relationship Id="rId244" Type="http://schemas.openxmlformats.org/officeDocument/2006/relationships/hyperlink" Target="https://www.facebook.com/172882636630076/posts/1021798985071766/" TargetMode="External"/><Relationship Id="rId122" Type="http://schemas.openxmlformats.org/officeDocument/2006/relationships/hyperlink" Target="https://www.facebook.com/172882636630076/posts/1003683373549994/" TargetMode="External"/><Relationship Id="rId243" Type="http://schemas.openxmlformats.org/officeDocument/2006/relationships/hyperlink" Target="https://www.facebook.com/172882636630076/posts/1021170775134587/" TargetMode="External"/><Relationship Id="rId95" Type="http://schemas.openxmlformats.org/officeDocument/2006/relationships/hyperlink" Target="https://www.facebook.com/172882636630076/posts/999859547265710/" TargetMode="External"/><Relationship Id="rId94" Type="http://schemas.openxmlformats.org/officeDocument/2006/relationships/hyperlink" Target="https://www.facebook.com/172882636630076/posts/999696490615349/" TargetMode="External"/><Relationship Id="rId97" Type="http://schemas.openxmlformats.org/officeDocument/2006/relationships/hyperlink" Target="https://www.facebook.com/172882636630076/posts/999871137264551/" TargetMode="External"/><Relationship Id="rId96" Type="http://schemas.openxmlformats.org/officeDocument/2006/relationships/hyperlink" Target="https://www.facebook.com/172882636630076/posts/999096604008671/" TargetMode="External"/><Relationship Id="rId99" Type="http://schemas.openxmlformats.org/officeDocument/2006/relationships/hyperlink" Target="https://www.facebook.com/172882636630076/posts/1000417933876538/" TargetMode="External"/><Relationship Id="rId98" Type="http://schemas.openxmlformats.org/officeDocument/2006/relationships/hyperlink" Target="https://www.facebook.com/172882636630076/posts/1000369933881338/" TargetMode="External"/><Relationship Id="rId91" Type="http://schemas.openxmlformats.org/officeDocument/2006/relationships/hyperlink" Target="https://www.facebook.com/172882636630076/posts/999276717323993/" TargetMode="External"/><Relationship Id="rId90" Type="http://schemas.openxmlformats.org/officeDocument/2006/relationships/hyperlink" Target="https://www.facebook.com/172882636630076/posts/999260497325615/" TargetMode="External"/><Relationship Id="rId93" Type="http://schemas.openxmlformats.org/officeDocument/2006/relationships/hyperlink" Target="https://www.facebook.com/172882636630076/posts/999091954009136/" TargetMode="External"/><Relationship Id="rId92" Type="http://schemas.openxmlformats.org/officeDocument/2006/relationships/hyperlink" Target="https://www.facebook.com/172882636630076/posts/999281797323485/" TargetMode="External"/><Relationship Id="rId118" Type="http://schemas.openxmlformats.org/officeDocument/2006/relationships/hyperlink" Target="https://www.facebook.com/172882636630076/posts/1003122253606106/" TargetMode="External"/><Relationship Id="rId239" Type="http://schemas.openxmlformats.org/officeDocument/2006/relationships/hyperlink" Target="https://www.facebook.com/172882636630076/posts/1020170918567906/" TargetMode="External"/><Relationship Id="rId117" Type="http://schemas.openxmlformats.org/officeDocument/2006/relationships/hyperlink" Target="https://www.facebook.com/172882636630076/posts/1003126920272306/" TargetMode="External"/><Relationship Id="rId238" Type="http://schemas.openxmlformats.org/officeDocument/2006/relationships/hyperlink" Target="https://www.facebook.com/172882636630076/posts/1020158005235864/" TargetMode="External"/><Relationship Id="rId116" Type="http://schemas.openxmlformats.org/officeDocument/2006/relationships/hyperlink" Target="https://www.facebook.com/172882636630076/posts/1003059263612405/" TargetMode="External"/><Relationship Id="rId237" Type="http://schemas.openxmlformats.org/officeDocument/2006/relationships/hyperlink" Target="https://www.facebook.com/172882636630076/posts/1020152101903121/" TargetMode="External"/><Relationship Id="rId115" Type="http://schemas.openxmlformats.org/officeDocument/2006/relationships/hyperlink" Target="https://www.facebook.com/172882636630076/posts/1002995990285399/" TargetMode="External"/><Relationship Id="rId236" Type="http://schemas.openxmlformats.org/officeDocument/2006/relationships/hyperlink" Target="https://www.facebook.com/172882636630076/posts/1020042835247381/" TargetMode="External"/><Relationship Id="rId119" Type="http://schemas.openxmlformats.org/officeDocument/2006/relationships/hyperlink" Target="https://www.facebook.com/172882636630076/posts/1003205673597764/" TargetMode="External"/><Relationship Id="rId110" Type="http://schemas.openxmlformats.org/officeDocument/2006/relationships/hyperlink" Target="https://www.facebook.com/172882636630076/posts/1001915433726788/" TargetMode="External"/><Relationship Id="rId231" Type="http://schemas.openxmlformats.org/officeDocument/2006/relationships/hyperlink" Target="https://www.facebook.com/172882636630076/posts/1018981242020207/" TargetMode="External"/><Relationship Id="rId230" Type="http://schemas.openxmlformats.org/officeDocument/2006/relationships/hyperlink" Target="https://www.facebook.com/172882636630076/posts/1018844178700580/" TargetMode="External"/><Relationship Id="rId114" Type="http://schemas.openxmlformats.org/officeDocument/2006/relationships/hyperlink" Target="https://www.facebook.com/172882636630076/posts/1002650746986590/" TargetMode="External"/><Relationship Id="rId235" Type="http://schemas.openxmlformats.org/officeDocument/2006/relationships/hyperlink" Target="https://www.facebook.com/172882636630076/posts/1019983768586621/" TargetMode="External"/><Relationship Id="rId113" Type="http://schemas.openxmlformats.org/officeDocument/2006/relationships/hyperlink" Target="https://www.facebook.com/172882636630076/posts/1002358573682474/" TargetMode="External"/><Relationship Id="rId234" Type="http://schemas.openxmlformats.org/officeDocument/2006/relationships/hyperlink" Target="https://www.facebook.com/172882636630076/posts/1019943645257300/" TargetMode="External"/><Relationship Id="rId112" Type="http://schemas.openxmlformats.org/officeDocument/2006/relationships/hyperlink" Target="https://www.facebook.com/172882636630076/posts/1002338103684521/" TargetMode="External"/><Relationship Id="rId233" Type="http://schemas.openxmlformats.org/officeDocument/2006/relationships/hyperlink" Target="https://www.facebook.com/172882636630076/posts/1019558645295800/" TargetMode="External"/><Relationship Id="rId111" Type="http://schemas.openxmlformats.org/officeDocument/2006/relationships/hyperlink" Target="https://www.facebook.com/172882636630076/posts/1001924903725841/" TargetMode="External"/><Relationship Id="rId232" Type="http://schemas.openxmlformats.org/officeDocument/2006/relationships/hyperlink" Target="https://www.facebook.com/172882636630076/posts/1019350951983236/" TargetMode="External"/><Relationship Id="rId206" Type="http://schemas.openxmlformats.org/officeDocument/2006/relationships/hyperlink" Target="https://www.facebook.com/172882636630076/posts/1014938215757843/" TargetMode="External"/><Relationship Id="rId205" Type="http://schemas.openxmlformats.org/officeDocument/2006/relationships/hyperlink" Target="https://www.facebook.com/172882636630076/posts/1014469522471379/" TargetMode="External"/><Relationship Id="rId204" Type="http://schemas.openxmlformats.org/officeDocument/2006/relationships/hyperlink" Target="https://www.facebook.com/172882636630076/posts/1014653392452992/" TargetMode="External"/><Relationship Id="rId203" Type="http://schemas.openxmlformats.org/officeDocument/2006/relationships/hyperlink" Target="https://www.facebook.com/172882636630076/posts/1014187265832938/" TargetMode="External"/><Relationship Id="rId209" Type="http://schemas.openxmlformats.org/officeDocument/2006/relationships/hyperlink" Target="https://www.facebook.com/172882636630076/posts/1014939492424382/" TargetMode="External"/><Relationship Id="rId208" Type="http://schemas.openxmlformats.org/officeDocument/2006/relationships/hyperlink" Target="https://www.facebook.com/172882636630076/posts/1015450285706636/" TargetMode="External"/><Relationship Id="rId207" Type="http://schemas.openxmlformats.org/officeDocument/2006/relationships/hyperlink" Target="https://www.facebook.com/172882636630076/posts/1014949152423416/" TargetMode="External"/><Relationship Id="rId202" Type="http://schemas.openxmlformats.org/officeDocument/2006/relationships/hyperlink" Target="https://www.facebook.com/172882636630076/posts/1014537342464597/" TargetMode="External"/><Relationship Id="rId201" Type="http://schemas.openxmlformats.org/officeDocument/2006/relationships/hyperlink" Target="https://www.facebook.com/172882636630076/posts/1014489645802700/" TargetMode="External"/><Relationship Id="rId200" Type="http://schemas.openxmlformats.org/officeDocument/2006/relationships/hyperlink" Target="https://www.facebook.com/172882636630076/posts/10144822624701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1</v>
      </c>
      <c r="C4" s="1"/>
      <c r="D4" s="1"/>
      <c r="E4" s="1"/>
      <c r="F4" s="1"/>
      <c r="G4" s="1"/>
      <c r="H4" s="1"/>
      <c r="I4" s="1"/>
      <c r="J4" s="1"/>
      <c r="K4" s="1"/>
      <c r="L4" s="1"/>
      <c r="M4" s="1"/>
      <c r="N4" s="1"/>
      <c r="O4" s="1"/>
      <c r="P4" s="1"/>
      <c r="Q4" s="1"/>
      <c r="R4" s="1"/>
      <c r="S4" s="1"/>
      <c r="T4" s="1"/>
      <c r="U4" s="1"/>
      <c r="V4" s="1"/>
      <c r="W4" s="1"/>
      <c r="X4" s="1"/>
      <c r="Y4" s="1"/>
      <c r="Z4" s="1"/>
    </row>
    <row r="5">
      <c r="A5" s="1"/>
      <c r="B5" s="3" t="s">
        <v>2</v>
      </c>
      <c r="C5" s="1"/>
      <c r="D5" s="1"/>
      <c r="E5" s="1"/>
      <c r="F5" s="1"/>
      <c r="G5" s="1"/>
      <c r="H5" s="1"/>
      <c r="I5" s="1"/>
      <c r="J5" s="1"/>
      <c r="K5" s="1"/>
      <c r="L5" s="1"/>
      <c r="M5" s="1"/>
      <c r="N5" s="1"/>
      <c r="O5" s="1"/>
      <c r="P5" s="1"/>
      <c r="Q5" s="1"/>
      <c r="R5" s="1"/>
      <c r="S5" s="1"/>
      <c r="T5" s="1"/>
      <c r="U5" s="1"/>
      <c r="V5" s="1"/>
      <c r="W5" s="1"/>
      <c r="X5" s="1"/>
      <c r="Y5" s="1"/>
      <c r="Z5" s="1"/>
    </row>
    <row r="6">
      <c r="A6" s="1"/>
      <c r="B6" s="3" t="s">
        <v>3</v>
      </c>
      <c r="C6" s="1"/>
      <c r="D6" s="1"/>
      <c r="E6" s="1"/>
      <c r="F6" s="1"/>
      <c r="G6" s="1"/>
      <c r="H6" s="1"/>
      <c r="I6" s="1"/>
      <c r="J6" s="1"/>
      <c r="K6" s="1"/>
      <c r="L6" s="1"/>
      <c r="M6" s="1"/>
      <c r="N6" s="1"/>
      <c r="O6" s="1"/>
      <c r="P6" s="1"/>
      <c r="Q6" s="1"/>
      <c r="R6" s="1"/>
      <c r="S6" s="1"/>
      <c r="T6" s="1"/>
      <c r="U6" s="1"/>
      <c r="V6" s="1"/>
      <c r="W6" s="1"/>
      <c r="X6" s="1"/>
      <c r="Y6" s="1"/>
      <c r="Z6" s="1"/>
    </row>
    <row r="7">
      <c r="A7" s="1"/>
      <c r="B7" s="3" t="s">
        <v>4</v>
      </c>
      <c r="C7" s="1"/>
      <c r="D7" s="1"/>
      <c r="E7" s="1"/>
      <c r="F7" s="1"/>
      <c r="G7" s="1"/>
      <c r="H7" s="1"/>
      <c r="I7" s="1"/>
      <c r="J7" s="1"/>
      <c r="K7" s="1"/>
      <c r="L7" s="1"/>
      <c r="M7" s="1"/>
      <c r="N7" s="1"/>
      <c r="O7" s="1"/>
      <c r="P7" s="1"/>
      <c r="Q7" s="1"/>
      <c r="R7" s="1"/>
      <c r="S7" s="1"/>
      <c r="T7" s="1"/>
      <c r="U7" s="1"/>
      <c r="V7" s="1"/>
      <c r="W7" s="1"/>
      <c r="X7" s="1"/>
      <c r="Y7" s="1"/>
      <c r="Z7" s="1"/>
    </row>
    <row r="8">
      <c r="A8" s="1"/>
      <c r="B8" s="3" t="s">
        <v>5</v>
      </c>
      <c r="C8" s="1"/>
      <c r="D8" s="1"/>
      <c r="E8" s="1"/>
      <c r="F8" s="1"/>
      <c r="G8" s="1"/>
      <c r="H8" s="1"/>
      <c r="I8" s="1"/>
      <c r="J8" s="1"/>
      <c r="K8" s="1"/>
      <c r="L8" s="1"/>
      <c r="M8" s="1"/>
      <c r="N8" s="1"/>
      <c r="O8" s="1"/>
      <c r="P8" s="1"/>
      <c r="Q8" s="1"/>
      <c r="R8" s="1"/>
      <c r="S8" s="1"/>
      <c r="T8" s="1"/>
      <c r="U8" s="1"/>
      <c r="V8" s="1"/>
      <c r="W8" s="1"/>
      <c r="X8" s="1"/>
      <c r="Y8" s="1"/>
      <c r="Z8" s="1"/>
    </row>
    <row r="9">
      <c r="A9" s="1"/>
      <c r="B9" s="3" t="s">
        <v>6</v>
      </c>
      <c r="C9" s="1"/>
      <c r="D9" s="1"/>
      <c r="E9" s="1"/>
      <c r="F9" s="1"/>
      <c r="G9" s="1"/>
      <c r="H9" s="1"/>
      <c r="I9" s="1"/>
      <c r="J9" s="1"/>
      <c r="K9" s="1"/>
      <c r="L9" s="1"/>
      <c r="M9" s="1"/>
      <c r="N9" s="1"/>
      <c r="O9" s="1"/>
      <c r="P9" s="1"/>
      <c r="Q9" s="1"/>
      <c r="R9" s="1"/>
      <c r="S9" s="1"/>
      <c r="T9" s="1"/>
      <c r="U9" s="1"/>
      <c r="V9" s="1"/>
      <c r="W9" s="1"/>
      <c r="X9" s="1"/>
      <c r="Y9" s="1"/>
      <c r="Z9" s="1"/>
    </row>
    <row r="10">
      <c r="A10" s="1"/>
      <c r="B10" s="4" t="s">
        <v>7</v>
      </c>
      <c r="C10" s="5"/>
      <c r="D10" s="5"/>
      <c r="E10" s="5"/>
      <c r="F10" s="5"/>
      <c r="G10" s="1"/>
      <c r="H10" s="1"/>
      <c r="I10" s="1"/>
      <c r="J10" s="1"/>
      <c r="K10" s="1"/>
      <c r="L10" s="1"/>
      <c r="M10" s="1"/>
      <c r="N10" s="1"/>
      <c r="O10" s="1"/>
      <c r="P10" s="1"/>
      <c r="Q10" s="1"/>
      <c r="R10" s="1"/>
      <c r="S10" s="1"/>
      <c r="T10" s="1"/>
      <c r="U10" s="1"/>
      <c r="V10" s="1"/>
      <c r="W10" s="1"/>
      <c r="X10" s="1"/>
      <c r="Y10" s="1"/>
      <c r="Z10" s="1"/>
    </row>
    <row r="11">
      <c r="A11" s="1"/>
      <c r="B11" s="3" t="s">
        <v>8</v>
      </c>
      <c r="C11" s="1"/>
      <c r="D11" s="1"/>
      <c r="E11" s="1"/>
      <c r="F11" s="1"/>
      <c r="G11" s="1"/>
      <c r="H11" s="1"/>
      <c r="I11" s="1"/>
      <c r="J11" s="1"/>
      <c r="K11" s="1"/>
      <c r="L11" s="1"/>
      <c r="M11" s="1"/>
      <c r="N11" s="1"/>
      <c r="O11" s="1"/>
      <c r="P11" s="1"/>
      <c r="Q11" s="1"/>
      <c r="R11" s="1"/>
      <c r="S11" s="1"/>
      <c r="T11" s="1"/>
      <c r="U11" s="1"/>
      <c r="V11" s="1"/>
      <c r="W11" s="1"/>
      <c r="X11" s="1"/>
      <c r="Y11" s="1"/>
      <c r="Z11" s="1"/>
    </row>
    <row r="12">
      <c r="A12" s="1"/>
      <c r="B12" s="3" t="s">
        <v>9</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showGridLines="0" workbookViewId="0"/>
  </sheetViews>
  <sheetFormatPr customHeight="1" defaultColWidth="12.63" defaultRowHeight="15.75"/>
  <cols>
    <col hidden="1" min="1" max="1" width="12.63"/>
    <col customWidth="1" hidden="1" min="2" max="2" width="7.13"/>
    <col customWidth="1" min="3" max="4" width="16.63"/>
    <col customWidth="1" min="5" max="7" width="15.25"/>
    <col customWidth="1" min="8" max="8" width="16.63"/>
    <col customWidth="1" min="9" max="9" width="16.75"/>
    <col customWidth="1" min="10" max="10" width="17.25"/>
    <col customWidth="1" min="15" max="15" width="16.75"/>
  </cols>
  <sheetData>
    <row r="1">
      <c r="D1" s="6" t="s">
        <v>10</v>
      </c>
      <c r="E1" s="7" t="s">
        <v>11</v>
      </c>
    </row>
    <row r="2" ht="48.75" customHeight="1">
      <c r="C2" s="8"/>
      <c r="D2" s="8" t="s">
        <v>12</v>
      </c>
      <c r="H2" s="9" t="str">
        <f>IMAGE("https://cdn-icons-png.flaticon.com/512/1487/1487561.png")</f>
        <v/>
      </c>
      <c r="I2" s="1"/>
      <c r="K2" s="10">
        <f>F6/E6</f>
        <v>3454.696667</v>
      </c>
    </row>
    <row r="3">
      <c r="C3" s="1"/>
      <c r="D3" s="1"/>
      <c r="E3" s="1"/>
      <c r="F3" s="1"/>
      <c r="G3" s="1"/>
      <c r="H3" s="1"/>
      <c r="I3" s="1"/>
    </row>
    <row r="4">
      <c r="C4" s="1"/>
      <c r="D4" s="1"/>
      <c r="E4" s="11" t="s">
        <v>13</v>
      </c>
      <c r="F4" s="12"/>
      <c r="G4" s="12"/>
      <c r="H4" s="12"/>
      <c r="I4" s="12"/>
      <c r="J4" s="13"/>
      <c r="K4" s="14" t="s">
        <v>14</v>
      </c>
      <c r="L4" s="15"/>
      <c r="M4" s="15"/>
      <c r="N4" s="15"/>
      <c r="O4" s="15"/>
    </row>
    <row r="5">
      <c r="C5" s="16"/>
      <c r="D5" s="11" t="s">
        <v>15</v>
      </c>
      <c r="E5" s="11" t="s">
        <v>16</v>
      </c>
      <c r="F5" s="11" t="s">
        <v>17</v>
      </c>
      <c r="G5" s="11" t="s">
        <v>18</v>
      </c>
      <c r="H5" s="11" t="s">
        <v>19</v>
      </c>
      <c r="I5" s="11" t="s">
        <v>20</v>
      </c>
      <c r="J5" s="11" t="s">
        <v>21</v>
      </c>
      <c r="K5" s="14" t="s">
        <v>17</v>
      </c>
      <c r="L5" s="14" t="s">
        <v>18</v>
      </c>
      <c r="M5" s="14" t="s">
        <v>19</v>
      </c>
      <c r="N5" s="14" t="s">
        <v>20</v>
      </c>
      <c r="O5" s="14" t="s">
        <v>21</v>
      </c>
    </row>
    <row r="6">
      <c r="A6" s="17" t="s">
        <v>22</v>
      </c>
      <c r="C6" s="18"/>
      <c r="D6" s="18" t="s">
        <v>23</v>
      </c>
      <c r="E6" s="1">
        <f>SUM(INDIRECT($A$6&amp;"I:I"))</f>
        <v>300</v>
      </c>
      <c r="F6" s="1">
        <f>SUM(INDIRECT($A$6&amp;"J:J"))</f>
        <v>1036409</v>
      </c>
      <c r="G6" s="1">
        <f>SUM(INDIRECT($A$6&amp;"M:M"))</f>
        <v>35207</v>
      </c>
      <c r="H6" s="1">
        <f>SUM(INDIRECT($A$6&amp;"L:L"))</f>
        <v>75660</v>
      </c>
      <c r="I6" s="1">
        <f>SUM(INDIRECT($A$6&amp;"R:R"))</f>
        <v>154668</v>
      </c>
      <c r="J6" s="19">
        <f t="shared" ref="J6:J7" si="1">sum(F6:I6)</f>
        <v>1301944</v>
      </c>
      <c r="K6" s="20">
        <f t="array" ref="K6:O8">F6:J8/$E$6:$E$8</f>
        <v>3454.696667</v>
      </c>
      <c r="L6" s="20">
        <v>117.35666666666667</v>
      </c>
      <c r="M6" s="20">
        <v>252.2</v>
      </c>
      <c r="N6" s="20">
        <v>515.56</v>
      </c>
      <c r="O6" s="20">
        <v>4339.8133333333335</v>
      </c>
    </row>
    <row r="7">
      <c r="A7" s="17" t="s">
        <v>24</v>
      </c>
      <c r="C7" s="18"/>
      <c r="D7" s="18" t="s">
        <v>25</v>
      </c>
      <c r="E7" s="1">
        <f>SUM(INDIRECT(A7&amp;"I:I"))</f>
        <v>247</v>
      </c>
      <c r="F7" s="1">
        <f>SUM(INDIRECT($A$7&amp;"J:J"))</f>
        <v>249706</v>
      </c>
      <c r="G7" s="1">
        <f>SUM(INDIRECT($A$7&amp;"M:M"))</f>
        <v>14315</v>
      </c>
      <c r="H7" s="1">
        <f>SUM(INDIRECT($A$7&amp;"L:L"))</f>
        <v>8331</v>
      </c>
      <c r="I7" s="1">
        <f>SUM(INDIRECT($A$7&amp;"R:R"))</f>
        <v>13121</v>
      </c>
      <c r="J7" s="19">
        <f t="shared" si="1"/>
        <v>285473</v>
      </c>
      <c r="K7" s="20">
        <v>1010.9554655870445</v>
      </c>
      <c r="L7" s="20">
        <v>57.955465587044536</v>
      </c>
      <c r="M7" s="20">
        <v>33.72874493927125</v>
      </c>
      <c r="N7" s="20">
        <v>53.121457489878544</v>
      </c>
      <c r="O7" s="20">
        <v>1155.761133603239</v>
      </c>
    </row>
    <row r="8">
      <c r="C8" s="21"/>
      <c r="D8" s="21" t="s">
        <v>13</v>
      </c>
      <c r="E8" s="19">
        <f t="shared" ref="E8:J8" si="2">sum(E6:E7)</f>
        <v>547</v>
      </c>
      <c r="F8" s="19">
        <f t="shared" si="2"/>
        <v>1286115</v>
      </c>
      <c r="G8" s="19">
        <f t="shared" si="2"/>
        <v>49522</v>
      </c>
      <c r="H8" s="19">
        <f t="shared" si="2"/>
        <v>83991</v>
      </c>
      <c r="I8" s="19">
        <f t="shared" si="2"/>
        <v>167789</v>
      </c>
      <c r="J8" s="19">
        <f t="shared" si="2"/>
        <v>1587417</v>
      </c>
      <c r="K8" s="20">
        <v>2351.215722120658</v>
      </c>
      <c r="L8" s="20">
        <v>90.53382084095064</v>
      </c>
      <c r="M8" s="20">
        <v>153.54844606946983</v>
      </c>
      <c r="N8" s="20">
        <v>306.7440585009141</v>
      </c>
      <c r="O8" s="20">
        <v>2902.0420475319925</v>
      </c>
    </row>
    <row r="10">
      <c r="D10" s="19" t="str">
        <f>IFERROR(__xludf.DUMMYFUNCTION("QUERY(D5:E8,""select *"")"),"Page Name")</f>
        <v>Page Name</v>
      </c>
      <c r="E10" s="19" t="str">
        <f>IFERROR(__xludf.DUMMYFUNCTION("""COMPUTED_VALUE"""),"#Posts")</f>
        <v>#Posts</v>
      </c>
      <c r="F10" s="17" t="s">
        <v>26</v>
      </c>
      <c r="G10" s="10"/>
      <c r="H10" s="11" t="s">
        <v>21</v>
      </c>
    </row>
    <row r="11">
      <c r="D11" s="19" t="str">
        <f>IFERROR(__xludf.DUMMYFUNCTION("""COMPUTED_VALUE"""),"Free Fire")</f>
        <v>Free Fire</v>
      </c>
      <c r="E11" s="19">
        <f>IFERROR(__xludf.DUMMYFUNCTION("""COMPUTED_VALUE"""),300.0)</f>
        <v>300</v>
      </c>
      <c r="F11" s="22">
        <f t="shared" ref="F11:F13" si="3">E11/$E$13</f>
        <v>0.5484460695</v>
      </c>
      <c r="G11" s="16" t="s">
        <v>23</v>
      </c>
      <c r="H11" s="23">
        <f t="shared" ref="H11:H13" si="4">J6/$J$8</f>
        <v>0.8201650858</v>
      </c>
    </row>
    <row r="12">
      <c r="D12" s="19" t="str">
        <f>IFERROR(__xludf.DUMMYFUNCTION("""COMPUTED_VALUE"""),"PubG")</f>
        <v>PubG</v>
      </c>
      <c r="E12" s="19">
        <f>IFERROR(__xludf.DUMMYFUNCTION("""COMPUTED_VALUE"""),247.0)</f>
        <v>247</v>
      </c>
      <c r="F12" s="22">
        <f t="shared" si="3"/>
        <v>0.4515539305</v>
      </c>
      <c r="G12" s="16" t="s">
        <v>25</v>
      </c>
      <c r="H12" s="23">
        <f t="shared" si="4"/>
        <v>0.1798349142</v>
      </c>
    </row>
    <row r="13">
      <c r="D13" s="19" t="str">
        <f>IFERROR(__xludf.DUMMYFUNCTION("""COMPUTED_VALUE"""),"Total")</f>
        <v>Total</v>
      </c>
      <c r="E13" s="19">
        <f>IFERROR(__xludf.DUMMYFUNCTION("""COMPUTED_VALUE"""),547.0)</f>
        <v>547</v>
      </c>
      <c r="F13" s="22">
        <f t="shared" si="3"/>
        <v>1</v>
      </c>
      <c r="G13" s="24" t="s">
        <v>13</v>
      </c>
      <c r="H13" s="23">
        <f t="shared" si="4"/>
        <v>1</v>
      </c>
    </row>
    <row r="14">
      <c r="E14" s="25"/>
      <c r="F14" s="25"/>
      <c r="G14" s="25"/>
      <c r="H14" s="25"/>
      <c r="I14" s="25"/>
      <c r="J14" s="25"/>
      <c r="K14" s="25"/>
      <c r="L14" s="25"/>
      <c r="M14" s="25"/>
      <c r="N14" s="25"/>
      <c r="O14" s="25"/>
      <c r="P14" s="25"/>
      <c r="Q14" s="25"/>
    </row>
    <row r="15">
      <c r="E15" s="25"/>
      <c r="F15" s="25"/>
      <c r="G15" s="25"/>
      <c r="H15" s="25"/>
      <c r="I15" s="25"/>
      <c r="J15" s="25"/>
      <c r="K15" s="25"/>
      <c r="L15" s="25"/>
      <c r="M15" s="25"/>
      <c r="N15" s="25"/>
      <c r="O15" s="25"/>
      <c r="P15" s="25"/>
      <c r="Q15" s="25"/>
    </row>
    <row r="16">
      <c r="E16" s="25"/>
      <c r="F16" s="25"/>
      <c r="G16" s="25"/>
      <c r="H16" s="25"/>
      <c r="I16" s="25"/>
      <c r="J16" s="25"/>
      <c r="K16" s="25"/>
      <c r="L16" s="25"/>
      <c r="M16" s="25"/>
      <c r="N16" s="25"/>
      <c r="O16" s="25"/>
      <c r="P16" s="25"/>
      <c r="Q16" s="25"/>
    </row>
    <row r="17">
      <c r="E17" s="25"/>
      <c r="F17" s="25"/>
      <c r="G17" s="25"/>
      <c r="H17" s="25"/>
      <c r="I17" s="25"/>
      <c r="J17" s="25"/>
      <c r="K17" s="25"/>
      <c r="L17" s="25"/>
      <c r="M17" s="25"/>
      <c r="N17" s="25"/>
      <c r="O17" s="25"/>
      <c r="P17" s="25"/>
      <c r="Q17" s="25"/>
    </row>
    <row r="18">
      <c r="E18" s="25"/>
      <c r="F18" s="25"/>
      <c r="G18" s="25"/>
      <c r="H18" s="25"/>
      <c r="I18" s="25"/>
      <c r="J18" s="25"/>
      <c r="K18" s="25"/>
      <c r="L18" s="25"/>
      <c r="M18" s="25"/>
      <c r="N18" s="25"/>
      <c r="O18" s="25"/>
      <c r="P18" s="25"/>
      <c r="Q18" s="25"/>
    </row>
    <row r="19">
      <c r="E19" s="25"/>
      <c r="F19" s="25"/>
      <c r="G19" s="25"/>
      <c r="H19" s="25"/>
      <c r="I19" s="25"/>
      <c r="J19" s="25"/>
      <c r="K19" s="25"/>
      <c r="L19" s="25"/>
      <c r="M19" s="25"/>
      <c r="N19" s="25"/>
      <c r="O19" s="25"/>
      <c r="P19" s="25"/>
      <c r="Q19" s="25"/>
    </row>
    <row r="20">
      <c r="E20" s="25"/>
      <c r="F20" s="25"/>
      <c r="G20" s="25"/>
      <c r="H20" s="25"/>
      <c r="I20" s="25"/>
      <c r="J20" s="25"/>
      <c r="K20" s="25"/>
      <c r="L20" s="25"/>
      <c r="M20" s="25"/>
      <c r="N20" s="25"/>
      <c r="O20" s="25"/>
      <c r="P20" s="25"/>
      <c r="Q20" s="25"/>
    </row>
    <row r="21" hidden="1">
      <c r="E21" s="25">
        <f t="array" ref="E21:Q21">SEQUENCE(1,13,40,1)</f>
        <v>40</v>
      </c>
      <c r="F21" s="25">
        <v>41.0</v>
      </c>
      <c r="G21" s="25">
        <v>42.0</v>
      </c>
      <c r="H21" s="25">
        <v>43.0</v>
      </c>
      <c r="I21" s="25">
        <v>44.0</v>
      </c>
      <c r="J21" s="25">
        <v>45.0</v>
      </c>
      <c r="K21" s="25">
        <v>46.0</v>
      </c>
      <c r="L21" s="25">
        <v>47.0</v>
      </c>
      <c r="M21" s="25">
        <v>48.0</v>
      </c>
      <c r="N21" s="25">
        <v>49.0</v>
      </c>
      <c r="O21" s="25">
        <v>50.0</v>
      </c>
      <c r="P21" s="25">
        <v>51.0</v>
      </c>
      <c r="Q21" s="25">
        <v>52.0</v>
      </c>
    </row>
    <row r="22">
      <c r="C22" s="18"/>
      <c r="D22" s="18" t="s">
        <v>16</v>
      </c>
      <c r="E22" s="19" t="str">
        <f t="array" ref="E22:Q22">"Week" &amp; SEQUENCE(1,13,40,1)</f>
        <v>Week40</v>
      </c>
      <c r="F22" s="19" t="s">
        <v>27</v>
      </c>
      <c r="G22" s="19" t="s">
        <v>28</v>
      </c>
      <c r="H22" s="19" t="s">
        <v>29</v>
      </c>
      <c r="I22" s="19" t="s">
        <v>30</v>
      </c>
      <c r="J22" s="19" t="s">
        <v>31</v>
      </c>
      <c r="K22" s="19" t="s">
        <v>32</v>
      </c>
      <c r="L22" s="19" t="s">
        <v>33</v>
      </c>
      <c r="M22" s="19" t="s">
        <v>34</v>
      </c>
      <c r="N22" s="19" t="s">
        <v>35</v>
      </c>
      <c r="O22" s="19" t="s">
        <v>36</v>
      </c>
      <c r="P22" s="19" t="s">
        <v>37</v>
      </c>
      <c r="Q22" s="19" t="s">
        <v>38</v>
      </c>
    </row>
    <row r="23">
      <c r="A23" s="17" t="s">
        <v>22</v>
      </c>
      <c r="C23" s="26"/>
      <c r="D23" s="26" t="s">
        <v>23</v>
      </c>
      <c r="E23" s="19">
        <f t="shared" ref="E23:Q23" si="5">sumIF(INDIRECT($A23&amp;"O:O"),E$21,INDIRECT($A23&amp;"I:I"))</f>
        <v>4</v>
      </c>
      <c r="F23" s="19">
        <f t="shared" si="5"/>
        <v>31</v>
      </c>
      <c r="G23" s="19">
        <f t="shared" si="5"/>
        <v>35</v>
      </c>
      <c r="H23" s="19">
        <f t="shared" si="5"/>
        <v>30</v>
      </c>
      <c r="I23" s="19">
        <f t="shared" si="5"/>
        <v>30</v>
      </c>
      <c r="J23" s="19">
        <f t="shared" si="5"/>
        <v>25</v>
      </c>
      <c r="K23" s="19">
        <f t="shared" si="5"/>
        <v>27</v>
      </c>
      <c r="L23" s="19">
        <f t="shared" si="5"/>
        <v>22</v>
      </c>
      <c r="M23" s="19">
        <f t="shared" si="5"/>
        <v>29</v>
      </c>
      <c r="N23" s="19">
        <f t="shared" si="5"/>
        <v>11</v>
      </c>
      <c r="O23" s="19">
        <f t="shared" si="5"/>
        <v>0</v>
      </c>
      <c r="P23" s="19">
        <f t="shared" si="5"/>
        <v>19</v>
      </c>
      <c r="Q23" s="19">
        <f t="shared" si="5"/>
        <v>37</v>
      </c>
    </row>
    <row r="24">
      <c r="A24" s="17" t="s">
        <v>24</v>
      </c>
      <c r="C24" s="26"/>
      <c r="D24" s="26" t="s">
        <v>25</v>
      </c>
      <c r="E24" s="19">
        <f t="shared" ref="E24:Q24" si="6">sumIF(INDIRECT($A24&amp;"O:O"),E$21,INDIRECT($A24&amp;"I:I"))</f>
        <v>8</v>
      </c>
      <c r="F24" s="19">
        <f t="shared" si="6"/>
        <v>21</v>
      </c>
      <c r="G24" s="19">
        <f t="shared" si="6"/>
        <v>7</v>
      </c>
      <c r="H24" s="19">
        <f t="shared" si="6"/>
        <v>8</v>
      </c>
      <c r="I24" s="19">
        <f t="shared" si="6"/>
        <v>7</v>
      </c>
      <c r="J24" s="19">
        <f t="shared" si="6"/>
        <v>17</v>
      </c>
      <c r="K24" s="19">
        <f t="shared" si="6"/>
        <v>12</v>
      </c>
      <c r="L24" s="19">
        <f t="shared" si="6"/>
        <v>30</v>
      </c>
      <c r="M24" s="19">
        <f t="shared" si="6"/>
        <v>34</v>
      </c>
      <c r="N24" s="19">
        <f t="shared" si="6"/>
        <v>33</v>
      </c>
      <c r="O24" s="19">
        <f t="shared" si="6"/>
        <v>31</v>
      </c>
      <c r="P24" s="19">
        <f t="shared" si="6"/>
        <v>25</v>
      </c>
      <c r="Q24" s="19">
        <f t="shared" si="6"/>
        <v>14</v>
      </c>
    </row>
    <row r="25">
      <c r="C25" s="26"/>
    </row>
    <row r="26">
      <c r="C26" s="26"/>
    </row>
    <row r="27">
      <c r="C27" s="26"/>
      <c r="D27" s="18" t="s">
        <v>39</v>
      </c>
      <c r="E27" s="19" t="str">
        <f t="array" ref="E27:Q27">"Week" &amp; SEQUENCE(1,13,40,1)</f>
        <v>Week40</v>
      </c>
      <c r="F27" s="19" t="s">
        <v>27</v>
      </c>
      <c r="G27" s="19" t="s">
        <v>28</v>
      </c>
      <c r="H27" s="19" t="s">
        <v>29</v>
      </c>
      <c r="I27" s="19" t="s">
        <v>30</v>
      </c>
      <c r="J27" s="19" t="s">
        <v>31</v>
      </c>
      <c r="K27" s="19" t="s">
        <v>32</v>
      </c>
      <c r="L27" s="19" t="s">
        <v>33</v>
      </c>
      <c r="M27" s="19" t="s">
        <v>34</v>
      </c>
      <c r="N27" s="19" t="s">
        <v>35</v>
      </c>
      <c r="O27" s="19" t="s">
        <v>36</v>
      </c>
      <c r="P27" s="19" t="s">
        <v>37</v>
      </c>
      <c r="Q27" s="19" t="s">
        <v>38</v>
      </c>
    </row>
    <row r="28">
      <c r="A28" s="17" t="s">
        <v>22</v>
      </c>
      <c r="C28" s="26"/>
      <c r="D28" s="26" t="s">
        <v>23</v>
      </c>
      <c r="E28" s="19">
        <f t="shared" ref="E28:Q28" si="7">sumIF(INDIRECT($A28&amp;"O:O"),E$21,INDIRECT($A23&amp;"J:J"))</f>
        <v>3103</v>
      </c>
      <c r="F28" s="19">
        <f t="shared" si="7"/>
        <v>73282</v>
      </c>
      <c r="G28" s="19">
        <f t="shared" si="7"/>
        <v>98587</v>
      </c>
      <c r="H28" s="19">
        <f t="shared" si="7"/>
        <v>56289</v>
      </c>
      <c r="I28" s="19">
        <f t="shared" si="7"/>
        <v>76003</v>
      </c>
      <c r="J28" s="19">
        <f t="shared" si="7"/>
        <v>101144</v>
      </c>
      <c r="K28" s="19">
        <f t="shared" si="7"/>
        <v>115073</v>
      </c>
      <c r="L28" s="19">
        <f t="shared" si="7"/>
        <v>74206</v>
      </c>
      <c r="M28" s="19">
        <f t="shared" si="7"/>
        <v>166858</v>
      </c>
      <c r="N28" s="19">
        <f t="shared" si="7"/>
        <v>57335</v>
      </c>
      <c r="O28" s="19">
        <f t="shared" si="7"/>
        <v>0</v>
      </c>
      <c r="P28" s="19">
        <f t="shared" si="7"/>
        <v>71906</v>
      </c>
      <c r="Q28" s="19">
        <f t="shared" si="7"/>
        <v>142623</v>
      </c>
    </row>
    <row r="29">
      <c r="A29" s="17" t="s">
        <v>24</v>
      </c>
      <c r="C29" s="26"/>
      <c r="D29" s="26" t="s">
        <v>25</v>
      </c>
      <c r="E29" s="19">
        <f t="shared" ref="E29:Q29" si="8">sumIF(INDIRECT($A29&amp;"O:O"),E$21,INDIRECT($A29&amp;"J:J"))</f>
        <v>13333</v>
      </c>
      <c r="F29" s="19">
        <f t="shared" si="8"/>
        <v>10829</v>
      </c>
      <c r="G29" s="19">
        <f t="shared" si="8"/>
        <v>3340</v>
      </c>
      <c r="H29" s="19">
        <f t="shared" si="8"/>
        <v>2994</v>
      </c>
      <c r="I29" s="19">
        <f t="shared" si="8"/>
        <v>12145</v>
      </c>
      <c r="J29" s="19">
        <f t="shared" si="8"/>
        <v>13302</v>
      </c>
      <c r="K29" s="19">
        <f t="shared" si="8"/>
        <v>12350</v>
      </c>
      <c r="L29" s="19">
        <f t="shared" si="8"/>
        <v>42675</v>
      </c>
      <c r="M29" s="19">
        <f t="shared" si="8"/>
        <v>37865</v>
      </c>
      <c r="N29" s="19">
        <f t="shared" si="8"/>
        <v>22748</v>
      </c>
      <c r="O29" s="19">
        <f t="shared" si="8"/>
        <v>21783</v>
      </c>
      <c r="P29" s="19">
        <f t="shared" si="8"/>
        <v>21033</v>
      </c>
      <c r="Q29" s="19">
        <f t="shared" si="8"/>
        <v>35309</v>
      </c>
    </row>
    <row r="32">
      <c r="C32" s="18"/>
      <c r="D32" s="18" t="s">
        <v>40</v>
      </c>
      <c r="E32" s="19" t="str">
        <f t="array" ref="E32:Q32">"Week" &amp; SEQUENCE(1,13,40,1)</f>
        <v>Week40</v>
      </c>
      <c r="F32" s="19" t="s">
        <v>27</v>
      </c>
      <c r="G32" s="19" t="s">
        <v>28</v>
      </c>
      <c r="H32" s="19" t="s">
        <v>29</v>
      </c>
      <c r="I32" s="19" t="s">
        <v>30</v>
      </c>
      <c r="J32" s="19" t="s">
        <v>31</v>
      </c>
      <c r="K32" s="19" t="s">
        <v>32</v>
      </c>
      <c r="L32" s="19" t="s">
        <v>33</v>
      </c>
      <c r="M32" s="19" t="s">
        <v>34</v>
      </c>
      <c r="N32" s="19" t="s">
        <v>35</v>
      </c>
      <c r="O32" s="19" t="s">
        <v>36</v>
      </c>
      <c r="P32" s="19" t="s">
        <v>37</v>
      </c>
      <c r="Q32" s="19" t="s">
        <v>38</v>
      </c>
    </row>
    <row r="33">
      <c r="A33" s="17" t="s">
        <v>22</v>
      </c>
      <c r="C33" s="26"/>
      <c r="D33" s="26" t="s">
        <v>23</v>
      </c>
      <c r="E33" s="27">
        <f t="shared" ref="E33:Q33" si="9">sumIF(INDIRECT($A33&amp;"O:O"),E$21,INDIRECT($A23&amp;"M:M"))</f>
        <v>101</v>
      </c>
      <c r="F33" s="27">
        <f t="shared" si="9"/>
        <v>3141</v>
      </c>
      <c r="G33" s="27">
        <f t="shared" si="9"/>
        <v>4788</v>
      </c>
      <c r="H33" s="27">
        <f t="shared" si="9"/>
        <v>1854</v>
      </c>
      <c r="I33" s="27">
        <f t="shared" si="9"/>
        <v>5615</v>
      </c>
      <c r="J33" s="27">
        <f t="shared" si="9"/>
        <v>1950</v>
      </c>
      <c r="K33" s="27">
        <f t="shared" si="9"/>
        <v>4311</v>
      </c>
      <c r="L33" s="27">
        <f t="shared" si="9"/>
        <v>710</v>
      </c>
      <c r="M33" s="27">
        <f t="shared" si="9"/>
        <v>5993</v>
      </c>
      <c r="N33" s="27">
        <f t="shared" si="9"/>
        <v>1765</v>
      </c>
      <c r="O33" s="27">
        <f t="shared" si="9"/>
        <v>0</v>
      </c>
      <c r="P33" s="27">
        <f t="shared" si="9"/>
        <v>1353</v>
      </c>
      <c r="Q33" s="27">
        <f t="shared" si="9"/>
        <v>3626</v>
      </c>
    </row>
    <row r="34">
      <c r="A34" s="17" t="s">
        <v>24</v>
      </c>
      <c r="C34" s="26"/>
      <c r="D34" s="26" t="s">
        <v>25</v>
      </c>
      <c r="E34" s="27">
        <f t="shared" ref="E34:Q34" si="10">sumIF(INDIRECT($A34&amp;"O:O"),E$21,INDIRECT($A24&amp;"M:M"))</f>
        <v>923</v>
      </c>
      <c r="F34" s="27">
        <f t="shared" si="10"/>
        <v>710</v>
      </c>
      <c r="G34" s="27">
        <f t="shared" si="10"/>
        <v>98</v>
      </c>
      <c r="H34" s="27">
        <f t="shared" si="10"/>
        <v>139</v>
      </c>
      <c r="I34" s="27">
        <f t="shared" si="10"/>
        <v>821</v>
      </c>
      <c r="J34" s="27">
        <f t="shared" si="10"/>
        <v>1318</v>
      </c>
      <c r="K34" s="27">
        <f t="shared" si="10"/>
        <v>894</v>
      </c>
      <c r="L34" s="27">
        <f t="shared" si="10"/>
        <v>2661</v>
      </c>
      <c r="M34" s="27">
        <f t="shared" si="10"/>
        <v>2311</v>
      </c>
      <c r="N34" s="27">
        <f t="shared" si="10"/>
        <v>1245</v>
      </c>
      <c r="O34" s="27">
        <f t="shared" si="10"/>
        <v>1234</v>
      </c>
      <c r="P34" s="27">
        <f t="shared" si="10"/>
        <v>1166</v>
      </c>
      <c r="Q34" s="27">
        <f t="shared" si="10"/>
        <v>795</v>
      </c>
    </row>
    <row r="36">
      <c r="I36" s="28" t="s">
        <v>41</v>
      </c>
      <c r="J36" s="28"/>
      <c r="K36" s="28"/>
    </row>
    <row r="37">
      <c r="D37" s="28"/>
      <c r="E37" s="28"/>
      <c r="F37" s="28"/>
    </row>
    <row r="38"/>
    <row r="39"/>
    <row r="40"/>
    <row r="41"/>
    <row r="42"/>
    <row r="43"/>
    <row r="44"/>
    <row r="45"/>
    <row r="46"/>
    <row r="47"/>
    <row r="48"/>
  </sheetData>
  <mergeCells count="1">
    <mergeCell ref="D2:G2"/>
  </mergeCells>
  <hyperlinks>
    <hyperlink r:id="rId2" ref="E1"/>
  </hyperlinks>
  <printOptions gridLines="1" horizontalCentered="1"/>
  <pageMargins bottom="0.75" footer="0.0" header="0.0" left="0.7" right="0.7" top="0.75"/>
  <pageSetup fitToHeight="0" paperSize="9" cellComments="atEnd" orientation="landscape" pageOrder="overThenDown"/>
  <drawing r:id="rId3"/>
  <extLst>
    <ext uri="{05C60535-1F16-4fd2-B633-F4F36F0B64E0}">
      <x14:sparklineGroups>
        <x14:sparklineGroup displayEmptyCellsAs="gap">
          <x14:colorSeries rgb="FF0000FF"/>
          <x14:sparklines>
            <x14:sparkline>
              <xm:f>Overview!E23:Q23</xm:f>
              <xm:sqref>C23</xm:sqref>
            </x14:sparkline>
          </x14:sparklines>
        </x14:sparklineGroup>
        <x14:sparklineGroup displayEmptyCellsAs="gap">
          <x14:colorSeries rgb="FFFF0000"/>
          <x14:sparklines>
            <x14:sparkline>
              <xm:f>Overview!E24:Q24</xm:f>
              <xm:sqref>C24</xm:sqref>
            </x14:sparkline>
          </x14:sparklines>
        </x14:sparklineGroup>
        <x14:sparklineGroup displayEmptyCellsAs="gap">
          <x14:colorSeries rgb="FF0000FF"/>
          <x14:sparklines>
            <x14:sparkline>
              <xm:f>Overview!E28:Q28</xm:f>
              <xm:sqref>C28</xm:sqref>
            </x14:sparkline>
          </x14:sparklines>
        </x14:sparklineGroup>
        <x14:sparklineGroup displayEmptyCellsAs="gap">
          <x14:colorSeries rgb="FFFF0000"/>
          <x14:sparklines>
            <x14:sparkline>
              <xm:f>Overview!E29:Q29</xm:f>
              <xm:sqref>C29</xm:sqref>
            </x14:sparkline>
          </x14:sparklines>
        </x14:sparklineGroup>
        <x14:sparklineGroup displayEmptyCellsAs="gap">
          <x14:colorSeries rgb="FF0000FF"/>
          <x14:sparklines>
            <x14:sparkline>
              <xm:f>Overview!E33:Q33</xm:f>
              <xm:sqref>C33</xm:sqref>
            </x14:sparkline>
          </x14:sparklines>
        </x14:sparklineGroup>
        <x14:sparklineGroup displayEmptyCellsAs="gap">
          <x14:colorSeries rgb="FFFF0000"/>
          <x14:sparklines>
            <x14:sparkline>
              <xm:f>Overview!E34:Q34</xm:f>
              <xm:sqref>C34</xm:sqref>
            </x14:sparkline>
          </x14:sparklines>
        </x14:sparklineGroup>
      </x14:sparklineGroups>
    </ex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22.38"/>
    <col customWidth="1" min="3" max="3" width="21.0"/>
    <col customWidth="1" min="4" max="4" width="33.63"/>
    <col customWidth="1" min="5" max="5" width="12.13"/>
    <col customWidth="1" min="6" max="6" width="12.25"/>
    <col customWidth="1" min="7" max="8" width="8.5"/>
    <col customWidth="1" min="9" max="9" width="10.63"/>
    <col customWidth="1" min="10" max="26" width="8.5"/>
  </cols>
  <sheetData>
    <row r="1" ht="22.5" customHeight="1"/>
    <row r="2" ht="22.5" customHeight="1">
      <c r="B2" s="29" t="s">
        <v>15</v>
      </c>
      <c r="C2" s="30" t="s">
        <v>25</v>
      </c>
      <c r="D2" s="1"/>
      <c r="E2" s="1"/>
      <c r="F2" s="1"/>
      <c r="G2" s="1"/>
      <c r="H2" s="1"/>
      <c r="I2" s="1"/>
    </row>
    <row r="3" ht="22.5" customHeight="1">
      <c r="B3" s="29" t="s">
        <v>57</v>
      </c>
      <c r="C3" s="30">
        <v>10.0</v>
      </c>
      <c r="D3" s="1"/>
      <c r="E3" s="1"/>
      <c r="F3" s="1"/>
      <c r="G3" s="1"/>
      <c r="H3" s="1"/>
      <c r="I3" s="1"/>
    </row>
    <row r="4" ht="22.5" customHeight="1">
      <c r="B4" s="1"/>
      <c r="C4" s="1"/>
      <c r="D4" s="1"/>
      <c r="E4" s="1"/>
      <c r="F4" s="1"/>
      <c r="G4" s="1"/>
      <c r="H4" s="1"/>
      <c r="I4" s="1"/>
    </row>
    <row r="5" ht="22.5" customHeight="1">
      <c r="B5" s="31" t="str">
        <f>IFERROR(__xludf.DUMMYFUNCTION("IF(C2=""Free Fire"",QUERY(FREEFIRE,""select B,C,G,F,M order by M desc Limit ""&amp;C3),
QUERY(PUBG,""select B,C,G,F,M order by M desc Limit ""&amp;C3))"),"Created time")</f>
        <v>Created time</v>
      </c>
      <c r="C5" s="31" t="str">
        <f>IFERROR(__xludf.DUMMYFUNCTION("""COMPUTED_VALUE"""),"Name (Profile)")</f>
        <v>Name (Profile)</v>
      </c>
      <c r="D5" s="31" t="str">
        <f>IFERROR(__xludf.DUMMYFUNCTION("""COMPUTED_VALUE"""),"Message")</f>
        <v>Message</v>
      </c>
      <c r="E5" s="31" t="str">
        <f>IFERROR(__xludf.DUMMYFUNCTION("""COMPUTED_VALUE"""),"Content type")</f>
        <v>Content type</v>
      </c>
      <c r="F5" s="31" t="str">
        <f>IFERROR(__xludf.DUMMYFUNCTION("""COMPUTED_VALUE"""),"Post shares")</f>
        <v>Post shares</v>
      </c>
      <c r="G5" s="1"/>
      <c r="H5" s="1"/>
      <c r="I5" s="32" t="s">
        <v>58</v>
      </c>
    </row>
    <row r="6" ht="22.5" customHeight="1">
      <c r="B6" s="33">
        <f>IFERROR(__xludf.DUMMYFUNCTION("""COMPUTED_VALUE"""),44525.89820601852)</f>
        <v>44525.89821</v>
      </c>
      <c r="C6" s="34" t="str">
        <f>IFERROR(__xludf.DUMMYFUNCTION("""COMPUTED_VALUE"""),"PUBG: BATTLEGROUNDS")</f>
        <v>PUBG: BATTLEGROUNDS</v>
      </c>
      <c r="D6" s="34" t="str">
        <f>IFERROR(__xludf.DUMMYFUNCTION("""COMPUTED_VALUE"""),"🍗🇹🇭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𝐂𝐡𝐚𝐦𝐩𝐢𝐨𝐧𝐬𝐡"&amp;"𝐢𝐩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""ทีมใดได้กิ"&amp;"นไก่ในแต่ละแมทช์""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𝗪𝗲𝗲𝗸𝗹𝘆"&amp;"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ไปทายแชมป์ต่อพร้อ"&amp;"มลุ้น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http"&amp;"s://bit.ly/PGCFormatTH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Facebook.com/"&amp;"pubg.battlegrounds.th
🎥 Twitch.tv/pubgthailandofficial
🎥 Tiktok.com/@pubgthailandofficial
- ช่องทางอื่นๆ -
🎥🟪 Twitch.tv/fpsthailand
🎥🟪 Twitch.tv/esports_alliance
🎥🟦 Facebook PUBG Thailand Pro League
🎥🟦 Facebook  Esports Alliance")</f>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v>
      </c>
      <c r="E6" s="34" t="str">
        <f>IFERROR(__xludf.DUMMYFUNCTION("""COMPUTED_VALUE"""),"photo")</f>
        <v>photo</v>
      </c>
      <c r="F6" s="34">
        <f>IFERROR(__xludf.DUMMYFUNCTION("""COMPUTED_VALUE"""),1026.0)</f>
        <v>1026</v>
      </c>
      <c r="G6" s="1"/>
      <c r="H6" s="35" t="str">
        <f>IFERROR(__xludf.DUMMYFUNCTION("UNIQUE(E6:E15)"),"photo")</f>
        <v>photo</v>
      </c>
      <c r="I6" s="36">
        <f t="shared" ref="I6:I7" si="1">COUNTIF(E:E,H6)</f>
        <v>8</v>
      </c>
    </row>
    <row r="7" ht="22.5" customHeight="1">
      <c r="B7" s="33">
        <f>IFERROR(__xludf.DUMMYFUNCTION("""COMPUTED_VALUE"""),44470.937696759254)</f>
        <v>44470.9377</v>
      </c>
      <c r="C7" s="34" t="str">
        <f>IFERROR(__xludf.DUMMYFUNCTION("""COMPUTED_VALUE"""),"PUBG: BATTLEGROUNDS")</f>
        <v>PUBG: BATTLEGROUNDS</v>
      </c>
      <c r="D7" s="34" t="str">
        <f>IFERROR(__xludf.DUMMYFUNCTION("""COMPUTED_VALUE"""),"ตัวแทนทีมไทย🇹🇭🇹🇭ลุยชิงแชมป์โลก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PLAYERUNKN"&amp;"OWN'S BATTLEGROUNDS (TH)
🎥🟪 Twitch.tv/pubgthailandofficial
🎥🟩 Tiktok.com/@pubgthailandofficial
- ช่องทางอื่นๆ -
🎥🟪 Twitch.tv/fpsthailand
🎥🟪 Twitch.tv/esports_alliance
🎥🟦 PUBG Thailand Pro League
🎥🟦 Esports Alliance
🎥🟥 Youtube.com/c/EsportsAl"&amp;"liance/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#AttackAllAro"&amp;"und #MiTH #MSChonburi")</f>
        <v>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v>
      </c>
      <c r="E7" s="34" t="str">
        <f>IFERROR(__xludf.DUMMYFUNCTION("""COMPUTED_VALUE"""),"photo")</f>
        <v>photo</v>
      </c>
      <c r="F7" s="34">
        <f>IFERROR(__xludf.DUMMYFUNCTION("""COMPUTED_VALUE"""),545.0)</f>
        <v>545</v>
      </c>
      <c r="G7" s="1"/>
      <c r="H7" s="35" t="str">
        <f>IFERROR(__xludf.DUMMYFUNCTION("""COMPUTED_VALUE"""),"video_inline")</f>
        <v>video_inline</v>
      </c>
      <c r="I7" s="36">
        <f t="shared" si="1"/>
        <v>2</v>
      </c>
    </row>
    <row r="8" ht="22.5" customHeight="1">
      <c r="B8" s="33">
        <f>IFERROR(__xludf.DUMMYFUNCTION("""COMPUTED_VALUE"""),44530.79803240741)</f>
        <v>44530.79803</v>
      </c>
      <c r="C8" s="34" t="str">
        <f>IFERROR(__xludf.DUMMYFUNCTION("""COMPUTED_VALUE"""),"PUBG: BATTLEGROUNDS")</f>
        <v>PUBG: BATTLEGROUNDS</v>
      </c>
      <c r="D8" s="34" t="str">
        <f>IFERROR(__xludf.DUMMYFUNCTION("""COMPUTED_VALUE"""),"🍗🇹🇭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"&amp;"Esports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ขึ้นมาแข่งแทนที่ที"&amp;"่ได้เข้ารอบในแมทช์ต่อไป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"&amp;"🛒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https://asia.battlegrounds.pubg.com/.../pgc-2"&amp;"021-pickem.../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🇹🇭เชียร"&amp;"์ไทยผ่าน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🎥🟪"&amp;" Twitch.tv/fpsthailand
🎥🟪 Twitch.tv/esports_alliance
🎥🟦 Facebook PUBG Thailand Pro League
🎥🟦 Facebook  Esports Alliance")</f>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v>
      </c>
      <c r="E8" s="34" t="str">
        <f>IFERROR(__xludf.DUMMYFUNCTION("""COMPUTED_VALUE"""),"photo")</f>
        <v>photo</v>
      </c>
      <c r="F8" s="34">
        <f>IFERROR(__xludf.DUMMYFUNCTION("""COMPUTED_VALUE"""),532.0)</f>
        <v>532</v>
      </c>
      <c r="G8" s="1"/>
      <c r="H8" s="1"/>
      <c r="I8" s="1"/>
    </row>
    <row r="9" ht="22.5" customHeight="1">
      <c r="B9" s="33">
        <f>IFERROR(__xludf.DUMMYFUNCTION("""COMPUTED_VALUE"""),44496.60428240741)</f>
        <v>44496.60428</v>
      </c>
      <c r="C9" s="34" t="str">
        <f>IFERROR(__xludf.DUMMYFUNCTION("""COMPUTED_VALUE"""),"PUBG: BATTLEGROUNDS")</f>
        <v>PUBG: BATTLEGROUNDS</v>
      </c>
      <c r="D9" s="34" t="str">
        <f>IFERROR(__xludf.DUMMYFUNCTION("""COMPUTED_VALUE"""),"สองปืนใหม่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14.2"&amp;" แบบเต็มๆ ได้ที่: https://bit.ly/3Ei5wFN
🔔 กดติดตามช่องทางเพิ่มเติมได้ที่:
🎥 YouTube http://bit.ly/2P5IbzQ
🎥 PLAYERUNKNOWN'S BATTLEGROUNDS
🎥 Twitch.tv/pubgthailandofficial
🎥 Tiktok.com/@pubgthailandofficial
#พับจี #เกมพับจี #PUBG #Season14")</f>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v>
      </c>
      <c r="E9" s="34" t="str">
        <f>IFERROR(__xludf.DUMMYFUNCTION("""COMPUTED_VALUE"""),"video_inline")</f>
        <v>video_inline</v>
      </c>
      <c r="F9" s="34">
        <f>IFERROR(__xludf.DUMMYFUNCTION("""COMPUTED_VALUE"""),514.0)</f>
        <v>514</v>
      </c>
      <c r="G9" s="1"/>
      <c r="H9" s="1"/>
      <c r="I9" s="1"/>
    </row>
    <row r="10" ht="22.5" customHeight="1">
      <c r="B10" s="33">
        <f>IFERROR(__xludf.DUMMYFUNCTION("""COMPUTED_VALUE"""),44520.786770833336)</f>
        <v>44520.78677</v>
      </c>
      <c r="C10" s="34" t="str">
        <f>IFERROR(__xludf.DUMMYFUNCTION("""COMPUTED_VALUE"""),"PUBG: BATTLEGROUNDS")</f>
        <v>PUBG: BATTLEGROUNDS</v>
      </c>
      <c r="D10" s="34" t="str">
        <f>IFERROR(__xludf.DUMMYFUNCTION("""COMPUTED_VALUE"""),"🇹🇭🇹🇭นับ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Unit"&amp;"ed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ดูรา"&amp;"ยละเอียดแบบเต็มๆได้เลยที่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"&amp;"#PGC2021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ช่องทางอื"&amp;"่นๆ -
🎥🟪 Twitch.tv/fpsthailand
🎥🟪 Twitch.tv/esports_alliance
🎥🟦 Facebook PUBG Thailand Pro League
🎥🟦 Facebook  Esports Alliance
🎥🟥 Youtube.com/c/EsportsAlliance/""")</f>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0" s="34" t="str">
        <f>IFERROR(__xludf.DUMMYFUNCTION("""COMPUTED_VALUE"""),"photo")</f>
        <v>photo</v>
      </c>
      <c r="F10" s="34">
        <f>IFERROR(__xludf.DUMMYFUNCTION("""COMPUTED_VALUE"""),478.0)</f>
        <v>478</v>
      </c>
      <c r="G10" s="1"/>
      <c r="H10" s="1"/>
      <c r="I10" s="1"/>
    </row>
    <row r="11" ht="22.5" customHeight="1">
      <c r="B11" s="33">
        <f>IFERROR(__xludf.DUMMYFUNCTION("""COMPUTED_VALUE"""),44543.64550925926)</f>
        <v>44543.64551</v>
      </c>
      <c r="C11" s="34" t="str">
        <f>IFERROR(__xludf.DUMMYFUNCTION("""COMPUTED_VALUE"""),"PUBG: BATTLEGROUNDS")</f>
        <v>PUBG: BATTLEGROUNDS</v>
      </c>
      <c r="D11" s="34" t="str">
        <f>IFERROR(__xludf.DUMMYFUNCTION("""COMPUTED_VALUE"""),"🎬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ธ.ค"&amp;".นี้ ห้ามพลาด!
#PUBG #ESPORTS #PGC2021 #พับจีชิงแชมป์โลก")</f>
        <v>🎬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v>
      </c>
      <c r="E11" s="34" t="str">
        <f>IFERROR(__xludf.DUMMYFUNCTION("""COMPUTED_VALUE"""),"video_inline")</f>
        <v>video_inline</v>
      </c>
      <c r="F11" s="34">
        <f>IFERROR(__xludf.DUMMYFUNCTION("""COMPUTED_VALUE"""),455.0)</f>
        <v>455</v>
      </c>
      <c r="G11" s="1"/>
      <c r="H11" s="1"/>
      <c r="I11" s="1"/>
    </row>
    <row r="12" ht="22.5" customHeight="1">
      <c r="B12" s="33">
        <f>IFERROR(__xludf.DUMMYFUNCTION("""COMPUTED_VALUE"""),44549.86306712963)</f>
        <v>44549.86307</v>
      </c>
      <c r="C12" s="34" t="str">
        <f>IFERROR(__xludf.DUMMYFUNCTION("""COMPUTED_VALUE"""),"PUBG: BATTLEGROUNDS")</f>
        <v>PUBG: BATTLEGROUNDS</v>
      </c>
      <c r="D12" s="34" t="str">
        <f>IFERROR(__xludf.DUMMYFUNCTION("""COMPUTED_VALUE"""),"🏆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ไปถึ"&amp;"ง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"&amp;"🎥 Tiktok.com/@pubgthailandofficial
- ช่องทางอื่นๆ -
🎥🟪 Twitch.tv/fpsthailand
🎥🟪 Twitch.tv/esports_alliance
🎥🟦 Facebook PUBG Thailand Pro League 
🎥🟦 Facebook Esports Alliance
🎥🟥 Youtube.com/c/EsportsAlliance/")</f>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2" s="34" t="str">
        <f>IFERROR(__xludf.DUMMYFUNCTION("""COMPUTED_VALUE"""),"photo")</f>
        <v>photo</v>
      </c>
      <c r="F12" s="34">
        <f>IFERROR(__xludf.DUMMYFUNCTION("""COMPUTED_VALUE"""),437.0)</f>
        <v>437</v>
      </c>
      <c r="G12" s="1"/>
      <c r="H12" s="1"/>
      <c r="I12" s="1"/>
    </row>
    <row r="13" ht="22.5" customHeight="1">
      <c r="B13" s="33">
        <f>IFERROR(__xludf.DUMMYFUNCTION("""COMPUTED_VALUE"""),44521.621041666665)</f>
        <v>44521.62104</v>
      </c>
      <c r="C13" s="9" t="str">
        <f>IFERROR(__xludf.DUMMYFUNCTION("""COMPUTED_VALUE"""),"PUBG: BATTLEGROUNDS")</f>
        <v>PUBG: BATTLEGROUNDS</v>
      </c>
      <c r="D13" s="9" t="str">
        <f>IFERROR(__xludf.DUMMYFUNCTION("""COMPUTED_VALUE"""),"🇹🇭🇹🇭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มาเชียร์ตัวแทนทีมไทย"&amp;"ลุยชิงแชมป์โลก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"&amp;"ซื้อไอเทมพิเศษต่ออีกชั้น!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https://bit.ly"&amp;"/PGCFormatTH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Tiktok.com/@p"&amp;"ubgthailandofficial
- ช่องทางอื่นๆ -
🎥🟪 Twitch.tv/fpsthailand
🎥🟪 Twitch.tv/esports_alliance
🎥🟦 Facebook PUBG Thailand Pro League
🎥🟦 Facebook  Esports Alliance
🎥🟥 Youtube.com/c/EsportsAlliance/")</f>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3" s="34" t="str">
        <f>IFERROR(__xludf.DUMMYFUNCTION("""COMPUTED_VALUE"""),"photo")</f>
        <v>photo</v>
      </c>
      <c r="F13" s="34">
        <f>IFERROR(__xludf.DUMMYFUNCTION("""COMPUTED_VALUE"""),395.0)</f>
        <v>395</v>
      </c>
      <c r="G13" s="1"/>
      <c r="H13" s="1"/>
      <c r="I13" s="1"/>
    </row>
    <row r="14" ht="22.5" customHeight="1">
      <c r="B14" s="33">
        <f>IFERROR(__xludf.DUMMYFUNCTION("""COMPUTED_VALUE"""),44518.58329861111)</f>
        <v>44518.5833</v>
      </c>
      <c r="C14" s="34" t="str">
        <f>IFERROR(__xludf.DUMMYFUNCTION("""COMPUTED_VALUE"""),"PUBG: BATTLEGROUNDS")</f>
        <v>PUBG: BATTLEGROUNDS</v>
      </c>
      <c r="D14" s="34" t="str">
        <f>IFERROR(__xludf.DUMMYFUNCTION("""COMPUTED_VALUE"""),"🏆🌏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💵เงินรางวัลรวม"&amp;"กว่า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V"&amp;"S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ดูรายละเ"&amp;"อียดแบบเต็มๆได้เลยที่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#PGC"&amp;"2021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ช่องทางอื่นๆ"&amp;" -
🎥🟪 Twitch.tv/fpsthailand
🎥🟪 Twitch.tv/esports_alliance
🎥🟦 Facebook PUBG Thailand Pro League
🎥🟦 Facebook  Esports Alliance
🎥🟥 Youtube.com/c/EsportsAlliance/")</f>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4" s="34" t="str">
        <f>IFERROR(__xludf.DUMMYFUNCTION("""COMPUTED_VALUE"""),"photo")</f>
        <v>photo</v>
      </c>
      <c r="F14" s="34">
        <f>IFERROR(__xludf.DUMMYFUNCTION("""COMPUTED_VALUE"""),367.0)</f>
        <v>367</v>
      </c>
      <c r="G14" s="1"/>
      <c r="H14" s="1"/>
      <c r="I14" s="1"/>
    </row>
    <row r="15" ht="22.5" customHeight="1">
      <c r="B15" s="33">
        <f>IFERROR(__xludf.DUMMYFUNCTION("""COMPUTED_VALUE"""),44519.333391203705)</f>
        <v>44519.33339</v>
      </c>
      <c r="C15" s="34" t="str">
        <f>IFERROR(__xludf.DUMMYFUNCTION("""COMPUTED_VALUE"""),"PUBG: BATTLEGROUNDS")</f>
        <v>PUBG: BATTLEGROUNDS</v>
      </c>
      <c r="D15" s="34" t="str">
        <f>IFERROR(__xludf.DUMMYFUNCTION("""COMPUTED_VALUE"""),"🏆🌏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และ"&amp;"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- 11:"&amp;"00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ไปทายแชมป์ต่อพร้อมลุ้น"&amp;"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https://b"&amp;"it.ly/PGCFormatTH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Tiktok.c"&amp;"om/@pubgthailandofficial
- ช่องทางอื่นๆ -
🎥🟪 Twitch.tv/fpsthailand
🎥🟪 Twitch.tv/esports_alliance
🎥🟦 Facebook PUBG Thailand Pro League
🎥🟦 Facebook  Esports Alliance
🎥🟥 Youtube.com/c/EsportsAlliance/")</f>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5" s="34" t="str">
        <f>IFERROR(__xludf.DUMMYFUNCTION("""COMPUTED_VALUE"""),"photo")</f>
        <v>photo</v>
      </c>
      <c r="F15" s="34">
        <f>IFERROR(__xludf.DUMMYFUNCTION("""COMPUTED_VALUE"""),359.0)</f>
        <v>359</v>
      </c>
      <c r="G15" s="1"/>
      <c r="H15" s="1"/>
      <c r="I15" s="1"/>
    </row>
    <row r="16" ht="22.5" customHeight="1">
      <c r="B16" s="34"/>
      <c r="C16" s="34"/>
      <c r="D16" s="34"/>
      <c r="E16" s="34"/>
      <c r="F16" s="34"/>
    </row>
    <row r="17" ht="22.5" customHeight="1">
      <c r="B17" s="34"/>
      <c r="C17" s="34"/>
      <c r="D17" s="34"/>
      <c r="E17" s="34"/>
      <c r="F17" s="34"/>
    </row>
    <row r="18" ht="22.5" customHeight="1">
      <c r="B18" s="34"/>
      <c r="C18" s="34"/>
      <c r="D18" s="34"/>
      <c r="E18" s="34"/>
      <c r="F18" s="34"/>
    </row>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row r="1002" ht="22.5" customHeight="1"/>
    <row r="1003" ht="22.5" customHeight="1"/>
  </sheetData>
  <dataValidations>
    <dataValidation type="list" allowBlank="1" showErrorMessage="1" sqref="C2">
      <formula1>"Free Fire,PubG"</formula1>
    </dataValidation>
    <dataValidation type="list" allowBlank="1" showErrorMessage="1" sqref="C3">
      <formula1>"3,5,10"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5.5"/>
    <col customWidth="1" min="4" max="4" width="15.13"/>
  </cols>
  <sheetData>
    <row r="1"/>
    <row r="2"/>
    <row r="3"/>
    <row r="4"/>
    <row r="5"/>
    <row r="6"/>
    <row r="7"/>
    <row r="8"/>
    <row r="9"/>
    <row r="10"/>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21.25"/>
    <col customWidth="1" min="7" max="7" width="47.25"/>
    <col customWidth="1" min="18" max="18" width="16.38"/>
    <col customWidth="1" min="19" max="19" width="22.5"/>
    <col customWidth="1" min="20" max="20" width="15.5"/>
    <col customWidth="1" min="26" max="26" width="49.25"/>
  </cols>
  <sheetData>
    <row r="1" ht="22.5" customHeight="1">
      <c r="A1" s="17" t="s">
        <v>60</v>
      </c>
      <c r="B1" s="17" t="s">
        <v>61</v>
      </c>
      <c r="C1" s="17" t="s">
        <v>62</v>
      </c>
      <c r="D1" s="17" t="s">
        <v>63</v>
      </c>
      <c r="E1" s="17" t="s">
        <v>64</v>
      </c>
      <c r="F1" s="17" t="s">
        <v>42</v>
      </c>
      <c r="G1" s="17" t="s">
        <v>65</v>
      </c>
      <c r="H1" s="17" t="s">
        <v>66</v>
      </c>
      <c r="I1" s="17" t="s">
        <v>67</v>
      </c>
      <c r="J1" s="17" t="s">
        <v>68</v>
      </c>
      <c r="K1" s="17" t="s">
        <v>69</v>
      </c>
      <c r="L1" s="17" t="s">
        <v>70</v>
      </c>
      <c r="M1" s="17" t="s">
        <v>71</v>
      </c>
      <c r="N1" s="17" t="s">
        <v>72</v>
      </c>
      <c r="O1" s="37" t="s">
        <v>73</v>
      </c>
      <c r="P1" s="37" t="s">
        <v>74</v>
      </c>
      <c r="Q1" s="38" t="s">
        <v>75</v>
      </c>
      <c r="R1" s="39" t="s">
        <v>76</v>
      </c>
      <c r="S1" s="40" t="str">
        <f>FORMULATEXT(T2)</f>
        <v>=FILTER(A1:Q301,Q1:Q301)</v>
      </c>
      <c r="T1" s="41" t="s">
        <v>77</v>
      </c>
    </row>
    <row r="2" ht="22.5" customHeight="1">
      <c r="A2" s="42">
        <v>44470.0</v>
      </c>
      <c r="B2" s="43">
        <v>44470.541712962964</v>
      </c>
      <c r="C2" s="17" t="s">
        <v>78</v>
      </c>
      <c r="D2" s="17" t="s">
        <v>79</v>
      </c>
      <c r="E2" s="17" t="s">
        <v>80</v>
      </c>
      <c r="F2" s="17" t="s">
        <v>55</v>
      </c>
      <c r="G2" s="17" t="s">
        <v>81</v>
      </c>
      <c r="H2" s="44" t="s">
        <v>82</v>
      </c>
      <c r="I2" s="45">
        <v>1.0</v>
      </c>
      <c r="J2" s="45">
        <v>1218.0</v>
      </c>
      <c r="K2" s="45">
        <v>1390.0</v>
      </c>
      <c r="L2" s="45">
        <v>137.0</v>
      </c>
      <c r="M2" s="45">
        <v>56.0</v>
      </c>
      <c r="N2" s="45">
        <v>1218.0</v>
      </c>
      <c r="O2" s="46">
        <f t="array" ref="O2:O301">WEEKNUM(A2:A301)</f>
        <v>40</v>
      </c>
      <c r="P2" s="46">
        <f t="array" ref="P2:P301">HOUR(B2:B301)</f>
        <v>13</v>
      </c>
      <c r="Q2" s="46">
        <f>IFERROR(__xludf.DUMMYFUNCTION("ArrayFormula(IF(REGEXMATCH(G2:G301,""โปรโม|ส่วนลด|จ่าย|คุ้ม""),1,0))"),0.0)</f>
        <v>0</v>
      </c>
      <c r="R2" s="47">
        <f t="array" ref="R2:R301">(K2:K301)-(J2:J301)</f>
        <v>172</v>
      </c>
      <c r="T2" s="48">
        <f>IFERROR(__xludf.DUMMYFUNCTION("FILTER(A1:Q301,Q1:Q301)"),44472.0)</f>
        <v>44472</v>
      </c>
      <c r="U2" s="49">
        <f>IFERROR(__xludf.DUMMYFUNCTION("""COMPUTED_VALUE"""),44472.333344907405)</f>
        <v>44472.33334</v>
      </c>
      <c r="V2" s="19" t="str">
        <f>IFERROR(__xludf.DUMMYFUNCTION("""COMPUTED_VALUE"""),"Garena Free Fire")</f>
        <v>Garena Free Fire</v>
      </c>
      <c r="W2" s="19" t="str">
        <f>IFERROR(__xludf.DUMMYFUNCTION("""COMPUTED_VALUE"""),"740460599475760_1905939169594558")</f>
        <v>740460599475760_1905939169594558</v>
      </c>
      <c r="X2" s="19" t="str">
        <f>IFERROR(__xludf.DUMMYFUNCTION("""COMPUTED_VALUE"""),"added_photos")</f>
        <v>added_photos</v>
      </c>
      <c r="Y2" s="19" t="str">
        <f>IFERROR(__xludf.DUMMYFUNCTION("""COMPUTED_VALUE"""),"photo")</f>
        <v>photo</v>
      </c>
      <c r="Z2" s="19" t="str">
        <f>IFERROR(__xludf.DUMMYFUNCTION("""COMPUTED_VALUE"""),"TOP-UP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f>
        <v>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v>
      </c>
      <c r="AA2" s="50" t="str">
        <f>IFERROR(__xludf.DUMMYFUNCTION("""COMPUTED_VALUE"""),"https://www.facebook.com/740460599475760/posts/1905939169594558/")</f>
        <v>https://www.facebook.com/740460599475760/posts/1905939169594558/</v>
      </c>
      <c r="AB2" s="19">
        <f>IFERROR(__xludf.DUMMYFUNCTION("""COMPUTED_VALUE"""),1.0)</f>
        <v>1</v>
      </c>
      <c r="AC2" s="19">
        <f>IFERROR(__xludf.DUMMYFUNCTION("""COMPUTED_VALUE"""),1552.0)</f>
        <v>1552</v>
      </c>
      <c r="AD2" s="19">
        <f>IFERROR(__xludf.DUMMYFUNCTION("""COMPUTED_VALUE"""),1630.0)</f>
        <v>1630</v>
      </c>
      <c r="AE2" s="19">
        <f>IFERROR(__xludf.DUMMYFUNCTION("""COMPUTED_VALUE"""),331.0)</f>
        <v>331</v>
      </c>
      <c r="AF2" s="19">
        <f>IFERROR(__xludf.DUMMYFUNCTION("""COMPUTED_VALUE"""),54.0)</f>
        <v>54</v>
      </c>
      <c r="AG2" s="19">
        <f>IFERROR(__xludf.DUMMYFUNCTION("""COMPUTED_VALUE"""),1552.0)</f>
        <v>1552</v>
      </c>
      <c r="AH2" s="19">
        <f>IFERROR(__xludf.DUMMYFUNCTION("""COMPUTED_VALUE"""),41.0)</f>
        <v>41</v>
      </c>
      <c r="AI2" s="19">
        <f>IFERROR(__xludf.DUMMYFUNCTION("""COMPUTED_VALUE"""),8.0)</f>
        <v>8</v>
      </c>
      <c r="AJ2" s="19">
        <f>IFERROR(__xludf.DUMMYFUNCTION("""COMPUTED_VALUE"""),1.0)</f>
        <v>1</v>
      </c>
    </row>
    <row r="3" ht="22.5" customHeight="1">
      <c r="A3" s="42">
        <v>44470.0</v>
      </c>
      <c r="B3" s="43">
        <v>44470.62548611111</v>
      </c>
      <c r="C3" s="17" t="s">
        <v>78</v>
      </c>
      <c r="D3" s="17" t="s">
        <v>83</v>
      </c>
      <c r="E3" s="17" t="s">
        <v>84</v>
      </c>
      <c r="F3" s="17" t="s">
        <v>50</v>
      </c>
      <c r="G3" s="17" t="s">
        <v>85</v>
      </c>
      <c r="H3" s="44" t="s">
        <v>86</v>
      </c>
      <c r="I3" s="45">
        <v>1.0</v>
      </c>
      <c r="J3" s="45">
        <v>284.0</v>
      </c>
      <c r="K3" s="45">
        <v>291.0</v>
      </c>
      <c r="L3" s="45">
        <v>14.0</v>
      </c>
      <c r="M3" s="45">
        <v>14.0</v>
      </c>
      <c r="N3" s="45">
        <v>284.0</v>
      </c>
      <c r="O3" s="46">
        <v>40.0</v>
      </c>
      <c r="P3" s="46">
        <v>15.0</v>
      </c>
      <c r="Q3" s="46">
        <f>IFERROR(__xludf.DUMMYFUNCTION("""COMPUTED_VALUE"""),0.0)</f>
        <v>0</v>
      </c>
      <c r="R3" s="47">
        <v>7.0</v>
      </c>
      <c r="T3" s="48">
        <f>IFERROR(__xludf.DUMMYFUNCTION("""COMPUTED_VALUE"""),44473.0)</f>
        <v>44473</v>
      </c>
      <c r="U3" s="49">
        <f>IFERROR(__xludf.DUMMYFUNCTION("""COMPUTED_VALUE"""),44473.458344907405)</f>
        <v>44473.45834</v>
      </c>
      <c r="V3" s="19" t="str">
        <f>IFERROR(__xludf.DUMMYFUNCTION("""COMPUTED_VALUE"""),"Garena Free Fire")</f>
        <v>Garena Free Fire</v>
      </c>
      <c r="W3" s="19" t="str">
        <f>IFERROR(__xludf.DUMMYFUNCTION("""COMPUTED_VALUE"""),"740460599475760_1905162739672201")</f>
        <v>740460599475760_1905162739672201</v>
      </c>
      <c r="X3" s="19" t="str">
        <f>IFERROR(__xludf.DUMMYFUNCTION("""COMPUTED_VALUE"""),"added_photos")</f>
        <v>added_photos</v>
      </c>
      <c r="Y3" s="19" t="str">
        <f>IFERROR(__xludf.DUMMYFUNCTION("""COMPUTED_VALUE"""),"photo")</f>
        <v>photo</v>
      </c>
      <c r="Z3" s="19" t="str">
        <f>IFERROR(__xludf.DUMMYFUNCTION("""COMPUTED_VALUE"""),"⏳วันสุดท้าย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2.หลังจากนั้นเข้าเกม"&amp;"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3" s="50" t="str">
        <f>IFERROR(__xludf.DUMMYFUNCTION("""COMPUTED_VALUE"""),"https://www.facebook.com/740460599475760/posts/1905162739672201/")</f>
        <v>https://www.facebook.com/740460599475760/posts/1905162739672201/</v>
      </c>
      <c r="AB3" s="19">
        <f>IFERROR(__xludf.DUMMYFUNCTION("""COMPUTED_VALUE"""),1.0)</f>
        <v>1</v>
      </c>
      <c r="AC3" s="19">
        <f>IFERROR(__xludf.DUMMYFUNCTION("""COMPUTED_VALUE"""),307.0)</f>
        <v>307</v>
      </c>
      <c r="AD3" s="19">
        <f>IFERROR(__xludf.DUMMYFUNCTION("""COMPUTED_VALUE"""),316.0)</f>
        <v>316</v>
      </c>
      <c r="AE3" s="19">
        <f>IFERROR(__xludf.DUMMYFUNCTION("""COMPUTED_VALUE"""),56.0)</f>
        <v>56</v>
      </c>
      <c r="AF3" s="19">
        <f>IFERROR(__xludf.DUMMYFUNCTION("""COMPUTED_VALUE"""),7.0)</f>
        <v>7</v>
      </c>
      <c r="AG3" s="19">
        <f>IFERROR(__xludf.DUMMYFUNCTION("""COMPUTED_VALUE"""),307.0)</f>
        <v>307</v>
      </c>
      <c r="AH3" s="19">
        <f>IFERROR(__xludf.DUMMYFUNCTION("""COMPUTED_VALUE"""),41.0)</f>
        <v>41</v>
      </c>
      <c r="AI3" s="19">
        <f>IFERROR(__xludf.DUMMYFUNCTION("""COMPUTED_VALUE"""),11.0)</f>
        <v>11</v>
      </c>
      <c r="AJ3" s="19">
        <f>IFERROR(__xludf.DUMMYFUNCTION("""COMPUTED_VALUE"""),1.0)</f>
        <v>1</v>
      </c>
    </row>
    <row r="4" ht="22.5" customHeight="1">
      <c r="A4" s="42">
        <v>44470.0</v>
      </c>
      <c r="B4" s="43">
        <v>44470.83337962963</v>
      </c>
      <c r="C4" s="17" t="s">
        <v>78</v>
      </c>
      <c r="D4" s="17" t="s">
        <v>87</v>
      </c>
      <c r="E4" s="17" t="s">
        <v>84</v>
      </c>
      <c r="F4" s="17" t="s">
        <v>50</v>
      </c>
      <c r="G4" s="17" t="s">
        <v>88</v>
      </c>
      <c r="H4" s="44" t="s">
        <v>89</v>
      </c>
      <c r="I4" s="45">
        <v>1.0</v>
      </c>
      <c r="J4" s="45">
        <v>1345.0</v>
      </c>
      <c r="K4" s="45">
        <v>1368.0</v>
      </c>
      <c r="L4" s="45">
        <v>87.0</v>
      </c>
      <c r="M4" s="45">
        <v>21.0</v>
      </c>
      <c r="N4" s="45">
        <v>1345.0</v>
      </c>
      <c r="O4" s="46">
        <v>40.0</v>
      </c>
      <c r="P4" s="46">
        <v>20.0</v>
      </c>
      <c r="Q4" s="46">
        <f>IFERROR(__xludf.DUMMYFUNCTION("""COMPUTED_VALUE"""),0.0)</f>
        <v>0</v>
      </c>
      <c r="R4" s="47">
        <v>23.0</v>
      </c>
      <c r="T4" s="48">
        <f>IFERROR(__xludf.DUMMYFUNCTION("""COMPUTED_VALUE"""),44482.0)</f>
        <v>44482</v>
      </c>
      <c r="U4" s="49">
        <f>IFERROR(__xludf.DUMMYFUNCTION("""COMPUTED_VALUE"""),44482.50001157408)</f>
        <v>44482.50001</v>
      </c>
      <c r="V4" s="19" t="str">
        <f>IFERROR(__xludf.DUMMYFUNCTION("""COMPUTED_VALUE"""),"Garena Free Fire")</f>
        <v>Garena Free Fire</v>
      </c>
      <c r="W4" s="19" t="str">
        <f>IFERROR(__xludf.DUMMYFUNCTION("""COMPUTED_VALUE"""),"740460599475760_1914639852057823")</f>
        <v>740460599475760_1914639852057823</v>
      </c>
      <c r="X4" s="19" t="str">
        <f>IFERROR(__xludf.DUMMYFUNCTION("""COMPUTED_VALUE"""),"added_photos")</f>
        <v>added_photos</v>
      </c>
      <c r="Y4" s="19" t="str">
        <f>IFERROR(__xludf.DUMMYFUNCTION("""COMPUTED_VALUE"""),"photo")</f>
        <v>photo</v>
      </c>
      <c r="Z4" s="19" t="str">
        <f>IFERROR(__xludf.DUMMYFUNCTION("""COMPUTED_VALUE"""),"⏳แฟชั่นเซ็ตใหม่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หากยังไม่มีแอปฯจะพาไปหน้าด"&amp;"าวน์โหลดก่อน)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2.หลังจากนั้นเข้าเกม"&amp;"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4" s="50" t="str">
        <f>IFERROR(__xludf.DUMMYFUNCTION("""COMPUTED_VALUE"""),"https://www.facebook.com/740460599475760/posts/1914639852057823/")</f>
        <v>https://www.facebook.com/740460599475760/posts/1914639852057823/</v>
      </c>
      <c r="AB4" s="19">
        <f>IFERROR(__xludf.DUMMYFUNCTION("""COMPUTED_VALUE"""),1.0)</f>
        <v>1</v>
      </c>
      <c r="AC4" s="19">
        <f>IFERROR(__xludf.DUMMYFUNCTION("""COMPUTED_VALUE"""),226.0)</f>
        <v>226</v>
      </c>
      <c r="AD4" s="19">
        <f>IFERROR(__xludf.DUMMYFUNCTION("""COMPUTED_VALUE"""),234.0)</f>
        <v>234</v>
      </c>
      <c r="AE4" s="19">
        <f>IFERROR(__xludf.DUMMYFUNCTION("""COMPUTED_VALUE"""),32.0)</f>
        <v>32</v>
      </c>
      <c r="AF4" s="19">
        <f>IFERROR(__xludf.DUMMYFUNCTION("""COMPUTED_VALUE"""),9.0)</f>
        <v>9</v>
      </c>
      <c r="AG4" s="19">
        <f>IFERROR(__xludf.DUMMYFUNCTION("""COMPUTED_VALUE"""),226.0)</f>
        <v>226</v>
      </c>
      <c r="AH4" s="19">
        <f>IFERROR(__xludf.DUMMYFUNCTION("""COMPUTED_VALUE"""),42.0)</f>
        <v>42</v>
      </c>
      <c r="AI4" s="19">
        <f>IFERROR(__xludf.DUMMYFUNCTION("""COMPUTED_VALUE"""),12.0)</f>
        <v>12</v>
      </c>
      <c r="AJ4" s="19">
        <f>IFERROR(__xludf.DUMMYFUNCTION("""COMPUTED_VALUE"""),1.0)</f>
        <v>1</v>
      </c>
    </row>
    <row r="5" ht="22.5" customHeight="1">
      <c r="A5" s="42">
        <v>44471.0</v>
      </c>
      <c r="B5" s="43">
        <v>44471.625497685185</v>
      </c>
      <c r="C5" s="17" t="s">
        <v>78</v>
      </c>
      <c r="D5" s="17" t="s">
        <v>90</v>
      </c>
      <c r="E5" s="17" t="s">
        <v>84</v>
      </c>
      <c r="F5" s="17" t="s">
        <v>50</v>
      </c>
      <c r="G5" s="17" t="s">
        <v>91</v>
      </c>
      <c r="H5" s="44" t="s">
        <v>92</v>
      </c>
      <c r="I5" s="45">
        <v>1.0</v>
      </c>
      <c r="J5" s="45">
        <v>256.0</v>
      </c>
      <c r="K5" s="45">
        <v>271.0</v>
      </c>
      <c r="L5" s="45">
        <v>41.0</v>
      </c>
      <c r="M5" s="45">
        <v>10.0</v>
      </c>
      <c r="N5" s="45">
        <v>256.0</v>
      </c>
      <c r="O5" s="46">
        <v>40.0</v>
      </c>
      <c r="P5" s="46">
        <v>15.0</v>
      </c>
      <c r="Q5" s="46">
        <f>IFERROR(__xludf.DUMMYFUNCTION("""COMPUTED_VALUE"""),0.0)</f>
        <v>0</v>
      </c>
      <c r="R5" s="47">
        <v>15.0</v>
      </c>
      <c r="T5" s="48">
        <f>IFERROR(__xludf.DUMMYFUNCTION("""COMPUTED_VALUE"""),44486.0)</f>
        <v>44486</v>
      </c>
      <c r="U5" s="49">
        <f>IFERROR(__xludf.DUMMYFUNCTION("""COMPUTED_VALUE"""),44486.458333333336)</f>
        <v>44486.45833</v>
      </c>
      <c r="V5" s="19" t="str">
        <f>IFERROR(__xludf.DUMMYFUNCTION("""COMPUTED_VALUE"""),"Garena Free Fire")</f>
        <v>Garena Free Fire</v>
      </c>
      <c r="W5" s="19" t="str">
        <f>IFERROR(__xludf.DUMMYFUNCTION("""COMPUTED_VALUE"""),"740460599475760_1917094281812380")</f>
        <v>740460599475760_1917094281812380</v>
      </c>
      <c r="X5" s="19" t="str">
        <f>IFERROR(__xludf.DUMMYFUNCTION("""COMPUTED_VALUE"""),"added_photos")</f>
        <v>added_photos</v>
      </c>
      <c r="Y5" s="19" t="str">
        <f>IFERROR(__xludf.DUMMYFUNCTION("""COMPUTED_VALUE"""),"photo")</f>
        <v>photo</v>
      </c>
      <c r="Z5" s="19" t="str">
        <f>IFERROR(__xludf.DUMMYFUNCTION("""COMPUTED_VALUE"""),"⏳โปรสุดคุ้ม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2.หลังจากนั้นเข้าเก"&amp;"ม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5" s="50" t="str">
        <f>IFERROR(__xludf.DUMMYFUNCTION("""COMPUTED_VALUE"""),"https://www.facebook.com/740460599475760/posts/1917094281812380/")</f>
        <v>https://www.facebook.com/740460599475760/posts/1917094281812380/</v>
      </c>
      <c r="AB5" s="19">
        <f>IFERROR(__xludf.DUMMYFUNCTION("""COMPUTED_VALUE"""),1.0)</f>
        <v>1</v>
      </c>
      <c r="AC5" s="19">
        <f>IFERROR(__xludf.DUMMYFUNCTION("""COMPUTED_VALUE"""),158.0)</f>
        <v>158</v>
      </c>
      <c r="AD5" s="19">
        <f>IFERROR(__xludf.DUMMYFUNCTION("""COMPUTED_VALUE"""),162.0)</f>
        <v>162</v>
      </c>
      <c r="AE5" s="19">
        <f>IFERROR(__xludf.DUMMYFUNCTION("""COMPUTED_VALUE"""),14.0)</f>
        <v>14</v>
      </c>
      <c r="AF5" s="19">
        <f>IFERROR(__xludf.DUMMYFUNCTION("""COMPUTED_VALUE"""),1.0)</f>
        <v>1</v>
      </c>
      <c r="AG5" s="19">
        <f>IFERROR(__xludf.DUMMYFUNCTION("""COMPUTED_VALUE"""),158.0)</f>
        <v>158</v>
      </c>
      <c r="AH5" s="19">
        <f>IFERROR(__xludf.DUMMYFUNCTION("""COMPUTED_VALUE"""),43.0)</f>
        <v>43</v>
      </c>
      <c r="AI5" s="19">
        <f>IFERROR(__xludf.DUMMYFUNCTION("""COMPUTED_VALUE"""),11.0)</f>
        <v>11</v>
      </c>
      <c r="AJ5" s="19">
        <f>IFERROR(__xludf.DUMMYFUNCTION("""COMPUTED_VALUE"""),1.0)</f>
        <v>1</v>
      </c>
    </row>
    <row r="6" ht="22.5" customHeight="1">
      <c r="A6" s="42">
        <v>44472.0</v>
      </c>
      <c r="B6" s="43">
        <v>44472.333344907405</v>
      </c>
      <c r="C6" s="17" t="s">
        <v>78</v>
      </c>
      <c r="D6" s="17" t="s">
        <v>93</v>
      </c>
      <c r="E6" s="17" t="s">
        <v>84</v>
      </c>
      <c r="F6" s="17" t="s">
        <v>50</v>
      </c>
      <c r="G6" s="17" t="s">
        <v>94</v>
      </c>
      <c r="H6" s="44" t="s">
        <v>95</v>
      </c>
      <c r="I6" s="45">
        <v>1.0</v>
      </c>
      <c r="J6" s="45">
        <v>1552.0</v>
      </c>
      <c r="K6" s="45">
        <v>1630.0</v>
      </c>
      <c r="L6" s="45">
        <v>331.0</v>
      </c>
      <c r="M6" s="45">
        <v>54.0</v>
      </c>
      <c r="N6" s="45">
        <v>1552.0</v>
      </c>
      <c r="O6" s="46">
        <v>41.0</v>
      </c>
      <c r="P6" s="46">
        <v>8.0</v>
      </c>
      <c r="Q6" s="46">
        <f>IFERROR(__xludf.DUMMYFUNCTION("""COMPUTED_VALUE"""),1.0)</f>
        <v>1</v>
      </c>
      <c r="R6" s="47">
        <v>78.0</v>
      </c>
      <c r="T6" s="48">
        <f>IFERROR(__xludf.DUMMYFUNCTION("""COMPUTED_VALUE"""),44490.0)</f>
        <v>44490</v>
      </c>
      <c r="U6" s="49">
        <f>IFERROR(__xludf.DUMMYFUNCTION("""COMPUTED_VALUE"""),44490.45836805556)</f>
        <v>44490.45837</v>
      </c>
      <c r="V6" s="19" t="str">
        <f>IFERROR(__xludf.DUMMYFUNCTION("""COMPUTED_VALUE"""),"Garena Free Fire")</f>
        <v>Garena Free Fire</v>
      </c>
      <c r="W6" s="19" t="str">
        <f>IFERROR(__xludf.DUMMYFUNCTION("""COMPUTED_VALUE"""),"740460599475760_1920381241483684")</f>
        <v>740460599475760_1920381241483684</v>
      </c>
      <c r="X6" s="19" t="str">
        <f>IFERROR(__xludf.DUMMYFUNCTION("""COMPUTED_VALUE"""),"added_photos")</f>
        <v>added_photos</v>
      </c>
      <c r="Y6" s="19" t="str">
        <f>IFERROR(__xludf.DUMMYFUNCTION("""COMPUTED_VALUE"""),"photo")</f>
        <v>photo</v>
      </c>
      <c r="Z6" s="19" t="str">
        <f>IFERROR(__xludf.DUMMYFUNCTION("""COMPUTED_VALUE"""),"⏳คุ้มจัดๆแบบนี้ต้องจัดแล้วว⏳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หากยังไม่มีแอปฯจะพาไปหน"&amp;"้าดาวน์โหลดก่อน)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2.หลังจากนั้นเ"&amp;"ข้าเกม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(2"&amp;"3:59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6" s="50" t="str">
        <f>IFERROR(__xludf.DUMMYFUNCTION("""COMPUTED_VALUE"""),"https://www.facebook.com/740460599475760/posts/1920381241483684/")</f>
        <v>https://www.facebook.com/740460599475760/posts/1920381241483684/</v>
      </c>
      <c r="AB6" s="19">
        <f>IFERROR(__xludf.DUMMYFUNCTION("""COMPUTED_VALUE"""),1.0)</f>
        <v>1</v>
      </c>
      <c r="AC6" s="19">
        <f>IFERROR(__xludf.DUMMYFUNCTION("""COMPUTED_VALUE"""),186.0)</f>
        <v>186</v>
      </c>
      <c r="AD6" s="19">
        <f>IFERROR(__xludf.DUMMYFUNCTION("""COMPUTED_VALUE"""),191.0)</f>
        <v>191</v>
      </c>
      <c r="AE6" s="19">
        <f>IFERROR(__xludf.DUMMYFUNCTION("""COMPUTED_VALUE"""),30.0)</f>
        <v>30</v>
      </c>
      <c r="AF6" s="19">
        <f>IFERROR(__xludf.DUMMYFUNCTION("""COMPUTED_VALUE"""),5.0)</f>
        <v>5</v>
      </c>
      <c r="AG6" s="19">
        <f>IFERROR(__xludf.DUMMYFUNCTION("""COMPUTED_VALUE"""),186.0)</f>
        <v>186</v>
      </c>
      <c r="AH6" s="19">
        <f>IFERROR(__xludf.DUMMYFUNCTION("""COMPUTED_VALUE"""),43.0)</f>
        <v>43</v>
      </c>
      <c r="AI6" s="19">
        <f>IFERROR(__xludf.DUMMYFUNCTION("""COMPUTED_VALUE"""),11.0)</f>
        <v>11</v>
      </c>
      <c r="AJ6" s="19">
        <f>IFERROR(__xludf.DUMMYFUNCTION("""COMPUTED_VALUE"""),1.0)</f>
        <v>1</v>
      </c>
    </row>
    <row r="7" ht="22.5" customHeight="1">
      <c r="A7" s="42">
        <v>44472.0</v>
      </c>
      <c r="B7" s="43">
        <v>44472.37532407408</v>
      </c>
      <c r="C7" s="17" t="s">
        <v>78</v>
      </c>
      <c r="D7" s="17" t="s">
        <v>96</v>
      </c>
      <c r="E7" s="17" t="s">
        <v>97</v>
      </c>
      <c r="F7" s="17" t="s">
        <v>52</v>
      </c>
      <c r="G7" s="17" t="s">
        <v>98</v>
      </c>
      <c r="H7" s="44" t="s">
        <v>99</v>
      </c>
      <c r="I7" s="45">
        <v>1.0</v>
      </c>
      <c r="J7" s="45">
        <v>68.0</v>
      </c>
      <c r="K7" s="45">
        <v>73.0</v>
      </c>
      <c r="L7" s="45">
        <v>2.0</v>
      </c>
      <c r="M7" s="45"/>
      <c r="N7" s="45">
        <v>68.0</v>
      </c>
      <c r="O7" s="46">
        <v>41.0</v>
      </c>
      <c r="P7" s="46">
        <v>9.0</v>
      </c>
      <c r="Q7" s="46">
        <f>IFERROR(__xludf.DUMMYFUNCTION("""COMPUTED_VALUE"""),0.0)</f>
        <v>0</v>
      </c>
      <c r="R7" s="47">
        <v>5.0</v>
      </c>
      <c r="T7" s="48">
        <f>IFERROR(__xludf.DUMMYFUNCTION("""COMPUTED_VALUE"""),44498.0)</f>
        <v>44498</v>
      </c>
      <c r="U7" s="49">
        <f>IFERROR(__xludf.DUMMYFUNCTION("""COMPUTED_VALUE"""),44498.45837962963)</f>
        <v>44498.45838</v>
      </c>
      <c r="V7" s="19" t="str">
        <f>IFERROR(__xludf.DUMMYFUNCTION("""COMPUTED_VALUE"""),"Garena Free Fire")</f>
        <v>Garena Free Fire</v>
      </c>
      <c r="W7" s="19" t="str">
        <f>IFERROR(__xludf.DUMMYFUNCTION("""COMPUTED_VALUE"""),"740460599475760_1925663274288814")</f>
        <v>740460599475760_1925663274288814</v>
      </c>
      <c r="X7" s="19" t="str">
        <f>IFERROR(__xludf.DUMMYFUNCTION("""COMPUTED_VALUE"""),"added_photos")</f>
        <v>added_photos</v>
      </c>
      <c r="Y7" s="19" t="str">
        <f>IFERROR(__xludf.DUMMYFUNCTION("""COMPUTED_VALUE"""),"photo")</f>
        <v>photo</v>
      </c>
      <c r="Z7" s="19" t="str">
        <f>IFERROR(__xludf.DUMMYFUNCTION("""COMPUTED_VALUE"""),"⏳โปรสุดโหด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2.หลังจากนั้นเข้าเก"&amp;"ม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7" s="50" t="str">
        <f>IFERROR(__xludf.DUMMYFUNCTION("""COMPUTED_VALUE"""),"https://www.facebook.com/740460599475760/posts/1925663274288814/")</f>
        <v>https://www.facebook.com/740460599475760/posts/1925663274288814/</v>
      </c>
      <c r="AB7" s="19">
        <f>IFERROR(__xludf.DUMMYFUNCTION("""COMPUTED_VALUE"""),1.0)</f>
        <v>1</v>
      </c>
      <c r="AC7" s="19">
        <f>IFERROR(__xludf.DUMMYFUNCTION("""COMPUTED_VALUE"""),172.0)</f>
        <v>172</v>
      </c>
      <c r="AD7" s="19">
        <f>IFERROR(__xludf.DUMMYFUNCTION("""COMPUTED_VALUE"""),178.0)</f>
        <v>178</v>
      </c>
      <c r="AE7" s="19">
        <f>IFERROR(__xludf.DUMMYFUNCTION("""COMPUTED_VALUE"""),33.0)</f>
        <v>33</v>
      </c>
      <c r="AF7" s="19">
        <f>IFERROR(__xludf.DUMMYFUNCTION("""COMPUTED_VALUE"""),1.0)</f>
        <v>1</v>
      </c>
      <c r="AG7" s="19">
        <f>IFERROR(__xludf.DUMMYFUNCTION("""COMPUTED_VALUE"""),172.0)</f>
        <v>172</v>
      </c>
      <c r="AH7" s="19">
        <f>IFERROR(__xludf.DUMMYFUNCTION("""COMPUTED_VALUE"""),44.0)</f>
        <v>44</v>
      </c>
      <c r="AI7" s="19">
        <f>IFERROR(__xludf.DUMMYFUNCTION("""COMPUTED_VALUE"""),11.0)</f>
        <v>11</v>
      </c>
      <c r="AJ7" s="19">
        <f>IFERROR(__xludf.DUMMYFUNCTION("""COMPUTED_VALUE"""),1.0)</f>
        <v>1</v>
      </c>
    </row>
    <row r="8" ht="22.5" customHeight="1">
      <c r="A8" s="42">
        <v>44472.0</v>
      </c>
      <c r="B8" s="43">
        <v>44472.37568287037</v>
      </c>
      <c r="C8" s="17" t="s">
        <v>78</v>
      </c>
      <c r="D8" s="17" t="s">
        <v>100</v>
      </c>
      <c r="E8" s="17" t="s">
        <v>97</v>
      </c>
      <c r="F8" s="17" t="s">
        <v>52</v>
      </c>
      <c r="G8" s="17" t="s">
        <v>98</v>
      </c>
      <c r="H8" s="44" t="s">
        <v>101</v>
      </c>
      <c r="I8" s="45">
        <v>1.0</v>
      </c>
      <c r="J8" s="45">
        <v>163.0</v>
      </c>
      <c r="K8" s="45">
        <v>167.0</v>
      </c>
      <c r="L8" s="45">
        <v>9.0</v>
      </c>
      <c r="M8" s="45">
        <v>6.0</v>
      </c>
      <c r="N8" s="45">
        <v>163.0</v>
      </c>
      <c r="O8" s="46">
        <v>41.0</v>
      </c>
      <c r="P8" s="46">
        <v>9.0</v>
      </c>
      <c r="Q8" s="46">
        <f>IFERROR(__xludf.DUMMYFUNCTION("""COMPUTED_VALUE"""),0.0)</f>
        <v>0</v>
      </c>
      <c r="R8" s="47">
        <v>4.0</v>
      </c>
      <c r="T8" s="48">
        <f>IFERROR(__xludf.DUMMYFUNCTION("""COMPUTED_VALUE"""),44499.0)</f>
        <v>44499</v>
      </c>
      <c r="U8" s="49">
        <f>IFERROR(__xludf.DUMMYFUNCTION("""COMPUTED_VALUE"""),44499.29168981482)</f>
        <v>44499.29169</v>
      </c>
      <c r="V8" s="19" t="str">
        <f>IFERROR(__xludf.DUMMYFUNCTION("""COMPUTED_VALUE"""),"Garena Free Fire")</f>
        <v>Garena Free Fire</v>
      </c>
      <c r="W8" s="19" t="str">
        <f>IFERROR(__xludf.DUMMYFUNCTION("""COMPUTED_VALUE"""),"740460599475760_1928423800679428")</f>
        <v>740460599475760_1928423800679428</v>
      </c>
      <c r="X8" s="19" t="str">
        <f>IFERROR(__xludf.DUMMYFUNCTION("""COMPUTED_VALUE"""),"added_photos")</f>
        <v>added_photos</v>
      </c>
      <c r="Y8" s="19" t="str">
        <f>IFERROR(__xludf.DUMMYFUNCTION("""COMPUTED_VALUE"""),"photo")</f>
        <v>photo</v>
      </c>
      <c r="Z8" s="19" t="str">
        <f>IFERROR(__xludf.DUMMYFUNCTION("""COMPUTED_VALUE"""),"ก่อนที่จะจากลาเดือนตุลาคมนี้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f>
        <v>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v>
      </c>
      <c r="AA8" s="50" t="str">
        <f>IFERROR(__xludf.DUMMYFUNCTION("""COMPUTED_VALUE"""),"https://www.facebook.com/740460599475760/posts/1928423800679428/")</f>
        <v>https://www.facebook.com/740460599475760/posts/1928423800679428/</v>
      </c>
      <c r="AB8" s="19">
        <f>IFERROR(__xludf.DUMMYFUNCTION("""COMPUTED_VALUE"""),1.0)</f>
        <v>1</v>
      </c>
      <c r="AC8" s="19">
        <f>IFERROR(__xludf.DUMMYFUNCTION("""COMPUTED_VALUE"""),1185.0)</f>
        <v>1185</v>
      </c>
      <c r="AD8" s="19">
        <f>IFERROR(__xludf.DUMMYFUNCTION("""COMPUTED_VALUE"""),1232.0)</f>
        <v>1232</v>
      </c>
      <c r="AE8" s="19">
        <f>IFERROR(__xludf.DUMMYFUNCTION("""COMPUTED_VALUE"""),161.0)</f>
        <v>161</v>
      </c>
      <c r="AF8" s="19">
        <f>IFERROR(__xludf.DUMMYFUNCTION("""COMPUTED_VALUE"""),41.0)</f>
        <v>41</v>
      </c>
      <c r="AG8" s="19">
        <f>IFERROR(__xludf.DUMMYFUNCTION("""COMPUTED_VALUE"""),1185.0)</f>
        <v>1185</v>
      </c>
      <c r="AH8" s="19">
        <f>IFERROR(__xludf.DUMMYFUNCTION("""COMPUTED_VALUE"""),44.0)</f>
        <v>44</v>
      </c>
      <c r="AI8" s="19">
        <f>IFERROR(__xludf.DUMMYFUNCTION("""COMPUTED_VALUE"""),7.0)</f>
        <v>7</v>
      </c>
      <c r="AJ8" s="19">
        <f>IFERROR(__xludf.DUMMYFUNCTION("""COMPUTED_VALUE"""),1.0)</f>
        <v>1</v>
      </c>
    </row>
    <row r="9" ht="22.5" customHeight="1">
      <c r="A9" s="42">
        <v>44472.0</v>
      </c>
      <c r="B9" s="43">
        <v>44472.541712962964</v>
      </c>
      <c r="C9" s="17" t="s">
        <v>78</v>
      </c>
      <c r="D9" s="17" t="s">
        <v>102</v>
      </c>
      <c r="E9" s="17" t="s">
        <v>80</v>
      </c>
      <c r="F9" s="17" t="s">
        <v>53</v>
      </c>
      <c r="G9" s="17" t="s">
        <v>103</v>
      </c>
      <c r="H9" s="44" t="s">
        <v>104</v>
      </c>
      <c r="I9" s="45">
        <v>1.0</v>
      </c>
      <c r="J9" s="45">
        <v>1969.0</v>
      </c>
      <c r="K9" s="45">
        <v>2168.0</v>
      </c>
      <c r="L9" s="45">
        <v>158.0</v>
      </c>
      <c r="M9" s="45">
        <v>90.0</v>
      </c>
      <c r="N9" s="45">
        <v>1969.0</v>
      </c>
      <c r="O9" s="46">
        <v>41.0</v>
      </c>
      <c r="P9" s="46">
        <v>13.0</v>
      </c>
      <c r="Q9" s="46">
        <f>IFERROR(__xludf.DUMMYFUNCTION("""COMPUTED_VALUE"""),0.0)</f>
        <v>0</v>
      </c>
      <c r="R9" s="47">
        <v>199.0</v>
      </c>
      <c r="T9" s="48">
        <f>IFERROR(__xludf.DUMMYFUNCTION("""COMPUTED_VALUE"""),44500.0)</f>
        <v>44500</v>
      </c>
      <c r="U9" s="49">
        <f>IFERROR(__xludf.DUMMYFUNCTION("""COMPUTED_VALUE"""),44500.45837962963)</f>
        <v>44500.45838</v>
      </c>
      <c r="V9" s="19" t="str">
        <f>IFERROR(__xludf.DUMMYFUNCTION("""COMPUTED_VALUE"""),"Garena Free Fire")</f>
        <v>Garena Free Fire</v>
      </c>
      <c r="W9" s="19" t="str">
        <f>IFERROR(__xludf.DUMMYFUNCTION("""COMPUTED_VALUE"""),"740460599475760_1925661867622288")</f>
        <v>740460599475760_1925661867622288</v>
      </c>
      <c r="X9" s="19" t="str">
        <f>IFERROR(__xludf.DUMMYFUNCTION("""COMPUTED_VALUE"""),"added_photos")</f>
        <v>added_photos</v>
      </c>
      <c r="Y9" s="19" t="str">
        <f>IFERROR(__xludf.DUMMYFUNCTION("""COMPUTED_VALUE"""),"photo")</f>
        <v>photo</v>
      </c>
      <c r="Z9" s="19" t="str">
        <f>IFERROR(__xludf.DUMMYFUNCTION("""COMPUTED_VALUE"""),"⏳เงินคืนกระจุย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หากยังไม่มีแอปฯจะพา"&amp;"ไปหน้าดาวน์โหลดก่อน)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2.หลังจากน"&amp;"ั้นเข้าเกม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6"&amp;"4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9" s="50" t="str">
        <f>IFERROR(__xludf.DUMMYFUNCTION("""COMPUTED_VALUE"""),"https://www.facebook.com/740460599475760/posts/1925661867622288/")</f>
        <v>https://www.facebook.com/740460599475760/posts/1925661867622288/</v>
      </c>
      <c r="AB9" s="19">
        <f>IFERROR(__xludf.DUMMYFUNCTION("""COMPUTED_VALUE"""),1.0)</f>
        <v>1</v>
      </c>
      <c r="AC9" s="19">
        <f>IFERROR(__xludf.DUMMYFUNCTION("""COMPUTED_VALUE"""),157.0)</f>
        <v>157</v>
      </c>
      <c r="AD9" s="19">
        <f>IFERROR(__xludf.DUMMYFUNCTION("""COMPUTED_VALUE"""),163.0)</f>
        <v>163</v>
      </c>
      <c r="AE9" s="19">
        <f>IFERROR(__xludf.DUMMYFUNCTION("""COMPUTED_VALUE"""),30.0)</f>
        <v>30</v>
      </c>
      <c r="AF9" s="19">
        <f>IFERROR(__xludf.DUMMYFUNCTION("""COMPUTED_VALUE"""),3.0)</f>
        <v>3</v>
      </c>
      <c r="AG9" s="19">
        <f>IFERROR(__xludf.DUMMYFUNCTION("""COMPUTED_VALUE"""),157.0)</f>
        <v>157</v>
      </c>
      <c r="AH9" s="19">
        <f>IFERROR(__xludf.DUMMYFUNCTION("""COMPUTED_VALUE"""),45.0)</f>
        <v>45</v>
      </c>
      <c r="AI9" s="19">
        <f>IFERROR(__xludf.DUMMYFUNCTION("""COMPUTED_VALUE"""),11.0)</f>
        <v>11</v>
      </c>
      <c r="AJ9" s="19">
        <f>IFERROR(__xludf.DUMMYFUNCTION("""COMPUTED_VALUE"""),1.0)</f>
        <v>1</v>
      </c>
    </row>
    <row r="10" ht="36.75" customHeight="1">
      <c r="A10" s="42">
        <v>44473.0</v>
      </c>
      <c r="B10" s="43">
        <v>44473.458344907405</v>
      </c>
      <c r="C10" s="17" t="s">
        <v>78</v>
      </c>
      <c r="D10" s="17" t="s">
        <v>105</v>
      </c>
      <c r="E10" s="17" t="s">
        <v>84</v>
      </c>
      <c r="F10" s="17" t="s">
        <v>50</v>
      </c>
      <c r="G10" s="17" t="s">
        <v>106</v>
      </c>
      <c r="H10" s="44" t="s">
        <v>107</v>
      </c>
      <c r="I10" s="45">
        <v>1.0</v>
      </c>
      <c r="J10" s="45">
        <v>307.0</v>
      </c>
      <c r="K10" s="45">
        <v>316.0</v>
      </c>
      <c r="L10" s="45">
        <v>56.0</v>
      </c>
      <c r="M10" s="45">
        <v>7.0</v>
      </c>
      <c r="N10" s="45">
        <v>307.0</v>
      </c>
      <c r="O10" s="46">
        <v>41.0</v>
      </c>
      <c r="P10" s="46">
        <v>11.0</v>
      </c>
      <c r="Q10" s="46">
        <f>IFERROR(__xludf.DUMMYFUNCTION("""COMPUTED_VALUE"""),1.0)</f>
        <v>1</v>
      </c>
      <c r="R10" s="47">
        <v>9.0</v>
      </c>
      <c r="T10" s="48">
        <f>IFERROR(__xludf.DUMMYFUNCTION("""COMPUTED_VALUE"""),44503.0)</f>
        <v>44503</v>
      </c>
      <c r="U10" s="49">
        <f>IFERROR(__xludf.DUMMYFUNCTION("""COMPUTED_VALUE"""),44503.45835648148)</f>
        <v>44503.45836</v>
      </c>
      <c r="V10" s="19" t="str">
        <f>IFERROR(__xludf.DUMMYFUNCTION("""COMPUTED_VALUE"""),"Garena Free Fire")</f>
        <v>Garena Free Fire</v>
      </c>
      <c r="W10" s="19" t="str">
        <f>IFERROR(__xludf.DUMMYFUNCTION("""COMPUTED_VALUE"""),"740460599475760_1931154987072976")</f>
        <v>740460599475760_1931154987072976</v>
      </c>
      <c r="X10" s="19" t="str">
        <f>IFERROR(__xludf.DUMMYFUNCTION("""COMPUTED_VALUE"""),"added_photos")</f>
        <v>added_photos</v>
      </c>
      <c r="Y10" s="19" t="str">
        <f>IFERROR(__xludf.DUMMYFUNCTION("""COMPUTED_VALUE"""),"photo")</f>
        <v>photo</v>
      </c>
      <c r="Z10" s="1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0" s="50" t="str">
        <f>IFERROR(__xludf.DUMMYFUNCTION("""COMPUTED_VALUE"""),"https://www.facebook.com/740460599475760/posts/1931154987072976/")</f>
        <v>https://www.facebook.com/740460599475760/posts/1931154987072976/</v>
      </c>
      <c r="AB10" s="19">
        <f>IFERROR(__xludf.DUMMYFUNCTION("""COMPUTED_VALUE"""),1.0)</f>
        <v>1</v>
      </c>
      <c r="AC10" s="19">
        <f>IFERROR(__xludf.DUMMYFUNCTION("""COMPUTED_VALUE"""),257.0)</f>
        <v>257</v>
      </c>
      <c r="AD10" s="19">
        <f>IFERROR(__xludf.DUMMYFUNCTION("""COMPUTED_VALUE"""),261.0)</f>
        <v>261</v>
      </c>
      <c r="AE10" s="19">
        <f>IFERROR(__xludf.DUMMYFUNCTION("""COMPUTED_VALUE"""),28.0)</f>
        <v>28</v>
      </c>
      <c r="AF10" s="19">
        <f>IFERROR(__xludf.DUMMYFUNCTION("""COMPUTED_VALUE"""),12.0)</f>
        <v>12</v>
      </c>
      <c r="AG10" s="19">
        <f>IFERROR(__xludf.DUMMYFUNCTION("""COMPUTED_VALUE"""),257.0)</f>
        <v>257</v>
      </c>
      <c r="AH10" s="19">
        <f>IFERROR(__xludf.DUMMYFUNCTION("""COMPUTED_VALUE"""),45.0)</f>
        <v>45</v>
      </c>
      <c r="AI10" s="19">
        <f>IFERROR(__xludf.DUMMYFUNCTION("""COMPUTED_VALUE"""),11.0)</f>
        <v>11</v>
      </c>
      <c r="AJ10" s="19">
        <f>IFERROR(__xludf.DUMMYFUNCTION("""COMPUTED_VALUE"""),1.0)</f>
        <v>1</v>
      </c>
    </row>
    <row r="11" ht="22.5" customHeight="1">
      <c r="A11" s="42">
        <v>44473.0</v>
      </c>
      <c r="B11" s="43">
        <v>44473.541712962964</v>
      </c>
      <c r="C11" s="17" t="s">
        <v>78</v>
      </c>
      <c r="D11" s="17" t="s">
        <v>108</v>
      </c>
      <c r="E11" s="17" t="s">
        <v>109</v>
      </c>
      <c r="F11" s="17" t="s">
        <v>49</v>
      </c>
      <c r="G11" s="17" t="s">
        <v>110</v>
      </c>
      <c r="H11" s="44" t="s">
        <v>111</v>
      </c>
      <c r="I11" s="45">
        <v>1.0</v>
      </c>
      <c r="J11" s="45">
        <v>496.0</v>
      </c>
      <c r="K11" s="45">
        <v>519.0</v>
      </c>
      <c r="L11" s="45">
        <v>55.0</v>
      </c>
      <c r="M11" s="45">
        <v>17.0</v>
      </c>
      <c r="N11" s="45">
        <v>496.0</v>
      </c>
      <c r="O11" s="46">
        <v>41.0</v>
      </c>
      <c r="P11" s="46">
        <v>13.0</v>
      </c>
      <c r="Q11" s="46">
        <f>IFERROR(__xludf.DUMMYFUNCTION("""COMPUTED_VALUE"""),0.0)</f>
        <v>0</v>
      </c>
      <c r="R11" s="47">
        <v>23.0</v>
      </c>
      <c r="T11" s="48">
        <f>IFERROR(__xludf.DUMMYFUNCTION("""COMPUTED_VALUE"""),44506.0)</f>
        <v>44506</v>
      </c>
      <c r="U11" s="49">
        <f>IFERROR(__xludf.DUMMYFUNCTION("""COMPUTED_VALUE"""),44506.62501157408)</f>
        <v>44506.62501</v>
      </c>
      <c r="V11" s="19" t="str">
        <f>IFERROR(__xludf.DUMMYFUNCTION("""COMPUTED_VALUE"""),"Garena Free Fire")</f>
        <v>Garena Free Fire</v>
      </c>
      <c r="W11" s="19" t="str">
        <f>IFERROR(__xludf.DUMMYFUNCTION("""COMPUTED_VALUE"""),"740460599475760_1932661716922303")</f>
        <v>740460599475760_1932661716922303</v>
      </c>
      <c r="X11" s="19" t="str">
        <f>IFERROR(__xludf.DUMMYFUNCTION("""COMPUTED_VALUE"""),"added_photos")</f>
        <v>added_photos</v>
      </c>
      <c r="Y11" s="19" t="str">
        <f>IFERROR(__xludf.DUMMYFUNCTION("""COMPUTED_VALUE"""),"photo")</f>
        <v>photo</v>
      </c>
      <c r="Z11" s="1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1" s="50" t="str">
        <f>IFERROR(__xludf.DUMMYFUNCTION("""COMPUTED_VALUE"""),"https://www.facebook.com/740460599475760/posts/1932661716922303/")</f>
        <v>https://www.facebook.com/740460599475760/posts/1932661716922303/</v>
      </c>
      <c r="AB11" s="19">
        <f>IFERROR(__xludf.DUMMYFUNCTION("""COMPUTED_VALUE"""),1.0)</f>
        <v>1</v>
      </c>
      <c r="AC11" s="19">
        <f>IFERROR(__xludf.DUMMYFUNCTION("""COMPUTED_VALUE"""),210.0)</f>
        <v>210</v>
      </c>
      <c r="AD11" s="19">
        <f>IFERROR(__xludf.DUMMYFUNCTION("""COMPUTED_VALUE"""),224.0)</f>
        <v>224</v>
      </c>
      <c r="AE11" s="19">
        <f>IFERROR(__xludf.DUMMYFUNCTION("""COMPUTED_VALUE"""),25.0)</f>
        <v>25</v>
      </c>
      <c r="AF11" s="19">
        <f>IFERROR(__xludf.DUMMYFUNCTION("""COMPUTED_VALUE"""),2.0)</f>
        <v>2</v>
      </c>
      <c r="AG11" s="19">
        <f>IFERROR(__xludf.DUMMYFUNCTION("""COMPUTED_VALUE"""),210.0)</f>
        <v>210</v>
      </c>
      <c r="AH11" s="19">
        <f>IFERROR(__xludf.DUMMYFUNCTION("""COMPUTED_VALUE"""),45.0)</f>
        <v>45</v>
      </c>
      <c r="AI11" s="19">
        <f>IFERROR(__xludf.DUMMYFUNCTION("""COMPUTED_VALUE"""),15.0)</f>
        <v>15</v>
      </c>
      <c r="AJ11" s="19">
        <f>IFERROR(__xludf.DUMMYFUNCTION("""COMPUTED_VALUE"""),1.0)</f>
        <v>1</v>
      </c>
    </row>
    <row r="12" ht="22.5" customHeight="1">
      <c r="A12" s="42">
        <v>44473.0</v>
      </c>
      <c r="B12" s="43">
        <v>44473.666666666664</v>
      </c>
      <c r="C12" s="17" t="s">
        <v>78</v>
      </c>
      <c r="D12" s="17" t="s">
        <v>112</v>
      </c>
      <c r="E12" s="17" t="s">
        <v>84</v>
      </c>
      <c r="F12" s="17" t="s">
        <v>50</v>
      </c>
      <c r="G12" s="17" t="s">
        <v>113</v>
      </c>
      <c r="H12" s="44" t="s">
        <v>114</v>
      </c>
      <c r="I12" s="45">
        <v>1.0</v>
      </c>
      <c r="J12" s="45">
        <v>1575.0</v>
      </c>
      <c r="K12" s="45">
        <v>1638.0</v>
      </c>
      <c r="L12" s="45">
        <v>261.0</v>
      </c>
      <c r="M12" s="45">
        <v>28.0</v>
      </c>
      <c r="N12" s="45">
        <v>1575.0</v>
      </c>
      <c r="O12" s="46">
        <v>41.0</v>
      </c>
      <c r="P12" s="46">
        <v>16.0</v>
      </c>
      <c r="Q12" s="46">
        <f>IFERROR(__xludf.DUMMYFUNCTION("""COMPUTED_VALUE"""),0.0)</f>
        <v>0</v>
      </c>
      <c r="R12" s="47">
        <v>63.0</v>
      </c>
      <c r="T12" s="48">
        <f>IFERROR(__xludf.DUMMYFUNCTION("""COMPUTED_VALUE"""),44517.0)</f>
        <v>44517</v>
      </c>
      <c r="U12" s="49">
        <f>IFERROR(__xludf.DUMMYFUNCTION("""COMPUTED_VALUE"""),44517.541666666664)</f>
        <v>44517.54167</v>
      </c>
      <c r="V12" s="19" t="str">
        <f>IFERROR(__xludf.DUMMYFUNCTION("""COMPUTED_VALUE"""),"Garena Free Fire")</f>
        <v>Garena Free Fire</v>
      </c>
      <c r="W12" s="19" t="str">
        <f>IFERROR(__xludf.DUMMYFUNCTION("""COMPUTED_VALUE"""),"740460599475760_1940979659423842")</f>
        <v>740460599475760_1940979659423842</v>
      </c>
      <c r="X12" s="19" t="str">
        <f>IFERROR(__xludf.DUMMYFUNCTION("""COMPUTED_VALUE"""),"added_photos")</f>
        <v>added_photos</v>
      </c>
      <c r="Y12" s="19" t="str">
        <f>IFERROR(__xludf.DUMMYFUNCTION("""COMPUTED_VALUE"""),"photo")</f>
        <v>photo</v>
      </c>
      <c r="Z12" s="19" t="str">
        <f>IFERROR(__xludf.DUMMYFUNCTION("""COMPUTED_VALUE"""),"🔥🔥ลดเดือด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(เปิดได้เฉพาะบนโทรศัพท์แอนดรอย"&amp;"ด์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1.เก็บคูปองในส่วนของโปรโมชั"&amp;"นพิเศษ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📅ระยะเวลากา"&amp;"รกดเก็บและกดรับคูปอง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2" s="50" t="str">
        <f>IFERROR(__xludf.DUMMYFUNCTION("""COMPUTED_VALUE"""),"https://www.facebook.com/740460599475760/posts/1940979659423842/")</f>
        <v>https://www.facebook.com/740460599475760/posts/1940979659423842/</v>
      </c>
      <c r="AB12" s="19">
        <f>IFERROR(__xludf.DUMMYFUNCTION("""COMPUTED_VALUE"""),1.0)</f>
        <v>1</v>
      </c>
      <c r="AC12" s="19">
        <f>IFERROR(__xludf.DUMMYFUNCTION("""COMPUTED_VALUE"""),219.0)</f>
        <v>219</v>
      </c>
      <c r="AD12" s="19">
        <f>IFERROR(__xludf.DUMMYFUNCTION("""COMPUTED_VALUE"""),228.0)</f>
        <v>228</v>
      </c>
      <c r="AE12" s="19">
        <f>IFERROR(__xludf.DUMMYFUNCTION("""COMPUTED_VALUE"""),33.0)</f>
        <v>33</v>
      </c>
      <c r="AF12" s="19">
        <f>IFERROR(__xludf.DUMMYFUNCTION("""COMPUTED_VALUE"""),5.0)</f>
        <v>5</v>
      </c>
      <c r="AG12" s="19">
        <f>IFERROR(__xludf.DUMMYFUNCTION("""COMPUTED_VALUE"""),219.0)</f>
        <v>219</v>
      </c>
      <c r="AH12" s="19">
        <f>IFERROR(__xludf.DUMMYFUNCTION("""COMPUTED_VALUE"""),47.0)</f>
        <v>47</v>
      </c>
      <c r="AI12" s="19">
        <f>IFERROR(__xludf.DUMMYFUNCTION("""COMPUTED_VALUE"""),13.0)</f>
        <v>13</v>
      </c>
      <c r="AJ12" s="19">
        <f>IFERROR(__xludf.DUMMYFUNCTION("""COMPUTED_VALUE"""),1.0)</f>
        <v>1</v>
      </c>
    </row>
    <row r="13" ht="22.5" customHeight="1">
      <c r="A13" s="42">
        <v>44473.0</v>
      </c>
      <c r="B13" s="43">
        <v>44473.750185185185</v>
      </c>
      <c r="C13" s="17" t="s">
        <v>78</v>
      </c>
      <c r="D13" s="17" t="s">
        <v>115</v>
      </c>
      <c r="E13" s="17" t="s">
        <v>84</v>
      </c>
      <c r="F13" s="17" t="s">
        <v>50</v>
      </c>
      <c r="G13" s="17" t="s">
        <v>116</v>
      </c>
      <c r="H13" s="44" t="s">
        <v>117</v>
      </c>
      <c r="I13" s="45">
        <v>1.0</v>
      </c>
      <c r="J13" s="45">
        <v>1651.0</v>
      </c>
      <c r="K13" s="45">
        <v>1703.0</v>
      </c>
      <c r="L13" s="45">
        <v>152.0</v>
      </c>
      <c r="M13" s="45">
        <v>11.0</v>
      </c>
      <c r="N13" s="45">
        <v>1651.0</v>
      </c>
      <c r="O13" s="46">
        <v>41.0</v>
      </c>
      <c r="P13" s="46">
        <v>18.0</v>
      </c>
      <c r="Q13" s="46">
        <f>IFERROR(__xludf.DUMMYFUNCTION("""COMPUTED_VALUE"""),0.0)</f>
        <v>0</v>
      </c>
      <c r="R13" s="47">
        <v>52.0</v>
      </c>
      <c r="T13" s="48">
        <f>IFERROR(__xludf.DUMMYFUNCTION("""COMPUTED_VALUE"""),44520.0)</f>
        <v>44520</v>
      </c>
      <c r="U13" s="49">
        <f>IFERROR(__xludf.DUMMYFUNCTION("""COMPUTED_VALUE"""),44520.62501157408)</f>
        <v>44520.62501</v>
      </c>
      <c r="V13" s="19" t="str">
        <f>IFERROR(__xludf.DUMMYFUNCTION("""COMPUTED_VALUE"""),"Garena Free Fire")</f>
        <v>Garena Free Fire</v>
      </c>
      <c r="W13" s="19" t="str">
        <f>IFERROR(__xludf.DUMMYFUNCTION("""COMPUTED_VALUE"""),"740460599475760_1943970059124802")</f>
        <v>740460599475760_1943970059124802</v>
      </c>
      <c r="X13" s="19" t="str">
        <f>IFERROR(__xludf.DUMMYFUNCTION("""COMPUTED_VALUE"""),"added_photos")</f>
        <v>added_photos</v>
      </c>
      <c r="Y13" s="19" t="str">
        <f>IFERROR(__xludf.DUMMYFUNCTION("""COMPUTED_VALUE"""),"photo")</f>
        <v>photo</v>
      </c>
      <c r="Z13" s="19" t="str">
        <f>IFERROR(__xludf.DUMMYFUNCTION("""COMPUTED_VALUE"""),"หาตี้มาลงสมรภูมิและ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f>
        <v>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v>
      </c>
      <c r="AA13" s="50" t="str">
        <f>IFERROR(__xludf.DUMMYFUNCTION("""COMPUTED_VALUE"""),"https://www.facebook.com/740460599475760/posts/1943970059124802/")</f>
        <v>https://www.facebook.com/740460599475760/posts/1943970059124802/</v>
      </c>
      <c r="AB13" s="19">
        <f>IFERROR(__xludf.DUMMYFUNCTION("""COMPUTED_VALUE"""),1.0)</f>
        <v>1</v>
      </c>
      <c r="AC13" s="19">
        <f>IFERROR(__xludf.DUMMYFUNCTION("""COMPUTED_VALUE"""),1519.0)</f>
        <v>1519</v>
      </c>
      <c r="AD13" s="19">
        <f>IFERROR(__xludf.DUMMYFUNCTION("""COMPUTED_VALUE"""),1572.0)</f>
        <v>1572</v>
      </c>
      <c r="AE13" s="19">
        <f>IFERROR(__xludf.DUMMYFUNCTION("""COMPUTED_VALUE"""),253.0)</f>
        <v>253</v>
      </c>
      <c r="AF13" s="19">
        <f>IFERROR(__xludf.DUMMYFUNCTION("""COMPUTED_VALUE"""),21.0)</f>
        <v>21</v>
      </c>
      <c r="AG13" s="19">
        <f>IFERROR(__xludf.DUMMYFUNCTION("""COMPUTED_VALUE"""),1519.0)</f>
        <v>1519</v>
      </c>
      <c r="AH13" s="19">
        <f>IFERROR(__xludf.DUMMYFUNCTION("""COMPUTED_VALUE"""),47.0)</f>
        <v>47</v>
      </c>
      <c r="AI13" s="19">
        <f>IFERROR(__xludf.DUMMYFUNCTION("""COMPUTED_VALUE"""),15.0)</f>
        <v>15</v>
      </c>
      <c r="AJ13" s="19">
        <f>IFERROR(__xludf.DUMMYFUNCTION("""COMPUTED_VALUE"""),1.0)</f>
        <v>1</v>
      </c>
    </row>
    <row r="14" ht="22.5" customHeight="1">
      <c r="A14" s="42">
        <v>44474.0</v>
      </c>
      <c r="B14" s="43">
        <v>44474.50042824074</v>
      </c>
      <c r="C14" s="17" t="s">
        <v>78</v>
      </c>
      <c r="D14" s="17" t="s">
        <v>118</v>
      </c>
      <c r="E14" s="17" t="s">
        <v>109</v>
      </c>
      <c r="F14" s="17" t="s">
        <v>49</v>
      </c>
      <c r="G14" s="17" t="s">
        <v>119</v>
      </c>
      <c r="H14" s="44" t="s">
        <v>120</v>
      </c>
      <c r="I14" s="45">
        <v>1.0</v>
      </c>
      <c r="J14" s="45">
        <v>269.0</v>
      </c>
      <c r="K14" s="45">
        <v>301.0</v>
      </c>
      <c r="L14" s="45">
        <v>17.0</v>
      </c>
      <c r="M14" s="45">
        <v>7.0</v>
      </c>
      <c r="N14" s="45">
        <v>269.0</v>
      </c>
      <c r="O14" s="46">
        <v>41.0</v>
      </c>
      <c r="P14" s="46">
        <v>12.0</v>
      </c>
      <c r="Q14" s="46">
        <f>IFERROR(__xludf.DUMMYFUNCTION("""COMPUTED_VALUE"""),0.0)</f>
        <v>0</v>
      </c>
      <c r="R14" s="47">
        <v>32.0</v>
      </c>
      <c r="T14" s="48">
        <f>IFERROR(__xludf.DUMMYFUNCTION("""COMPUTED_VALUE"""),44521.0)</f>
        <v>44521</v>
      </c>
      <c r="U14" s="49">
        <f>IFERROR(__xludf.DUMMYFUNCTION("""COMPUTED_VALUE"""),44521.41668981482)</f>
        <v>44521.41669</v>
      </c>
      <c r="V14" s="19" t="str">
        <f>IFERROR(__xludf.DUMMYFUNCTION("""COMPUTED_VALUE"""),"Garena Free Fire")</f>
        <v>Garena Free Fire</v>
      </c>
      <c r="W14" s="19" t="str">
        <f>IFERROR(__xludf.DUMMYFUNCTION("""COMPUTED_VALUE"""),"740460599475760_1941444886043986")</f>
        <v>740460599475760_1941444886043986</v>
      </c>
      <c r="X14" s="19" t="str">
        <f>IFERROR(__xludf.DUMMYFUNCTION("""COMPUTED_VALUE"""),"added_photos")</f>
        <v>added_photos</v>
      </c>
      <c r="Y14" s="19" t="str">
        <f>IFERROR(__xludf.DUMMYFUNCTION("""COMPUTED_VALUE"""),"photo")</f>
        <v>photo</v>
      </c>
      <c r="Z14" s="19" t="str">
        <f>IFERROR(__xludf.DUMMYFUNCTION("""COMPUTED_VALUE"""),"🔥🔥ไอเทมสุดเฟี้ยว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(เปิดได้เฉพาะบนโทรศั"&amp;"พท์แอนดรอยด์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1.เก็บคูปองในส่วน"&amp;"ของโปรโมชันพิเศษ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📅"&amp;"ระยะเวลาการกดเก็บและกดรับคูปอง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4" s="50" t="str">
        <f>IFERROR(__xludf.DUMMYFUNCTION("""COMPUTED_VALUE"""),"https://www.facebook.com/740460599475760/posts/1941444886043986/")</f>
        <v>https://www.facebook.com/740460599475760/posts/1941444886043986/</v>
      </c>
      <c r="AB14" s="19">
        <f>IFERROR(__xludf.DUMMYFUNCTION("""COMPUTED_VALUE"""),1.0)</f>
        <v>1</v>
      </c>
      <c r="AC14" s="19">
        <f>IFERROR(__xludf.DUMMYFUNCTION("""COMPUTED_VALUE"""),203.0)</f>
        <v>203</v>
      </c>
      <c r="AD14" s="19">
        <f>IFERROR(__xludf.DUMMYFUNCTION("""COMPUTED_VALUE"""),212.0)</f>
        <v>212</v>
      </c>
      <c r="AE14" s="19">
        <f>IFERROR(__xludf.DUMMYFUNCTION("""COMPUTED_VALUE"""),33.0)</f>
        <v>33</v>
      </c>
      <c r="AF14" s="19">
        <f>IFERROR(__xludf.DUMMYFUNCTION("""COMPUTED_VALUE"""),4.0)</f>
        <v>4</v>
      </c>
      <c r="AG14" s="19">
        <f>IFERROR(__xludf.DUMMYFUNCTION("""COMPUTED_VALUE"""),203.0)</f>
        <v>203</v>
      </c>
      <c r="AH14" s="19">
        <f>IFERROR(__xludf.DUMMYFUNCTION("""COMPUTED_VALUE"""),48.0)</f>
        <v>48</v>
      </c>
      <c r="AI14" s="19">
        <f>IFERROR(__xludf.DUMMYFUNCTION("""COMPUTED_VALUE"""),10.0)</f>
        <v>10</v>
      </c>
      <c r="AJ14" s="19">
        <f>IFERROR(__xludf.DUMMYFUNCTION("""COMPUTED_VALUE"""),1.0)</f>
        <v>1</v>
      </c>
    </row>
    <row r="15" ht="22.5" customHeight="1">
      <c r="A15" s="42">
        <v>44474.0</v>
      </c>
      <c r="B15" s="43">
        <v>44474.666666666664</v>
      </c>
      <c r="C15" s="17" t="s">
        <v>78</v>
      </c>
      <c r="D15" s="17" t="s">
        <v>121</v>
      </c>
      <c r="E15" s="17" t="s">
        <v>84</v>
      </c>
      <c r="F15" s="17" t="s">
        <v>50</v>
      </c>
      <c r="G15" s="17" t="s">
        <v>122</v>
      </c>
      <c r="H15" s="44" t="s">
        <v>123</v>
      </c>
      <c r="I15" s="45">
        <v>1.0</v>
      </c>
      <c r="J15" s="45">
        <v>1826.0</v>
      </c>
      <c r="K15" s="45">
        <v>2226.0</v>
      </c>
      <c r="L15" s="45">
        <v>319.0</v>
      </c>
      <c r="M15" s="45">
        <v>124.0</v>
      </c>
      <c r="N15" s="45">
        <v>1826.0</v>
      </c>
      <c r="O15" s="46">
        <v>41.0</v>
      </c>
      <c r="P15" s="46">
        <v>16.0</v>
      </c>
      <c r="Q15" s="46">
        <f>IFERROR(__xludf.DUMMYFUNCTION("""COMPUTED_VALUE"""),0.0)</f>
        <v>0</v>
      </c>
      <c r="R15" s="47">
        <v>400.0</v>
      </c>
      <c r="T15" s="48">
        <f>IFERROR(__xludf.DUMMYFUNCTION("""COMPUTED_VALUE"""),44524.0)</f>
        <v>44524</v>
      </c>
      <c r="U15" s="49">
        <f>IFERROR(__xludf.DUMMYFUNCTION("""COMPUTED_VALUE"""),44524.66667824074)</f>
        <v>44524.66668</v>
      </c>
      <c r="V15" s="19" t="str">
        <f>IFERROR(__xludf.DUMMYFUNCTION("""COMPUTED_VALUE"""),"Garena Free Fire")</f>
        <v>Garena Free Fire</v>
      </c>
      <c r="W15" s="19" t="str">
        <f>IFERROR(__xludf.DUMMYFUNCTION("""COMPUTED_VALUE"""),"740460599475760_1946179912237150")</f>
        <v>740460599475760_1946179912237150</v>
      </c>
      <c r="X15" s="19" t="str">
        <f>IFERROR(__xludf.DUMMYFUNCTION("""COMPUTED_VALUE"""),"added_photos")</f>
        <v>added_photos</v>
      </c>
      <c r="Y15" s="19" t="str">
        <f>IFERROR(__xludf.DUMMYFUNCTION("""COMPUTED_VALUE"""),"photo")</f>
        <v>photo</v>
      </c>
      <c r="Z15" s="19" t="str">
        <f>IFERROR(__xludf.DUMMYFUNCTION("""COMPUTED_VALUE"""),"🔥🔥ลดสุดโหด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"&amp;"ที่มีแอปฯ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1.เก็บคูปองในส่วนของโปรโมชันพิ"&amp;"เศษ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📅ระยะเวลาการกดเก็บและกด"&amp;"รับคูปอง 23 พ.ย. 64 (00:00 น.) - 28 พ.ย. 64 (23:59 น.)
⏳คูปองหมดอายุภายใน 24 ชั่วโมงหลังจากกดรับคูปองใบแรก
📱จำกัดเฉพาะผู้ใช้แอนดรอยด์เท่านั้น")</f>
        <v>🔥🔥ลดสุดโหด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v>
      </c>
      <c r="AA15" s="50" t="str">
        <f>IFERROR(__xludf.DUMMYFUNCTION("""COMPUTED_VALUE"""),"https://www.facebook.com/740460599475760/posts/1946179912237150/")</f>
        <v>https://www.facebook.com/740460599475760/posts/1946179912237150/</v>
      </c>
      <c r="AB15" s="19">
        <f>IFERROR(__xludf.DUMMYFUNCTION("""COMPUTED_VALUE"""),1.0)</f>
        <v>1</v>
      </c>
      <c r="AC15" s="19">
        <f>IFERROR(__xludf.DUMMYFUNCTION("""COMPUTED_VALUE"""),255.0)</f>
        <v>255</v>
      </c>
      <c r="AD15" s="19">
        <f>IFERROR(__xludf.DUMMYFUNCTION("""COMPUTED_VALUE"""),264.0)</f>
        <v>264</v>
      </c>
      <c r="AE15" s="19">
        <f>IFERROR(__xludf.DUMMYFUNCTION("""COMPUTED_VALUE"""),24.0)</f>
        <v>24</v>
      </c>
      <c r="AF15" s="19">
        <f>IFERROR(__xludf.DUMMYFUNCTION("""COMPUTED_VALUE"""),10.0)</f>
        <v>10</v>
      </c>
      <c r="AG15" s="19">
        <f>IFERROR(__xludf.DUMMYFUNCTION("""COMPUTED_VALUE"""),255.0)</f>
        <v>255</v>
      </c>
      <c r="AH15" s="19">
        <f>IFERROR(__xludf.DUMMYFUNCTION("""COMPUTED_VALUE"""),48.0)</f>
        <v>48</v>
      </c>
      <c r="AI15" s="19">
        <f>IFERROR(__xludf.DUMMYFUNCTION("""COMPUTED_VALUE"""),16.0)</f>
        <v>16</v>
      </c>
      <c r="AJ15" s="19">
        <f>IFERROR(__xludf.DUMMYFUNCTION("""COMPUTED_VALUE"""),1.0)</f>
        <v>1</v>
      </c>
    </row>
    <row r="16" ht="22.5" customHeight="1">
      <c r="A16" s="42">
        <v>44474.0</v>
      </c>
      <c r="B16" s="43">
        <v>44474.75001157408</v>
      </c>
      <c r="C16" s="17" t="s">
        <v>78</v>
      </c>
      <c r="D16" s="17" t="s">
        <v>124</v>
      </c>
      <c r="E16" s="17" t="s">
        <v>80</v>
      </c>
      <c r="F16" s="17" t="s">
        <v>55</v>
      </c>
      <c r="G16" s="17" t="s">
        <v>125</v>
      </c>
      <c r="H16" s="44" t="s">
        <v>126</v>
      </c>
      <c r="I16" s="45">
        <v>1.0</v>
      </c>
      <c r="J16" s="45">
        <v>794.0</v>
      </c>
      <c r="K16" s="45">
        <v>827.0</v>
      </c>
      <c r="L16" s="45">
        <v>108.0</v>
      </c>
      <c r="M16" s="45">
        <v>28.0</v>
      </c>
      <c r="N16" s="45">
        <v>794.0</v>
      </c>
      <c r="O16" s="46">
        <v>41.0</v>
      </c>
      <c r="P16" s="46">
        <v>18.0</v>
      </c>
      <c r="Q16" s="46">
        <f>IFERROR(__xludf.DUMMYFUNCTION("""COMPUTED_VALUE"""),0.0)</f>
        <v>0</v>
      </c>
      <c r="R16" s="47">
        <v>33.0</v>
      </c>
      <c r="T16" s="48">
        <f>IFERROR(__xludf.DUMMYFUNCTION("""COMPUTED_VALUE"""),44525.0)</f>
        <v>44525</v>
      </c>
      <c r="U16" s="49">
        <f>IFERROR(__xludf.DUMMYFUNCTION("""COMPUTED_VALUE"""),44525.500023148146)</f>
        <v>44525.50002</v>
      </c>
      <c r="V16" s="19" t="str">
        <f>IFERROR(__xludf.DUMMYFUNCTION("""COMPUTED_VALUE"""),"Garena Free Fire")</f>
        <v>Garena Free Fire</v>
      </c>
      <c r="W16" s="19" t="str">
        <f>IFERROR(__xludf.DUMMYFUNCTION("""COMPUTED_VALUE"""),"740460599475760_1947520292103112")</f>
        <v>740460599475760_1947520292103112</v>
      </c>
      <c r="X16" s="19" t="str">
        <f>IFERROR(__xludf.DUMMYFUNCTION("""COMPUTED_VALUE"""),"added_photos")</f>
        <v>added_photos</v>
      </c>
      <c r="Y16" s="19" t="str">
        <f>IFERROR(__xludf.DUMMYFUNCTION("""COMPUTED_VALUE"""),"photo")</f>
        <v>photo</v>
      </c>
      <c r="Z16" s="19" t="str">
        <f>IFERROR(__xludf.DUMMYFUNCTION("""COMPUTED_VALUE"""),"💎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ซื้อคูปองในส่วนของโปรโมชันพิเ"&amp;"ศษ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น"&amp;".)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6" s="50" t="str">
        <f>IFERROR(__xludf.DUMMYFUNCTION("""COMPUTED_VALUE"""),"https://www.facebook.com/740460599475760/posts/1947520292103112/")</f>
        <v>https://www.facebook.com/740460599475760/posts/1947520292103112/</v>
      </c>
      <c r="AB16" s="19">
        <f>IFERROR(__xludf.DUMMYFUNCTION("""COMPUTED_VALUE"""),1.0)</f>
        <v>1</v>
      </c>
      <c r="AC16" s="19">
        <f>IFERROR(__xludf.DUMMYFUNCTION("""COMPUTED_VALUE"""),208.0)</f>
        <v>208</v>
      </c>
      <c r="AD16" s="19">
        <f>IFERROR(__xludf.DUMMYFUNCTION("""COMPUTED_VALUE"""),214.0)</f>
        <v>214</v>
      </c>
      <c r="AE16" s="19">
        <f>IFERROR(__xludf.DUMMYFUNCTION("""COMPUTED_VALUE"""),17.0)</f>
        <v>17</v>
      </c>
      <c r="AF16" s="19">
        <f>IFERROR(__xludf.DUMMYFUNCTION("""COMPUTED_VALUE"""),2.0)</f>
        <v>2</v>
      </c>
      <c r="AG16" s="19">
        <f>IFERROR(__xludf.DUMMYFUNCTION("""COMPUTED_VALUE"""),208.0)</f>
        <v>208</v>
      </c>
      <c r="AH16" s="19">
        <f>IFERROR(__xludf.DUMMYFUNCTION("""COMPUTED_VALUE"""),48.0)</f>
        <v>48</v>
      </c>
      <c r="AI16" s="19">
        <f>IFERROR(__xludf.DUMMYFUNCTION("""COMPUTED_VALUE"""),12.0)</f>
        <v>12</v>
      </c>
      <c r="AJ16" s="19">
        <f>IFERROR(__xludf.DUMMYFUNCTION("""COMPUTED_VALUE"""),1.0)</f>
        <v>1</v>
      </c>
    </row>
    <row r="17" ht="22.5" customHeight="1">
      <c r="A17" s="42">
        <v>44475.0</v>
      </c>
      <c r="B17" s="43">
        <v>44475.33337962963</v>
      </c>
      <c r="C17" s="17" t="s">
        <v>78</v>
      </c>
      <c r="D17" s="17" t="s">
        <v>127</v>
      </c>
      <c r="E17" s="17" t="s">
        <v>84</v>
      </c>
      <c r="F17" s="17" t="s">
        <v>50</v>
      </c>
      <c r="G17" s="17" t="s">
        <v>128</v>
      </c>
      <c r="H17" s="44" t="s">
        <v>129</v>
      </c>
      <c r="I17" s="45">
        <v>1.0</v>
      </c>
      <c r="J17" s="45">
        <v>8279.0</v>
      </c>
      <c r="K17" s="45">
        <v>8433.0</v>
      </c>
      <c r="L17" s="45">
        <v>141.0</v>
      </c>
      <c r="M17" s="45">
        <v>56.0</v>
      </c>
      <c r="N17" s="45">
        <v>8279.0</v>
      </c>
      <c r="O17" s="46">
        <v>41.0</v>
      </c>
      <c r="P17" s="46">
        <v>8.0</v>
      </c>
      <c r="Q17" s="46">
        <f>IFERROR(__xludf.DUMMYFUNCTION("""COMPUTED_VALUE"""),0.0)</f>
        <v>0</v>
      </c>
      <c r="R17" s="47">
        <v>154.0</v>
      </c>
      <c r="T17" s="48">
        <f>IFERROR(__xludf.DUMMYFUNCTION("""COMPUTED_VALUE"""),44528.0)</f>
        <v>44528</v>
      </c>
      <c r="U17" s="49">
        <f>IFERROR(__xludf.DUMMYFUNCTION("""COMPUTED_VALUE"""),44528.458344907405)</f>
        <v>44528.45834</v>
      </c>
      <c r="V17" s="19" t="str">
        <f>IFERROR(__xludf.DUMMYFUNCTION("""COMPUTED_VALUE"""),"Garena Free Fire")</f>
        <v>Garena Free Fire</v>
      </c>
      <c r="W17" s="19" t="str">
        <f>IFERROR(__xludf.DUMMYFUNCTION("""COMPUTED_VALUE"""),"740460599475760_1947591738762634")</f>
        <v>740460599475760_1947591738762634</v>
      </c>
      <c r="X17" s="19" t="str">
        <f>IFERROR(__xludf.DUMMYFUNCTION("""COMPUTED_VALUE"""),"added_photos")</f>
        <v>added_photos</v>
      </c>
      <c r="Y17" s="19" t="str">
        <f>IFERROR(__xludf.DUMMYFUNCTION("""COMPUTED_VALUE"""),"photo")</f>
        <v>photo</v>
      </c>
      <c r="Z17" s="19" t="str">
        <f>IFERROR(__xludf.DUMMYFUNCTION("""COMPUTED_VALUE"""),"💎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(เปิดได้เฉพาะบนโทรศัพท์แอนดรอยด"&amp;"์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ซื้อคูปองในส่วนของโปรโมชันพิเศ"&amp;"ษ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"&amp;"(00:00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7" s="50" t="str">
        <f>IFERROR(__xludf.DUMMYFUNCTION("""COMPUTED_VALUE"""),"https://www.facebook.com/740460599475760/posts/1947591738762634/")</f>
        <v>https://www.facebook.com/740460599475760/posts/1947591738762634/</v>
      </c>
      <c r="AB17" s="19">
        <f>IFERROR(__xludf.DUMMYFUNCTION("""COMPUTED_VALUE"""),1.0)</f>
        <v>1</v>
      </c>
      <c r="AC17" s="19">
        <f>IFERROR(__xludf.DUMMYFUNCTION("""COMPUTED_VALUE"""),479.0)</f>
        <v>479</v>
      </c>
      <c r="AD17" s="19">
        <f>IFERROR(__xludf.DUMMYFUNCTION("""COMPUTED_VALUE"""),496.0)</f>
        <v>496</v>
      </c>
      <c r="AE17" s="19">
        <f>IFERROR(__xludf.DUMMYFUNCTION("""COMPUTED_VALUE"""),60.0)</f>
        <v>60</v>
      </c>
      <c r="AF17" s="19">
        <f>IFERROR(__xludf.DUMMYFUNCTION("""COMPUTED_VALUE"""),11.0)</f>
        <v>11</v>
      </c>
      <c r="AG17" s="19">
        <f>IFERROR(__xludf.DUMMYFUNCTION("""COMPUTED_VALUE"""),479.0)</f>
        <v>479</v>
      </c>
      <c r="AH17" s="19">
        <f>IFERROR(__xludf.DUMMYFUNCTION("""COMPUTED_VALUE"""),49.0)</f>
        <v>49</v>
      </c>
      <c r="AI17" s="19">
        <f>IFERROR(__xludf.DUMMYFUNCTION("""COMPUTED_VALUE"""),11.0)</f>
        <v>11</v>
      </c>
      <c r="AJ17" s="19">
        <f>IFERROR(__xludf.DUMMYFUNCTION("""COMPUTED_VALUE"""),1.0)</f>
        <v>1</v>
      </c>
    </row>
    <row r="18" ht="22.5" customHeight="1">
      <c r="A18" s="42">
        <v>44475.0</v>
      </c>
      <c r="B18" s="43">
        <v>44475.583344907405</v>
      </c>
      <c r="C18" s="17" t="s">
        <v>78</v>
      </c>
      <c r="D18" s="17" t="s">
        <v>130</v>
      </c>
      <c r="E18" s="17" t="s">
        <v>109</v>
      </c>
      <c r="F18" s="17" t="s">
        <v>49</v>
      </c>
      <c r="G18" s="17" t="s">
        <v>131</v>
      </c>
      <c r="H18" s="44" t="s">
        <v>132</v>
      </c>
      <c r="I18" s="45">
        <v>1.0</v>
      </c>
      <c r="J18" s="45">
        <v>1201.0</v>
      </c>
      <c r="K18" s="45">
        <v>1344.0</v>
      </c>
      <c r="L18" s="45">
        <v>63.0</v>
      </c>
      <c r="M18" s="45">
        <v>53.0</v>
      </c>
      <c r="N18" s="45">
        <v>1201.0</v>
      </c>
      <c r="O18" s="46">
        <v>41.0</v>
      </c>
      <c r="P18" s="46">
        <v>14.0</v>
      </c>
      <c r="Q18" s="46">
        <f>IFERROR(__xludf.DUMMYFUNCTION("""COMPUTED_VALUE"""),0.0)</f>
        <v>0</v>
      </c>
      <c r="R18" s="47">
        <v>143.0</v>
      </c>
      <c r="T18" s="48">
        <f>IFERROR(__xludf.DUMMYFUNCTION("""COMPUTED_VALUE"""),44547.0)</f>
        <v>44547</v>
      </c>
      <c r="U18" s="49">
        <f>IFERROR(__xludf.DUMMYFUNCTION("""COMPUTED_VALUE"""),44547.333333333336)</f>
        <v>44547.33333</v>
      </c>
      <c r="V18" s="19" t="str">
        <f>IFERROR(__xludf.DUMMYFUNCTION("""COMPUTED_VALUE"""),"Garena Free Fire")</f>
        <v>Garena Free Fire</v>
      </c>
      <c r="W18" s="19" t="str">
        <f>IFERROR(__xludf.DUMMYFUNCTION("""COMPUTED_VALUE"""),"740460599475760_1958524954335979")</f>
        <v>740460599475760_1958524954335979</v>
      </c>
      <c r="X18" s="19" t="str">
        <f>IFERROR(__xludf.DUMMYFUNCTION("""COMPUTED_VALUE"""),"added_photos")</f>
        <v>added_photos</v>
      </c>
      <c r="Y18" s="19" t="str">
        <f>IFERROR(__xludf.DUMMYFUNCTION("""COMPUTED_VALUE"""),"photo")</f>
        <v>photo</v>
      </c>
      <c r="Z18" s="19" t="str">
        <f>IFERROR(__xludf.DUMMYFUNCTION("""COMPUTED_VALUE"""),"💎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4"&amp;"0.-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8" s="50" t="str">
        <f>IFERROR(__xludf.DUMMYFUNCTION("""COMPUTED_VALUE"""),"https://www.facebook.com/740460599475760/posts/1958524954335979/")</f>
        <v>https://www.facebook.com/740460599475760/posts/1958524954335979/</v>
      </c>
      <c r="AB18" s="19">
        <f>IFERROR(__xludf.DUMMYFUNCTION("""COMPUTED_VALUE"""),1.0)</f>
        <v>1</v>
      </c>
      <c r="AC18" s="19">
        <f>IFERROR(__xludf.DUMMYFUNCTION("""COMPUTED_VALUE"""),206.0)</f>
        <v>206</v>
      </c>
      <c r="AD18" s="19">
        <f>IFERROR(__xludf.DUMMYFUNCTION("""COMPUTED_VALUE"""),218.0)</f>
        <v>218</v>
      </c>
      <c r="AE18" s="19">
        <f>IFERROR(__xludf.DUMMYFUNCTION("""COMPUTED_VALUE"""),23.0)</f>
        <v>23</v>
      </c>
      <c r="AF18" s="19">
        <f>IFERROR(__xludf.DUMMYFUNCTION("""COMPUTED_VALUE"""),3.0)</f>
        <v>3</v>
      </c>
      <c r="AG18" s="19">
        <f>IFERROR(__xludf.DUMMYFUNCTION("""COMPUTED_VALUE"""),206.0)</f>
        <v>206</v>
      </c>
      <c r="AH18" s="19">
        <f>IFERROR(__xludf.DUMMYFUNCTION("""COMPUTED_VALUE"""),51.0)</f>
        <v>51</v>
      </c>
      <c r="AI18" s="19">
        <f>IFERROR(__xludf.DUMMYFUNCTION("""COMPUTED_VALUE"""),8.0)</f>
        <v>8</v>
      </c>
      <c r="AJ18" s="19">
        <f>IFERROR(__xludf.DUMMYFUNCTION("""COMPUTED_VALUE"""),1.0)</f>
        <v>1</v>
      </c>
    </row>
    <row r="19" ht="22.5" customHeight="1">
      <c r="A19" s="42">
        <v>44475.0</v>
      </c>
      <c r="B19" s="43">
        <v>44475.666666666664</v>
      </c>
      <c r="C19" s="17" t="s">
        <v>78</v>
      </c>
      <c r="D19" s="17" t="s">
        <v>133</v>
      </c>
      <c r="E19" s="17" t="s">
        <v>84</v>
      </c>
      <c r="F19" s="17" t="s">
        <v>50</v>
      </c>
      <c r="G19" s="17" t="s">
        <v>134</v>
      </c>
      <c r="H19" s="44" t="s">
        <v>135</v>
      </c>
      <c r="I19" s="45">
        <v>1.0</v>
      </c>
      <c r="J19" s="45">
        <v>4054.0</v>
      </c>
      <c r="K19" s="45">
        <v>4573.0</v>
      </c>
      <c r="L19" s="45">
        <v>710.0</v>
      </c>
      <c r="M19" s="45">
        <v>723.0</v>
      </c>
      <c r="N19" s="45">
        <v>4054.0</v>
      </c>
      <c r="O19" s="46">
        <v>41.0</v>
      </c>
      <c r="P19" s="46">
        <v>16.0</v>
      </c>
      <c r="Q19" s="46">
        <f>IFERROR(__xludf.DUMMYFUNCTION("""COMPUTED_VALUE"""),0.0)</f>
        <v>0</v>
      </c>
      <c r="R19" s="47">
        <v>519.0</v>
      </c>
      <c r="T19" s="48">
        <f>IFERROR(__xludf.DUMMYFUNCTION("""COMPUTED_VALUE"""),44548.0)</f>
        <v>44548</v>
      </c>
      <c r="U19" s="49">
        <f>IFERROR(__xludf.DUMMYFUNCTION("""COMPUTED_VALUE"""),44548.37501157408)</f>
        <v>44548.37501</v>
      </c>
      <c r="V19" s="19" t="str">
        <f>IFERROR(__xludf.DUMMYFUNCTION("""COMPUTED_VALUE"""),"Garena Free Fire")</f>
        <v>Garena Free Fire</v>
      </c>
      <c r="W19" s="19" t="str">
        <f>IFERROR(__xludf.DUMMYFUNCTION("""COMPUTED_VALUE"""),"740460599475760_1963789900476151")</f>
        <v>740460599475760_1963789900476151</v>
      </c>
      <c r="X19" s="19" t="str">
        <f>IFERROR(__xludf.DUMMYFUNCTION("""COMPUTED_VALUE"""),"added_photos")</f>
        <v>added_photos</v>
      </c>
      <c r="Y19" s="19" t="str">
        <f>IFERROR(__xludf.DUMMYFUNCTION("""COMPUTED_VALUE"""),"photo")</f>
        <v>photo</v>
      </c>
      <c r="Z19" s="19" t="str">
        <f>IFERROR(__xludf.DUMMYFUNCTION("""COMPUTED_VALUE"""),"ร้านค้าแห่งความมืด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f>
        <v>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v>
      </c>
      <c r="AA19" s="50" t="str">
        <f>IFERROR(__xludf.DUMMYFUNCTION("""COMPUTED_VALUE"""),"https://www.facebook.com/740460599475760/posts/1963789900476151/")</f>
        <v>https://www.facebook.com/740460599475760/posts/1963789900476151/</v>
      </c>
      <c r="AB19" s="19">
        <f>IFERROR(__xludf.DUMMYFUNCTION("""COMPUTED_VALUE"""),1.0)</f>
        <v>1</v>
      </c>
      <c r="AC19" s="19">
        <f>IFERROR(__xludf.DUMMYFUNCTION("""COMPUTED_VALUE"""),9349.0)</f>
        <v>9349</v>
      </c>
      <c r="AD19" s="19">
        <f>IFERROR(__xludf.DUMMYFUNCTION("""COMPUTED_VALUE"""),9464.0)</f>
        <v>9464</v>
      </c>
      <c r="AE19" s="19">
        <f>IFERROR(__xludf.DUMMYFUNCTION("""COMPUTED_VALUE"""),240.0)</f>
        <v>240</v>
      </c>
      <c r="AF19" s="19">
        <f>IFERROR(__xludf.DUMMYFUNCTION("""COMPUTED_VALUE"""),25.0)</f>
        <v>25</v>
      </c>
      <c r="AG19" s="19">
        <f>IFERROR(__xludf.DUMMYFUNCTION("""COMPUTED_VALUE"""),9349.0)</f>
        <v>9349</v>
      </c>
      <c r="AH19" s="19">
        <f>IFERROR(__xludf.DUMMYFUNCTION("""COMPUTED_VALUE"""),51.0)</f>
        <v>51</v>
      </c>
      <c r="AI19" s="19">
        <f>IFERROR(__xludf.DUMMYFUNCTION("""COMPUTED_VALUE"""),9.0)</f>
        <v>9</v>
      </c>
      <c r="AJ19" s="19">
        <f>IFERROR(__xludf.DUMMYFUNCTION("""COMPUTED_VALUE"""),1.0)</f>
        <v>1</v>
      </c>
    </row>
    <row r="20" ht="22.5" customHeight="1">
      <c r="A20" s="42">
        <v>44475.0</v>
      </c>
      <c r="B20" s="43">
        <v>44475.83335648148</v>
      </c>
      <c r="C20" s="17" t="s">
        <v>78</v>
      </c>
      <c r="D20" s="17" t="s">
        <v>136</v>
      </c>
      <c r="E20" s="17" t="s">
        <v>84</v>
      </c>
      <c r="F20" s="17" t="s">
        <v>50</v>
      </c>
      <c r="G20" s="17" t="s">
        <v>137</v>
      </c>
      <c r="H20" s="44" t="s">
        <v>138</v>
      </c>
      <c r="I20" s="45">
        <v>1.0</v>
      </c>
      <c r="J20" s="45">
        <v>880.0</v>
      </c>
      <c r="K20" s="45">
        <v>916.0</v>
      </c>
      <c r="L20" s="45">
        <v>187.0</v>
      </c>
      <c r="M20" s="45">
        <v>18.0</v>
      </c>
      <c r="N20" s="45">
        <v>880.0</v>
      </c>
      <c r="O20" s="46">
        <v>41.0</v>
      </c>
      <c r="P20" s="46">
        <v>20.0</v>
      </c>
      <c r="Q20" s="46">
        <f>IFERROR(__xludf.DUMMYFUNCTION("""COMPUTED_VALUE"""),0.0)</f>
        <v>0</v>
      </c>
      <c r="R20" s="47">
        <v>36.0</v>
      </c>
      <c r="T20" s="48">
        <f>IFERROR(__xludf.DUMMYFUNCTION("""COMPUTED_VALUE"""),44548.0)</f>
        <v>44548</v>
      </c>
      <c r="U20" s="49">
        <f>IFERROR(__xludf.DUMMYFUNCTION("""COMPUTED_VALUE"""),44548.625)</f>
        <v>44548.625</v>
      </c>
      <c r="V20" s="19" t="str">
        <f>IFERROR(__xludf.DUMMYFUNCTION("""COMPUTED_VALUE"""),"Garena Free Fire")</f>
        <v>Garena Free Fire</v>
      </c>
      <c r="W20" s="19" t="str">
        <f>IFERROR(__xludf.DUMMYFUNCTION("""COMPUTED_VALUE"""),"740460599475760_1958525884335886")</f>
        <v>740460599475760_1958525884335886</v>
      </c>
      <c r="X20" s="19" t="str">
        <f>IFERROR(__xludf.DUMMYFUNCTION("""COMPUTED_VALUE"""),"added_photos")</f>
        <v>added_photos</v>
      </c>
      <c r="Y20" s="19" t="str">
        <f>IFERROR(__xludf.DUMMYFUNCTION("""COMPUTED_VALUE"""),"photo")</f>
        <v>photo</v>
      </c>
      <c r="Z20" s="19" t="str">
        <f>IFERROR(__xludf.DUMMYFUNCTION("""COMPUTED_VALUE"""),"💎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ที่มีแ"&amp;"อปฯ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""จ่าย"&amp;"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0" s="50" t="str">
        <f>IFERROR(__xludf.DUMMYFUNCTION("""COMPUTED_VALUE"""),"https://www.facebook.com/740460599475760/posts/1958525884335886/")</f>
        <v>https://www.facebook.com/740460599475760/posts/1958525884335886/</v>
      </c>
      <c r="AB20" s="19">
        <f>IFERROR(__xludf.DUMMYFUNCTION("""COMPUTED_VALUE"""),1.0)</f>
        <v>1</v>
      </c>
      <c r="AC20" s="19">
        <f>IFERROR(__xludf.DUMMYFUNCTION("""COMPUTED_VALUE"""),162.0)</f>
        <v>162</v>
      </c>
      <c r="AD20" s="19">
        <f>IFERROR(__xludf.DUMMYFUNCTION("""COMPUTED_VALUE"""),167.0)</f>
        <v>167</v>
      </c>
      <c r="AE20" s="19">
        <f>IFERROR(__xludf.DUMMYFUNCTION("""COMPUTED_VALUE"""),25.0)</f>
        <v>25</v>
      </c>
      <c r="AF20" s="19">
        <f>IFERROR(__xludf.DUMMYFUNCTION("""COMPUTED_VALUE"""),4.0)</f>
        <v>4</v>
      </c>
      <c r="AG20" s="19">
        <f>IFERROR(__xludf.DUMMYFUNCTION("""COMPUTED_VALUE"""),162.0)</f>
        <v>162</v>
      </c>
      <c r="AH20" s="19">
        <f>IFERROR(__xludf.DUMMYFUNCTION("""COMPUTED_VALUE"""),51.0)</f>
        <v>51</v>
      </c>
      <c r="AI20" s="19">
        <f>IFERROR(__xludf.DUMMYFUNCTION("""COMPUTED_VALUE"""),15.0)</f>
        <v>15</v>
      </c>
      <c r="AJ20" s="19">
        <f>IFERROR(__xludf.DUMMYFUNCTION("""COMPUTED_VALUE"""),1.0)</f>
        <v>1</v>
      </c>
    </row>
    <row r="21" ht="22.5" customHeight="1">
      <c r="A21" s="42">
        <v>44476.0</v>
      </c>
      <c r="B21" s="43">
        <v>44476.37501157408</v>
      </c>
      <c r="C21" s="17" t="s">
        <v>78</v>
      </c>
      <c r="D21" s="17" t="s">
        <v>139</v>
      </c>
      <c r="E21" s="17" t="s">
        <v>84</v>
      </c>
      <c r="F21" s="17" t="s">
        <v>50</v>
      </c>
      <c r="G21" s="17" t="s">
        <v>140</v>
      </c>
      <c r="H21" s="44" t="s">
        <v>141</v>
      </c>
      <c r="I21" s="45">
        <v>1.0</v>
      </c>
      <c r="J21" s="45">
        <v>10702.0</v>
      </c>
      <c r="K21" s="45">
        <v>10975.0</v>
      </c>
      <c r="L21" s="45">
        <v>706.0</v>
      </c>
      <c r="M21" s="45">
        <v>102.0</v>
      </c>
      <c r="N21" s="45">
        <v>10702.0</v>
      </c>
      <c r="O21" s="46">
        <v>41.0</v>
      </c>
      <c r="P21" s="46">
        <v>9.0</v>
      </c>
      <c r="Q21" s="46">
        <f>IFERROR(__xludf.DUMMYFUNCTION("""COMPUTED_VALUE"""),0.0)</f>
        <v>0</v>
      </c>
      <c r="R21" s="47">
        <v>273.0</v>
      </c>
      <c r="T21" s="48">
        <f>IFERROR(__xludf.DUMMYFUNCTION("""COMPUTED_VALUE"""),44550.0)</f>
        <v>44550</v>
      </c>
      <c r="U21" s="49">
        <f>IFERROR(__xludf.DUMMYFUNCTION("""COMPUTED_VALUE"""),44550.416666666664)</f>
        <v>44550.41667</v>
      </c>
      <c r="V21" s="19" t="str">
        <f>IFERROR(__xludf.DUMMYFUNCTION("""COMPUTED_VALUE"""),"Garena Free Fire")</f>
        <v>Garena Free Fire</v>
      </c>
      <c r="W21" s="19" t="str">
        <f>IFERROR(__xludf.DUMMYFUNCTION("""COMPUTED_VALUE"""),"740460599475760_1962250917296716")</f>
        <v>740460599475760_1962250917296716</v>
      </c>
      <c r="X21" s="19" t="str">
        <f>IFERROR(__xludf.DUMMYFUNCTION("""COMPUTED_VALUE"""),"added_photos")</f>
        <v>added_photos</v>
      </c>
      <c r="Y21" s="19" t="str">
        <f>IFERROR(__xludf.DUMMYFUNCTION("""COMPUTED_VALUE"""),"photo")</f>
        <v>photo</v>
      </c>
      <c r="Z21" s="19" t="str">
        <f>IFERROR(__xludf.DUMMYFUNCTION("""COMPUTED_VALUE"""),"💎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""ส่ว"&amp;"นลด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"&amp;"(23:59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1" s="50" t="str">
        <f>IFERROR(__xludf.DUMMYFUNCTION("""COMPUTED_VALUE"""),"https://www.facebook.com/740460599475760/posts/1962250917296716/")</f>
        <v>https://www.facebook.com/740460599475760/posts/1962250917296716/</v>
      </c>
      <c r="AB21" s="19">
        <f>IFERROR(__xludf.DUMMYFUNCTION("""COMPUTED_VALUE"""),1.0)</f>
        <v>1</v>
      </c>
      <c r="AC21" s="19">
        <f>IFERROR(__xludf.DUMMYFUNCTION("""COMPUTED_VALUE"""),190.0)</f>
        <v>190</v>
      </c>
      <c r="AD21" s="19">
        <f>IFERROR(__xludf.DUMMYFUNCTION("""COMPUTED_VALUE"""),194.0)</f>
        <v>194</v>
      </c>
      <c r="AE21" s="19">
        <f>IFERROR(__xludf.DUMMYFUNCTION("""COMPUTED_VALUE"""),30.0)</f>
        <v>30</v>
      </c>
      <c r="AF21" s="19">
        <f>IFERROR(__xludf.DUMMYFUNCTION("""COMPUTED_VALUE"""),6.0)</f>
        <v>6</v>
      </c>
      <c r="AG21" s="19">
        <f>IFERROR(__xludf.DUMMYFUNCTION("""COMPUTED_VALUE"""),190.0)</f>
        <v>190</v>
      </c>
      <c r="AH21" s="19">
        <f>IFERROR(__xludf.DUMMYFUNCTION("""COMPUTED_VALUE"""),52.0)</f>
        <v>52</v>
      </c>
      <c r="AI21" s="19">
        <f>IFERROR(__xludf.DUMMYFUNCTION("""COMPUTED_VALUE"""),10.0)</f>
        <v>10</v>
      </c>
      <c r="AJ21" s="19">
        <f>IFERROR(__xludf.DUMMYFUNCTION("""COMPUTED_VALUE"""),1.0)</f>
        <v>1</v>
      </c>
    </row>
    <row r="22" ht="22.5" customHeight="1">
      <c r="A22" s="42">
        <v>44476.0</v>
      </c>
      <c r="B22" s="43">
        <v>44476.62501157408</v>
      </c>
      <c r="C22" s="17" t="s">
        <v>78</v>
      </c>
      <c r="D22" s="17" t="s">
        <v>142</v>
      </c>
      <c r="E22" s="17" t="s">
        <v>80</v>
      </c>
      <c r="F22" s="17" t="s">
        <v>55</v>
      </c>
      <c r="G22" s="17" t="s">
        <v>143</v>
      </c>
      <c r="H22" s="44" t="s">
        <v>144</v>
      </c>
      <c r="I22" s="45">
        <v>1.0</v>
      </c>
      <c r="J22" s="45">
        <v>1163.0</v>
      </c>
      <c r="K22" s="45">
        <v>1275.0</v>
      </c>
      <c r="L22" s="45">
        <v>147.0</v>
      </c>
      <c r="M22" s="45">
        <v>53.0</v>
      </c>
      <c r="N22" s="45">
        <v>1163.0</v>
      </c>
      <c r="O22" s="46">
        <v>41.0</v>
      </c>
      <c r="P22" s="46">
        <v>15.0</v>
      </c>
      <c r="Q22" s="46">
        <f>IFERROR(__xludf.DUMMYFUNCTION("""COMPUTED_VALUE"""),0.0)</f>
        <v>0</v>
      </c>
      <c r="R22" s="47">
        <v>112.0</v>
      </c>
      <c r="T22" s="48">
        <f>IFERROR(__xludf.DUMMYFUNCTION("""COMPUTED_VALUE"""),44551.0)</f>
        <v>44551</v>
      </c>
      <c r="U22" s="49">
        <f>IFERROR(__xludf.DUMMYFUNCTION("""COMPUTED_VALUE"""),44551.333344907405)</f>
        <v>44551.33334</v>
      </c>
      <c r="V22" s="19" t="str">
        <f>IFERROR(__xludf.DUMMYFUNCTION("""COMPUTED_VALUE"""),"Garena Free Fire")</f>
        <v>Garena Free Fire</v>
      </c>
      <c r="W22" s="19" t="str">
        <f>IFERROR(__xludf.DUMMYFUNCTION("""COMPUTED_VALUE"""),"740460599475760_1966941793494295")</f>
        <v>740460599475760_1966941793494295</v>
      </c>
      <c r="X22" s="19" t="str">
        <f>IFERROR(__xludf.DUMMYFUNCTION("""COMPUTED_VALUE"""),"added_photos")</f>
        <v>added_photos</v>
      </c>
      <c r="Y22" s="19" t="str">
        <f>IFERROR(__xludf.DUMMYFUNCTION("""COMPUTED_VALUE"""),"photo")</f>
        <v>photo</v>
      </c>
      <c r="Z22" s="19" t="str">
        <f>IFERROR(__xludf.DUMMYFUNCTION("""COMPUTED_VALUE"""),"ถึงจะเป็นคนตลก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"&amp;"น.")</f>
        <v>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v>
      </c>
      <c r="AA22" s="50" t="str">
        <f>IFERROR(__xludf.DUMMYFUNCTION("""COMPUTED_VALUE"""),"https://www.facebook.com/740460599475760/posts/1966941793494295/")</f>
        <v>https://www.facebook.com/740460599475760/posts/1966941793494295/</v>
      </c>
      <c r="AB22" s="19">
        <f>IFERROR(__xludf.DUMMYFUNCTION("""COMPUTED_VALUE"""),1.0)</f>
        <v>1</v>
      </c>
      <c r="AC22" s="19">
        <f>IFERROR(__xludf.DUMMYFUNCTION("""COMPUTED_VALUE"""),8227.0)</f>
        <v>8227</v>
      </c>
      <c r="AD22" s="19">
        <f>IFERROR(__xludf.DUMMYFUNCTION("""COMPUTED_VALUE"""),8334.0)</f>
        <v>8334</v>
      </c>
      <c r="AE22" s="19">
        <f>IFERROR(__xludf.DUMMYFUNCTION("""COMPUTED_VALUE"""),158.0)</f>
        <v>158</v>
      </c>
      <c r="AF22" s="19">
        <f>IFERROR(__xludf.DUMMYFUNCTION("""COMPUTED_VALUE"""),44.0)</f>
        <v>44</v>
      </c>
      <c r="AG22" s="19">
        <f>IFERROR(__xludf.DUMMYFUNCTION("""COMPUTED_VALUE"""),8227.0)</f>
        <v>8227</v>
      </c>
      <c r="AH22" s="19">
        <f>IFERROR(__xludf.DUMMYFUNCTION("""COMPUTED_VALUE"""),52.0)</f>
        <v>52</v>
      </c>
      <c r="AI22" s="19">
        <f>IFERROR(__xludf.DUMMYFUNCTION("""COMPUTED_VALUE"""),8.0)</f>
        <v>8</v>
      </c>
      <c r="AJ22" s="19">
        <f>IFERROR(__xludf.DUMMYFUNCTION("""COMPUTED_VALUE"""),1.0)</f>
        <v>1</v>
      </c>
    </row>
    <row r="23" ht="22.5" customHeight="1">
      <c r="A23" s="42">
        <v>44476.0</v>
      </c>
      <c r="B23" s="43">
        <v>44476.70835648148</v>
      </c>
      <c r="C23" s="17" t="s">
        <v>78</v>
      </c>
      <c r="D23" s="17" t="s">
        <v>145</v>
      </c>
      <c r="E23" s="17" t="s">
        <v>84</v>
      </c>
      <c r="F23" s="17" t="s">
        <v>50</v>
      </c>
      <c r="G23" s="17" t="s">
        <v>146</v>
      </c>
      <c r="H23" s="44" t="s">
        <v>147</v>
      </c>
      <c r="I23" s="45">
        <v>1.0</v>
      </c>
      <c r="J23" s="45">
        <v>2795.0</v>
      </c>
      <c r="K23" s="45">
        <v>3687.0</v>
      </c>
      <c r="L23" s="45">
        <v>471.0</v>
      </c>
      <c r="M23" s="45">
        <v>159.0</v>
      </c>
      <c r="N23" s="45">
        <v>2795.0</v>
      </c>
      <c r="O23" s="46">
        <v>41.0</v>
      </c>
      <c r="P23" s="46">
        <v>17.0</v>
      </c>
      <c r="Q23" s="46">
        <f>IFERROR(__xludf.DUMMYFUNCTION("""COMPUTED_VALUE"""),0.0)</f>
        <v>0</v>
      </c>
      <c r="R23" s="47">
        <v>892.0</v>
      </c>
      <c r="T23" s="48">
        <f>IFERROR(__xludf.DUMMYFUNCTION("""COMPUTED_VALUE"""),44551.0)</f>
        <v>44551</v>
      </c>
      <c r="U23" s="49">
        <f>IFERROR(__xludf.DUMMYFUNCTION("""COMPUTED_VALUE"""),44551.416666666664)</f>
        <v>44551.41667</v>
      </c>
      <c r="V23" s="19" t="str">
        <f>IFERROR(__xludf.DUMMYFUNCTION("""COMPUTED_VALUE"""),"Garena Free Fire")</f>
        <v>Garena Free Fire</v>
      </c>
      <c r="W23" s="19" t="str">
        <f>IFERROR(__xludf.DUMMYFUNCTION("""COMPUTED_VALUE"""),"740460599475760_1966951500159991")</f>
        <v>740460599475760_1966951500159991</v>
      </c>
      <c r="X23" s="19" t="str">
        <f>IFERROR(__xludf.DUMMYFUNCTION("""COMPUTED_VALUE"""),"added_photos")</f>
        <v>added_photos</v>
      </c>
      <c r="Y23" s="19" t="str">
        <f>IFERROR(__xludf.DUMMYFUNCTION("""COMPUTED_VALUE"""),"photo")</f>
        <v>photo</v>
      </c>
      <c r="Z23" s="19" t="str">
        <f>IFERROR(__xludf.DUMMYFUNCTION("""COMPUTED_VALUE"""),"อ่ะเริศ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ถึงวัน"&amp;"ที่ 25 ธันวาคม 2564 เวลา 23.59 น.")</f>
        <v>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v>
      </c>
      <c r="AA23" s="50" t="str">
        <f>IFERROR(__xludf.DUMMYFUNCTION("""COMPUTED_VALUE"""),"https://www.facebook.com/740460599475760/posts/1966951500159991/")</f>
        <v>https://www.facebook.com/740460599475760/posts/1966951500159991/</v>
      </c>
      <c r="AB23" s="19">
        <f>IFERROR(__xludf.DUMMYFUNCTION("""COMPUTED_VALUE"""),1.0)</f>
        <v>1</v>
      </c>
      <c r="AC23" s="19">
        <f>IFERROR(__xludf.DUMMYFUNCTION("""COMPUTED_VALUE"""),6797.0)</f>
        <v>6797</v>
      </c>
      <c r="AD23" s="19">
        <f>IFERROR(__xludf.DUMMYFUNCTION("""COMPUTED_VALUE"""),6937.0)</f>
        <v>6937</v>
      </c>
      <c r="AE23" s="19">
        <f>IFERROR(__xludf.DUMMYFUNCTION("""COMPUTED_VALUE"""),217.0)</f>
        <v>217</v>
      </c>
      <c r="AF23" s="19">
        <f>IFERROR(__xludf.DUMMYFUNCTION("""COMPUTED_VALUE"""),51.0)</f>
        <v>51</v>
      </c>
      <c r="AG23" s="19">
        <f>IFERROR(__xludf.DUMMYFUNCTION("""COMPUTED_VALUE"""),6797.0)</f>
        <v>6797</v>
      </c>
      <c r="AH23" s="19">
        <f>IFERROR(__xludf.DUMMYFUNCTION("""COMPUTED_VALUE"""),52.0)</f>
        <v>52</v>
      </c>
      <c r="AI23" s="19">
        <f>IFERROR(__xludf.DUMMYFUNCTION("""COMPUTED_VALUE"""),10.0)</f>
        <v>10</v>
      </c>
      <c r="AJ23" s="19">
        <f>IFERROR(__xludf.DUMMYFUNCTION("""COMPUTED_VALUE"""),1.0)</f>
        <v>1</v>
      </c>
    </row>
    <row r="24" ht="22.5" customHeight="1">
      <c r="A24" s="42">
        <v>44476.0</v>
      </c>
      <c r="B24" s="43">
        <v>44476.87567129629</v>
      </c>
      <c r="C24" s="17" t="s">
        <v>78</v>
      </c>
      <c r="D24" s="17" t="s">
        <v>148</v>
      </c>
      <c r="E24" s="17" t="s">
        <v>109</v>
      </c>
      <c r="F24" s="17" t="s">
        <v>49</v>
      </c>
      <c r="G24" s="17" t="s">
        <v>149</v>
      </c>
      <c r="H24" s="44" t="s">
        <v>150</v>
      </c>
      <c r="I24" s="45">
        <v>1.0</v>
      </c>
      <c r="J24" s="45">
        <v>174.0</v>
      </c>
      <c r="K24" s="45">
        <v>195.0</v>
      </c>
      <c r="L24" s="45">
        <v>27.0</v>
      </c>
      <c r="M24" s="45"/>
      <c r="N24" s="45">
        <v>174.0</v>
      </c>
      <c r="O24" s="46">
        <v>41.0</v>
      </c>
      <c r="P24" s="46">
        <v>21.0</v>
      </c>
      <c r="Q24" s="46">
        <f>IFERROR(__xludf.DUMMYFUNCTION("""COMPUTED_VALUE"""),0.0)</f>
        <v>0</v>
      </c>
      <c r="R24" s="47">
        <v>21.0</v>
      </c>
      <c r="T24" s="48">
        <f>IFERROR(__xludf.DUMMYFUNCTION("""COMPUTED_VALUE"""),44553.0)</f>
        <v>44553</v>
      </c>
      <c r="U24" s="49">
        <f>IFERROR(__xludf.DUMMYFUNCTION("""COMPUTED_VALUE"""),44553.416666666664)</f>
        <v>44553.41667</v>
      </c>
      <c r="V24" s="19" t="str">
        <f>IFERROR(__xludf.DUMMYFUNCTION("""COMPUTED_VALUE"""),"Garena Free Fire")</f>
        <v>Garena Free Fire</v>
      </c>
      <c r="W24" s="19" t="str">
        <f>IFERROR(__xludf.DUMMYFUNCTION("""COMPUTED_VALUE"""),"740460599475760_1966884233500051")</f>
        <v>740460599475760_1966884233500051</v>
      </c>
      <c r="X24" s="19" t="str">
        <f>IFERROR(__xludf.DUMMYFUNCTION("""COMPUTED_VALUE"""),"added_photos")</f>
        <v>added_photos</v>
      </c>
      <c r="Y24" s="19" t="str">
        <f>IFERROR(__xludf.DUMMYFUNCTION("""COMPUTED_VALUE"""),"photo")</f>
        <v>photo</v>
      </c>
      <c r="Z24" s="19" t="str">
        <f>IFERROR(__xludf.DUMMYFUNCTION("""COMPUTED_VALUE"""),"💎💎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ร"&amp;"ับเลย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2"&amp;"6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4" s="50" t="str">
        <f>IFERROR(__xludf.DUMMYFUNCTION("""COMPUTED_VALUE"""),"https://www.facebook.com/740460599475760/posts/1966884233500051/")</f>
        <v>https://www.facebook.com/740460599475760/posts/1966884233500051/</v>
      </c>
      <c r="AB24" s="19">
        <f>IFERROR(__xludf.DUMMYFUNCTION("""COMPUTED_VALUE"""),1.0)</f>
        <v>1</v>
      </c>
      <c r="AC24" s="19">
        <f>IFERROR(__xludf.DUMMYFUNCTION("""COMPUTED_VALUE"""),177.0)</f>
        <v>177</v>
      </c>
      <c r="AD24" s="19">
        <f>IFERROR(__xludf.DUMMYFUNCTION("""COMPUTED_VALUE"""),180.0)</f>
        <v>180</v>
      </c>
      <c r="AE24" s="19">
        <f>IFERROR(__xludf.DUMMYFUNCTION("""COMPUTED_VALUE"""),16.0)</f>
        <v>16</v>
      </c>
      <c r="AF24" s="19"/>
      <c r="AG24" s="19">
        <f>IFERROR(__xludf.DUMMYFUNCTION("""COMPUTED_VALUE"""),177.0)</f>
        <v>177</v>
      </c>
      <c r="AH24" s="19">
        <f>IFERROR(__xludf.DUMMYFUNCTION("""COMPUTED_VALUE"""),52.0)</f>
        <v>52</v>
      </c>
      <c r="AI24" s="19">
        <f>IFERROR(__xludf.DUMMYFUNCTION("""COMPUTED_VALUE"""),10.0)</f>
        <v>10</v>
      </c>
      <c r="AJ24" s="19">
        <f>IFERROR(__xludf.DUMMYFUNCTION("""COMPUTED_VALUE"""),1.0)</f>
        <v>1</v>
      </c>
    </row>
    <row r="25" ht="22.5" customHeight="1">
      <c r="A25" s="42">
        <v>44477.0</v>
      </c>
      <c r="B25" s="43">
        <v>44477.29225694444</v>
      </c>
      <c r="C25" s="17" t="s">
        <v>78</v>
      </c>
      <c r="D25" s="17" t="s">
        <v>151</v>
      </c>
      <c r="E25" s="17" t="s">
        <v>97</v>
      </c>
      <c r="F25" s="17" t="s">
        <v>52</v>
      </c>
      <c r="G25" s="17" t="s">
        <v>152</v>
      </c>
      <c r="H25" s="44" t="s">
        <v>153</v>
      </c>
      <c r="I25" s="45">
        <v>1.0</v>
      </c>
      <c r="J25" s="45">
        <v>184.0</v>
      </c>
      <c r="K25" s="45">
        <v>204.0</v>
      </c>
      <c r="L25" s="45">
        <v>6.0</v>
      </c>
      <c r="M25" s="45">
        <v>11.0</v>
      </c>
      <c r="N25" s="45">
        <v>184.0</v>
      </c>
      <c r="O25" s="46">
        <v>41.0</v>
      </c>
      <c r="P25" s="46">
        <v>7.0</v>
      </c>
      <c r="Q25" s="46">
        <f>IFERROR(__xludf.DUMMYFUNCTION("""COMPUTED_VALUE"""),0.0)</f>
        <v>0</v>
      </c>
      <c r="R25" s="47">
        <v>20.0</v>
      </c>
    </row>
    <row r="26" ht="22.5" customHeight="1">
      <c r="A26" s="42">
        <v>44477.0</v>
      </c>
      <c r="B26" s="43">
        <v>44477.333344907405</v>
      </c>
      <c r="C26" s="17" t="s">
        <v>78</v>
      </c>
      <c r="D26" s="17" t="s">
        <v>154</v>
      </c>
      <c r="E26" s="17" t="s">
        <v>84</v>
      </c>
      <c r="F26" s="17" t="s">
        <v>50</v>
      </c>
      <c r="G26" s="17" t="s">
        <v>155</v>
      </c>
      <c r="H26" s="44" t="s">
        <v>156</v>
      </c>
      <c r="I26" s="45">
        <v>1.0</v>
      </c>
      <c r="J26" s="45">
        <v>9297.0</v>
      </c>
      <c r="K26" s="45">
        <v>9814.0</v>
      </c>
      <c r="L26" s="45">
        <v>298.0</v>
      </c>
      <c r="M26" s="45">
        <v>142.0</v>
      </c>
      <c r="N26" s="45">
        <v>9297.0</v>
      </c>
      <c r="O26" s="46">
        <v>41.0</v>
      </c>
      <c r="P26" s="46">
        <v>8.0</v>
      </c>
      <c r="Q26" s="46">
        <f>IFERROR(__xludf.DUMMYFUNCTION("""COMPUTED_VALUE"""),0.0)</f>
        <v>0</v>
      </c>
      <c r="R26" s="47">
        <v>517.0</v>
      </c>
    </row>
    <row r="27" ht="22.5" customHeight="1">
      <c r="A27" s="42">
        <v>44477.0</v>
      </c>
      <c r="B27" s="43">
        <v>44477.375</v>
      </c>
      <c r="C27" s="17" t="s">
        <v>78</v>
      </c>
      <c r="D27" s="17" t="s">
        <v>157</v>
      </c>
      <c r="E27" s="17" t="s">
        <v>84</v>
      </c>
      <c r="F27" s="17" t="s">
        <v>50</v>
      </c>
      <c r="G27" s="17" t="s">
        <v>158</v>
      </c>
      <c r="H27" s="44" t="s">
        <v>159</v>
      </c>
      <c r="I27" s="45">
        <v>1.0</v>
      </c>
      <c r="J27" s="45">
        <v>5541.0</v>
      </c>
      <c r="K27" s="45">
        <v>7315.0</v>
      </c>
      <c r="L27" s="45">
        <v>997.0</v>
      </c>
      <c r="M27" s="45">
        <v>545.0</v>
      </c>
      <c r="N27" s="45">
        <v>5541.0</v>
      </c>
      <c r="O27" s="46">
        <v>41.0</v>
      </c>
      <c r="P27" s="46">
        <v>9.0</v>
      </c>
      <c r="Q27" s="46">
        <f>IFERROR(__xludf.DUMMYFUNCTION("""COMPUTED_VALUE"""),0.0)</f>
        <v>0</v>
      </c>
      <c r="R27" s="47">
        <v>1774.0</v>
      </c>
    </row>
    <row r="28" ht="22.5" customHeight="1">
      <c r="A28" s="42">
        <v>44477.0</v>
      </c>
      <c r="B28" s="43">
        <v>44477.58336805556</v>
      </c>
      <c r="C28" s="17" t="s">
        <v>78</v>
      </c>
      <c r="D28" s="17" t="s">
        <v>160</v>
      </c>
      <c r="E28" s="17" t="s">
        <v>80</v>
      </c>
      <c r="F28" s="17" t="s">
        <v>55</v>
      </c>
      <c r="G28" s="17" t="s">
        <v>161</v>
      </c>
      <c r="H28" s="44" t="s">
        <v>162</v>
      </c>
      <c r="I28" s="45">
        <v>1.0</v>
      </c>
      <c r="J28" s="45">
        <v>509.0</v>
      </c>
      <c r="K28" s="45">
        <v>569.0</v>
      </c>
      <c r="L28" s="45">
        <v>42.0</v>
      </c>
      <c r="M28" s="45">
        <v>24.0</v>
      </c>
      <c r="N28" s="45">
        <v>509.0</v>
      </c>
      <c r="O28" s="46">
        <v>41.0</v>
      </c>
      <c r="P28" s="46">
        <v>14.0</v>
      </c>
      <c r="Q28" s="46">
        <f>IFERROR(__xludf.DUMMYFUNCTION("""COMPUTED_VALUE"""),0.0)</f>
        <v>0</v>
      </c>
      <c r="R28" s="47">
        <v>60.0</v>
      </c>
    </row>
    <row r="29" ht="22.5" customHeight="1">
      <c r="A29" s="42">
        <v>44477.0</v>
      </c>
      <c r="B29" s="43">
        <v>44477.62532407408</v>
      </c>
      <c r="C29" s="17" t="s">
        <v>78</v>
      </c>
      <c r="D29" s="17" t="s">
        <v>163</v>
      </c>
      <c r="E29" s="17" t="s">
        <v>84</v>
      </c>
      <c r="F29" s="17" t="s">
        <v>50</v>
      </c>
      <c r="G29" s="17" t="s">
        <v>164</v>
      </c>
      <c r="H29" s="44" t="s">
        <v>165</v>
      </c>
      <c r="I29" s="45">
        <v>1.0</v>
      </c>
      <c r="J29" s="45">
        <v>347.0</v>
      </c>
      <c r="K29" s="45">
        <v>412.0</v>
      </c>
      <c r="L29" s="45">
        <v>34.0</v>
      </c>
      <c r="M29" s="45">
        <v>12.0</v>
      </c>
      <c r="N29" s="45">
        <v>347.0</v>
      </c>
      <c r="O29" s="46">
        <v>41.0</v>
      </c>
      <c r="P29" s="46">
        <v>15.0</v>
      </c>
      <c r="Q29" s="46">
        <f>IFERROR(__xludf.DUMMYFUNCTION("""COMPUTED_VALUE"""),0.0)</f>
        <v>0</v>
      </c>
      <c r="R29" s="47">
        <v>65.0</v>
      </c>
    </row>
    <row r="30" ht="22.5" customHeight="1">
      <c r="A30" s="42">
        <v>44477.0</v>
      </c>
      <c r="B30" s="43">
        <v>44477.79167824074</v>
      </c>
      <c r="C30" s="17" t="s">
        <v>78</v>
      </c>
      <c r="D30" s="17" t="s">
        <v>166</v>
      </c>
      <c r="E30" s="17" t="s">
        <v>80</v>
      </c>
      <c r="F30" s="17" t="s">
        <v>53</v>
      </c>
      <c r="G30" s="17" t="s">
        <v>167</v>
      </c>
      <c r="H30" s="44" t="s">
        <v>168</v>
      </c>
      <c r="I30" s="45">
        <v>1.0</v>
      </c>
      <c r="J30" s="45">
        <v>11976.0</v>
      </c>
      <c r="K30" s="45">
        <v>16483.0</v>
      </c>
      <c r="L30" s="45">
        <v>242.0</v>
      </c>
      <c r="M30" s="45">
        <v>589.0</v>
      </c>
      <c r="N30" s="45">
        <v>11976.0</v>
      </c>
      <c r="O30" s="46">
        <v>41.0</v>
      </c>
      <c r="P30" s="46">
        <v>19.0</v>
      </c>
      <c r="Q30" s="46">
        <f>IFERROR(__xludf.DUMMYFUNCTION("""COMPUTED_VALUE"""),0.0)</f>
        <v>0</v>
      </c>
      <c r="R30" s="47">
        <v>4507.0</v>
      </c>
    </row>
    <row r="31" ht="22.5" customHeight="1">
      <c r="A31" s="42">
        <v>44478.0</v>
      </c>
      <c r="B31" s="43">
        <v>44478.375023148146</v>
      </c>
      <c r="C31" s="17" t="s">
        <v>78</v>
      </c>
      <c r="D31" s="17" t="s">
        <v>169</v>
      </c>
      <c r="E31" s="17" t="s">
        <v>84</v>
      </c>
      <c r="F31" s="17" t="s">
        <v>50</v>
      </c>
      <c r="G31" s="17" t="s">
        <v>170</v>
      </c>
      <c r="H31" s="44" t="s">
        <v>171</v>
      </c>
      <c r="I31" s="45">
        <v>1.0</v>
      </c>
      <c r="J31" s="45">
        <v>1614.0</v>
      </c>
      <c r="K31" s="45">
        <v>1673.0</v>
      </c>
      <c r="L31" s="45">
        <v>250.0</v>
      </c>
      <c r="M31" s="45">
        <v>54.0</v>
      </c>
      <c r="N31" s="45">
        <v>1614.0</v>
      </c>
      <c r="O31" s="46">
        <v>41.0</v>
      </c>
      <c r="P31" s="46">
        <v>9.0</v>
      </c>
      <c r="Q31" s="46">
        <f>IFERROR(__xludf.DUMMYFUNCTION("""COMPUTED_VALUE"""),0.0)</f>
        <v>0</v>
      </c>
      <c r="R31" s="47">
        <v>59.0</v>
      </c>
    </row>
    <row r="32" ht="22.5" customHeight="1">
      <c r="A32" s="42">
        <v>44478.0</v>
      </c>
      <c r="B32" s="43">
        <v>44478.45835648148</v>
      </c>
      <c r="C32" s="17" t="s">
        <v>78</v>
      </c>
      <c r="D32" s="17" t="s">
        <v>172</v>
      </c>
      <c r="E32" s="17" t="s">
        <v>109</v>
      </c>
      <c r="F32" s="17" t="s">
        <v>49</v>
      </c>
      <c r="G32" s="17" t="s">
        <v>173</v>
      </c>
      <c r="H32" s="44" t="s">
        <v>174</v>
      </c>
      <c r="I32" s="45">
        <v>1.0</v>
      </c>
      <c r="J32" s="45">
        <v>854.0</v>
      </c>
      <c r="K32" s="45">
        <v>938.0</v>
      </c>
      <c r="L32" s="45">
        <v>69.0</v>
      </c>
      <c r="M32" s="45">
        <v>42.0</v>
      </c>
      <c r="N32" s="45">
        <v>854.0</v>
      </c>
      <c r="O32" s="46">
        <v>41.0</v>
      </c>
      <c r="P32" s="46">
        <v>11.0</v>
      </c>
      <c r="Q32" s="46">
        <f>IFERROR(__xludf.DUMMYFUNCTION("""COMPUTED_VALUE"""),0.0)</f>
        <v>0</v>
      </c>
      <c r="R32" s="47">
        <v>84.0</v>
      </c>
    </row>
    <row r="33" ht="22.5" customHeight="1">
      <c r="A33" s="42">
        <v>44478.0</v>
      </c>
      <c r="B33" s="43">
        <v>44478.54167824074</v>
      </c>
      <c r="C33" s="17" t="s">
        <v>78</v>
      </c>
      <c r="D33" s="17" t="s">
        <v>175</v>
      </c>
      <c r="E33" s="17" t="s">
        <v>84</v>
      </c>
      <c r="F33" s="17" t="s">
        <v>50</v>
      </c>
      <c r="G33" s="17" t="s">
        <v>176</v>
      </c>
      <c r="H33" s="44" t="s">
        <v>177</v>
      </c>
      <c r="I33" s="45">
        <v>1.0</v>
      </c>
      <c r="J33" s="45">
        <v>726.0</v>
      </c>
      <c r="K33" s="45">
        <v>734.0</v>
      </c>
      <c r="L33" s="45">
        <v>23.0</v>
      </c>
      <c r="M33" s="45">
        <v>62.0</v>
      </c>
      <c r="N33" s="45">
        <v>726.0</v>
      </c>
      <c r="O33" s="46">
        <v>41.0</v>
      </c>
      <c r="P33" s="46">
        <v>13.0</v>
      </c>
      <c r="Q33" s="46">
        <f>IFERROR(__xludf.DUMMYFUNCTION("""COMPUTED_VALUE"""),0.0)</f>
        <v>0</v>
      </c>
      <c r="R33" s="47">
        <v>8.0</v>
      </c>
    </row>
    <row r="34" ht="22.5" customHeight="1">
      <c r="A34" s="42">
        <v>44478.0</v>
      </c>
      <c r="B34" s="43">
        <v>44478.666863425926</v>
      </c>
      <c r="C34" s="17" t="s">
        <v>78</v>
      </c>
      <c r="D34" s="17" t="s">
        <v>178</v>
      </c>
      <c r="E34" s="17" t="s">
        <v>84</v>
      </c>
      <c r="F34" s="17" t="s">
        <v>50</v>
      </c>
      <c r="G34" s="17" t="s">
        <v>179</v>
      </c>
      <c r="H34" s="44" t="s">
        <v>180</v>
      </c>
      <c r="I34" s="45">
        <v>1.0</v>
      </c>
      <c r="J34" s="45">
        <v>264.0</v>
      </c>
      <c r="K34" s="45">
        <v>270.0</v>
      </c>
      <c r="L34" s="45">
        <v>16.0</v>
      </c>
      <c r="M34" s="45">
        <v>22.0</v>
      </c>
      <c r="N34" s="45">
        <v>264.0</v>
      </c>
      <c r="O34" s="46">
        <v>41.0</v>
      </c>
      <c r="P34" s="46">
        <v>16.0</v>
      </c>
      <c r="Q34" s="46">
        <f>IFERROR(__xludf.DUMMYFUNCTION("""COMPUTED_VALUE"""),0.0)</f>
        <v>0</v>
      </c>
      <c r="R34" s="47">
        <v>6.0</v>
      </c>
    </row>
    <row r="35" ht="22.5" customHeight="1">
      <c r="A35" s="42">
        <v>44478.0</v>
      </c>
      <c r="B35" s="43">
        <v>44478.708344907405</v>
      </c>
      <c r="C35" s="17" t="s">
        <v>78</v>
      </c>
      <c r="D35" s="17" t="s">
        <v>181</v>
      </c>
      <c r="E35" s="17" t="s">
        <v>84</v>
      </c>
      <c r="F35" s="17" t="s">
        <v>50</v>
      </c>
      <c r="G35" s="17" t="s">
        <v>182</v>
      </c>
      <c r="H35" s="44" t="s">
        <v>183</v>
      </c>
      <c r="I35" s="45">
        <v>1.0</v>
      </c>
      <c r="J35" s="45">
        <v>857.0</v>
      </c>
      <c r="K35" s="45">
        <v>893.0</v>
      </c>
      <c r="L35" s="45">
        <v>90.0</v>
      </c>
      <c r="M35" s="45">
        <v>30.0</v>
      </c>
      <c r="N35" s="45">
        <v>857.0</v>
      </c>
      <c r="O35" s="46">
        <v>41.0</v>
      </c>
      <c r="P35" s="46">
        <v>17.0</v>
      </c>
      <c r="Q35" s="46">
        <f>IFERROR(__xludf.DUMMYFUNCTION("""COMPUTED_VALUE"""),0.0)</f>
        <v>0</v>
      </c>
      <c r="R35" s="47">
        <v>36.0</v>
      </c>
    </row>
    <row r="36" ht="22.5" customHeight="1">
      <c r="A36" s="42">
        <v>44478.0</v>
      </c>
      <c r="B36" s="43">
        <v>44478.791666666664</v>
      </c>
      <c r="C36" s="17" t="s">
        <v>78</v>
      </c>
      <c r="D36" s="17" t="s">
        <v>184</v>
      </c>
      <c r="E36" s="17" t="s">
        <v>80</v>
      </c>
      <c r="F36" s="17" t="s">
        <v>55</v>
      </c>
      <c r="G36" s="17" t="s">
        <v>185</v>
      </c>
      <c r="H36" s="44" t="s">
        <v>186</v>
      </c>
      <c r="I36" s="45">
        <v>1.0</v>
      </c>
      <c r="J36" s="45">
        <v>1195.0</v>
      </c>
      <c r="K36" s="45">
        <v>1313.0</v>
      </c>
      <c r="L36" s="45">
        <v>194.0</v>
      </c>
      <c r="M36" s="45">
        <v>72.0</v>
      </c>
      <c r="N36" s="45">
        <v>1195.0</v>
      </c>
      <c r="O36" s="46">
        <v>41.0</v>
      </c>
      <c r="P36" s="46">
        <v>19.0</v>
      </c>
      <c r="Q36" s="46">
        <f>IFERROR(__xludf.DUMMYFUNCTION("""COMPUTED_VALUE"""),0.0)</f>
        <v>0</v>
      </c>
      <c r="R36" s="47">
        <v>118.0</v>
      </c>
    </row>
    <row r="37" ht="22.5" customHeight="1">
      <c r="A37" s="42">
        <v>44479.0</v>
      </c>
      <c r="B37" s="43">
        <v>44479.291712962964</v>
      </c>
      <c r="C37" s="17" t="s">
        <v>78</v>
      </c>
      <c r="D37" s="17" t="s">
        <v>187</v>
      </c>
      <c r="E37" s="17" t="s">
        <v>97</v>
      </c>
      <c r="F37" s="17" t="s">
        <v>52</v>
      </c>
      <c r="G37" s="17" t="s">
        <v>188</v>
      </c>
      <c r="H37" s="44" t="s">
        <v>189</v>
      </c>
      <c r="I37" s="45">
        <v>1.0</v>
      </c>
      <c r="J37" s="45">
        <v>150.0</v>
      </c>
      <c r="K37" s="45">
        <v>155.0</v>
      </c>
      <c r="L37" s="45">
        <v>9.0</v>
      </c>
      <c r="M37" s="45">
        <v>1.0</v>
      </c>
      <c r="N37" s="45">
        <v>150.0</v>
      </c>
      <c r="O37" s="46">
        <v>42.0</v>
      </c>
      <c r="P37" s="46">
        <v>7.0</v>
      </c>
      <c r="Q37" s="46">
        <f>IFERROR(__xludf.DUMMYFUNCTION("""COMPUTED_VALUE"""),0.0)</f>
        <v>0</v>
      </c>
      <c r="R37" s="47">
        <v>5.0</v>
      </c>
    </row>
    <row r="38" ht="22.5" customHeight="1">
      <c r="A38" s="42">
        <v>44479.0</v>
      </c>
      <c r="B38" s="43">
        <v>44479.375</v>
      </c>
      <c r="C38" s="17" t="s">
        <v>78</v>
      </c>
      <c r="D38" s="17" t="s">
        <v>190</v>
      </c>
      <c r="E38" s="17" t="s">
        <v>84</v>
      </c>
      <c r="F38" s="17" t="s">
        <v>50</v>
      </c>
      <c r="G38" s="17" t="s">
        <v>191</v>
      </c>
      <c r="H38" s="44" t="s">
        <v>192</v>
      </c>
      <c r="I38" s="45">
        <v>1.0</v>
      </c>
      <c r="J38" s="45">
        <v>16298.0</v>
      </c>
      <c r="K38" s="45">
        <v>16657.0</v>
      </c>
      <c r="L38" s="45">
        <v>358.0</v>
      </c>
      <c r="M38" s="45">
        <v>162.0</v>
      </c>
      <c r="N38" s="45">
        <v>16298.0</v>
      </c>
      <c r="O38" s="46">
        <v>42.0</v>
      </c>
      <c r="P38" s="46">
        <v>9.0</v>
      </c>
      <c r="Q38" s="46">
        <f>IFERROR(__xludf.DUMMYFUNCTION("""COMPUTED_VALUE"""),0.0)</f>
        <v>0</v>
      </c>
      <c r="R38" s="47">
        <v>359.0</v>
      </c>
    </row>
    <row r="39" ht="22.5" customHeight="1">
      <c r="A39" s="42">
        <v>44479.0</v>
      </c>
      <c r="B39" s="43">
        <v>44479.50001157408</v>
      </c>
      <c r="C39" s="17" t="s">
        <v>78</v>
      </c>
      <c r="D39" s="17" t="s">
        <v>193</v>
      </c>
      <c r="E39" s="17" t="s">
        <v>84</v>
      </c>
      <c r="F39" s="17" t="s">
        <v>50</v>
      </c>
      <c r="G39" s="17" t="s">
        <v>194</v>
      </c>
      <c r="H39" s="44" t="s">
        <v>195</v>
      </c>
      <c r="I39" s="45">
        <v>1.0</v>
      </c>
      <c r="J39" s="45">
        <v>4033.0</v>
      </c>
      <c r="K39" s="45">
        <v>4594.0</v>
      </c>
      <c r="L39" s="45">
        <v>234.0</v>
      </c>
      <c r="M39" s="45">
        <v>56.0</v>
      </c>
      <c r="N39" s="45">
        <v>4033.0</v>
      </c>
      <c r="O39" s="46">
        <v>42.0</v>
      </c>
      <c r="P39" s="46">
        <v>12.0</v>
      </c>
      <c r="Q39" s="46">
        <f>IFERROR(__xludf.DUMMYFUNCTION("""COMPUTED_VALUE"""),0.0)</f>
        <v>0</v>
      </c>
      <c r="R39" s="47">
        <v>561.0</v>
      </c>
    </row>
    <row r="40" ht="22.5" customHeight="1">
      <c r="A40" s="42">
        <v>44479.0</v>
      </c>
      <c r="B40" s="43">
        <v>44479.708333333336</v>
      </c>
      <c r="C40" s="17" t="s">
        <v>78</v>
      </c>
      <c r="D40" s="17" t="s">
        <v>196</v>
      </c>
      <c r="E40" s="17" t="s">
        <v>84</v>
      </c>
      <c r="F40" s="17" t="s">
        <v>50</v>
      </c>
      <c r="G40" s="17" t="s">
        <v>197</v>
      </c>
      <c r="H40" s="44" t="s">
        <v>198</v>
      </c>
      <c r="I40" s="45">
        <v>1.0</v>
      </c>
      <c r="J40" s="45">
        <v>702.0</v>
      </c>
      <c r="K40" s="45">
        <v>721.0</v>
      </c>
      <c r="L40" s="45">
        <v>46.0</v>
      </c>
      <c r="M40" s="45">
        <v>10.0</v>
      </c>
      <c r="N40" s="45">
        <v>702.0</v>
      </c>
      <c r="O40" s="46">
        <v>42.0</v>
      </c>
      <c r="P40" s="46">
        <v>17.0</v>
      </c>
      <c r="Q40" s="46">
        <f>IFERROR(__xludf.DUMMYFUNCTION("""COMPUTED_VALUE"""),0.0)</f>
        <v>0</v>
      </c>
      <c r="R40" s="47">
        <v>19.0</v>
      </c>
    </row>
    <row r="41" ht="22.5" customHeight="1">
      <c r="A41" s="42">
        <v>44480.0</v>
      </c>
      <c r="B41" s="43">
        <v>44480.333333333336</v>
      </c>
      <c r="C41" s="17" t="s">
        <v>78</v>
      </c>
      <c r="D41" s="17" t="s">
        <v>199</v>
      </c>
      <c r="E41" s="17" t="s">
        <v>84</v>
      </c>
      <c r="F41" s="17" t="s">
        <v>50</v>
      </c>
      <c r="G41" s="17" t="s">
        <v>200</v>
      </c>
      <c r="H41" s="44" t="s">
        <v>201</v>
      </c>
      <c r="I41" s="45">
        <v>1.0</v>
      </c>
      <c r="J41" s="45">
        <v>836.0</v>
      </c>
      <c r="K41" s="45">
        <v>849.0</v>
      </c>
      <c r="L41" s="45">
        <v>60.0</v>
      </c>
      <c r="M41" s="45">
        <v>30.0</v>
      </c>
      <c r="N41" s="45">
        <v>836.0</v>
      </c>
      <c r="O41" s="46">
        <v>42.0</v>
      </c>
      <c r="P41" s="46">
        <v>8.0</v>
      </c>
      <c r="Q41" s="46">
        <f>IFERROR(__xludf.DUMMYFUNCTION("""COMPUTED_VALUE"""),0.0)</f>
        <v>0</v>
      </c>
      <c r="R41" s="47">
        <v>13.0</v>
      </c>
    </row>
    <row r="42" ht="22.5" customHeight="1">
      <c r="A42" s="42">
        <v>44480.0</v>
      </c>
      <c r="B42" s="43">
        <v>44480.37501157408</v>
      </c>
      <c r="C42" s="17" t="s">
        <v>78</v>
      </c>
      <c r="D42" s="17" t="s">
        <v>202</v>
      </c>
      <c r="E42" s="17" t="s">
        <v>84</v>
      </c>
      <c r="F42" s="17" t="s">
        <v>50</v>
      </c>
      <c r="G42" s="17" t="s">
        <v>203</v>
      </c>
      <c r="H42" s="44" t="s">
        <v>204</v>
      </c>
      <c r="I42" s="45">
        <v>1.0</v>
      </c>
      <c r="J42" s="45">
        <v>1534.0</v>
      </c>
      <c r="K42" s="45">
        <v>1589.0</v>
      </c>
      <c r="L42" s="45">
        <v>157.0</v>
      </c>
      <c r="M42" s="45">
        <v>94.0</v>
      </c>
      <c r="N42" s="45">
        <v>1534.0</v>
      </c>
      <c r="O42" s="46">
        <v>42.0</v>
      </c>
      <c r="P42" s="46">
        <v>9.0</v>
      </c>
      <c r="Q42" s="46">
        <f>IFERROR(__xludf.DUMMYFUNCTION("""COMPUTED_VALUE"""),0.0)</f>
        <v>0</v>
      </c>
      <c r="R42" s="47">
        <v>55.0</v>
      </c>
    </row>
    <row r="43" ht="22.5" customHeight="1">
      <c r="A43" s="42">
        <v>44480.0</v>
      </c>
      <c r="B43" s="43">
        <v>44480.458391203705</v>
      </c>
      <c r="C43" s="17" t="s">
        <v>78</v>
      </c>
      <c r="D43" s="17" t="s">
        <v>205</v>
      </c>
      <c r="E43" s="17" t="s">
        <v>84</v>
      </c>
      <c r="F43" s="17" t="s">
        <v>50</v>
      </c>
      <c r="G43" s="17" t="s">
        <v>206</v>
      </c>
      <c r="H43" s="44" t="s">
        <v>207</v>
      </c>
      <c r="I43" s="45">
        <v>1.0</v>
      </c>
      <c r="J43" s="45">
        <v>687.0</v>
      </c>
      <c r="K43" s="45">
        <v>778.0</v>
      </c>
      <c r="L43" s="45">
        <v>40.0</v>
      </c>
      <c r="M43" s="45">
        <v>49.0</v>
      </c>
      <c r="N43" s="45">
        <v>687.0</v>
      </c>
      <c r="O43" s="46">
        <v>42.0</v>
      </c>
      <c r="P43" s="46">
        <v>11.0</v>
      </c>
      <c r="Q43" s="46">
        <f>IFERROR(__xludf.DUMMYFUNCTION("""COMPUTED_VALUE"""),0.0)</f>
        <v>0</v>
      </c>
      <c r="R43" s="47">
        <v>91.0</v>
      </c>
    </row>
    <row r="44" ht="22.5" customHeight="1">
      <c r="A44" s="42">
        <v>44480.0</v>
      </c>
      <c r="B44" s="43">
        <v>44480.5</v>
      </c>
      <c r="C44" s="17" t="s">
        <v>78</v>
      </c>
      <c r="D44" s="17" t="s">
        <v>208</v>
      </c>
      <c r="E44" s="17" t="s">
        <v>84</v>
      </c>
      <c r="F44" s="17" t="s">
        <v>50</v>
      </c>
      <c r="G44" s="17" t="s">
        <v>209</v>
      </c>
      <c r="H44" s="44" t="s">
        <v>210</v>
      </c>
      <c r="I44" s="45">
        <v>1.0</v>
      </c>
      <c r="J44" s="45">
        <v>3652.0</v>
      </c>
      <c r="K44" s="45">
        <v>4714.0</v>
      </c>
      <c r="L44" s="45">
        <v>985.0</v>
      </c>
      <c r="M44" s="45">
        <v>216.0</v>
      </c>
      <c r="N44" s="45">
        <v>3652.0</v>
      </c>
      <c r="O44" s="46">
        <v>42.0</v>
      </c>
      <c r="P44" s="46">
        <v>12.0</v>
      </c>
      <c r="Q44" s="46">
        <f>IFERROR(__xludf.DUMMYFUNCTION("""COMPUTED_VALUE"""),0.0)</f>
        <v>0</v>
      </c>
      <c r="R44" s="47">
        <v>1062.0</v>
      </c>
    </row>
    <row r="45" ht="22.5" customHeight="1">
      <c r="A45" s="42">
        <v>44480.0</v>
      </c>
      <c r="B45" s="43">
        <v>44480.600625</v>
      </c>
      <c r="C45" s="17" t="s">
        <v>78</v>
      </c>
      <c r="D45" s="17" t="s">
        <v>211</v>
      </c>
      <c r="E45" s="17" t="s">
        <v>84</v>
      </c>
      <c r="F45" s="17" t="s">
        <v>51</v>
      </c>
      <c r="G45" s="17"/>
      <c r="H45" s="44" t="s">
        <v>212</v>
      </c>
      <c r="I45" s="45">
        <v>1.0</v>
      </c>
      <c r="J45" s="45">
        <v>12622.0</v>
      </c>
      <c r="K45" s="45">
        <v>18460.0</v>
      </c>
      <c r="L45" s="45">
        <v>2083.0</v>
      </c>
      <c r="M45" s="45">
        <v>219.0</v>
      </c>
      <c r="N45" s="45">
        <v>12622.0</v>
      </c>
      <c r="O45" s="46">
        <v>42.0</v>
      </c>
      <c r="P45" s="46">
        <v>14.0</v>
      </c>
      <c r="Q45" s="46">
        <f>IFERROR(__xludf.DUMMYFUNCTION("""COMPUTED_VALUE"""),0.0)</f>
        <v>0</v>
      </c>
      <c r="R45" s="47">
        <v>5838.0</v>
      </c>
    </row>
    <row r="46" ht="22.5" customHeight="1">
      <c r="A46" s="42">
        <v>44480.0</v>
      </c>
      <c r="B46" s="43">
        <v>44480.66694444444</v>
      </c>
      <c r="C46" s="17" t="s">
        <v>78</v>
      </c>
      <c r="D46" s="17" t="s">
        <v>213</v>
      </c>
      <c r="E46" s="17" t="s">
        <v>84</v>
      </c>
      <c r="F46" s="17" t="s">
        <v>50</v>
      </c>
      <c r="G46" s="17" t="s">
        <v>214</v>
      </c>
      <c r="H46" s="44" t="s">
        <v>215</v>
      </c>
      <c r="I46" s="45">
        <v>1.0</v>
      </c>
      <c r="J46" s="45">
        <v>10675.0</v>
      </c>
      <c r="K46" s="45">
        <v>11193.0</v>
      </c>
      <c r="L46" s="45">
        <v>1187.0</v>
      </c>
      <c r="M46" s="45">
        <v>387.0</v>
      </c>
      <c r="N46" s="45">
        <v>10675.0</v>
      </c>
      <c r="O46" s="46">
        <v>42.0</v>
      </c>
      <c r="P46" s="46">
        <v>16.0</v>
      </c>
      <c r="Q46" s="46">
        <f>IFERROR(__xludf.DUMMYFUNCTION("""COMPUTED_VALUE"""),0.0)</f>
        <v>0</v>
      </c>
      <c r="R46" s="47">
        <v>518.0</v>
      </c>
    </row>
    <row r="47" ht="22.5" customHeight="1">
      <c r="A47" s="42">
        <v>44480.0</v>
      </c>
      <c r="B47" s="43">
        <v>44480.70836805556</v>
      </c>
      <c r="C47" s="17" t="s">
        <v>78</v>
      </c>
      <c r="D47" s="17" t="s">
        <v>216</v>
      </c>
      <c r="E47" s="17" t="s">
        <v>84</v>
      </c>
      <c r="F47" s="17" t="s">
        <v>50</v>
      </c>
      <c r="G47" s="17" t="s">
        <v>217</v>
      </c>
      <c r="H47" s="44" t="s">
        <v>218</v>
      </c>
      <c r="I47" s="45">
        <v>1.0</v>
      </c>
      <c r="J47" s="45">
        <v>348.0</v>
      </c>
      <c r="K47" s="45">
        <v>377.0</v>
      </c>
      <c r="L47" s="45">
        <v>29.0</v>
      </c>
      <c r="M47" s="45">
        <v>10.0</v>
      </c>
      <c r="N47" s="45">
        <v>348.0</v>
      </c>
      <c r="O47" s="46">
        <v>42.0</v>
      </c>
      <c r="P47" s="46">
        <v>17.0</v>
      </c>
      <c r="Q47" s="46">
        <f>IFERROR(__xludf.DUMMYFUNCTION("""COMPUTED_VALUE"""),0.0)</f>
        <v>0</v>
      </c>
      <c r="R47" s="47">
        <v>29.0</v>
      </c>
    </row>
    <row r="48" ht="22.5" customHeight="1">
      <c r="A48" s="42">
        <v>44480.0</v>
      </c>
      <c r="B48" s="43">
        <v>44480.75</v>
      </c>
      <c r="C48" s="17" t="s">
        <v>78</v>
      </c>
      <c r="D48" s="17" t="s">
        <v>219</v>
      </c>
      <c r="E48" s="17" t="s">
        <v>84</v>
      </c>
      <c r="F48" s="17" t="s">
        <v>50</v>
      </c>
      <c r="G48" s="17" t="s">
        <v>220</v>
      </c>
      <c r="H48" s="44" t="s">
        <v>221</v>
      </c>
      <c r="I48" s="45">
        <v>1.0</v>
      </c>
      <c r="J48" s="45">
        <v>2083.0</v>
      </c>
      <c r="K48" s="45">
        <v>2125.0</v>
      </c>
      <c r="L48" s="45">
        <v>109.0</v>
      </c>
      <c r="M48" s="45">
        <v>28.0</v>
      </c>
      <c r="N48" s="45">
        <v>2083.0</v>
      </c>
      <c r="O48" s="46">
        <v>42.0</v>
      </c>
      <c r="P48" s="46">
        <v>18.0</v>
      </c>
      <c r="Q48" s="46">
        <f>IFERROR(__xludf.DUMMYFUNCTION("""COMPUTED_VALUE"""),0.0)</f>
        <v>0</v>
      </c>
      <c r="R48" s="47">
        <v>42.0</v>
      </c>
    </row>
    <row r="49" ht="22.5" customHeight="1">
      <c r="A49" s="42">
        <v>44480.0</v>
      </c>
      <c r="B49" s="43">
        <v>44480.83335648148</v>
      </c>
      <c r="C49" s="17" t="s">
        <v>78</v>
      </c>
      <c r="D49" s="17" t="s">
        <v>222</v>
      </c>
      <c r="E49" s="17" t="s">
        <v>84</v>
      </c>
      <c r="F49" s="17" t="s">
        <v>50</v>
      </c>
      <c r="G49" s="17" t="s">
        <v>223</v>
      </c>
      <c r="H49" s="44" t="s">
        <v>224</v>
      </c>
      <c r="I49" s="45">
        <v>1.0</v>
      </c>
      <c r="J49" s="45">
        <v>370.0</v>
      </c>
      <c r="K49" s="45">
        <v>384.0</v>
      </c>
      <c r="L49" s="45">
        <v>96.0</v>
      </c>
      <c r="M49" s="45">
        <v>5.0</v>
      </c>
      <c r="N49" s="45">
        <v>370.0</v>
      </c>
      <c r="O49" s="46">
        <v>42.0</v>
      </c>
      <c r="P49" s="46">
        <v>20.0</v>
      </c>
      <c r="Q49" s="46">
        <f>IFERROR(__xludf.DUMMYFUNCTION("""COMPUTED_VALUE"""),0.0)</f>
        <v>0</v>
      </c>
      <c r="R49" s="47">
        <v>14.0</v>
      </c>
    </row>
    <row r="50" ht="22.5" customHeight="1">
      <c r="A50" s="42">
        <v>44481.0</v>
      </c>
      <c r="B50" s="43">
        <v>44481.54168981482</v>
      </c>
      <c r="C50" s="17" t="s">
        <v>78</v>
      </c>
      <c r="D50" s="17" t="s">
        <v>225</v>
      </c>
      <c r="E50" s="17" t="s">
        <v>84</v>
      </c>
      <c r="F50" s="17" t="s">
        <v>50</v>
      </c>
      <c r="G50" s="17" t="s">
        <v>226</v>
      </c>
      <c r="H50" s="44" t="s">
        <v>227</v>
      </c>
      <c r="I50" s="45">
        <v>1.0</v>
      </c>
      <c r="J50" s="45">
        <v>3357.0</v>
      </c>
      <c r="K50" s="45">
        <v>3392.0</v>
      </c>
      <c r="L50" s="45">
        <v>54.0</v>
      </c>
      <c r="M50" s="45">
        <v>11.0</v>
      </c>
      <c r="N50" s="45">
        <v>3357.0</v>
      </c>
      <c r="O50" s="46">
        <v>42.0</v>
      </c>
      <c r="P50" s="46">
        <v>13.0</v>
      </c>
      <c r="Q50" s="46">
        <f>IFERROR(__xludf.DUMMYFUNCTION("""COMPUTED_VALUE"""),0.0)</f>
        <v>0</v>
      </c>
      <c r="R50" s="47">
        <v>35.0</v>
      </c>
    </row>
    <row r="51" ht="22.5" customHeight="1">
      <c r="A51" s="42">
        <v>44481.0</v>
      </c>
      <c r="B51" s="43">
        <v>44481.625023148146</v>
      </c>
      <c r="C51" s="17" t="s">
        <v>78</v>
      </c>
      <c r="D51" s="17" t="s">
        <v>228</v>
      </c>
      <c r="E51" s="17" t="s">
        <v>109</v>
      </c>
      <c r="F51" s="17" t="s">
        <v>50</v>
      </c>
      <c r="G51" s="17"/>
      <c r="H51" s="44" t="s">
        <v>229</v>
      </c>
      <c r="I51" s="45">
        <v>1.0</v>
      </c>
      <c r="J51" s="45">
        <v>1108.0</v>
      </c>
      <c r="K51" s="45">
        <v>1150.0</v>
      </c>
      <c r="L51" s="45">
        <v>105.0</v>
      </c>
      <c r="M51" s="45">
        <v>50.0</v>
      </c>
      <c r="N51" s="45">
        <v>1108.0</v>
      </c>
      <c r="O51" s="46">
        <v>42.0</v>
      </c>
      <c r="P51" s="46">
        <v>15.0</v>
      </c>
      <c r="Q51" s="46">
        <f>IFERROR(__xludf.DUMMYFUNCTION("""COMPUTED_VALUE"""),0.0)</f>
        <v>0</v>
      </c>
      <c r="R51" s="47">
        <v>42.0</v>
      </c>
    </row>
    <row r="52" ht="22.5" customHeight="1">
      <c r="A52" s="42">
        <v>44481.0</v>
      </c>
      <c r="B52" s="43">
        <v>44481.791921296295</v>
      </c>
      <c r="C52" s="17" t="s">
        <v>78</v>
      </c>
      <c r="D52" s="17" t="s">
        <v>230</v>
      </c>
      <c r="E52" s="17" t="s">
        <v>80</v>
      </c>
      <c r="F52" s="17" t="s">
        <v>55</v>
      </c>
      <c r="G52" s="17" t="s">
        <v>231</v>
      </c>
      <c r="H52" s="44" t="s">
        <v>232</v>
      </c>
      <c r="I52" s="45">
        <v>1.0</v>
      </c>
      <c r="J52" s="45">
        <v>444.0</v>
      </c>
      <c r="K52" s="45">
        <v>523.0</v>
      </c>
      <c r="L52" s="45">
        <v>37.0</v>
      </c>
      <c r="M52" s="45">
        <v>12.0</v>
      </c>
      <c r="N52" s="45">
        <v>444.0</v>
      </c>
      <c r="O52" s="46">
        <v>42.0</v>
      </c>
      <c r="P52" s="46">
        <v>19.0</v>
      </c>
      <c r="Q52" s="46">
        <f>IFERROR(__xludf.DUMMYFUNCTION("""COMPUTED_VALUE"""),0.0)</f>
        <v>0</v>
      </c>
      <c r="R52" s="47">
        <v>79.0</v>
      </c>
    </row>
    <row r="53" ht="22.5" customHeight="1">
      <c r="A53" s="42">
        <v>44481.0</v>
      </c>
      <c r="B53" s="43">
        <v>44481.83335648148</v>
      </c>
      <c r="C53" s="17" t="s">
        <v>78</v>
      </c>
      <c r="D53" s="17" t="s">
        <v>233</v>
      </c>
      <c r="E53" s="17" t="s">
        <v>84</v>
      </c>
      <c r="F53" s="17" t="s">
        <v>50</v>
      </c>
      <c r="G53" s="17" t="s">
        <v>234</v>
      </c>
      <c r="H53" s="44" t="s">
        <v>235</v>
      </c>
      <c r="I53" s="45">
        <v>1.0</v>
      </c>
      <c r="J53" s="45">
        <v>871.0</v>
      </c>
      <c r="K53" s="45">
        <v>911.0</v>
      </c>
      <c r="L53" s="45">
        <v>146.0</v>
      </c>
      <c r="M53" s="45">
        <v>30.0</v>
      </c>
      <c r="N53" s="45">
        <v>871.0</v>
      </c>
      <c r="O53" s="46">
        <v>42.0</v>
      </c>
      <c r="P53" s="46">
        <v>20.0</v>
      </c>
      <c r="Q53" s="46">
        <f>IFERROR(__xludf.DUMMYFUNCTION("""COMPUTED_VALUE"""),0.0)</f>
        <v>0</v>
      </c>
      <c r="R53" s="47">
        <v>40.0</v>
      </c>
    </row>
    <row r="54" ht="22.5" customHeight="1">
      <c r="A54" s="42">
        <v>44482.0</v>
      </c>
      <c r="B54" s="43">
        <v>44482.41667824074</v>
      </c>
      <c r="C54" s="17" t="s">
        <v>78</v>
      </c>
      <c r="D54" s="17" t="s">
        <v>236</v>
      </c>
      <c r="E54" s="17" t="s">
        <v>84</v>
      </c>
      <c r="F54" s="17" t="s">
        <v>50</v>
      </c>
      <c r="G54" s="17" t="s">
        <v>237</v>
      </c>
      <c r="H54" s="44" t="s">
        <v>238</v>
      </c>
      <c r="I54" s="45">
        <v>1.0</v>
      </c>
      <c r="J54" s="45">
        <v>1696.0</v>
      </c>
      <c r="K54" s="45">
        <v>1775.0</v>
      </c>
      <c r="L54" s="45">
        <v>285.0</v>
      </c>
      <c r="M54" s="45">
        <v>46.0</v>
      </c>
      <c r="N54" s="45">
        <v>1696.0</v>
      </c>
      <c r="O54" s="46">
        <v>42.0</v>
      </c>
      <c r="P54" s="46">
        <v>10.0</v>
      </c>
      <c r="Q54" s="46">
        <f>IFERROR(__xludf.DUMMYFUNCTION("""COMPUTED_VALUE"""),0.0)</f>
        <v>0</v>
      </c>
      <c r="R54" s="47">
        <v>79.0</v>
      </c>
    </row>
    <row r="55" ht="22.5" customHeight="1">
      <c r="A55" s="42">
        <v>44482.0</v>
      </c>
      <c r="B55" s="43">
        <v>44482.50001157408</v>
      </c>
      <c r="C55" s="17" t="s">
        <v>78</v>
      </c>
      <c r="D55" s="17" t="s">
        <v>239</v>
      </c>
      <c r="E55" s="17" t="s">
        <v>84</v>
      </c>
      <c r="F55" s="17" t="s">
        <v>50</v>
      </c>
      <c r="G55" s="17" t="s">
        <v>240</v>
      </c>
      <c r="H55" s="44" t="s">
        <v>241</v>
      </c>
      <c r="I55" s="45">
        <v>1.0</v>
      </c>
      <c r="J55" s="45">
        <v>226.0</v>
      </c>
      <c r="K55" s="45">
        <v>234.0</v>
      </c>
      <c r="L55" s="45">
        <v>32.0</v>
      </c>
      <c r="M55" s="45">
        <v>9.0</v>
      </c>
      <c r="N55" s="45">
        <v>226.0</v>
      </c>
      <c r="O55" s="46">
        <v>42.0</v>
      </c>
      <c r="P55" s="46">
        <v>12.0</v>
      </c>
      <c r="Q55" s="46">
        <f>IFERROR(__xludf.DUMMYFUNCTION("""COMPUTED_VALUE"""),1.0)</f>
        <v>1</v>
      </c>
      <c r="R55" s="47">
        <v>8.0</v>
      </c>
    </row>
    <row r="56" ht="22.5" customHeight="1">
      <c r="A56" s="42">
        <v>44482.0</v>
      </c>
      <c r="B56" s="43">
        <v>44482.66724537037</v>
      </c>
      <c r="C56" s="17" t="s">
        <v>78</v>
      </c>
      <c r="D56" s="17" t="s">
        <v>242</v>
      </c>
      <c r="E56" s="17" t="s">
        <v>84</v>
      </c>
      <c r="F56" s="17" t="s">
        <v>50</v>
      </c>
      <c r="G56" s="17" t="s">
        <v>243</v>
      </c>
      <c r="H56" s="44" t="s">
        <v>244</v>
      </c>
      <c r="I56" s="45">
        <v>1.0</v>
      </c>
      <c r="J56" s="45">
        <v>2400.0</v>
      </c>
      <c r="K56" s="45">
        <v>2740.0</v>
      </c>
      <c r="L56" s="45">
        <v>210.0</v>
      </c>
      <c r="M56" s="45">
        <v>254.0</v>
      </c>
      <c r="N56" s="45">
        <v>2400.0</v>
      </c>
      <c r="O56" s="46">
        <v>42.0</v>
      </c>
      <c r="P56" s="46">
        <v>16.0</v>
      </c>
      <c r="Q56" s="46">
        <f>IFERROR(__xludf.DUMMYFUNCTION("""COMPUTED_VALUE"""),0.0)</f>
        <v>0</v>
      </c>
      <c r="R56" s="47">
        <v>340.0</v>
      </c>
    </row>
    <row r="57" ht="22.5" customHeight="1">
      <c r="A57" s="42">
        <v>44482.0</v>
      </c>
      <c r="B57" s="43">
        <v>44482.75</v>
      </c>
      <c r="C57" s="17" t="s">
        <v>78</v>
      </c>
      <c r="D57" s="17" t="s">
        <v>245</v>
      </c>
      <c r="E57" s="17" t="s">
        <v>80</v>
      </c>
      <c r="F57" s="17" t="s">
        <v>55</v>
      </c>
      <c r="G57" s="17" t="s">
        <v>246</v>
      </c>
      <c r="H57" s="44" t="s">
        <v>247</v>
      </c>
      <c r="I57" s="45">
        <v>1.0</v>
      </c>
      <c r="J57" s="45">
        <v>705.0</v>
      </c>
      <c r="K57" s="45">
        <v>784.0</v>
      </c>
      <c r="L57" s="45">
        <v>81.0</v>
      </c>
      <c r="M57" s="45">
        <v>21.0</v>
      </c>
      <c r="N57" s="45">
        <v>705.0</v>
      </c>
      <c r="O57" s="46">
        <v>42.0</v>
      </c>
      <c r="P57" s="46">
        <v>18.0</v>
      </c>
      <c r="Q57" s="46">
        <f>IFERROR(__xludf.DUMMYFUNCTION("""COMPUTED_VALUE"""),0.0)</f>
        <v>0</v>
      </c>
      <c r="R57" s="47">
        <v>79.0</v>
      </c>
    </row>
    <row r="58" ht="22.5" customHeight="1">
      <c r="A58" s="42">
        <v>44482.0</v>
      </c>
      <c r="B58" s="43">
        <v>44482.83336805556</v>
      </c>
      <c r="C58" s="17" t="s">
        <v>78</v>
      </c>
      <c r="D58" s="17" t="s">
        <v>248</v>
      </c>
      <c r="E58" s="17" t="s">
        <v>84</v>
      </c>
      <c r="F58" s="17" t="s">
        <v>50</v>
      </c>
      <c r="G58" s="17" t="s">
        <v>249</v>
      </c>
      <c r="H58" s="44" t="s">
        <v>250</v>
      </c>
      <c r="I58" s="45">
        <v>1.0</v>
      </c>
      <c r="J58" s="45">
        <v>832.0</v>
      </c>
      <c r="K58" s="45">
        <v>966.0</v>
      </c>
      <c r="L58" s="45">
        <v>110.0</v>
      </c>
      <c r="M58" s="45">
        <v>17.0</v>
      </c>
      <c r="N58" s="45">
        <v>832.0</v>
      </c>
      <c r="O58" s="46">
        <v>42.0</v>
      </c>
      <c r="P58" s="46">
        <v>20.0</v>
      </c>
      <c r="Q58" s="46">
        <f>IFERROR(__xludf.DUMMYFUNCTION("""COMPUTED_VALUE"""),0.0)</f>
        <v>0</v>
      </c>
      <c r="R58" s="47">
        <v>134.0</v>
      </c>
    </row>
    <row r="59" ht="22.5" customHeight="1">
      <c r="A59" s="42">
        <v>44483.0</v>
      </c>
      <c r="B59" s="43">
        <v>44483.54172453703</v>
      </c>
      <c r="C59" s="17" t="s">
        <v>78</v>
      </c>
      <c r="D59" s="17" t="s">
        <v>251</v>
      </c>
      <c r="E59" s="17" t="s">
        <v>80</v>
      </c>
      <c r="F59" s="17" t="s">
        <v>55</v>
      </c>
      <c r="G59" s="17" t="s">
        <v>252</v>
      </c>
      <c r="H59" s="44" t="s">
        <v>253</v>
      </c>
      <c r="I59" s="45">
        <v>1.0</v>
      </c>
      <c r="J59" s="45">
        <v>1088.0</v>
      </c>
      <c r="K59" s="45">
        <v>1209.0</v>
      </c>
      <c r="L59" s="45">
        <v>91.0</v>
      </c>
      <c r="M59" s="45">
        <v>28.0</v>
      </c>
      <c r="N59" s="45">
        <v>1088.0</v>
      </c>
      <c r="O59" s="46">
        <v>42.0</v>
      </c>
      <c r="P59" s="46">
        <v>13.0</v>
      </c>
      <c r="Q59" s="46">
        <f>IFERROR(__xludf.DUMMYFUNCTION("""COMPUTED_VALUE"""),0.0)</f>
        <v>0</v>
      </c>
      <c r="R59" s="47">
        <v>121.0</v>
      </c>
    </row>
    <row r="60" ht="22.5" customHeight="1">
      <c r="A60" s="42">
        <v>44483.0</v>
      </c>
      <c r="B60" s="43">
        <v>44483.54902777778</v>
      </c>
      <c r="C60" s="17" t="s">
        <v>78</v>
      </c>
      <c r="D60" s="17" t="s">
        <v>254</v>
      </c>
      <c r="E60" s="17" t="s">
        <v>84</v>
      </c>
      <c r="F60" s="17" t="s">
        <v>48</v>
      </c>
      <c r="G60" s="17"/>
      <c r="H60" s="44" t="s">
        <v>255</v>
      </c>
      <c r="I60" s="45">
        <v>1.0</v>
      </c>
      <c r="J60" s="45">
        <v>677.0</v>
      </c>
      <c r="K60" s="45">
        <v>735.0</v>
      </c>
      <c r="L60" s="45">
        <v>46.0</v>
      </c>
      <c r="M60" s="45">
        <v>12.0</v>
      </c>
      <c r="N60" s="45">
        <v>677.0</v>
      </c>
      <c r="O60" s="46">
        <v>42.0</v>
      </c>
      <c r="P60" s="46">
        <v>13.0</v>
      </c>
      <c r="Q60" s="46">
        <f>IFERROR(__xludf.DUMMYFUNCTION("""COMPUTED_VALUE"""),0.0)</f>
        <v>0</v>
      </c>
      <c r="R60" s="47">
        <v>58.0</v>
      </c>
    </row>
    <row r="61" ht="22.5" customHeight="1">
      <c r="A61" s="42">
        <v>44483.0</v>
      </c>
      <c r="B61" s="43">
        <v>44483.625</v>
      </c>
      <c r="C61" s="17" t="s">
        <v>78</v>
      </c>
      <c r="D61" s="17" t="s">
        <v>256</v>
      </c>
      <c r="E61" s="17" t="s">
        <v>84</v>
      </c>
      <c r="F61" s="17" t="s">
        <v>50</v>
      </c>
      <c r="G61" s="17" t="s">
        <v>257</v>
      </c>
      <c r="H61" s="44" t="s">
        <v>258</v>
      </c>
      <c r="I61" s="45">
        <v>1.0</v>
      </c>
      <c r="J61" s="45">
        <v>3704.0</v>
      </c>
      <c r="K61" s="45">
        <v>4535.0</v>
      </c>
      <c r="L61" s="45">
        <v>995.0</v>
      </c>
      <c r="M61" s="45">
        <v>635.0</v>
      </c>
      <c r="N61" s="45">
        <v>3704.0</v>
      </c>
      <c r="O61" s="46">
        <v>42.0</v>
      </c>
      <c r="P61" s="46">
        <v>15.0</v>
      </c>
      <c r="Q61" s="46">
        <f>IFERROR(__xludf.DUMMYFUNCTION("""COMPUTED_VALUE"""),0.0)</f>
        <v>0</v>
      </c>
      <c r="R61" s="47">
        <v>831.0</v>
      </c>
    </row>
    <row r="62" ht="22.5" customHeight="1">
      <c r="A62" s="42">
        <v>44483.0</v>
      </c>
      <c r="B62" s="43">
        <v>44483.79560185185</v>
      </c>
      <c r="C62" s="17" t="s">
        <v>78</v>
      </c>
      <c r="D62" s="17" t="s">
        <v>259</v>
      </c>
      <c r="E62" s="17" t="s">
        <v>80</v>
      </c>
      <c r="F62" s="17" t="s">
        <v>53</v>
      </c>
      <c r="G62" s="17" t="s">
        <v>260</v>
      </c>
      <c r="H62" s="44" t="s">
        <v>261</v>
      </c>
      <c r="I62" s="45">
        <v>1.0</v>
      </c>
      <c r="J62" s="45">
        <v>852.0</v>
      </c>
      <c r="K62" s="45">
        <v>901.0</v>
      </c>
      <c r="L62" s="45">
        <v>31.0</v>
      </c>
      <c r="M62" s="45">
        <v>41.0</v>
      </c>
      <c r="N62" s="45">
        <v>852.0</v>
      </c>
      <c r="O62" s="46">
        <v>42.0</v>
      </c>
      <c r="P62" s="46">
        <v>19.0</v>
      </c>
      <c r="Q62" s="46">
        <f>IFERROR(__xludf.DUMMYFUNCTION("""COMPUTED_VALUE"""),0.0)</f>
        <v>0</v>
      </c>
      <c r="R62" s="47">
        <v>49.0</v>
      </c>
    </row>
    <row r="63" ht="22.5" customHeight="1">
      <c r="A63" s="42">
        <v>44484.0</v>
      </c>
      <c r="B63" s="43">
        <v>44484.333344907405</v>
      </c>
      <c r="C63" s="17" t="s">
        <v>78</v>
      </c>
      <c r="D63" s="17" t="s">
        <v>262</v>
      </c>
      <c r="E63" s="17" t="s">
        <v>84</v>
      </c>
      <c r="F63" s="17" t="s">
        <v>50</v>
      </c>
      <c r="G63" s="17" t="s">
        <v>263</v>
      </c>
      <c r="H63" s="44" t="s">
        <v>264</v>
      </c>
      <c r="I63" s="45">
        <v>1.0</v>
      </c>
      <c r="J63" s="45">
        <v>1514.0</v>
      </c>
      <c r="K63" s="45">
        <v>1809.0</v>
      </c>
      <c r="L63" s="45">
        <v>273.0</v>
      </c>
      <c r="M63" s="45">
        <v>83.0</v>
      </c>
      <c r="N63" s="45">
        <v>1514.0</v>
      </c>
      <c r="O63" s="46">
        <v>42.0</v>
      </c>
      <c r="P63" s="46">
        <v>8.0</v>
      </c>
      <c r="Q63" s="46">
        <f>IFERROR(__xludf.DUMMYFUNCTION("""COMPUTED_VALUE"""),0.0)</f>
        <v>0</v>
      </c>
      <c r="R63" s="47">
        <v>295.0</v>
      </c>
    </row>
    <row r="64" ht="22.5" customHeight="1">
      <c r="A64" s="42">
        <v>44484.0</v>
      </c>
      <c r="B64" s="43">
        <v>44484.69501157408</v>
      </c>
      <c r="C64" s="17" t="s">
        <v>78</v>
      </c>
      <c r="D64" s="17" t="s">
        <v>265</v>
      </c>
      <c r="E64" s="17" t="s">
        <v>80</v>
      </c>
      <c r="F64" s="17" t="s">
        <v>55</v>
      </c>
      <c r="G64" s="17" t="s">
        <v>266</v>
      </c>
      <c r="H64" s="44" t="s">
        <v>267</v>
      </c>
      <c r="I64" s="45">
        <v>1.0</v>
      </c>
      <c r="J64" s="45">
        <v>1368.0</v>
      </c>
      <c r="K64" s="45">
        <v>1446.0</v>
      </c>
      <c r="L64" s="45">
        <v>209.0</v>
      </c>
      <c r="M64" s="45">
        <v>86.0</v>
      </c>
      <c r="N64" s="45">
        <v>1368.0</v>
      </c>
      <c r="O64" s="46">
        <v>42.0</v>
      </c>
      <c r="P64" s="46">
        <v>16.0</v>
      </c>
      <c r="Q64" s="46">
        <f>IFERROR(__xludf.DUMMYFUNCTION("""COMPUTED_VALUE"""),0.0)</f>
        <v>0</v>
      </c>
      <c r="R64" s="47">
        <v>78.0</v>
      </c>
    </row>
    <row r="65" ht="22.5" customHeight="1">
      <c r="A65" s="42">
        <v>44484.0</v>
      </c>
      <c r="B65" s="43">
        <v>44484.750023148146</v>
      </c>
      <c r="C65" s="17" t="s">
        <v>78</v>
      </c>
      <c r="D65" s="17" t="s">
        <v>268</v>
      </c>
      <c r="E65" s="17" t="s">
        <v>84</v>
      </c>
      <c r="F65" s="17" t="s">
        <v>50</v>
      </c>
      <c r="G65" s="17" t="s">
        <v>269</v>
      </c>
      <c r="H65" s="44" t="s">
        <v>270</v>
      </c>
      <c r="I65" s="45">
        <v>1.0</v>
      </c>
      <c r="J65" s="45">
        <v>9498.0</v>
      </c>
      <c r="K65" s="45">
        <v>15325.0</v>
      </c>
      <c r="L65" s="45">
        <v>4257.0</v>
      </c>
      <c r="M65" s="45">
        <v>1884.0</v>
      </c>
      <c r="N65" s="45">
        <v>9498.0</v>
      </c>
      <c r="O65" s="46">
        <v>42.0</v>
      </c>
      <c r="P65" s="46">
        <v>18.0</v>
      </c>
      <c r="Q65" s="46">
        <f>IFERROR(__xludf.DUMMYFUNCTION("""COMPUTED_VALUE"""),0.0)</f>
        <v>0</v>
      </c>
      <c r="R65" s="47">
        <v>5827.0</v>
      </c>
    </row>
    <row r="66" ht="22.5" customHeight="1">
      <c r="A66" s="42">
        <v>44484.0</v>
      </c>
      <c r="B66" s="43">
        <v>44484.79180555556</v>
      </c>
      <c r="C66" s="17" t="s">
        <v>78</v>
      </c>
      <c r="D66" s="17" t="s">
        <v>271</v>
      </c>
      <c r="E66" s="17" t="s">
        <v>80</v>
      </c>
      <c r="F66" s="17" t="s">
        <v>53</v>
      </c>
      <c r="G66" s="17" t="s">
        <v>272</v>
      </c>
      <c r="H66" s="44" t="s">
        <v>273</v>
      </c>
      <c r="I66" s="45">
        <v>1.0</v>
      </c>
      <c r="J66" s="45">
        <v>274.0</v>
      </c>
      <c r="K66" s="45">
        <v>300.0</v>
      </c>
      <c r="L66" s="45">
        <v>46.0</v>
      </c>
      <c r="M66" s="45">
        <v>56.0</v>
      </c>
      <c r="N66" s="45">
        <v>274.0</v>
      </c>
      <c r="O66" s="46">
        <v>42.0</v>
      </c>
      <c r="P66" s="46">
        <v>19.0</v>
      </c>
      <c r="Q66" s="46">
        <f>IFERROR(__xludf.DUMMYFUNCTION("""COMPUTED_VALUE"""),0.0)</f>
        <v>0</v>
      </c>
      <c r="R66" s="47">
        <v>26.0</v>
      </c>
    </row>
    <row r="67" ht="22.5" customHeight="1">
      <c r="A67" s="42">
        <v>44485.0</v>
      </c>
      <c r="B67" s="43">
        <v>44485.291666666664</v>
      </c>
      <c r="C67" s="17" t="s">
        <v>78</v>
      </c>
      <c r="D67" s="17" t="s">
        <v>274</v>
      </c>
      <c r="E67" s="17" t="s">
        <v>84</v>
      </c>
      <c r="F67" s="17" t="s">
        <v>50</v>
      </c>
      <c r="G67" s="17" t="s">
        <v>275</v>
      </c>
      <c r="H67" s="44" t="s">
        <v>276</v>
      </c>
      <c r="I67" s="45">
        <v>1.0</v>
      </c>
      <c r="J67" s="45">
        <v>788.0</v>
      </c>
      <c r="K67" s="45">
        <v>847.0</v>
      </c>
      <c r="L67" s="45">
        <v>68.0</v>
      </c>
      <c r="M67" s="45">
        <v>35.0</v>
      </c>
      <c r="N67" s="45">
        <v>788.0</v>
      </c>
      <c r="O67" s="46">
        <v>42.0</v>
      </c>
      <c r="P67" s="46">
        <v>7.0</v>
      </c>
      <c r="Q67" s="46">
        <f>IFERROR(__xludf.DUMMYFUNCTION("""COMPUTED_VALUE"""),0.0)</f>
        <v>0</v>
      </c>
      <c r="R67" s="47">
        <v>59.0</v>
      </c>
    </row>
    <row r="68" ht="22.5" customHeight="1">
      <c r="A68" s="42">
        <v>44485.0</v>
      </c>
      <c r="B68" s="43">
        <v>44485.375023148146</v>
      </c>
      <c r="C68" s="17" t="s">
        <v>78</v>
      </c>
      <c r="D68" s="17" t="s">
        <v>277</v>
      </c>
      <c r="E68" s="17" t="s">
        <v>84</v>
      </c>
      <c r="F68" s="17" t="s">
        <v>50</v>
      </c>
      <c r="G68" s="17" t="s">
        <v>278</v>
      </c>
      <c r="H68" s="44" t="s">
        <v>279</v>
      </c>
      <c r="I68" s="45">
        <v>1.0</v>
      </c>
      <c r="J68" s="45">
        <v>10631.0</v>
      </c>
      <c r="K68" s="45">
        <v>10871.0</v>
      </c>
      <c r="L68" s="45">
        <v>523.0</v>
      </c>
      <c r="M68" s="45">
        <v>146.0</v>
      </c>
      <c r="N68" s="45">
        <v>10631.0</v>
      </c>
      <c r="O68" s="46">
        <v>42.0</v>
      </c>
      <c r="P68" s="46">
        <v>9.0</v>
      </c>
      <c r="Q68" s="46">
        <f>IFERROR(__xludf.DUMMYFUNCTION("""COMPUTED_VALUE"""),0.0)</f>
        <v>0</v>
      </c>
      <c r="R68" s="47">
        <v>240.0</v>
      </c>
    </row>
    <row r="69" ht="22.5" customHeight="1">
      <c r="A69" s="42">
        <v>44485.0</v>
      </c>
      <c r="B69" s="43">
        <v>44485.41667824074</v>
      </c>
      <c r="C69" s="17" t="s">
        <v>78</v>
      </c>
      <c r="D69" s="17" t="s">
        <v>280</v>
      </c>
      <c r="E69" s="17" t="s">
        <v>84</v>
      </c>
      <c r="F69" s="17" t="s">
        <v>50</v>
      </c>
      <c r="G69" s="17" t="s">
        <v>281</v>
      </c>
      <c r="H69" s="44" t="s">
        <v>282</v>
      </c>
      <c r="I69" s="45">
        <v>1.0</v>
      </c>
      <c r="J69" s="45">
        <v>765.0</v>
      </c>
      <c r="K69" s="45">
        <v>883.0</v>
      </c>
      <c r="L69" s="45">
        <v>104.0</v>
      </c>
      <c r="M69" s="45">
        <v>24.0</v>
      </c>
      <c r="N69" s="45">
        <v>765.0</v>
      </c>
      <c r="O69" s="46">
        <v>42.0</v>
      </c>
      <c r="P69" s="46">
        <v>10.0</v>
      </c>
      <c r="Q69" s="46">
        <f>IFERROR(__xludf.DUMMYFUNCTION("""COMPUTED_VALUE"""),0.0)</f>
        <v>0</v>
      </c>
      <c r="R69" s="47">
        <v>118.0</v>
      </c>
    </row>
    <row r="70" ht="22.5" customHeight="1">
      <c r="A70" s="42">
        <v>44485.0</v>
      </c>
      <c r="B70" s="43">
        <v>44485.625</v>
      </c>
      <c r="C70" s="17" t="s">
        <v>78</v>
      </c>
      <c r="D70" s="17" t="s">
        <v>283</v>
      </c>
      <c r="E70" s="17" t="s">
        <v>84</v>
      </c>
      <c r="F70" s="17" t="s">
        <v>50</v>
      </c>
      <c r="G70" s="17" t="s">
        <v>284</v>
      </c>
      <c r="H70" s="44" t="s">
        <v>285</v>
      </c>
      <c r="I70" s="45">
        <v>1.0</v>
      </c>
      <c r="J70" s="45">
        <v>1070.0</v>
      </c>
      <c r="K70" s="45">
        <v>1344.0</v>
      </c>
      <c r="L70" s="45">
        <v>182.0</v>
      </c>
      <c r="M70" s="45">
        <v>16.0</v>
      </c>
      <c r="N70" s="45">
        <v>1070.0</v>
      </c>
      <c r="O70" s="46">
        <v>42.0</v>
      </c>
      <c r="P70" s="46">
        <v>15.0</v>
      </c>
      <c r="Q70" s="46">
        <f>IFERROR(__xludf.DUMMYFUNCTION("""COMPUTED_VALUE"""),0.0)</f>
        <v>0</v>
      </c>
      <c r="R70" s="47">
        <v>274.0</v>
      </c>
    </row>
    <row r="71" ht="22.5" customHeight="1">
      <c r="A71" s="42">
        <v>44485.0</v>
      </c>
      <c r="B71" s="43">
        <v>44485.75001157408</v>
      </c>
      <c r="C71" s="17" t="s">
        <v>78</v>
      </c>
      <c r="D71" s="17" t="s">
        <v>286</v>
      </c>
      <c r="E71" s="17" t="s">
        <v>80</v>
      </c>
      <c r="F71" s="17" t="s">
        <v>55</v>
      </c>
      <c r="G71" s="17" t="s">
        <v>287</v>
      </c>
      <c r="H71" s="44" t="s">
        <v>288</v>
      </c>
      <c r="I71" s="45">
        <v>1.0</v>
      </c>
      <c r="J71" s="45">
        <v>729.0</v>
      </c>
      <c r="K71" s="45">
        <v>840.0</v>
      </c>
      <c r="L71" s="45">
        <v>121.0</v>
      </c>
      <c r="M71" s="45">
        <v>25.0</v>
      </c>
      <c r="N71" s="45">
        <v>729.0</v>
      </c>
      <c r="O71" s="46">
        <v>42.0</v>
      </c>
      <c r="P71" s="46">
        <v>18.0</v>
      </c>
      <c r="Q71" s="46">
        <f>IFERROR(__xludf.DUMMYFUNCTION("""COMPUTED_VALUE"""),0.0)</f>
        <v>0</v>
      </c>
      <c r="R71" s="47">
        <v>111.0</v>
      </c>
    </row>
    <row r="72" ht="22.5" customHeight="1">
      <c r="A72" s="42">
        <v>44486.0</v>
      </c>
      <c r="B72" s="43">
        <v>44486.333333333336</v>
      </c>
      <c r="C72" s="17" t="s">
        <v>78</v>
      </c>
      <c r="D72" s="17" t="s">
        <v>289</v>
      </c>
      <c r="E72" s="17" t="s">
        <v>84</v>
      </c>
      <c r="F72" s="17" t="s">
        <v>50</v>
      </c>
      <c r="G72" s="17" t="s">
        <v>290</v>
      </c>
      <c r="H72" s="44" t="s">
        <v>291</v>
      </c>
      <c r="I72" s="45">
        <v>1.0</v>
      </c>
      <c r="J72" s="45">
        <v>9253.0</v>
      </c>
      <c r="K72" s="45">
        <v>9539.0</v>
      </c>
      <c r="L72" s="45">
        <v>280.0</v>
      </c>
      <c r="M72" s="45">
        <v>91.0</v>
      </c>
      <c r="N72" s="45">
        <v>9253.0</v>
      </c>
      <c r="O72" s="46">
        <v>43.0</v>
      </c>
      <c r="P72" s="46">
        <v>8.0</v>
      </c>
      <c r="Q72" s="46">
        <f>IFERROR(__xludf.DUMMYFUNCTION("""COMPUTED_VALUE"""),0.0)</f>
        <v>0</v>
      </c>
      <c r="R72" s="47">
        <v>286.0</v>
      </c>
    </row>
    <row r="73" ht="22.5" customHeight="1">
      <c r="A73" s="42">
        <v>44486.0</v>
      </c>
      <c r="B73" s="43">
        <v>44486.458333333336</v>
      </c>
      <c r="C73" s="17" t="s">
        <v>78</v>
      </c>
      <c r="D73" s="17" t="s">
        <v>292</v>
      </c>
      <c r="E73" s="17" t="s">
        <v>84</v>
      </c>
      <c r="F73" s="17" t="s">
        <v>50</v>
      </c>
      <c r="G73" s="17" t="s">
        <v>293</v>
      </c>
      <c r="H73" s="44" t="s">
        <v>294</v>
      </c>
      <c r="I73" s="45">
        <v>1.0</v>
      </c>
      <c r="J73" s="45">
        <v>158.0</v>
      </c>
      <c r="K73" s="45">
        <v>162.0</v>
      </c>
      <c r="L73" s="45">
        <v>14.0</v>
      </c>
      <c r="M73" s="45">
        <v>1.0</v>
      </c>
      <c r="N73" s="45">
        <v>158.0</v>
      </c>
      <c r="O73" s="46">
        <v>43.0</v>
      </c>
      <c r="P73" s="46">
        <v>11.0</v>
      </c>
      <c r="Q73" s="46">
        <f>IFERROR(__xludf.DUMMYFUNCTION("""COMPUTED_VALUE"""),1.0)</f>
        <v>1</v>
      </c>
      <c r="R73" s="47">
        <v>4.0</v>
      </c>
    </row>
    <row r="74" ht="22.5" customHeight="1">
      <c r="A74" s="42">
        <v>44486.0</v>
      </c>
      <c r="B74" s="43">
        <v>44486.541863425926</v>
      </c>
      <c r="C74" s="17" t="s">
        <v>78</v>
      </c>
      <c r="D74" s="17" t="s">
        <v>295</v>
      </c>
      <c r="E74" s="17" t="s">
        <v>80</v>
      </c>
      <c r="F74" s="17" t="s">
        <v>53</v>
      </c>
      <c r="G74" s="17" t="s">
        <v>296</v>
      </c>
      <c r="H74" s="44" t="s">
        <v>297</v>
      </c>
      <c r="I74" s="45">
        <v>1.0</v>
      </c>
      <c r="J74" s="45">
        <v>234.0</v>
      </c>
      <c r="K74" s="45">
        <v>249.0</v>
      </c>
      <c r="L74" s="45">
        <v>19.0</v>
      </c>
      <c r="M74" s="45">
        <v>10.0</v>
      </c>
      <c r="N74" s="45">
        <v>234.0</v>
      </c>
      <c r="O74" s="46">
        <v>43.0</v>
      </c>
      <c r="P74" s="46">
        <v>13.0</v>
      </c>
      <c r="Q74" s="46">
        <f>IFERROR(__xludf.DUMMYFUNCTION("""COMPUTED_VALUE"""),0.0)</f>
        <v>0</v>
      </c>
      <c r="R74" s="47">
        <v>15.0</v>
      </c>
    </row>
    <row r="75" ht="22.5" customHeight="1">
      <c r="A75" s="42">
        <v>44486.0</v>
      </c>
      <c r="B75" s="43">
        <v>44486.62505787037</v>
      </c>
      <c r="C75" s="17" t="s">
        <v>78</v>
      </c>
      <c r="D75" s="17" t="s">
        <v>298</v>
      </c>
      <c r="E75" s="17" t="s">
        <v>80</v>
      </c>
      <c r="F75" s="17" t="s">
        <v>55</v>
      </c>
      <c r="G75" s="17" t="s">
        <v>299</v>
      </c>
      <c r="H75" s="44" t="s">
        <v>300</v>
      </c>
      <c r="I75" s="45">
        <v>1.0</v>
      </c>
      <c r="J75" s="45">
        <v>577.0</v>
      </c>
      <c r="K75" s="45">
        <v>678.0</v>
      </c>
      <c r="L75" s="45">
        <v>63.0</v>
      </c>
      <c r="M75" s="45">
        <v>20.0</v>
      </c>
      <c r="N75" s="45">
        <v>577.0</v>
      </c>
      <c r="O75" s="46">
        <v>43.0</v>
      </c>
      <c r="P75" s="46">
        <v>15.0</v>
      </c>
      <c r="Q75" s="46">
        <f>IFERROR(__xludf.DUMMYFUNCTION("""COMPUTED_VALUE"""),0.0)</f>
        <v>0</v>
      </c>
      <c r="R75" s="47">
        <v>101.0</v>
      </c>
    </row>
    <row r="76" ht="22.5" customHeight="1">
      <c r="A76" s="42">
        <v>44486.0</v>
      </c>
      <c r="B76" s="43">
        <v>44486.708333333336</v>
      </c>
      <c r="C76" s="17" t="s">
        <v>78</v>
      </c>
      <c r="D76" s="17" t="s">
        <v>301</v>
      </c>
      <c r="E76" s="17" t="s">
        <v>84</v>
      </c>
      <c r="F76" s="17" t="s">
        <v>50</v>
      </c>
      <c r="G76" s="17" t="s">
        <v>302</v>
      </c>
      <c r="H76" s="44" t="s">
        <v>303</v>
      </c>
      <c r="I76" s="45">
        <v>1.0</v>
      </c>
      <c r="J76" s="45">
        <v>1285.0</v>
      </c>
      <c r="K76" s="45">
        <v>1324.0</v>
      </c>
      <c r="L76" s="45">
        <v>116.0</v>
      </c>
      <c r="M76" s="45">
        <v>90.0</v>
      </c>
      <c r="N76" s="45">
        <v>1285.0</v>
      </c>
      <c r="O76" s="46">
        <v>43.0</v>
      </c>
      <c r="P76" s="46">
        <v>17.0</v>
      </c>
      <c r="Q76" s="46">
        <f>IFERROR(__xludf.DUMMYFUNCTION("""COMPUTED_VALUE"""),0.0)</f>
        <v>0</v>
      </c>
      <c r="R76" s="47">
        <v>39.0</v>
      </c>
    </row>
    <row r="77" ht="22.5" customHeight="1">
      <c r="A77" s="42">
        <v>44487.0</v>
      </c>
      <c r="B77" s="43">
        <v>44487.77172453704</v>
      </c>
      <c r="C77" s="17" t="s">
        <v>78</v>
      </c>
      <c r="D77" s="17" t="s">
        <v>304</v>
      </c>
      <c r="E77" s="17" t="s">
        <v>84</v>
      </c>
      <c r="F77" s="17" t="s">
        <v>50</v>
      </c>
      <c r="G77" s="17" t="s">
        <v>305</v>
      </c>
      <c r="H77" s="44" t="s">
        <v>306</v>
      </c>
      <c r="I77" s="45">
        <v>1.0</v>
      </c>
      <c r="J77" s="45">
        <v>1195.0</v>
      </c>
      <c r="K77" s="45">
        <v>1317.0</v>
      </c>
      <c r="L77" s="45">
        <v>174.0</v>
      </c>
      <c r="M77" s="45">
        <v>45.0</v>
      </c>
      <c r="N77" s="45">
        <v>1195.0</v>
      </c>
      <c r="O77" s="46">
        <v>43.0</v>
      </c>
      <c r="P77" s="46">
        <v>18.0</v>
      </c>
      <c r="Q77" s="46">
        <f>IFERROR(__xludf.DUMMYFUNCTION("""COMPUTED_VALUE"""),0.0)</f>
        <v>0</v>
      </c>
      <c r="R77" s="47">
        <v>122.0</v>
      </c>
    </row>
    <row r="78" ht="22.5" customHeight="1">
      <c r="A78" s="42">
        <v>44488.0</v>
      </c>
      <c r="B78" s="43">
        <v>44488.50027777778</v>
      </c>
      <c r="C78" s="17" t="s">
        <v>78</v>
      </c>
      <c r="D78" s="17" t="s">
        <v>307</v>
      </c>
      <c r="E78" s="17" t="s">
        <v>84</v>
      </c>
      <c r="F78" s="17" t="s">
        <v>50</v>
      </c>
      <c r="G78" s="17" t="s">
        <v>308</v>
      </c>
      <c r="H78" s="44" t="s">
        <v>309</v>
      </c>
      <c r="I78" s="45">
        <v>1.0</v>
      </c>
      <c r="J78" s="45">
        <v>7331.0</v>
      </c>
      <c r="K78" s="45">
        <v>7504.0</v>
      </c>
      <c r="L78" s="45">
        <v>228.0</v>
      </c>
      <c r="M78" s="45">
        <v>39.0</v>
      </c>
      <c r="N78" s="45">
        <v>7331.0</v>
      </c>
      <c r="O78" s="46">
        <v>43.0</v>
      </c>
      <c r="P78" s="46">
        <v>12.0</v>
      </c>
      <c r="Q78" s="46">
        <f>IFERROR(__xludf.DUMMYFUNCTION("""COMPUTED_VALUE"""),0.0)</f>
        <v>0</v>
      </c>
      <c r="R78" s="47">
        <v>173.0</v>
      </c>
    </row>
    <row r="79" ht="22.5" customHeight="1">
      <c r="A79" s="42">
        <v>44488.0</v>
      </c>
      <c r="B79" s="43">
        <v>44488.833333333336</v>
      </c>
      <c r="C79" s="17" t="s">
        <v>78</v>
      </c>
      <c r="D79" s="17" t="s">
        <v>310</v>
      </c>
      <c r="E79" s="17" t="s">
        <v>80</v>
      </c>
      <c r="F79" s="17" t="s">
        <v>53</v>
      </c>
      <c r="G79" s="17" t="s">
        <v>311</v>
      </c>
      <c r="H79" s="44" t="s">
        <v>312</v>
      </c>
      <c r="I79" s="45">
        <v>1.0</v>
      </c>
      <c r="J79" s="45">
        <v>417.0</v>
      </c>
      <c r="K79" s="45">
        <v>506.0</v>
      </c>
      <c r="L79" s="45">
        <v>36.0</v>
      </c>
      <c r="M79" s="45">
        <v>21.0</v>
      </c>
      <c r="N79" s="45">
        <v>417.0</v>
      </c>
      <c r="O79" s="46">
        <v>43.0</v>
      </c>
      <c r="P79" s="46">
        <v>20.0</v>
      </c>
      <c r="Q79" s="46">
        <f>IFERROR(__xludf.DUMMYFUNCTION("""COMPUTED_VALUE"""),0.0)</f>
        <v>0</v>
      </c>
      <c r="R79" s="47">
        <v>89.0</v>
      </c>
    </row>
    <row r="80" ht="22.5" customHeight="1">
      <c r="A80" s="42">
        <v>44489.0</v>
      </c>
      <c r="B80" s="43">
        <v>44489.66668981482</v>
      </c>
      <c r="C80" s="17" t="s">
        <v>78</v>
      </c>
      <c r="D80" s="17" t="s">
        <v>313</v>
      </c>
      <c r="E80" s="17" t="s">
        <v>80</v>
      </c>
      <c r="F80" s="17" t="s">
        <v>55</v>
      </c>
      <c r="G80" s="17" t="s">
        <v>314</v>
      </c>
      <c r="H80" s="44" t="s">
        <v>315</v>
      </c>
      <c r="I80" s="45">
        <v>1.0</v>
      </c>
      <c r="J80" s="45">
        <v>985.0</v>
      </c>
      <c r="K80" s="45">
        <v>1126.0</v>
      </c>
      <c r="L80" s="45">
        <v>108.0</v>
      </c>
      <c r="M80" s="45">
        <v>29.0</v>
      </c>
      <c r="N80" s="45">
        <v>985.0</v>
      </c>
      <c r="O80" s="46">
        <v>43.0</v>
      </c>
      <c r="P80" s="46">
        <v>16.0</v>
      </c>
      <c r="Q80" s="46">
        <f>IFERROR(__xludf.DUMMYFUNCTION("""COMPUTED_VALUE"""),0.0)</f>
        <v>0</v>
      </c>
      <c r="R80" s="47">
        <v>141.0</v>
      </c>
    </row>
    <row r="81" ht="22.5" customHeight="1">
      <c r="A81" s="42">
        <v>44489.0</v>
      </c>
      <c r="B81" s="43">
        <v>44489.70856481481</v>
      </c>
      <c r="C81" s="17" t="s">
        <v>78</v>
      </c>
      <c r="D81" s="17" t="s">
        <v>316</v>
      </c>
      <c r="E81" s="17" t="s">
        <v>84</v>
      </c>
      <c r="F81" s="17" t="s">
        <v>50</v>
      </c>
      <c r="G81" s="17" t="s">
        <v>317</v>
      </c>
      <c r="H81" s="44" t="s">
        <v>318</v>
      </c>
      <c r="I81" s="45">
        <v>1.0</v>
      </c>
      <c r="J81" s="45">
        <v>324.0</v>
      </c>
      <c r="K81" s="45">
        <v>332.0</v>
      </c>
      <c r="L81" s="45">
        <v>35.0</v>
      </c>
      <c r="M81" s="45">
        <v>7.0</v>
      </c>
      <c r="N81" s="45">
        <v>324.0</v>
      </c>
      <c r="O81" s="46">
        <v>43.0</v>
      </c>
      <c r="P81" s="46">
        <v>17.0</v>
      </c>
      <c r="Q81" s="46">
        <f>IFERROR(__xludf.DUMMYFUNCTION("""COMPUTED_VALUE"""),0.0)</f>
        <v>0</v>
      </c>
      <c r="R81" s="47">
        <v>8.0</v>
      </c>
    </row>
    <row r="82" ht="22.5" customHeight="1">
      <c r="A82" s="42">
        <v>44489.0</v>
      </c>
      <c r="B82" s="43">
        <v>44489.83336805556</v>
      </c>
      <c r="C82" s="17" t="s">
        <v>78</v>
      </c>
      <c r="D82" s="17" t="s">
        <v>319</v>
      </c>
      <c r="E82" s="17" t="s">
        <v>80</v>
      </c>
      <c r="F82" s="17" t="s">
        <v>53</v>
      </c>
      <c r="G82" s="17" t="s">
        <v>311</v>
      </c>
      <c r="H82" s="44" t="s">
        <v>320</v>
      </c>
      <c r="I82" s="45">
        <v>1.0</v>
      </c>
      <c r="J82" s="45">
        <v>281.0</v>
      </c>
      <c r="K82" s="45">
        <v>305.0</v>
      </c>
      <c r="L82" s="45">
        <v>23.0</v>
      </c>
      <c r="M82" s="45">
        <v>12.0</v>
      </c>
      <c r="N82" s="45">
        <v>281.0</v>
      </c>
      <c r="O82" s="46">
        <v>43.0</v>
      </c>
      <c r="P82" s="46">
        <v>20.0</v>
      </c>
      <c r="Q82" s="46">
        <f>IFERROR(__xludf.DUMMYFUNCTION("""COMPUTED_VALUE"""),0.0)</f>
        <v>0</v>
      </c>
      <c r="R82" s="47">
        <v>24.0</v>
      </c>
    </row>
    <row r="83" ht="22.5" customHeight="1">
      <c r="A83" s="42">
        <v>44490.0</v>
      </c>
      <c r="B83" s="43">
        <v>44490.45836805556</v>
      </c>
      <c r="C83" s="17" t="s">
        <v>78</v>
      </c>
      <c r="D83" s="17" t="s">
        <v>321</v>
      </c>
      <c r="E83" s="17" t="s">
        <v>84</v>
      </c>
      <c r="F83" s="17" t="s">
        <v>50</v>
      </c>
      <c r="G83" s="17" t="s">
        <v>322</v>
      </c>
      <c r="H83" s="44" t="s">
        <v>323</v>
      </c>
      <c r="I83" s="45">
        <v>1.0</v>
      </c>
      <c r="J83" s="45">
        <v>186.0</v>
      </c>
      <c r="K83" s="45">
        <v>191.0</v>
      </c>
      <c r="L83" s="45">
        <v>30.0</v>
      </c>
      <c r="M83" s="45">
        <v>5.0</v>
      </c>
      <c r="N83" s="45">
        <v>186.0</v>
      </c>
      <c r="O83" s="46">
        <v>43.0</v>
      </c>
      <c r="P83" s="46">
        <v>11.0</v>
      </c>
      <c r="Q83" s="46">
        <f>IFERROR(__xludf.DUMMYFUNCTION("""COMPUTED_VALUE"""),1.0)</f>
        <v>1</v>
      </c>
      <c r="R83" s="47">
        <v>5.0</v>
      </c>
    </row>
    <row r="84" ht="22.5" customHeight="1">
      <c r="A84" s="42">
        <v>44490.0</v>
      </c>
      <c r="B84" s="43">
        <v>44490.58375</v>
      </c>
      <c r="C84" s="17" t="s">
        <v>78</v>
      </c>
      <c r="D84" s="17" t="s">
        <v>324</v>
      </c>
      <c r="E84" s="17" t="s">
        <v>84</v>
      </c>
      <c r="F84" s="17" t="s">
        <v>50</v>
      </c>
      <c r="G84" s="17" t="s">
        <v>325</v>
      </c>
      <c r="H84" s="44" t="s">
        <v>326</v>
      </c>
      <c r="I84" s="45">
        <v>1.0</v>
      </c>
      <c r="J84" s="45">
        <v>4950.0</v>
      </c>
      <c r="K84" s="45">
        <v>5662.0</v>
      </c>
      <c r="L84" s="45">
        <v>647.0</v>
      </c>
      <c r="M84" s="45">
        <v>539.0</v>
      </c>
      <c r="N84" s="45">
        <v>4950.0</v>
      </c>
      <c r="O84" s="46">
        <v>43.0</v>
      </c>
      <c r="P84" s="46">
        <v>14.0</v>
      </c>
      <c r="Q84" s="46">
        <f>IFERROR(__xludf.DUMMYFUNCTION("""COMPUTED_VALUE"""),0.0)</f>
        <v>0</v>
      </c>
      <c r="R84" s="47">
        <v>712.0</v>
      </c>
    </row>
    <row r="85" ht="22.5" customHeight="1">
      <c r="A85" s="42">
        <v>44490.0</v>
      </c>
      <c r="B85" s="43">
        <v>44490.708344907405</v>
      </c>
      <c r="C85" s="17" t="s">
        <v>78</v>
      </c>
      <c r="D85" s="17" t="s">
        <v>327</v>
      </c>
      <c r="E85" s="17" t="s">
        <v>84</v>
      </c>
      <c r="F85" s="17" t="s">
        <v>50</v>
      </c>
      <c r="G85" s="17" t="s">
        <v>328</v>
      </c>
      <c r="H85" s="44" t="s">
        <v>329</v>
      </c>
      <c r="I85" s="45">
        <v>1.0</v>
      </c>
      <c r="J85" s="45">
        <v>1532.0</v>
      </c>
      <c r="K85" s="45">
        <v>1703.0</v>
      </c>
      <c r="L85" s="45">
        <v>196.0</v>
      </c>
      <c r="M85" s="45">
        <v>16.0</v>
      </c>
      <c r="N85" s="45">
        <v>1532.0</v>
      </c>
      <c r="O85" s="46">
        <v>43.0</v>
      </c>
      <c r="P85" s="46">
        <v>17.0</v>
      </c>
      <c r="Q85" s="46">
        <f>IFERROR(__xludf.DUMMYFUNCTION("""COMPUTED_VALUE"""),0.0)</f>
        <v>0</v>
      </c>
      <c r="R85" s="47">
        <v>171.0</v>
      </c>
    </row>
    <row r="86" ht="22.5" customHeight="1">
      <c r="A86" s="42">
        <v>44490.0</v>
      </c>
      <c r="B86" s="43">
        <v>44490.79167824074</v>
      </c>
      <c r="C86" s="17" t="s">
        <v>78</v>
      </c>
      <c r="D86" s="17" t="s">
        <v>330</v>
      </c>
      <c r="E86" s="17" t="s">
        <v>80</v>
      </c>
      <c r="F86" s="17" t="s">
        <v>53</v>
      </c>
      <c r="G86" s="17" t="s">
        <v>331</v>
      </c>
      <c r="H86" s="44" t="s">
        <v>332</v>
      </c>
      <c r="I86" s="45">
        <v>1.0</v>
      </c>
      <c r="J86" s="45">
        <v>1933.0</v>
      </c>
      <c r="K86" s="45">
        <v>2223.0</v>
      </c>
      <c r="L86" s="45">
        <v>97.0</v>
      </c>
      <c r="M86" s="45">
        <v>77.0</v>
      </c>
      <c r="N86" s="45">
        <v>1933.0</v>
      </c>
      <c r="O86" s="46">
        <v>43.0</v>
      </c>
      <c r="P86" s="46">
        <v>19.0</v>
      </c>
      <c r="Q86" s="46">
        <f>IFERROR(__xludf.DUMMYFUNCTION("""COMPUTED_VALUE"""),0.0)</f>
        <v>0</v>
      </c>
      <c r="R86" s="47">
        <v>290.0</v>
      </c>
    </row>
    <row r="87" ht="22.5" customHeight="1">
      <c r="A87" s="42">
        <v>44491.0</v>
      </c>
      <c r="B87" s="43">
        <v>44491.458333333336</v>
      </c>
      <c r="C87" s="17" t="s">
        <v>78</v>
      </c>
      <c r="D87" s="17" t="s">
        <v>333</v>
      </c>
      <c r="E87" s="17" t="s">
        <v>84</v>
      </c>
      <c r="F87" s="17" t="s">
        <v>50</v>
      </c>
      <c r="G87" s="17" t="s">
        <v>334</v>
      </c>
      <c r="H87" s="44" t="s">
        <v>335</v>
      </c>
      <c r="I87" s="45">
        <v>1.0</v>
      </c>
      <c r="J87" s="45">
        <v>2372.0</v>
      </c>
      <c r="K87" s="45">
        <v>3185.0</v>
      </c>
      <c r="L87" s="45">
        <v>597.0</v>
      </c>
      <c r="M87" s="45">
        <v>91.0</v>
      </c>
      <c r="N87" s="45">
        <v>2372.0</v>
      </c>
      <c r="O87" s="46">
        <v>43.0</v>
      </c>
      <c r="P87" s="46">
        <v>11.0</v>
      </c>
      <c r="Q87" s="46">
        <f>IFERROR(__xludf.DUMMYFUNCTION("""COMPUTED_VALUE"""),0.0)</f>
        <v>0</v>
      </c>
      <c r="R87" s="47">
        <v>813.0</v>
      </c>
    </row>
    <row r="88" ht="22.5" customHeight="1">
      <c r="A88" s="42">
        <v>44491.0</v>
      </c>
      <c r="B88" s="43">
        <v>44491.50001157408</v>
      </c>
      <c r="C88" s="17" t="s">
        <v>78</v>
      </c>
      <c r="D88" s="17" t="s">
        <v>336</v>
      </c>
      <c r="E88" s="17" t="s">
        <v>84</v>
      </c>
      <c r="F88" s="17" t="s">
        <v>50</v>
      </c>
      <c r="G88" s="17" t="s">
        <v>337</v>
      </c>
      <c r="H88" s="44" t="s">
        <v>338</v>
      </c>
      <c r="I88" s="45">
        <v>1.0</v>
      </c>
      <c r="J88" s="45">
        <v>383.0</v>
      </c>
      <c r="K88" s="45">
        <v>396.0</v>
      </c>
      <c r="L88" s="45">
        <v>43.0</v>
      </c>
      <c r="M88" s="45">
        <v>5.0</v>
      </c>
      <c r="N88" s="45">
        <v>383.0</v>
      </c>
      <c r="O88" s="46">
        <v>43.0</v>
      </c>
      <c r="P88" s="46">
        <v>12.0</v>
      </c>
      <c r="Q88" s="46">
        <f>IFERROR(__xludf.DUMMYFUNCTION("""COMPUTED_VALUE"""),0.0)</f>
        <v>0</v>
      </c>
      <c r="R88" s="47">
        <v>13.0</v>
      </c>
    </row>
    <row r="89" ht="22.5" customHeight="1">
      <c r="A89" s="42">
        <v>44491.0</v>
      </c>
      <c r="B89" s="43">
        <v>44491.54167824074</v>
      </c>
      <c r="C89" s="17" t="s">
        <v>78</v>
      </c>
      <c r="D89" s="17" t="s">
        <v>339</v>
      </c>
      <c r="E89" s="17" t="s">
        <v>84</v>
      </c>
      <c r="F89" s="17" t="s">
        <v>47</v>
      </c>
      <c r="G89" s="17" t="s">
        <v>340</v>
      </c>
      <c r="H89" s="44" t="s">
        <v>341</v>
      </c>
      <c r="I89" s="45">
        <v>1.0</v>
      </c>
      <c r="J89" s="45">
        <v>2092.0</v>
      </c>
      <c r="K89" s="45">
        <v>2360.0</v>
      </c>
      <c r="L89" s="45">
        <v>172.0</v>
      </c>
      <c r="M89" s="45">
        <v>84.0</v>
      </c>
      <c r="N89" s="45">
        <v>2092.0</v>
      </c>
      <c r="O89" s="46">
        <v>43.0</v>
      </c>
      <c r="P89" s="46">
        <v>13.0</v>
      </c>
      <c r="Q89" s="46">
        <f>IFERROR(__xludf.DUMMYFUNCTION("""COMPUTED_VALUE"""),0.0)</f>
        <v>0</v>
      </c>
      <c r="R89" s="47">
        <v>268.0</v>
      </c>
    </row>
    <row r="90" ht="22.5" customHeight="1">
      <c r="A90" s="42">
        <v>44491.0</v>
      </c>
      <c r="B90" s="43">
        <v>44491.58369212963</v>
      </c>
      <c r="C90" s="17" t="s">
        <v>78</v>
      </c>
      <c r="D90" s="17" t="s">
        <v>342</v>
      </c>
      <c r="E90" s="17" t="s">
        <v>84</v>
      </c>
      <c r="F90" s="17" t="s">
        <v>50</v>
      </c>
      <c r="G90" s="17" t="s">
        <v>343</v>
      </c>
      <c r="H90" s="44" t="s">
        <v>344</v>
      </c>
      <c r="I90" s="45">
        <v>1.0</v>
      </c>
      <c r="J90" s="45">
        <v>319.0</v>
      </c>
      <c r="K90" s="45">
        <v>347.0</v>
      </c>
      <c r="L90" s="45">
        <v>41.0</v>
      </c>
      <c r="M90" s="45">
        <v>21.0</v>
      </c>
      <c r="N90" s="45">
        <v>319.0</v>
      </c>
      <c r="O90" s="46">
        <v>43.0</v>
      </c>
      <c r="P90" s="46">
        <v>14.0</v>
      </c>
      <c r="Q90" s="46">
        <f>IFERROR(__xludf.DUMMYFUNCTION("""COMPUTED_VALUE"""),0.0)</f>
        <v>0</v>
      </c>
      <c r="R90" s="47">
        <v>28.0</v>
      </c>
    </row>
    <row r="91" ht="22.5" customHeight="1">
      <c r="A91" s="42">
        <v>44491.0</v>
      </c>
      <c r="B91" s="43">
        <v>44491.833657407406</v>
      </c>
      <c r="C91" s="17" t="s">
        <v>78</v>
      </c>
      <c r="D91" s="17" t="s">
        <v>345</v>
      </c>
      <c r="E91" s="17" t="s">
        <v>80</v>
      </c>
      <c r="F91" s="17" t="s">
        <v>53</v>
      </c>
      <c r="G91" s="17" t="s">
        <v>346</v>
      </c>
      <c r="H91" s="44" t="s">
        <v>347</v>
      </c>
      <c r="I91" s="45">
        <v>1.0</v>
      </c>
      <c r="J91" s="45">
        <v>310.0</v>
      </c>
      <c r="K91" s="45">
        <v>349.0</v>
      </c>
      <c r="L91" s="45">
        <v>47.0</v>
      </c>
      <c r="M91" s="45">
        <v>8.0</v>
      </c>
      <c r="N91" s="45">
        <v>310.0</v>
      </c>
      <c r="O91" s="46">
        <v>43.0</v>
      </c>
      <c r="P91" s="46">
        <v>20.0</v>
      </c>
      <c r="Q91" s="46">
        <f>IFERROR(__xludf.DUMMYFUNCTION("""COMPUTED_VALUE"""),0.0)</f>
        <v>0</v>
      </c>
      <c r="R91" s="47">
        <v>39.0</v>
      </c>
    </row>
    <row r="92" ht="22.5" customHeight="1">
      <c r="A92" s="42">
        <v>44492.0</v>
      </c>
      <c r="B92" s="43">
        <v>44492.29167824074</v>
      </c>
      <c r="C92" s="17" t="s">
        <v>78</v>
      </c>
      <c r="D92" s="17" t="s">
        <v>348</v>
      </c>
      <c r="E92" s="17" t="s">
        <v>84</v>
      </c>
      <c r="F92" s="17" t="s">
        <v>50</v>
      </c>
      <c r="G92" s="17" t="s">
        <v>349</v>
      </c>
      <c r="H92" s="44" t="s">
        <v>350</v>
      </c>
      <c r="I92" s="45">
        <v>1.0</v>
      </c>
      <c r="J92" s="45">
        <v>2568.0</v>
      </c>
      <c r="K92" s="45">
        <v>3448.0</v>
      </c>
      <c r="L92" s="45">
        <v>397.0</v>
      </c>
      <c r="M92" s="45">
        <v>122.0</v>
      </c>
      <c r="N92" s="45">
        <v>2568.0</v>
      </c>
      <c r="O92" s="46">
        <v>43.0</v>
      </c>
      <c r="P92" s="46">
        <v>7.0</v>
      </c>
      <c r="Q92" s="46">
        <f>IFERROR(__xludf.DUMMYFUNCTION("""COMPUTED_VALUE"""),0.0)</f>
        <v>0</v>
      </c>
      <c r="R92" s="47">
        <v>880.0</v>
      </c>
    </row>
    <row r="93" ht="22.5" customHeight="1">
      <c r="A93" s="42">
        <v>44492.0</v>
      </c>
      <c r="B93" s="43">
        <v>44492.333344907405</v>
      </c>
      <c r="C93" s="17" t="s">
        <v>78</v>
      </c>
      <c r="D93" s="17" t="s">
        <v>351</v>
      </c>
      <c r="E93" s="17" t="s">
        <v>84</v>
      </c>
      <c r="F93" s="17" t="s">
        <v>50</v>
      </c>
      <c r="G93" s="17" t="s">
        <v>352</v>
      </c>
      <c r="H93" s="44" t="s">
        <v>353</v>
      </c>
      <c r="I93" s="45">
        <v>1.0</v>
      </c>
      <c r="J93" s="45">
        <v>9730.0</v>
      </c>
      <c r="K93" s="45">
        <v>10113.0</v>
      </c>
      <c r="L93" s="45">
        <v>296.0</v>
      </c>
      <c r="M93" s="45">
        <v>84.0</v>
      </c>
      <c r="N93" s="45">
        <v>9730.0</v>
      </c>
      <c r="O93" s="46">
        <v>43.0</v>
      </c>
      <c r="P93" s="46">
        <v>8.0</v>
      </c>
      <c r="Q93" s="46">
        <f>IFERROR(__xludf.DUMMYFUNCTION("""COMPUTED_VALUE"""),0.0)</f>
        <v>0</v>
      </c>
      <c r="R93" s="47">
        <v>383.0</v>
      </c>
    </row>
    <row r="94" ht="22.5" customHeight="1">
      <c r="A94" s="42">
        <v>44492.0</v>
      </c>
      <c r="B94" s="43">
        <v>44492.416666666664</v>
      </c>
      <c r="C94" s="17" t="s">
        <v>78</v>
      </c>
      <c r="D94" s="17" t="s">
        <v>354</v>
      </c>
      <c r="E94" s="17" t="s">
        <v>84</v>
      </c>
      <c r="F94" s="17" t="s">
        <v>50</v>
      </c>
      <c r="G94" s="17" t="s">
        <v>355</v>
      </c>
      <c r="H94" s="44" t="s">
        <v>356</v>
      </c>
      <c r="I94" s="45">
        <v>1.0</v>
      </c>
      <c r="J94" s="45">
        <v>843.0</v>
      </c>
      <c r="K94" s="45">
        <v>875.0</v>
      </c>
      <c r="L94" s="45">
        <v>58.0</v>
      </c>
      <c r="M94" s="45">
        <v>11.0</v>
      </c>
      <c r="N94" s="45">
        <v>843.0</v>
      </c>
      <c r="O94" s="46">
        <v>43.0</v>
      </c>
      <c r="P94" s="46">
        <v>10.0</v>
      </c>
      <c r="Q94" s="46">
        <f>IFERROR(__xludf.DUMMYFUNCTION("""COMPUTED_VALUE"""),0.0)</f>
        <v>0</v>
      </c>
      <c r="R94" s="47">
        <v>32.0</v>
      </c>
    </row>
    <row r="95" ht="22.5" customHeight="1">
      <c r="A95" s="42">
        <v>44492.0</v>
      </c>
      <c r="B95" s="43">
        <v>44492.45836805556</v>
      </c>
      <c r="C95" s="17" t="s">
        <v>78</v>
      </c>
      <c r="D95" s="17" t="s">
        <v>357</v>
      </c>
      <c r="E95" s="17" t="s">
        <v>84</v>
      </c>
      <c r="F95" s="17" t="s">
        <v>50</v>
      </c>
      <c r="G95" s="17" t="s">
        <v>358</v>
      </c>
      <c r="H95" s="44" t="s">
        <v>359</v>
      </c>
      <c r="I95" s="45">
        <v>1.0</v>
      </c>
      <c r="J95" s="45">
        <v>1508.0</v>
      </c>
      <c r="K95" s="45">
        <v>1782.0</v>
      </c>
      <c r="L95" s="45">
        <v>239.0</v>
      </c>
      <c r="M95" s="45">
        <v>27.0</v>
      </c>
      <c r="N95" s="45">
        <v>1508.0</v>
      </c>
      <c r="O95" s="46">
        <v>43.0</v>
      </c>
      <c r="P95" s="46">
        <v>11.0</v>
      </c>
      <c r="Q95" s="46">
        <f>IFERROR(__xludf.DUMMYFUNCTION("""COMPUTED_VALUE"""),0.0)</f>
        <v>0</v>
      </c>
      <c r="R95" s="47">
        <v>274.0</v>
      </c>
    </row>
    <row r="96" ht="22.5" customHeight="1">
      <c r="A96" s="42">
        <v>44492.0</v>
      </c>
      <c r="B96" s="43">
        <v>44492.50019675926</v>
      </c>
      <c r="C96" s="17" t="s">
        <v>78</v>
      </c>
      <c r="D96" s="17" t="s">
        <v>360</v>
      </c>
      <c r="E96" s="17" t="s">
        <v>84</v>
      </c>
      <c r="F96" s="17" t="s">
        <v>50</v>
      </c>
      <c r="G96" s="17" t="s">
        <v>361</v>
      </c>
      <c r="H96" s="44" t="s">
        <v>362</v>
      </c>
      <c r="I96" s="45">
        <v>1.0</v>
      </c>
      <c r="J96" s="45">
        <v>658.0</v>
      </c>
      <c r="K96" s="45">
        <v>771.0</v>
      </c>
      <c r="L96" s="45">
        <v>28.0</v>
      </c>
      <c r="M96" s="45">
        <v>77.0</v>
      </c>
      <c r="N96" s="45">
        <v>658.0</v>
      </c>
      <c r="O96" s="46">
        <v>43.0</v>
      </c>
      <c r="P96" s="46">
        <v>12.0</v>
      </c>
      <c r="Q96" s="46">
        <f>IFERROR(__xludf.DUMMYFUNCTION("""COMPUTED_VALUE"""),0.0)</f>
        <v>0</v>
      </c>
      <c r="R96" s="47">
        <v>113.0</v>
      </c>
    </row>
    <row r="97" ht="22.5" customHeight="1">
      <c r="A97" s="42">
        <v>44492.0</v>
      </c>
      <c r="B97" s="43">
        <v>44492.541238425925</v>
      </c>
      <c r="C97" s="17" t="s">
        <v>78</v>
      </c>
      <c r="D97" s="17" t="s">
        <v>363</v>
      </c>
      <c r="E97" s="17" t="s">
        <v>84</v>
      </c>
      <c r="F97" s="17" t="s">
        <v>50</v>
      </c>
      <c r="G97" s="17" t="s">
        <v>364</v>
      </c>
      <c r="H97" s="44" t="s">
        <v>365</v>
      </c>
      <c r="I97" s="45">
        <v>1.0</v>
      </c>
      <c r="J97" s="45">
        <v>456.0</v>
      </c>
      <c r="K97" s="45">
        <v>489.0</v>
      </c>
      <c r="L97" s="45">
        <v>18.0</v>
      </c>
      <c r="M97" s="45">
        <v>16.0</v>
      </c>
      <c r="N97" s="45">
        <v>456.0</v>
      </c>
      <c r="O97" s="46">
        <v>43.0</v>
      </c>
      <c r="P97" s="46">
        <v>12.0</v>
      </c>
      <c r="Q97" s="46">
        <f>IFERROR(__xludf.DUMMYFUNCTION("""COMPUTED_VALUE"""),0.0)</f>
        <v>0</v>
      </c>
      <c r="R97" s="47">
        <v>33.0</v>
      </c>
    </row>
    <row r="98" ht="22.5" customHeight="1">
      <c r="A98" s="42">
        <v>44492.0</v>
      </c>
      <c r="B98" s="43">
        <v>44492.545219907406</v>
      </c>
      <c r="C98" s="17" t="s">
        <v>78</v>
      </c>
      <c r="D98" s="17" t="s">
        <v>366</v>
      </c>
      <c r="E98" s="17" t="s">
        <v>84</v>
      </c>
      <c r="F98" s="17" t="s">
        <v>50</v>
      </c>
      <c r="G98" s="17" t="s">
        <v>367</v>
      </c>
      <c r="H98" s="44" t="s">
        <v>368</v>
      </c>
      <c r="I98" s="45">
        <v>1.0</v>
      </c>
      <c r="J98" s="45">
        <v>1913.0</v>
      </c>
      <c r="K98" s="45">
        <v>2142.0</v>
      </c>
      <c r="L98" s="45">
        <v>253.0</v>
      </c>
      <c r="M98" s="45">
        <v>52.0</v>
      </c>
      <c r="N98" s="45">
        <v>1913.0</v>
      </c>
      <c r="O98" s="46">
        <v>43.0</v>
      </c>
      <c r="P98" s="46">
        <v>13.0</v>
      </c>
      <c r="Q98" s="46">
        <f>IFERROR(__xludf.DUMMYFUNCTION("""COMPUTED_VALUE"""),0.0)</f>
        <v>0</v>
      </c>
      <c r="R98" s="47">
        <v>229.0</v>
      </c>
    </row>
    <row r="99" ht="22.5" customHeight="1">
      <c r="A99" s="42">
        <v>44492.0</v>
      </c>
      <c r="B99" s="43">
        <v>44492.704050925924</v>
      </c>
      <c r="C99" s="17" t="s">
        <v>78</v>
      </c>
      <c r="D99" s="17" t="s">
        <v>369</v>
      </c>
      <c r="E99" s="17" t="s">
        <v>84</v>
      </c>
      <c r="F99" s="17" t="s">
        <v>50</v>
      </c>
      <c r="G99" s="17" t="s">
        <v>370</v>
      </c>
      <c r="H99" s="44" t="s">
        <v>371</v>
      </c>
      <c r="I99" s="45">
        <v>1.0</v>
      </c>
      <c r="J99" s="45">
        <v>1699.0</v>
      </c>
      <c r="K99" s="45">
        <v>2117.0</v>
      </c>
      <c r="L99" s="45">
        <v>130.0</v>
      </c>
      <c r="M99" s="45">
        <v>246.0</v>
      </c>
      <c r="N99" s="45">
        <v>1699.0</v>
      </c>
      <c r="O99" s="46">
        <v>43.0</v>
      </c>
      <c r="P99" s="46">
        <v>16.0</v>
      </c>
      <c r="Q99" s="46">
        <f>IFERROR(__xludf.DUMMYFUNCTION("""COMPUTED_VALUE"""),0.0)</f>
        <v>0</v>
      </c>
      <c r="R99" s="47">
        <v>418.0</v>
      </c>
    </row>
    <row r="100" ht="22.5" customHeight="1">
      <c r="A100" s="42">
        <v>44492.0</v>
      </c>
      <c r="B100" s="43">
        <v>44492.708333333336</v>
      </c>
      <c r="C100" s="17" t="s">
        <v>78</v>
      </c>
      <c r="D100" s="17" t="s">
        <v>372</v>
      </c>
      <c r="E100" s="17" t="s">
        <v>84</v>
      </c>
      <c r="F100" s="17" t="s">
        <v>50</v>
      </c>
      <c r="G100" s="17" t="s">
        <v>373</v>
      </c>
      <c r="H100" s="44" t="s">
        <v>374</v>
      </c>
      <c r="I100" s="45">
        <v>1.0</v>
      </c>
      <c r="J100" s="45">
        <v>521.0</v>
      </c>
      <c r="K100" s="45">
        <v>538.0</v>
      </c>
      <c r="L100" s="45">
        <v>55.0</v>
      </c>
      <c r="M100" s="45">
        <v>5.0</v>
      </c>
      <c r="N100" s="45">
        <v>521.0</v>
      </c>
      <c r="O100" s="46">
        <v>43.0</v>
      </c>
      <c r="P100" s="46">
        <v>17.0</v>
      </c>
      <c r="Q100" s="46">
        <f>IFERROR(__xludf.DUMMYFUNCTION("""COMPUTED_VALUE"""),0.0)</f>
        <v>0</v>
      </c>
      <c r="R100" s="47">
        <v>17.0</v>
      </c>
    </row>
    <row r="101" ht="22.5" customHeight="1">
      <c r="A101" s="42">
        <v>44492.0</v>
      </c>
      <c r="B101" s="43">
        <v>44492.8750462963</v>
      </c>
      <c r="C101" s="17" t="s">
        <v>78</v>
      </c>
      <c r="D101" s="17" t="s">
        <v>375</v>
      </c>
      <c r="E101" s="17" t="s">
        <v>97</v>
      </c>
      <c r="F101" s="17" t="s">
        <v>52</v>
      </c>
      <c r="G101" s="17" t="s">
        <v>376</v>
      </c>
      <c r="H101" s="44" t="s">
        <v>377</v>
      </c>
      <c r="I101" s="45">
        <v>1.0</v>
      </c>
      <c r="J101" s="45">
        <v>276.0</v>
      </c>
      <c r="K101" s="45">
        <v>311.0</v>
      </c>
      <c r="L101" s="45">
        <v>52.0</v>
      </c>
      <c r="M101" s="45">
        <v>3.0</v>
      </c>
      <c r="N101" s="45">
        <v>276.0</v>
      </c>
      <c r="O101" s="46">
        <v>43.0</v>
      </c>
      <c r="P101" s="46">
        <v>21.0</v>
      </c>
      <c r="Q101" s="46">
        <f>IFERROR(__xludf.DUMMYFUNCTION("""COMPUTED_VALUE"""),0.0)</f>
        <v>0</v>
      </c>
      <c r="R101" s="47">
        <v>35.0</v>
      </c>
    </row>
    <row r="102" ht="22.5" customHeight="1">
      <c r="A102" s="42">
        <v>44493.0</v>
      </c>
      <c r="B102" s="43">
        <v>44493.375</v>
      </c>
      <c r="C102" s="17" t="s">
        <v>78</v>
      </c>
      <c r="D102" s="17" t="s">
        <v>378</v>
      </c>
      <c r="E102" s="17" t="s">
        <v>84</v>
      </c>
      <c r="F102" s="17" t="s">
        <v>50</v>
      </c>
      <c r="G102" s="17" t="s">
        <v>379</v>
      </c>
      <c r="H102" s="44" t="s">
        <v>380</v>
      </c>
      <c r="I102" s="45">
        <v>1.0</v>
      </c>
      <c r="J102" s="45">
        <v>10799.0</v>
      </c>
      <c r="K102" s="45">
        <v>11054.0</v>
      </c>
      <c r="L102" s="45">
        <v>554.0</v>
      </c>
      <c r="M102" s="45">
        <v>153.0</v>
      </c>
      <c r="N102" s="45">
        <v>10799.0</v>
      </c>
      <c r="O102" s="46">
        <v>44.0</v>
      </c>
      <c r="P102" s="46">
        <v>9.0</v>
      </c>
      <c r="Q102" s="46">
        <f>IFERROR(__xludf.DUMMYFUNCTION("""COMPUTED_VALUE"""),0.0)</f>
        <v>0</v>
      </c>
      <c r="R102" s="47">
        <v>255.0</v>
      </c>
    </row>
    <row r="103" ht="22.5" customHeight="1">
      <c r="A103" s="42">
        <v>44493.0</v>
      </c>
      <c r="B103" s="43">
        <v>44493.583344907405</v>
      </c>
      <c r="C103" s="17" t="s">
        <v>78</v>
      </c>
      <c r="D103" s="17" t="s">
        <v>381</v>
      </c>
      <c r="E103" s="17" t="s">
        <v>84</v>
      </c>
      <c r="F103" s="17" t="s">
        <v>50</v>
      </c>
      <c r="G103" s="17" t="s">
        <v>382</v>
      </c>
      <c r="H103" s="44" t="s">
        <v>383</v>
      </c>
      <c r="I103" s="45">
        <v>1.0</v>
      </c>
      <c r="J103" s="45">
        <v>542.0</v>
      </c>
      <c r="K103" s="45">
        <v>577.0</v>
      </c>
      <c r="L103" s="45">
        <v>61.0</v>
      </c>
      <c r="M103" s="45">
        <v>2.0</v>
      </c>
      <c r="N103" s="45">
        <v>542.0</v>
      </c>
      <c r="O103" s="46">
        <v>44.0</v>
      </c>
      <c r="P103" s="46">
        <v>14.0</v>
      </c>
      <c r="Q103" s="46">
        <f>IFERROR(__xludf.DUMMYFUNCTION("""COMPUTED_VALUE"""),0.0)</f>
        <v>0</v>
      </c>
      <c r="R103" s="47">
        <v>35.0</v>
      </c>
    </row>
    <row r="104" ht="22.5" customHeight="1">
      <c r="A104" s="42">
        <v>44493.0</v>
      </c>
      <c r="B104" s="43">
        <v>44493.66667824074</v>
      </c>
      <c r="C104" s="17" t="s">
        <v>78</v>
      </c>
      <c r="D104" s="17" t="s">
        <v>384</v>
      </c>
      <c r="E104" s="17" t="s">
        <v>84</v>
      </c>
      <c r="F104" s="17" t="s">
        <v>50</v>
      </c>
      <c r="G104" s="17" t="s">
        <v>385</v>
      </c>
      <c r="H104" s="44" t="s">
        <v>386</v>
      </c>
      <c r="I104" s="45">
        <v>1.0</v>
      </c>
      <c r="J104" s="45">
        <v>291.0</v>
      </c>
      <c r="K104" s="45">
        <v>310.0</v>
      </c>
      <c r="L104" s="45">
        <v>31.0</v>
      </c>
      <c r="M104" s="45">
        <v>6.0</v>
      </c>
      <c r="N104" s="45">
        <v>291.0</v>
      </c>
      <c r="O104" s="46">
        <v>44.0</v>
      </c>
      <c r="P104" s="46">
        <v>16.0</v>
      </c>
      <c r="Q104" s="46">
        <f>IFERROR(__xludf.DUMMYFUNCTION("""COMPUTED_VALUE"""),0.0)</f>
        <v>0</v>
      </c>
      <c r="R104" s="47">
        <v>19.0</v>
      </c>
    </row>
    <row r="105" ht="22.5" customHeight="1">
      <c r="A105" s="42">
        <v>44493.0</v>
      </c>
      <c r="B105" s="43">
        <v>44493.75053240741</v>
      </c>
      <c r="C105" s="17" t="s">
        <v>78</v>
      </c>
      <c r="D105" s="17" t="s">
        <v>387</v>
      </c>
      <c r="E105" s="17" t="s">
        <v>80</v>
      </c>
      <c r="F105" s="17" t="s">
        <v>53</v>
      </c>
      <c r="G105" s="17" t="s">
        <v>388</v>
      </c>
      <c r="H105" s="44" t="s">
        <v>389</v>
      </c>
      <c r="I105" s="45">
        <v>1.0</v>
      </c>
      <c r="J105" s="45">
        <v>372.0</v>
      </c>
      <c r="K105" s="45">
        <v>395.0</v>
      </c>
      <c r="L105" s="45">
        <v>46.0</v>
      </c>
      <c r="M105" s="45">
        <v>12.0</v>
      </c>
      <c r="N105" s="45">
        <v>372.0</v>
      </c>
      <c r="O105" s="46">
        <v>44.0</v>
      </c>
      <c r="P105" s="46">
        <v>18.0</v>
      </c>
      <c r="Q105" s="46">
        <f>IFERROR(__xludf.DUMMYFUNCTION("""COMPUTED_VALUE"""),0.0)</f>
        <v>0</v>
      </c>
      <c r="R105" s="47">
        <v>23.0</v>
      </c>
    </row>
    <row r="106" ht="22.5" customHeight="1">
      <c r="A106" s="42">
        <v>44494.0</v>
      </c>
      <c r="B106" s="43">
        <v>44494.37501157408</v>
      </c>
      <c r="C106" s="17" t="s">
        <v>78</v>
      </c>
      <c r="D106" s="17" t="s">
        <v>390</v>
      </c>
      <c r="E106" s="17" t="s">
        <v>84</v>
      </c>
      <c r="F106" s="17" t="s">
        <v>50</v>
      </c>
      <c r="G106" s="17" t="s">
        <v>391</v>
      </c>
      <c r="H106" s="44" t="s">
        <v>392</v>
      </c>
      <c r="I106" s="45">
        <v>1.0</v>
      </c>
      <c r="J106" s="45">
        <v>1582.0</v>
      </c>
      <c r="K106" s="45">
        <v>1753.0</v>
      </c>
      <c r="L106" s="45">
        <v>236.0</v>
      </c>
      <c r="M106" s="45">
        <v>40.0</v>
      </c>
      <c r="N106" s="45">
        <v>1582.0</v>
      </c>
      <c r="O106" s="46">
        <v>44.0</v>
      </c>
      <c r="P106" s="46">
        <v>9.0</v>
      </c>
      <c r="Q106" s="46">
        <f>IFERROR(__xludf.DUMMYFUNCTION("""COMPUTED_VALUE"""),0.0)</f>
        <v>0</v>
      </c>
      <c r="R106" s="47">
        <v>171.0</v>
      </c>
    </row>
    <row r="107" ht="22.5" customHeight="1">
      <c r="A107" s="42">
        <v>44494.0</v>
      </c>
      <c r="B107" s="43">
        <v>44494.70837962963</v>
      </c>
      <c r="C107" s="17" t="s">
        <v>78</v>
      </c>
      <c r="D107" s="17" t="s">
        <v>393</v>
      </c>
      <c r="E107" s="17" t="s">
        <v>80</v>
      </c>
      <c r="F107" s="17" t="s">
        <v>55</v>
      </c>
      <c r="G107" s="17" t="s">
        <v>394</v>
      </c>
      <c r="H107" s="44" t="s">
        <v>395</v>
      </c>
      <c r="I107" s="45">
        <v>1.0</v>
      </c>
      <c r="J107" s="45">
        <v>1696.0</v>
      </c>
      <c r="K107" s="45">
        <v>2014.0</v>
      </c>
      <c r="L107" s="45">
        <v>143.0</v>
      </c>
      <c r="M107" s="45">
        <v>78.0</v>
      </c>
      <c r="N107" s="45">
        <v>1696.0</v>
      </c>
      <c r="O107" s="46">
        <v>44.0</v>
      </c>
      <c r="P107" s="46">
        <v>17.0</v>
      </c>
      <c r="Q107" s="46">
        <f>IFERROR(__xludf.DUMMYFUNCTION("""COMPUTED_VALUE"""),0.0)</f>
        <v>0</v>
      </c>
      <c r="R107" s="47">
        <v>318.0</v>
      </c>
    </row>
    <row r="108" ht="22.5" customHeight="1">
      <c r="A108" s="42">
        <v>44495.0</v>
      </c>
      <c r="B108" s="43">
        <v>44495.83337962963</v>
      </c>
      <c r="C108" s="17" t="s">
        <v>78</v>
      </c>
      <c r="D108" s="17" t="s">
        <v>396</v>
      </c>
      <c r="E108" s="17" t="s">
        <v>80</v>
      </c>
      <c r="F108" s="17" t="s">
        <v>55</v>
      </c>
      <c r="G108" s="17" t="s">
        <v>397</v>
      </c>
      <c r="H108" s="44" t="s">
        <v>398</v>
      </c>
      <c r="I108" s="45">
        <v>1.0</v>
      </c>
      <c r="J108" s="45">
        <v>1186.0</v>
      </c>
      <c r="K108" s="45">
        <v>1389.0</v>
      </c>
      <c r="L108" s="45">
        <v>107.0</v>
      </c>
      <c r="M108" s="45">
        <v>49.0</v>
      </c>
      <c r="N108" s="45">
        <v>1186.0</v>
      </c>
      <c r="O108" s="46">
        <v>44.0</v>
      </c>
      <c r="P108" s="46">
        <v>20.0</v>
      </c>
      <c r="Q108" s="46">
        <f>IFERROR(__xludf.DUMMYFUNCTION("""COMPUTED_VALUE"""),0.0)</f>
        <v>0</v>
      </c>
      <c r="R108" s="47">
        <v>203.0</v>
      </c>
    </row>
    <row r="109" ht="22.5" customHeight="1">
      <c r="A109" s="42">
        <v>44496.0</v>
      </c>
      <c r="B109" s="43">
        <v>44496.333344907405</v>
      </c>
      <c r="C109" s="17" t="s">
        <v>78</v>
      </c>
      <c r="D109" s="17" t="s">
        <v>399</v>
      </c>
      <c r="E109" s="17" t="s">
        <v>84</v>
      </c>
      <c r="F109" s="17" t="s">
        <v>50</v>
      </c>
      <c r="G109" s="17" t="s">
        <v>400</v>
      </c>
      <c r="H109" s="44" t="s">
        <v>401</v>
      </c>
      <c r="I109" s="45">
        <v>1.0</v>
      </c>
      <c r="J109" s="45">
        <v>10507.0</v>
      </c>
      <c r="K109" s="45">
        <v>11103.0</v>
      </c>
      <c r="L109" s="45">
        <v>339.0</v>
      </c>
      <c r="M109" s="45">
        <v>86.0</v>
      </c>
      <c r="N109" s="45">
        <v>10507.0</v>
      </c>
      <c r="O109" s="46">
        <v>44.0</v>
      </c>
      <c r="P109" s="46">
        <v>8.0</v>
      </c>
      <c r="Q109" s="46">
        <f>IFERROR(__xludf.DUMMYFUNCTION("""COMPUTED_VALUE"""),0.0)</f>
        <v>0</v>
      </c>
      <c r="R109" s="47">
        <v>596.0</v>
      </c>
    </row>
    <row r="110" ht="22.5" customHeight="1">
      <c r="A110" s="42">
        <v>44496.0</v>
      </c>
      <c r="B110" s="43">
        <v>44496.54172453703</v>
      </c>
      <c r="C110" s="17" t="s">
        <v>78</v>
      </c>
      <c r="D110" s="17" t="s">
        <v>402</v>
      </c>
      <c r="E110" s="17" t="s">
        <v>84</v>
      </c>
      <c r="F110" s="17" t="s">
        <v>47</v>
      </c>
      <c r="G110" s="17" t="s">
        <v>403</v>
      </c>
      <c r="H110" s="44" t="s">
        <v>404</v>
      </c>
      <c r="I110" s="45">
        <v>1.0</v>
      </c>
      <c r="J110" s="45">
        <v>969.0</v>
      </c>
      <c r="K110" s="45">
        <v>1096.0</v>
      </c>
      <c r="L110" s="45">
        <v>71.0</v>
      </c>
      <c r="M110" s="45">
        <v>22.0</v>
      </c>
      <c r="N110" s="45">
        <v>969.0</v>
      </c>
      <c r="O110" s="46">
        <v>44.0</v>
      </c>
      <c r="P110" s="46">
        <v>13.0</v>
      </c>
      <c r="Q110" s="46">
        <f>IFERROR(__xludf.DUMMYFUNCTION("""COMPUTED_VALUE"""),0.0)</f>
        <v>0</v>
      </c>
      <c r="R110" s="47">
        <v>127.0</v>
      </c>
    </row>
    <row r="111" ht="22.5" customHeight="1">
      <c r="A111" s="42">
        <v>44496.0</v>
      </c>
      <c r="B111" s="43">
        <v>44496.708344907405</v>
      </c>
      <c r="C111" s="17" t="s">
        <v>78</v>
      </c>
      <c r="D111" s="17" t="s">
        <v>405</v>
      </c>
      <c r="E111" s="17" t="s">
        <v>84</v>
      </c>
      <c r="F111" s="17" t="s">
        <v>47</v>
      </c>
      <c r="G111" s="17" t="s">
        <v>406</v>
      </c>
      <c r="H111" s="44" t="s">
        <v>407</v>
      </c>
      <c r="I111" s="45">
        <v>1.0</v>
      </c>
      <c r="J111" s="45">
        <v>1986.0</v>
      </c>
      <c r="K111" s="45">
        <v>2684.0</v>
      </c>
      <c r="L111" s="45">
        <v>311.0</v>
      </c>
      <c r="M111" s="45">
        <v>939.0</v>
      </c>
      <c r="N111" s="45">
        <v>1986.0</v>
      </c>
      <c r="O111" s="46">
        <v>44.0</v>
      </c>
      <c r="P111" s="46">
        <v>17.0</v>
      </c>
      <c r="Q111" s="46">
        <f>IFERROR(__xludf.DUMMYFUNCTION("""COMPUTED_VALUE"""),0.0)</f>
        <v>0</v>
      </c>
      <c r="R111" s="47">
        <v>698.0</v>
      </c>
    </row>
    <row r="112" ht="22.5" customHeight="1">
      <c r="A112" s="42">
        <v>44496.0</v>
      </c>
      <c r="B112" s="43">
        <v>44496.83335648148</v>
      </c>
      <c r="C112" s="17" t="s">
        <v>78</v>
      </c>
      <c r="D112" s="17" t="s">
        <v>408</v>
      </c>
      <c r="E112" s="17" t="s">
        <v>84</v>
      </c>
      <c r="F112" s="17" t="s">
        <v>47</v>
      </c>
      <c r="G112" s="17" t="s">
        <v>409</v>
      </c>
      <c r="H112" s="44" t="s">
        <v>410</v>
      </c>
      <c r="I112" s="45">
        <v>1.0</v>
      </c>
      <c r="J112" s="45">
        <v>580.0</v>
      </c>
      <c r="K112" s="45">
        <v>605.0</v>
      </c>
      <c r="L112" s="45">
        <v>52.0</v>
      </c>
      <c r="M112" s="45">
        <v>24.0</v>
      </c>
      <c r="N112" s="45">
        <v>580.0</v>
      </c>
      <c r="O112" s="46">
        <v>44.0</v>
      </c>
      <c r="P112" s="46">
        <v>20.0</v>
      </c>
      <c r="Q112" s="46">
        <f>IFERROR(__xludf.DUMMYFUNCTION("""COMPUTED_VALUE"""),0.0)</f>
        <v>0</v>
      </c>
      <c r="R112" s="47">
        <v>25.0</v>
      </c>
    </row>
    <row r="113" ht="22.5" customHeight="1">
      <c r="A113" s="42">
        <v>44497.0</v>
      </c>
      <c r="B113" s="43">
        <v>44497.416666666664</v>
      </c>
      <c r="C113" s="17" t="s">
        <v>78</v>
      </c>
      <c r="D113" s="17" t="s">
        <v>411</v>
      </c>
      <c r="E113" s="17" t="s">
        <v>84</v>
      </c>
      <c r="F113" s="17" t="s">
        <v>50</v>
      </c>
      <c r="G113" s="17" t="s">
        <v>412</v>
      </c>
      <c r="H113" s="44" t="s">
        <v>413</v>
      </c>
      <c r="I113" s="45">
        <v>1.0</v>
      </c>
      <c r="J113" s="45">
        <v>3477.0</v>
      </c>
      <c r="K113" s="45">
        <v>3862.0</v>
      </c>
      <c r="L113" s="45">
        <v>246.0</v>
      </c>
      <c r="M113" s="45">
        <v>214.0</v>
      </c>
      <c r="N113" s="45">
        <v>3477.0</v>
      </c>
      <c r="O113" s="46">
        <v>44.0</v>
      </c>
      <c r="P113" s="46">
        <v>10.0</v>
      </c>
      <c r="Q113" s="46">
        <f>IFERROR(__xludf.DUMMYFUNCTION("""COMPUTED_VALUE"""),0.0)</f>
        <v>0</v>
      </c>
      <c r="R113" s="47">
        <v>385.0</v>
      </c>
    </row>
    <row r="114" ht="22.5" customHeight="1">
      <c r="A114" s="42">
        <v>44497.0</v>
      </c>
      <c r="B114" s="43">
        <v>44497.45835648148</v>
      </c>
      <c r="C114" s="17" t="s">
        <v>78</v>
      </c>
      <c r="D114" s="17" t="s">
        <v>414</v>
      </c>
      <c r="E114" s="17" t="s">
        <v>84</v>
      </c>
      <c r="F114" s="17" t="s">
        <v>50</v>
      </c>
      <c r="G114" s="17" t="s">
        <v>415</v>
      </c>
      <c r="H114" s="44" t="s">
        <v>416</v>
      </c>
      <c r="I114" s="45">
        <v>1.0</v>
      </c>
      <c r="J114" s="45">
        <v>8367.0</v>
      </c>
      <c r="K114" s="45">
        <v>9479.0</v>
      </c>
      <c r="L114" s="45">
        <v>771.0</v>
      </c>
      <c r="M114" s="45">
        <v>169.0</v>
      </c>
      <c r="N114" s="45">
        <v>8367.0</v>
      </c>
      <c r="O114" s="46">
        <v>44.0</v>
      </c>
      <c r="P114" s="46">
        <v>11.0</v>
      </c>
      <c r="Q114" s="46">
        <f>IFERROR(__xludf.DUMMYFUNCTION("""COMPUTED_VALUE"""),0.0)</f>
        <v>0</v>
      </c>
      <c r="R114" s="47">
        <v>1112.0</v>
      </c>
    </row>
    <row r="115" ht="22.5" customHeight="1">
      <c r="A115" s="42">
        <v>44497.0</v>
      </c>
      <c r="B115" s="43">
        <v>44497.541712962964</v>
      </c>
      <c r="C115" s="17" t="s">
        <v>78</v>
      </c>
      <c r="D115" s="17" t="s">
        <v>417</v>
      </c>
      <c r="E115" s="17" t="s">
        <v>84</v>
      </c>
      <c r="F115" s="17" t="s">
        <v>50</v>
      </c>
      <c r="G115" s="17" t="s">
        <v>418</v>
      </c>
      <c r="H115" s="44" t="s">
        <v>419</v>
      </c>
      <c r="I115" s="45">
        <v>1.0</v>
      </c>
      <c r="J115" s="45">
        <v>4532.0</v>
      </c>
      <c r="K115" s="45">
        <v>4642.0</v>
      </c>
      <c r="L115" s="45">
        <v>100.0</v>
      </c>
      <c r="M115" s="45">
        <v>30.0</v>
      </c>
      <c r="N115" s="45">
        <v>4532.0</v>
      </c>
      <c r="O115" s="46">
        <v>44.0</v>
      </c>
      <c r="P115" s="46">
        <v>13.0</v>
      </c>
      <c r="Q115" s="46">
        <f>IFERROR(__xludf.DUMMYFUNCTION("""COMPUTED_VALUE"""),0.0)</f>
        <v>0</v>
      </c>
      <c r="R115" s="47">
        <v>110.0</v>
      </c>
    </row>
    <row r="116" ht="22.5" customHeight="1">
      <c r="A116" s="42">
        <v>44497.0</v>
      </c>
      <c r="B116" s="43">
        <v>44497.79403935185</v>
      </c>
      <c r="C116" s="17" t="s">
        <v>78</v>
      </c>
      <c r="D116" s="17" t="s">
        <v>420</v>
      </c>
      <c r="E116" s="17" t="s">
        <v>84</v>
      </c>
      <c r="F116" s="17" t="s">
        <v>47</v>
      </c>
      <c r="G116" s="17" t="s">
        <v>421</v>
      </c>
      <c r="H116" s="44" t="s">
        <v>422</v>
      </c>
      <c r="I116" s="45">
        <v>1.0</v>
      </c>
      <c r="J116" s="45">
        <v>4109.0</v>
      </c>
      <c r="K116" s="45">
        <v>4685.0</v>
      </c>
      <c r="L116" s="45">
        <v>547.0</v>
      </c>
      <c r="M116" s="45">
        <v>2895.0</v>
      </c>
      <c r="N116" s="45">
        <v>4109.0</v>
      </c>
      <c r="O116" s="46">
        <v>44.0</v>
      </c>
      <c r="P116" s="46">
        <v>19.0</v>
      </c>
      <c r="Q116" s="46">
        <f>IFERROR(__xludf.DUMMYFUNCTION("""COMPUTED_VALUE"""),0.0)</f>
        <v>0</v>
      </c>
      <c r="R116" s="47">
        <v>576.0</v>
      </c>
    </row>
    <row r="117" ht="22.5" customHeight="1">
      <c r="A117" s="42">
        <v>44497.0</v>
      </c>
      <c r="B117" s="43">
        <v>44497.8334375</v>
      </c>
      <c r="C117" s="17" t="s">
        <v>78</v>
      </c>
      <c r="D117" s="17" t="s">
        <v>423</v>
      </c>
      <c r="E117" s="17" t="s">
        <v>80</v>
      </c>
      <c r="F117" s="17" t="s">
        <v>53</v>
      </c>
      <c r="G117" s="17" t="s">
        <v>424</v>
      </c>
      <c r="H117" s="44" t="s">
        <v>425</v>
      </c>
      <c r="I117" s="45">
        <v>1.0</v>
      </c>
      <c r="J117" s="45">
        <v>1325.0</v>
      </c>
      <c r="K117" s="45">
        <v>1551.0</v>
      </c>
      <c r="L117" s="45">
        <v>77.0</v>
      </c>
      <c r="M117" s="45">
        <v>38.0</v>
      </c>
      <c r="N117" s="45">
        <v>1325.0</v>
      </c>
      <c r="O117" s="46">
        <v>44.0</v>
      </c>
      <c r="P117" s="46">
        <v>20.0</v>
      </c>
      <c r="Q117" s="46">
        <f>IFERROR(__xludf.DUMMYFUNCTION("""COMPUTED_VALUE"""),0.0)</f>
        <v>0</v>
      </c>
      <c r="R117" s="47">
        <v>226.0</v>
      </c>
    </row>
    <row r="118" ht="22.5" customHeight="1">
      <c r="A118" s="42">
        <v>44497.0</v>
      </c>
      <c r="B118" s="43">
        <v>44497.91667824074</v>
      </c>
      <c r="C118" s="17" t="s">
        <v>78</v>
      </c>
      <c r="D118" s="17" t="s">
        <v>426</v>
      </c>
      <c r="E118" s="17" t="s">
        <v>80</v>
      </c>
      <c r="F118" s="17" t="s">
        <v>55</v>
      </c>
      <c r="G118" s="17" t="s">
        <v>427</v>
      </c>
      <c r="H118" s="44" t="s">
        <v>428</v>
      </c>
      <c r="I118" s="45">
        <v>1.0</v>
      </c>
      <c r="J118" s="45">
        <v>387.0</v>
      </c>
      <c r="K118" s="45">
        <v>451.0</v>
      </c>
      <c r="L118" s="45">
        <v>19.0</v>
      </c>
      <c r="M118" s="45">
        <v>22.0</v>
      </c>
      <c r="N118" s="45">
        <v>387.0</v>
      </c>
      <c r="O118" s="46">
        <v>44.0</v>
      </c>
      <c r="P118" s="46">
        <v>22.0</v>
      </c>
      <c r="Q118" s="46">
        <f>IFERROR(__xludf.DUMMYFUNCTION("""COMPUTED_VALUE"""),0.0)</f>
        <v>0</v>
      </c>
      <c r="R118" s="47">
        <v>64.0</v>
      </c>
    </row>
    <row r="119" ht="22.5" customHeight="1">
      <c r="A119" s="42">
        <v>44498.0</v>
      </c>
      <c r="B119" s="43">
        <v>44498.08259259259</v>
      </c>
      <c r="C119" s="17" t="s">
        <v>78</v>
      </c>
      <c r="D119" s="17" t="s">
        <v>429</v>
      </c>
      <c r="E119" s="17" t="s">
        <v>84</v>
      </c>
      <c r="F119" s="17" t="s">
        <v>48</v>
      </c>
      <c r="G119" s="17"/>
      <c r="H119" s="44" t="s">
        <v>430</v>
      </c>
      <c r="I119" s="45">
        <v>1.0</v>
      </c>
      <c r="J119" s="45">
        <v>1231.0</v>
      </c>
      <c r="K119" s="45">
        <v>1273.0</v>
      </c>
      <c r="L119" s="45">
        <v>60.0</v>
      </c>
      <c r="M119" s="45">
        <v>7.0</v>
      </c>
      <c r="N119" s="45">
        <v>1231.0</v>
      </c>
      <c r="O119" s="46">
        <v>44.0</v>
      </c>
      <c r="P119" s="46">
        <v>1.0</v>
      </c>
      <c r="Q119" s="46">
        <f>IFERROR(__xludf.DUMMYFUNCTION("""COMPUTED_VALUE"""),0.0)</f>
        <v>0</v>
      </c>
      <c r="R119" s="47">
        <v>42.0</v>
      </c>
    </row>
    <row r="120" ht="22.5" customHeight="1">
      <c r="A120" s="42">
        <v>44498.0</v>
      </c>
      <c r="B120" s="43">
        <v>44498.08773148148</v>
      </c>
      <c r="C120" s="17" t="s">
        <v>78</v>
      </c>
      <c r="D120" s="17" t="s">
        <v>431</v>
      </c>
      <c r="E120" s="17" t="s">
        <v>84</v>
      </c>
      <c r="F120" s="17" t="s">
        <v>51</v>
      </c>
      <c r="G120" s="17"/>
      <c r="H120" s="44" t="s">
        <v>432</v>
      </c>
      <c r="I120" s="45">
        <v>1.0</v>
      </c>
      <c r="J120" s="45">
        <v>5157.0</v>
      </c>
      <c r="K120" s="45">
        <v>5473.0</v>
      </c>
      <c r="L120" s="45">
        <v>351.0</v>
      </c>
      <c r="M120" s="45">
        <v>14.0</v>
      </c>
      <c r="N120" s="45">
        <v>5157.0</v>
      </c>
      <c r="O120" s="46">
        <v>44.0</v>
      </c>
      <c r="P120" s="46">
        <v>2.0</v>
      </c>
      <c r="Q120" s="46">
        <f>IFERROR(__xludf.DUMMYFUNCTION("""COMPUTED_VALUE"""),0.0)</f>
        <v>0</v>
      </c>
      <c r="R120" s="47">
        <v>316.0</v>
      </c>
    </row>
    <row r="121" ht="22.5" customHeight="1">
      <c r="A121" s="42">
        <v>44498.0</v>
      </c>
      <c r="B121" s="43">
        <v>44498.33335648148</v>
      </c>
      <c r="C121" s="17" t="s">
        <v>78</v>
      </c>
      <c r="D121" s="17" t="s">
        <v>433</v>
      </c>
      <c r="E121" s="17" t="s">
        <v>84</v>
      </c>
      <c r="F121" s="17" t="s">
        <v>50</v>
      </c>
      <c r="G121" s="17" t="s">
        <v>434</v>
      </c>
      <c r="H121" s="44" t="s">
        <v>435</v>
      </c>
      <c r="I121" s="45">
        <v>1.0</v>
      </c>
      <c r="J121" s="45">
        <v>1300.0</v>
      </c>
      <c r="K121" s="45">
        <v>1522.0</v>
      </c>
      <c r="L121" s="45">
        <v>286.0</v>
      </c>
      <c r="M121" s="45">
        <v>76.0</v>
      </c>
      <c r="N121" s="45">
        <v>1300.0</v>
      </c>
      <c r="O121" s="46">
        <v>44.0</v>
      </c>
      <c r="P121" s="46">
        <v>8.0</v>
      </c>
      <c r="Q121" s="46">
        <f>IFERROR(__xludf.DUMMYFUNCTION("""COMPUTED_VALUE"""),0.0)</f>
        <v>0</v>
      </c>
      <c r="R121" s="47">
        <v>222.0</v>
      </c>
    </row>
    <row r="122" ht="22.5" customHeight="1">
      <c r="A122" s="42">
        <v>44498.0</v>
      </c>
      <c r="B122" s="43">
        <v>44498.45837962963</v>
      </c>
      <c r="C122" s="17" t="s">
        <v>78</v>
      </c>
      <c r="D122" s="17" t="s">
        <v>436</v>
      </c>
      <c r="E122" s="17" t="s">
        <v>84</v>
      </c>
      <c r="F122" s="17" t="s">
        <v>50</v>
      </c>
      <c r="G122" s="17" t="s">
        <v>437</v>
      </c>
      <c r="H122" s="44" t="s">
        <v>438</v>
      </c>
      <c r="I122" s="45">
        <v>1.0</v>
      </c>
      <c r="J122" s="45">
        <v>172.0</v>
      </c>
      <c r="K122" s="45">
        <v>178.0</v>
      </c>
      <c r="L122" s="45">
        <v>33.0</v>
      </c>
      <c r="M122" s="45">
        <v>1.0</v>
      </c>
      <c r="N122" s="45">
        <v>172.0</v>
      </c>
      <c r="O122" s="46">
        <v>44.0</v>
      </c>
      <c r="P122" s="46">
        <v>11.0</v>
      </c>
      <c r="Q122" s="46">
        <f>IFERROR(__xludf.DUMMYFUNCTION("""COMPUTED_VALUE"""),1.0)</f>
        <v>1</v>
      </c>
      <c r="R122" s="47">
        <v>6.0</v>
      </c>
    </row>
    <row r="123" ht="22.5" customHeight="1">
      <c r="A123" s="42">
        <v>44498.0</v>
      </c>
      <c r="B123" s="43">
        <v>44498.79172453703</v>
      </c>
      <c r="C123" s="17" t="s">
        <v>78</v>
      </c>
      <c r="D123" s="17" t="s">
        <v>439</v>
      </c>
      <c r="E123" s="17" t="s">
        <v>80</v>
      </c>
      <c r="F123" s="17" t="s">
        <v>53</v>
      </c>
      <c r="G123" s="17" t="s">
        <v>440</v>
      </c>
      <c r="H123" s="44" t="s">
        <v>441</v>
      </c>
      <c r="I123" s="45">
        <v>1.0</v>
      </c>
      <c r="J123" s="45">
        <v>6600.0</v>
      </c>
      <c r="K123" s="45">
        <v>8430.0</v>
      </c>
      <c r="L123" s="45">
        <v>191.0</v>
      </c>
      <c r="M123" s="45">
        <v>326.0</v>
      </c>
      <c r="N123" s="45">
        <v>6600.0</v>
      </c>
      <c r="O123" s="46">
        <v>44.0</v>
      </c>
      <c r="P123" s="46">
        <v>19.0</v>
      </c>
      <c r="Q123" s="46">
        <f>IFERROR(__xludf.DUMMYFUNCTION("""COMPUTED_VALUE"""),0.0)</f>
        <v>0</v>
      </c>
      <c r="R123" s="47">
        <v>1830.0</v>
      </c>
    </row>
    <row r="124" ht="22.5" customHeight="1">
      <c r="A124" s="42">
        <v>44499.0</v>
      </c>
      <c r="B124" s="43">
        <v>44499.29168981482</v>
      </c>
      <c r="C124" s="17" t="s">
        <v>78</v>
      </c>
      <c r="D124" s="17" t="s">
        <v>442</v>
      </c>
      <c r="E124" s="17" t="s">
        <v>84</v>
      </c>
      <c r="F124" s="17" t="s">
        <v>50</v>
      </c>
      <c r="G124" s="17" t="s">
        <v>443</v>
      </c>
      <c r="H124" s="44" t="s">
        <v>444</v>
      </c>
      <c r="I124" s="45">
        <v>1.0</v>
      </c>
      <c r="J124" s="45">
        <v>1185.0</v>
      </c>
      <c r="K124" s="45">
        <v>1232.0</v>
      </c>
      <c r="L124" s="45">
        <v>161.0</v>
      </c>
      <c r="M124" s="45">
        <v>41.0</v>
      </c>
      <c r="N124" s="45">
        <v>1185.0</v>
      </c>
      <c r="O124" s="46">
        <v>44.0</v>
      </c>
      <c r="P124" s="46">
        <v>7.0</v>
      </c>
      <c r="Q124" s="46">
        <f>IFERROR(__xludf.DUMMYFUNCTION("""COMPUTED_VALUE"""),1.0)</f>
        <v>1</v>
      </c>
      <c r="R124" s="47">
        <v>47.0</v>
      </c>
    </row>
    <row r="125" ht="22.5" customHeight="1">
      <c r="A125" s="42">
        <v>44499.0</v>
      </c>
      <c r="B125" s="43">
        <v>44499.416712962964</v>
      </c>
      <c r="C125" s="17" t="s">
        <v>78</v>
      </c>
      <c r="D125" s="17" t="s">
        <v>445</v>
      </c>
      <c r="E125" s="17" t="s">
        <v>84</v>
      </c>
      <c r="F125" s="17" t="s">
        <v>50</v>
      </c>
      <c r="G125" s="17" t="s">
        <v>446</v>
      </c>
      <c r="H125" s="44" t="s">
        <v>447</v>
      </c>
      <c r="I125" s="45">
        <v>1.0</v>
      </c>
      <c r="J125" s="45">
        <v>2216.0</v>
      </c>
      <c r="K125" s="45">
        <v>2360.0</v>
      </c>
      <c r="L125" s="45">
        <v>390.0</v>
      </c>
      <c r="M125" s="45">
        <v>150.0</v>
      </c>
      <c r="N125" s="45">
        <v>2216.0</v>
      </c>
      <c r="O125" s="46">
        <v>44.0</v>
      </c>
      <c r="P125" s="46">
        <v>10.0</v>
      </c>
      <c r="Q125" s="46">
        <f>IFERROR(__xludf.DUMMYFUNCTION("""COMPUTED_VALUE"""),0.0)</f>
        <v>0</v>
      </c>
      <c r="R125" s="47">
        <v>144.0</v>
      </c>
    </row>
    <row r="126" ht="22.5" customHeight="1">
      <c r="A126" s="42">
        <v>44499.0</v>
      </c>
      <c r="B126" s="43">
        <v>44499.50009259259</v>
      </c>
      <c r="C126" s="17" t="s">
        <v>78</v>
      </c>
      <c r="D126" s="17" t="s">
        <v>448</v>
      </c>
      <c r="E126" s="17" t="s">
        <v>84</v>
      </c>
      <c r="F126" s="17" t="s">
        <v>50</v>
      </c>
      <c r="G126" s="17" t="s">
        <v>449</v>
      </c>
      <c r="H126" s="44" t="s">
        <v>450</v>
      </c>
      <c r="I126" s="45">
        <v>1.0</v>
      </c>
      <c r="J126" s="45">
        <v>961.0</v>
      </c>
      <c r="K126" s="45">
        <v>1045.0</v>
      </c>
      <c r="L126" s="45">
        <v>128.0</v>
      </c>
      <c r="M126" s="45">
        <v>12.0</v>
      </c>
      <c r="N126" s="45">
        <v>961.0</v>
      </c>
      <c r="O126" s="46">
        <v>44.0</v>
      </c>
      <c r="P126" s="46">
        <v>12.0</v>
      </c>
      <c r="Q126" s="46">
        <f>IFERROR(__xludf.DUMMYFUNCTION("""COMPUTED_VALUE"""),0.0)</f>
        <v>0</v>
      </c>
      <c r="R126" s="47">
        <v>84.0</v>
      </c>
    </row>
    <row r="127" ht="22.5" customHeight="1">
      <c r="A127" s="42">
        <v>44499.0</v>
      </c>
      <c r="B127" s="43">
        <v>44499.66668981482</v>
      </c>
      <c r="C127" s="17" t="s">
        <v>78</v>
      </c>
      <c r="D127" s="17" t="s">
        <v>451</v>
      </c>
      <c r="E127" s="17" t="s">
        <v>80</v>
      </c>
      <c r="F127" s="17" t="s">
        <v>53</v>
      </c>
      <c r="G127" s="17" t="s">
        <v>452</v>
      </c>
      <c r="H127" s="44" t="s">
        <v>453</v>
      </c>
      <c r="I127" s="45">
        <v>1.0</v>
      </c>
      <c r="J127" s="45">
        <v>1228.0</v>
      </c>
      <c r="K127" s="45">
        <v>1372.0</v>
      </c>
      <c r="L127" s="45">
        <v>90.0</v>
      </c>
      <c r="M127" s="45">
        <v>69.0</v>
      </c>
      <c r="N127" s="45">
        <v>1228.0</v>
      </c>
      <c r="O127" s="46">
        <v>44.0</v>
      </c>
      <c r="P127" s="46">
        <v>16.0</v>
      </c>
      <c r="Q127" s="46">
        <f>IFERROR(__xludf.DUMMYFUNCTION("""COMPUTED_VALUE"""),0.0)</f>
        <v>0</v>
      </c>
      <c r="R127" s="47">
        <v>144.0</v>
      </c>
    </row>
    <row r="128" ht="22.5" customHeight="1">
      <c r="A128" s="42">
        <v>44499.0</v>
      </c>
      <c r="B128" s="43">
        <v>44499.66675925926</v>
      </c>
      <c r="C128" s="17" t="s">
        <v>78</v>
      </c>
      <c r="D128" s="17" t="s">
        <v>454</v>
      </c>
      <c r="E128" s="17" t="s">
        <v>84</v>
      </c>
      <c r="F128" s="17" t="s">
        <v>47</v>
      </c>
      <c r="G128" s="17" t="s">
        <v>455</v>
      </c>
      <c r="H128" s="44" t="s">
        <v>456</v>
      </c>
      <c r="I128" s="45">
        <v>1.0</v>
      </c>
      <c r="J128" s="45">
        <v>2116.0</v>
      </c>
      <c r="K128" s="45">
        <v>2257.0</v>
      </c>
      <c r="L128" s="45">
        <v>115.0</v>
      </c>
      <c r="M128" s="45">
        <v>99.0</v>
      </c>
      <c r="N128" s="45">
        <v>2116.0</v>
      </c>
      <c r="O128" s="46">
        <v>44.0</v>
      </c>
      <c r="P128" s="46">
        <v>16.0</v>
      </c>
      <c r="Q128" s="46">
        <f>IFERROR(__xludf.DUMMYFUNCTION("""COMPUTED_VALUE"""),0.0)</f>
        <v>0</v>
      </c>
      <c r="R128" s="47">
        <v>141.0</v>
      </c>
    </row>
    <row r="129" ht="22.5" customHeight="1">
      <c r="A129" s="42">
        <v>44499.0</v>
      </c>
      <c r="B129" s="43">
        <v>44499.79167824074</v>
      </c>
      <c r="C129" s="17" t="s">
        <v>78</v>
      </c>
      <c r="D129" s="17" t="s">
        <v>457</v>
      </c>
      <c r="E129" s="17" t="s">
        <v>84</v>
      </c>
      <c r="F129" s="17" t="s">
        <v>50</v>
      </c>
      <c r="G129" s="17" t="s">
        <v>458</v>
      </c>
      <c r="H129" s="44" t="s">
        <v>459</v>
      </c>
      <c r="I129" s="45">
        <v>1.0</v>
      </c>
      <c r="J129" s="45">
        <v>411.0</v>
      </c>
      <c r="K129" s="45">
        <v>432.0</v>
      </c>
      <c r="L129" s="45">
        <v>82.0</v>
      </c>
      <c r="M129" s="45">
        <v>12.0</v>
      </c>
      <c r="N129" s="45">
        <v>411.0</v>
      </c>
      <c r="O129" s="46">
        <v>44.0</v>
      </c>
      <c r="P129" s="46">
        <v>19.0</v>
      </c>
      <c r="Q129" s="46">
        <f>IFERROR(__xludf.DUMMYFUNCTION("""COMPUTED_VALUE"""),0.0)</f>
        <v>0</v>
      </c>
      <c r="R129" s="47">
        <v>21.0</v>
      </c>
    </row>
    <row r="130" ht="22.5" customHeight="1">
      <c r="A130" s="42">
        <v>44499.0</v>
      </c>
      <c r="B130" s="43">
        <v>44499.83335648148</v>
      </c>
      <c r="C130" s="17" t="s">
        <v>78</v>
      </c>
      <c r="D130" s="17" t="s">
        <v>460</v>
      </c>
      <c r="E130" s="17" t="s">
        <v>80</v>
      </c>
      <c r="F130" s="17" t="s">
        <v>55</v>
      </c>
      <c r="G130" s="17" t="s">
        <v>461</v>
      </c>
      <c r="H130" s="44" t="s">
        <v>462</v>
      </c>
      <c r="I130" s="45">
        <v>1.0</v>
      </c>
      <c r="J130" s="45">
        <v>345.0</v>
      </c>
      <c r="K130" s="45">
        <v>374.0</v>
      </c>
      <c r="L130" s="45">
        <v>37.0</v>
      </c>
      <c r="M130" s="45">
        <v>16.0</v>
      </c>
      <c r="N130" s="45">
        <v>345.0</v>
      </c>
      <c r="O130" s="46">
        <v>44.0</v>
      </c>
      <c r="P130" s="46">
        <v>20.0</v>
      </c>
      <c r="Q130" s="46">
        <f>IFERROR(__xludf.DUMMYFUNCTION("""COMPUTED_VALUE"""),0.0)</f>
        <v>0</v>
      </c>
      <c r="R130" s="47">
        <v>29.0</v>
      </c>
    </row>
    <row r="131" ht="22.5" customHeight="1">
      <c r="A131" s="42">
        <v>44499.0</v>
      </c>
      <c r="B131" s="43">
        <v>44499.91667824074</v>
      </c>
      <c r="C131" s="17" t="s">
        <v>78</v>
      </c>
      <c r="D131" s="17" t="s">
        <v>463</v>
      </c>
      <c r="E131" s="17" t="s">
        <v>80</v>
      </c>
      <c r="F131" s="17" t="s">
        <v>55</v>
      </c>
      <c r="G131" s="17" t="s">
        <v>464</v>
      </c>
      <c r="H131" s="44" t="s">
        <v>465</v>
      </c>
      <c r="I131" s="45">
        <v>1.0</v>
      </c>
      <c r="J131" s="45">
        <v>374.0</v>
      </c>
      <c r="K131" s="45">
        <v>490.0</v>
      </c>
      <c r="L131" s="45">
        <v>24.0</v>
      </c>
      <c r="M131" s="45">
        <v>13.0</v>
      </c>
      <c r="N131" s="45">
        <v>374.0</v>
      </c>
      <c r="O131" s="46">
        <v>44.0</v>
      </c>
      <c r="P131" s="46">
        <v>22.0</v>
      </c>
      <c r="Q131" s="46">
        <f>IFERROR(__xludf.DUMMYFUNCTION("""COMPUTED_VALUE"""),0.0)</f>
        <v>0</v>
      </c>
      <c r="R131" s="47">
        <v>116.0</v>
      </c>
    </row>
    <row r="132" ht="22.5" customHeight="1">
      <c r="A132" s="42">
        <v>44500.0</v>
      </c>
      <c r="B132" s="43">
        <v>44500.33336805556</v>
      </c>
      <c r="C132" s="17" t="s">
        <v>78</v>
      </c>
      <c r="D132" s="17" t="s">
        <v>466</v>
      </c>
      <c r="E132" s="17" t="s">
        <v>84</v>
      </c>
      <c r="F132" s="17" t="s">
        <v>50</v>
      </c>
      <c r="G132" s="17" t="s">
        <v>467</v>
      </c>
      <c r="H132" s="44" t="s">
        <v>468</v>
      </c>
      <c r="I132" s="45">
        <v>1.0</v>
      </c>
      <c r="J132" s="45">
        <v>1104.0</v>
      </c>
      <c r="K132" s="45">
        <v>1256.0</v>
      </c>
      <c r="L132" s="45">
        <v>249.0</v>
      </c>
      <c r="M132" s="45">
        <v>52.0</v>
      </c>
      <c r="N132" s="45">
        <v>1104.0</v>
      </c>
      <c r="O132" s="46">
        <v>45.0</v>
      </c>
      <c r="P132" s="46">
        <v>8.0</v>
      </c>
      <c r="Q132" s="46">
        <f>IFERROR(__xludf.DUMMYFUNCTION("""COMPUTED_VALUE"""),0.0)</f>
        <v>0</v>
      </c>
      <c r="R132" s="47">
        <v>152.0</v>
      </c>
    </row>
    <row r="133" ht="22.5" customHeight="1">
      <c r="A133" s="42">
        <v>44500.0</v>
      </c>
      <c r="B133" s="43">
        <v>44500.45837962963</v>
      </c>
      <c r="C133" s="17" t="s">
        <v>78</v>
      </c>
      <c r="D133" s="17" t="s">
        <v>469</v>
      </c>
      <c r="E133" s="17" t="s">
        <v>84</v>
      </c>
      <c r="F133" s="17" t="s">
        <v>50</v>
      </c>
      <c r="G133" s="17" t="s">
        <v>470</v>
      </c>
      <c r="H133" s="44" t="s">
        <v>471</v>
      </c>
      <c r="I133" s="45">
        <v>1.0</v>
      </c>
      <c r="J133" s="45">
        <v>157.0</v>
      </c>
      <c r="K133" s="45">
        <v>163.0</v>
      </c>
      <c r="L133" s="45">
        <v>30.0</v>
      </c>
      <c r="M133" s="45">
        <v>3.0</v>
      </c>
      <c r="N133" s="45">
        <v>157.0</v>
      </c>
      <c r="O133" s="46">
        <v>45.0</v>
      </c>
      <c r="P133" s="46">
        <v>11.0</v>
      </c>
      <c r="Q133" s="46">
        <f>IFERROR(__xludf.DUMMYFUNCTION("""COMPUTED_VALUE"""),1.0)</f>
        <v>1</v>
      </c>
      <c r="R133" s="47">
        <v>6.0</v>
      </c>
    </row>
    <row r="134" ht="22.5" customHeight="1">
      <c r="A134" s="42">
        <v>44500.0</v>
      </c>
      <c r="B134" s="43">
        <v>44500.58961805556</v>
      </c>
      <c r="C134" s="17" t="s">
        <v>78</v>
      </c>
      <c r="D134" s="17" t="s">
        <v>472</v>
      </c>
      <c r="E134" s="17" t="s">
        <v>80</v>
      </c>
      <c r="F134" s="17" t="s">
        <v>55</v>
      </c>
      <c r="G134" s="17" t="s">
        <v>473</v>
      </c>
      <c r="H134" s="44" t="s">
        <v>474</v>
      </c>
      <c r="I134" s="45">
        <v>1.0</v>
      </c>
      <c r="J134" s="45">
        <v>344.0</v>
      </c>
      <c r="K134" s="45">
        <v>386.0</v>
      </c>
      <c r="L134" s="45">
        <v>31.0</v>
      </c>
      <c r="M134" s="45">
        <v>7.0</v>
      </c>
      <c r="N134" s="45">
        <v>344.0</v>
      </c>
      <c r="O134" s="46">
        <v>45.0</v>
      </c>
      <c r="P134" s="46">
        <v>14.0</v>
      </c>
      <c r="Q134" s="46">
        <f>IFERROR(__xludf.DUMMYFUNCTION("""COMPUTED_VALUE"""),0.0)</f>
        <v>0</v>
      </c>
      <c r="R134" s="47">
        <v>42.0</v>
      </c>
    </row>
    <row r="135" ht="22.5" customHeight="1">
      <c r="A135" s="42">
        <v>44500.0</v>
      </c>
      <c r="B135" s="43">
        <v>44500.83335648148</v>
      </c>
      <c r="C135" s="17" t="s">
        <v>78</v>
      </c>
      <c r="D135" s="17" t="s">
        <v>475</v>
      </c>
      <c r="E135" s="17" t="s">
        <v>84</v>
      </c>
      <c r="F135" s="17" t="s">
        <v>50</v>
      </c>
      <c r="G135" s="17" t="s">
        <v>476</v>
      </c>
      <c r="H135" s="44" t="s">
        <v>477</v>
      </c>
      <c r="I135" s="45">
        <v>1.0</v>
      </c>
      <c r="J135" s="45">
        <v>2197.0</v>
      </c>
      <c r="K135" s="45">
        <v>53009.0</v>
      </c>
      <c r="L135" s="45">
        <v>2479.0</v>
      </c>
      <c r="M135" s="45">
        <v>269.0</v>
      </c>
      <c r="N135" s="45">
        <v>2197.0</v>
      </c>
      <c r="O135" s="46">
        <v>45.0</v>
      </c>
      <c r="P135" s="46">
        <v>20.0</v>
      </c>
      <c r="Q135" s="46">
        <f>IFERROR(__xludf.DUMMYFUNCTION("""COMPUTED_VALUE"""),0.0)</f>
        <v>0</v>
      </c>
      <c r="R135" s="47">
        <v>50812.0</v>
      </c>
    </row>
    <row r="136" ht="22.5" customHeight="1">
      <c r="A136" s="42">
        <v>44501.0</v>
      </c>
      <c r="B136" s="43">
        <v>44501.45835648148</v>
      </c>
      <c r="C136" s="17" t="s">
        <v>78</v>
      </c>
      <c r="D136" s="17" t="s">
        <v>478</v>
      </c>
      <c r="E136" s="17" t="s">
        <v>84</v>
      </c>
      <c r="F136" s="17" t="s">
        <v>47</v>
      </c>
      <c r="G136" s="17" t="s">
        <v>479</v>
      </c>
      <c r="H136" s="44" t="s">
        <v>480</v>
      </c>
      <c r="I136" s="45">
        <v>1.0</v>
      </c>
      <c r="J136" s="45">
        <v>4176.0</v>
      </c>
      <c r="K136" s="45">
        <v>4768.0</v>
      </c>
      <c r="L136" s="45">
        <v>343.0</v>
      </c>
      <c r="M136" s="45">
        <v>256.0</v>
      </c>
      <c r="N136" s="45">
        <v>4176.0</v>
      </c>
      <c r="O136" s="46">
        <v>45.0</v>
      </c>
      <c r="P136" s="46">
        <v>11.0</v>
      </c>
      <c r="Q136" s="46">
        <f>IFERROR(__xludf.DUMMYFUNCTION("""COMPUTED_VALUE"""),0.0)</f>
        <v>0</v>
      </c>
      <c r="R136" s="47">
        <v>592.0</v>
      </c>
    </row>
    <row r="137" ht="22.5" customHeight="1">
      <c r="A137" s="42">
        <v>44501.0</v>
      </c>
      <c r="B137" s="43">
        <v>44501.588541666664</v>
      </c>
      <c r="C137" s="17" t="s">
        <v>78</v>
      </c>
      <c r="D137" s="17" t="s">
        <v>481</v>
      </c>
      <c r="E137" s="17" t="s">
        <v>80</v>
      </c>
      <c r="F137" s="17" t="s">
        <v>55</v>
      </c>
      <c r="G137" s="17" t="s">
        <v>482</v>
      </c>
      <c r="H137" s="44" t="s">
        <v>483</v>
      </c>
      <c r="I137" s="45">
        <v>1.0</v>
      </c>
      <c r="J137" s="45">
        <v>280.0</v>
      </c>
      <c r="K137" s="45">
        <v>306.0</v>
      </c>
      <c r="L137" s="45">
        <v>73.0</v>
      </c>
      <c r="M137" s="45">
        <v>11.0</v>
      </c>
      <c r="N137" s="45">
        <v>280.0</v>
      </c>
      <c r="O137" s="46">
        <v>45.0</v>
      </c>
      <c r="P137" s="46">
        <v>14.0</v>
      </c>
      <c r="Q137" s="46">
        <f>IFERROR(__xludf.DUMMYFUNCTION("""COMPUTED_VALUE"""),0.0)</f>
        <v>0</v>
      </c>
      <c r="R137" s="47">
        <v>26.0</v>
      </c>
    </row>
    <row r="138" ht="22.5" customHeight="1">
      <c r="A138" s="42">
        <v>44501.0</v>
      </c>
      <c r="B138" s="43">
        <v>44501.750023148146</v>
      </c>
      <c r="C138" s="17" t="s">
        <v>78</v>
      </c>
      <c r="D138" s="17" t="s">
        <v>484</v>
      </c>
      <c r="E138" s="17" t="s">
        <v>84</v>
      </c>
      <c r="F138" s="17" t="s">
        <v>50</v>
      </c>
      <c r="G138" s="17" t="s">
        <v>485</v>
      </c>
      <c r="H138" s="44" t="s">
        <v>486</v>
      </c>
      <c r="I138" s="45">
        <v>1.0</v>
      </c>
      <c r="J138" s="45">
        <v>6709.0</v>
      </c>
      <c r="K138" s="45">
        <v>7011.0</v>
      </c>
      <c r="L138" s="45">
        <v>36.0</v>
      </c>
      <c r="M138" s="45">
        <v>54.0</v>
      </c>
      <c r="N138" s="45">
        <v>6709.0</v>
      </c>
      <c r="O138" s="46">
        <v>45.0</v>
      </c>
      <c r="P138" s="46">
        <v>18.0</v>
      </c>
      <c r="Q138" s="46">
        <f>IFERROR(__xludf.DUMMYFUNCTION("""COMPUTED_VALUE"""),0.0)</f>
        <v>0</v>
      </c>
      <c r="R138" s="47">
        <v>302.0</v>
      </c>
    </row>
    <row r="139" ht="22.5" customHeight="1">
      <c r="A139" s="42">
        <v>44502.0</v>
      </c>
      <c r="B139" s="43">
        <v>44502.416666666664</v>
      </c>
      <c r="C139" s="17" t="s">
        <v>78</v>
      </c>
      <c r="D139" s="17" t="s">
        <v>487</v>
      </c>
      <c r="E139" s="17" t="s">
        <v>84</v>
      </c>
      <c r="F139" s="17" t="s">
        <v>50</v>
      </c>
      <c r="G139" s="17" t="s">
        <v>488</v>
      </c>
      <c r="H139" s="44" t="s">
        <v>489</v>
      </c>
      <c r="I139" s="45">
        <v>1.0</v>
      </c>
      <c r="J139" s="45">
        <v>7636.0</v>
      </c>
      <c r="K139" s="45">
        <v>7763.0</v>
      </c>
      <c r="L139" s="45">
        <v>140.0</v>
      </c>
      <c r="M139" s="45">
        <v>41.0</v>
      </c>
      <c r="N139" s="45">
        <v>7636.0</v>
      </c>
      <c r="O139" s="46">
        <v>45.0</v>
      </c>
      <c r="P139" s="46">
        <v>10.0</v>
      </c>
      <c r="Q139" s="46">
        <f>IFERROR(__xludf.DUMMYFUNCTION("""COMPUTED_VALUE"""),0.0)</f>
        <v>0</v>
      </c>
      <c r="R139" s="47">
        <v>127.0</v>
      </c>
    </row>
    <row r="140" ht="22.5" customHeight="1">
      <c r="A140" s="42">
        <v>44502.0</v>
      </c>
      <c r="B140" s="43">
        <v>44502.75059027778</v>
      </c>
      <c r="C140" s="17" t="s">
        <v>78</v>
      </c>
      <c r="D140" s="17" t="s">
        <v>490</v>
      </c>
      <c r="E140" s="17" t="s">
        <v>97</v>
      </c>
      <c r="F140" s="17" t="s">
        <v>52</v>
      </c>
      <c r="G140" s="17" t="s">
        <v>491</v>
      </c>
      <c r="H140" s="44" t="s">
        <v>492</v>
      </c>
      <c r="I140" s="45">
        <v>1.0</v>
      </c>
      <c r="J140" s="45">
        <v>297.0</v>
      </c>
      <c r="K140" s="45">
        <v>308.0</v>
      </c>
      <c r="L140" s="45">
        <v>34.0</v>
      </c>
      <c r="M140" s="45">
        <v>13.0</v>
      </c>
      <c r="N140" s="45">
        <v>297.0</v>
      </c>
      <c r="O140" s="46">
        <v>45.0</v>
      </c>
      <c r="P140" s="46">
        <v>18.0</v>
      </c>
      <c r="Q140" s="46">
        <f>IFERROR(__xludf.DUMMYFUNCTION("""COMPUTED_VALUE"""),0.0)</f>
        <v>0</v>
      </c>
      <c r="R140" s="47">
        <v>11.0</v>
      </c>
    </row>
    <row r="141" ht="22.5" customHeight="1">
      <c r="A141" s="42">
        <v>44503.0</v>
      </c>
      <c r="B141" s="43">
        <v>44503.45835648148</v>
      </c>
      <c r="C141" s="17" t="s">
        <v>78</v>
      </c>
      <c r="D141" s="17" t="s">
        <v>493</v>
      </c>
      <c r="E141" s="17" t="s">
        <v>84</v>
      </c>
      <c r="F141" s="17" t="s">
        <v>50</v>
      </c>
      <c r="G141" s="17" t="s">
        <v>494</v>
      </c>
      <c r="H141" s="44" t="s">
        <v>495</v>
      </c>
      <c r="I141" s="45">
        <v>1.0</v>
      </c>
      <c r="J141" s="45">
        <v>257.0</v>
      </c>
      <c r="K141" s="45">
        <v>261.0</v>
      </c>
      <c r="L141" s="45">
        <v>28.0</v>
      </c>
      <c r="M141" s="45">
        <v>12.0</v>
      </c>
      <c r="N141" s="45">
        <v>257.0</v>
      </c>
      <c r="O141" s="46">
        <v>45.0</v>
      </c>
      <c r="P141" s="46">
        <v>11.0</v>
      </c>
      <c r="Q141" s="46">
        <f>IFERROR(__xludf.DUMMYFUNCTION("""COMPUTED_VALUE"""),1.0)</f>
        <v>1</v>
      </c>
      <c r="R141" s="47">
        <v>4.0</v>
      </c>
    </row>
    <row r="142" ht="22.5" customHeight="1">
      <c r="A142" s="42">
        <v>44504.0</v>
      </c>
      <c r="B142" s="43">
        <v>44504.29175925926</v>
      </c>
      <c r="C142" s="17" t="s">
        <v>78</v>
      </c>
      <c r="D142" s="17" t="s">
        <v>496</v>
      </c>
      <c r="E142" s="17" t="s">
        <v>84</v>
      </c>
      <c r="F142" s="17" t="s">
        <v>50</v>
      </c>
      <c r="G142" s="17" t="s">
        <v>497</v>
      </c>
      <c r="H142" s="44" t="s">
        <v>498</v>
      </c>
      <c r="I142" s="45">
        <v>1.0</v>
      </c>
      <c r="J142" s="45">
        <v>10112.0</v>
      </c>
      <c r="K142" s="45">
        <v>10343.0</v>
      </c>
      <c r="L142" s="45">
        <v>227.0</v>
      </c>
      <c r="M142" s="45">
        <v>131.0</v>
      </c>
      <c r="N142" s="45">
        <v>10112.0</v>
      </c>
      <c r="O142" s="46">
        <v>45.0</v>
      </c>
      <c r="P142" s="46">
        <v>7.0</v>
      </c>
      <c r="Q142" s="46">
        <f>IFERROR(__xludf.DUMMYFUNCTION("""COMPUTED_VALUE"""),0.0)</f>
        <v>0</v>
      </c>
      <c r="R142" s="47">
        <v>231.0</v>
      </c>
    </row>
    <row r="143" ht="22.5" customHeight="1">
      <c r="A143" s="42">
        <v>44504.0</v>
      </c>
      <c r="B143" s="43">
        <v>44504.37501157408</v>
      </c>
      <c r="C143" s="17" t="s">
        <v>78</v>
      </c>
      <c r="D143" s="17" t="s">
        <v>499</v>
      </c>
      <c r="E143" s="17" t="s">
        <v>84</v>
      </c>
      <c r="F143" s="17" t="s">
        <v>50</v>
      </c>
      <c r="G143" s="17" t="s">
        <v>500</v>
      </c>
      <c r="H143" s="44" t="s">
        <v>501</v>
      </c>
      <c r="I143" s="45">
        <v>1.0</v>
      </c>
      <c r="J143" s="45">
        <v>9629.0</v>
      </c>
      <c r="K143" s="45">
        <v>10367.0</v>
      </c>
      <c r="L143" s="45">
        <v>539.0</v>
      </c>
      <c r="M143" s="45">
        <v>193.0</v>
      </c>
      <c r="N143" s="45">
        <v>9629.0</v>
      </c>
      <c r="O143" s="46">
        <v>45.0</v>
      </c>
      <c r="P143" s="46">
        <v>9.0</v>
      </c>
      <c r="Q143" s="46">
        <f>IFERROR(__xludf.DUMMYFUNCTION("""COMPUTED_VALUE"""),0.0)</f>
        <v>0</v>
      </c>
      <c r="R143" s="47">
        <v>738.0</v>
      </c>
    </row>
    <row r="144" ht="22.5" customHeight="1">
      <c r="A144" s="42">
        <v>44504.0</v>
      </c>
      <c r="B144" s="43">
        <v>44504.41670138889</v>
      </c>
      <c r="C144" s="17" t="s">
        <v>78</v>
      </c>
      <c r="D144" s="17" t="s">
        <v>502</v>
      </c>
      <c r="E144" s="17" t="s">
        <v>84</v>
      </c>
      <c r="F144" s="17" t="s">
        <v>50</v>
      </c>
      <c r="G144" s="17" t="s">
        <v>503</v>
      </c>
      <c r="H144" s="44" t="s">
        <v>504</v>
      </c>
      <c r="I144" s="45">
        <v>1.0</v>
      </c>
      <c r="J144" s="45">
        <v>7330.0</v>
      </c>
      <c r="K144" s="45">
        <v>7398.0</v>
      </c>
      <c r="L144" s="45">
        <v>130.0</v>
      </c>
      <c r="M144" s="45">
        <v>27.0</v>
      </c>
      <c r="N144" s="45">
        <v>7330.0</v>
      </c>
      <c r="O144" s="46">
        <v>45.0</v>
      </c>
      <c r="P144" s="46">
        <v>10.0</v>
      </c>
      <c r="Q144" s="46">
        <f>IFERROR(__xludf.DUMMYFUNCTION("""COMPUTED_VALUE"""),0.0)</f>
        <v>0</v>
      </c>
      <c r="R144" s="47">
        <v>68.0</v>
      </c>
    </row>
    <row r="145" ht="22.5" customHeight="1">
      <c r="A145" s="42">
        <v>44504.0</v>
      </c>
      <c r="B145" s="43">
        <v>44504.61809027778</v>
      </c>
      <c r="C145" s="17" t="s">
        <v>78</v>
      </c>
      <c r="D145" s="17" t="s">
        <v>505</v>
      </c>
      <c r="E145" s="17" t="s">
        <v>109</v>
      </c>
      <c r="F145" s="17" t="s">
        <v>52</v>
      </c>
      <c r="G145" s="17"/>
      <c r="H145" s="44" t="s">
        <v>506</v>
      </c>
      <c r="I145" s="45">
        <v>1.0</v>
      </c>
      <c r="J145" s="45">
        <v>395.0</v>
      </c>
      <c r="K145" s="45">
        <v>407.0</v>
      </c>
      <c r="L145" s="45">
        <v>26.0</v>
      </c>
      <c r="M145" s="45"/>
      <c r="N145" s="45">
        <v>395.0</v>
      </c>
      <c r="O145" s="46">
        <v>45.0</v>
      </c>
      <c r="P145" s="46">
        <v>14.0</v>
      </c>
      <c r="Q145" s="46">
        <f>IFERROR(__xludf.DUMMYFUNCTION("""COMPUTED_VALUE"""),0.0)</f>
        <v>0</v>
      </c>
      <c r="R145" s="47">
        <v>12.0</v>
      </c>
    </row>
    <row r="146" ht="22.5" customHeight="1">
      <c r="A146" s="42">
        <v>44504.0</v>
      </c>
      <c r="B146" s="43">
        <v>44504.62501157408</v>
      </c>
      <c r="C146" s="17" t="s">
        <v>78</v>
      </c>
      <c r="D146" s="17" t="s">
        <v>507</v>
      </c>
      <c r="E146" s="17" t="s">
        <v>84</v>
      </c>
      <c r="F146" s="17" t="s">
        <v>50</v>
      </c>
      <c r="G146" s="17" t="s">
        <v>508</v>
      </c>
      <c r="H146" s="44" t="s">
        <v>509</v>
      </c>
      <c r="I146" s="45">
        <v>1.0</v>
      </c>
      <c r="J146" s="45">
        <v>11045.0</v>
      </c>
      <c r="K146" s="45">
        <v>19545.0</v>
      </c>
      <c r="L146" s="45">
        <v>370.0</v>
      </c>
      <c r="M146" s="45">
        <v>72.0</v>
      </c>
      <c r="N146" s="45">
        <v>11045.0</v>
      </c>
      <c r="O146" s="46">
        <v>45.0</v>
      </c>
      <c r="P146" s="46">
        <v>15.0</v>
      </c>
      <c r="Q146" s="46">
        <f>IFERROR(__xludf.DUMMYFUNCTION("""COMPUTED_VALUE"""),0.0)</f>
        <v>0</v>
      </c>
      <c r="R146" s="47">
        <v>8500.0</v>
      </c>
    </row>
    <row r="147" ht="22.5" customHeight="1">
      <c r="A147" s="42">
        <v>44504.0</v>
      </c>
      <c r="B147" s="43">
        <v>44504.83342592593</v>
      </c>
      <c r="C147" s="17" t="s">
        <v>78</v>
      </c>
      <c r="D147" s="17" t="s">
        <v>510</v>
      </c>
      <c r="E147" s="17" t="s">
        <v>84</v>
      </c>
      <c r="F147" s="17" t="s">
        <v>47</v>
      </c>
      <c r="G147" s="17" t="s">
        <v>511</v>
      </c>
      <c r="H147" s="44" t="s">
        <v>512</v>
      </c>
      <c r="I147" s="45">
        <v>1.0</v>
      </c>
      <c r="J147" s="45">
        <v>1889.0</v>
      </c>
      <c r="K147" s="45">
        <v>1972.0</v>
      </c>
      <c r="L147" s="45">
        <v>62.0</v>
      </c>
      <c r="M147" s="45">
        <v>43.0</v>
      </c>
      <c r="N147" s="45">
        <v>1889.0</v>
      </c>
      <c r="O147" s="46">
        <v>45.0</v>
      </c>
      <c r="P147" s="46">
        <v>20.0</v>
      </c>
      <c r="Q147" s="46">
        <f>IFERROR(__xludf.DUMMYFUNCTION("""COMPUTED_VALUE"""),0.0)</f>
        <v>0</v>
      </c>
      <c r="R147" s="47">
        <v>83.0</v>
      </c>
    </row>
    <row r="148" ht="22.5" customHeight="1">
      <c r="A148" s="42">
        <v>44505.0</v>
      </c>
      <c r="B148" s="43">
        <v>44505.375069444446</v>
      </c>
      <c r="C148" s="17" t="s">
        <v>78</v>
      </c>
      <c r="D148" s="17" t="s">
        <v>513</v>
      </c>
      <c r="E148" s="17" t="s">
        <v>84</v>
      </c>
      <c r="F148" s="17" t="s">
        <v>50</v>
      </c>
      <c r="G148" s="17" t="s">
        <v>514</v>
      </c>
      <c r="H148" s="44" t="s">
        <v>515</v>
      </c>
      <c r="I148" s="45">
        <v>1.0</v>
      </c>
      <c r="J148" s="45">
        <v>7929.0</v>
      </c>
      <c r="K148" s="45">
        <v>8023.0</v>
      </c>
      <c r="L148" s="45">
        <v>135.0</v>
      </c>
      <c r="M148" s="45">
        <v>42.0</v>
      </c>
      <c r="N148" s="45">
        <v>7929.0</v>
      </c>
      <c r="O148" s="46">
        <v>45.0</v>
      </c>
      <c r="P148" s="46">
        <v>9.0</v>
      </c>
      <c r="Q148" s="46">
        <f>IFERROR(__xludf.DUMMYFUNCTION("""COMPUTED_VALUE"""),0.0)</f>
        <v>0</v>
      </c>
      <c r="R148" s="47">
        <v>94.0</v>
      </c>
    </row>
    <row r="149" ht="22.5" customHeight="1">
      <c r="A149" s="42">
        <v>44505.0</v>
      </c>
      <c r="B149" s="43">
        <v>44505.58335648148</v>
      </c>
      <c r="C149" s="17" t="s">
        <v>78</v>
      </c>
      <c r="D149" s="17" t="s">
        <v>516</v>
      </c>
      <c r="E149" s="17" t="s">
        <v>84</v>
      </c>
      <c r="F149" s="17" t="s">
        <v>50</v>
      </c>
      <c r="G149" s="17" t="s">
        <v>517</v>
      </c>
      <c r="H149" s="44" t="s">
        <v>518</v>
      </c>
      <c r="I149" s="45">
        <v>1.0</v>
      </c>
      <c r="J149" s="45">
        <v>6584.0</v>
      </c>
      <c r="K149" s="45">
        <v>6781.0</v>
      </c>
      <c r="L149" s="45">
        <v>167.0</v>
      </c>
      <c r="M149" s="45">
        <v>93.0</v>
      </c>
      <c r="N149" s="45">
        <v>6584.0</v>
      </c>
      <c r="O149" s="46">
        <v>45.0</v>
      </c>
      <c r="P149" s="46">
        <v>14.0</v>
      </c>
      <c r="Q149" s="46">
        <f>IFERROR(__xludf.DUMMYFUNCTION("""COMPUTED_VALUE"""),0.0)</f>
        <v>0</v>
      </c>
      <c r="R149" s="47">
        <v>197.0</v>
      </c>
    </row>
    <row r="150" ht="22.5" customHeight="1">
      <c r="A150" s="42">
        <v>44505.0</v>
      </c>
      <c r="B150" s="43">
        <v>44505.750289351854</v>
      </c>
      <c r="C150" s="17" t="s">
        <v>78</v>
      </c>
      <c r="D150" s="17" t="s">
        <v>519</v>
      </c>
      <c r="E150" s="17" t="s">
        <v>97</v>
      </c>
      <c r="F150" s="17" t="s">
        <v>52</v>
      </c>
      <c r="G150" s="17" t="s">
        <v>520</v>
      </c>
      <c r="H150" s="44" t="s">
        <v>521</v>
      </c>
      <c r="I150" s="45">
        <v>1.0</v>
      </c>
      <c r="J150" s="45">
        <v>270.0</v>
      </c>
      <c r="K150" s="45">
        <v>292.0</v>
      </c>
      <c r="L150" s="45">
        <v>16.0</v>
      </c>
      <c r="M150" s="45">
        <v>6.0</v>
      </c>
      <c r="N150" s="45">
        <v>270.0</v>
      </c>
      <c r="O150" s="46">
        <v>45.0</v>
      </c>
      <c r="P150" s="46">
        <v>18.0</v>
      </c>
      <c r="Q150" s="46">
        <f>IFERROR(__xludf.DUMMYFUNCTION("""COMPUTED_VALUE"""),0.0)</f>
        <v>0</v>
      </c>
      <c r="R150" s="47">
        <v>22.0</v>
      </c>
    </row>
    <row r="151" ht="22.5" customHeight="1">
      <c r="A151" s="42">
        <v>44506.0</v>
      </c>
      <c r="B151" s="43">
        <v>44506.333344907405</v>
      </c>
      <c r="C151" s="17" t="s">
        <v>78</v>
      </c>
      <c r="D151" s="17" t="s">
        <v>522</v>
      </c>
      <c r="E151" s="17" t="s">
        <v>84</v>
      </c>
      <c r="F151" s="17" t="s">
        <v>50</v>
      </c>
      <c r="G151" s="17" t="s">
        <v>523</v>
      </c>
      <c r="H151" s="44" t="s">
        <v>524</v>
      </c>
      <c r="I151" s="45">
        <v>1.0</v>
      </c>
      <c r="J151" s="45">
        <v>11059.0</v>
      </c>
      <c r="K151" s="45">
        <v>11291.0</v>
      </c>
      <c r="L151" s="45">
        <v>330.0</v>
      </c>
      <c r="M151" s="45">
        <v>81.0</v>
      </c>
      <c r="N151" s="45">
        <v>11059.0</v>
      </c>
      <c r="O151" s="46">
        <v>45.0</v>
      </c>
      <c r="P151" s="46">
        <v>8.0</v>
      </c>
      <c r="Q151" s="46">
        <f>IFERROR(__xludf.DUMMYFUNCTION("""COMPUTED_VALUE"""),0.0)</f>
        <v>0</v>
      </c>
      <c r="R151" s="47">
        <v>232.0</v>
      </c>
    </row>
    <row r="152" ht="22.5" customHeight="1">
      <c r="A152" s="42">
        <v>44506.0</v>
      </c>
      <c r="B152" s="43">
        <v>44506.54168981482</v>
      </c>
      <c r="C152" s="17" t="s">
        <v>78</v>
      </c>
      <c r="D152" s="17" t="s">
        <v>525</v>
      </c>
      <c r="E152" s="17" t="s">
        <v>80</v>
      </c>
      <c r="F152" s="17" t="s">
        <v>53</v>
      </c>
      <c r="G152" s="17" t="s">
        <v>526</v>
      </c>
      <c r="H152" s="44" t="s">
        <v>527</v>
      </c>
      <c r="I152" s="45">
        <v>1.0</v>
      </c>
      <c r="J152" s="45">
        <v>4180.0</v>
      </c>
      <c r="K152" s="45">
        <v>6864.0</v>
      </c>
      <c r="L152" s="45">
        <v>197.0</v>
      </c>
      <c r="M152" s="45">
        <v>428.0</v>
      </c>
      <c r="N152" s="45">
        <v>4180.0</v>
      </c>
      <c r="O152" s="46">
        <v>45.0</v>
      </c>
      <c r="P152" s="46">
        <v>13.0</v>
      </c>
      <c r="Q152" s="46">
        <f>IFERROR(__xludf.DUMMYFUNCTION("""COMPUTED_VALUE"""),0.0)</f>
        <v>0</v>
      </c>
      <c r="R152" s="47">
        <v>2684.0</v>
      </c>
    </row>
    <row r="153" ht="22.5" customHeight="1">
      <c r="A153" s="42">
        <v>44506.0</v>
      </c>
      <c r="B153" s="43">
        <v>44506.62501157408</v>
      </c>
      <c r="C153" s="17" t="s">
        <v>78</v>
      </c>
      <c r="D153" s="17" t="s">
        <v>528</v>
      </c>
      <c r="E153" s="17" t="s">
        <v>84</v>
      </c>
      <c r="F153" s="17" t="s">
        <v>50</v>
      </c>
      <c r="G153" s="17" t="s">
        <v>529</v>
      </c>
      <c r="H153" s="44" t="s">
        <v>530</v>
      </c>
      <c r="I153" s="45">
        <v>1.0</v>
      </c>
      <c r="J153" s="45">
        <v>210.0</v>
      </c>
      <c r="K153" s="45">
        <v>224.0</v>
      </c>
      <c r="L153" s="45">
        <v>25.0</v>
      </c>
      <c r="M153" s="45">
        <v>2.0</v>
      </c>
      <c r="N153" s="45">
        <v>210.0</v>
      </c>
      <c r="O153" s="46">
        <v>45.0</v>
      </c>
      <c r="P153" s="46">
        <v>15.0</v>
      </c>
      <c r="Q153" s="46">
        <f>IFERROR(__xludf.DUMMYFUNCTION("""COMPUTED_VALUE"""),1.0)</f>
        <v>1</v>
      </c>
      <c r="R153" s="47">
        <v>14.0</v>
      </c>
    </row>
    <row r="154" ht="22.5" customHeight="1">
      <c r="A154" s="42">
        <v>44506.0</v>
      </c>
      <c r="B154" s="43">
        <v>44506.66670138889</v>
      </c>
      <c r="C154" s="17" t="s">
        <v>78</v>
      </c>
      <c r="D154" s="17" t="s">
        <v>531</v>
      </c>
      <c r="E154" s="17" t="s">
        <v>84</v>
      </c>
      <c r="F154" s="17" t="s">
        <v>50</v>
      </c>
      <c r="G154" s="17" t="s">
        <v>532</v>
      </c>
      <c r="H154" s="44" t="s">
        <v>533</v>
      </c>
      <c r="I154" s="45">
        <v>1.0</v>
      </c>
      <c r="J154" s="45">
        <v>4811.0</v>
      </c>
      <c r="K154" s="45">
        <v>4876.0</v>
      </c>
      <c r="L154" s="45">
        <v>49.0</v>
      </c>
      <c r="M154" s="45">
        <v>13.0</v>
      </c>
      <c r="N154" s="45">
        <v>4811.0</v>
      </c>
      <c r="O154" s="46">
        <v>45.0</v>
      </c>
      <c r="P154" s="46">
        <v>16.0</v>
      </c>
      <c r="Q154" s="46">
        <f>IFERROR(__xludf.DUMMYFUNCTION("""COMPUTED_VALUE"""),0.0)</f>
        <v>0</v>
      </c>
      <c r="R154" s="47">
        <v>65.0</v>
      </c>
    </row>
    <row r="155" ht="22.5" customHeight="1">
      <c r="A155" s="42">
        <v>44506.0</v>
      </c>
      <c r="B155" s="43">
        <v>44506.75005787037</v>
      </c>
      <c r="C155" s="17" t="s">
        <v>78</v>
      </c>
      <c r="D155" s="17" t="s">
        <v>534</v>
      </c>
      <c r="E155" s="17" t="s">
        <v>80</v>
      </c>
      <c r="F155" s="17" t="s">
        <v>53</v>
      </c>
      <c r="G155" s="17" t="s">
        <v>535</v>
      </c>
      <c r="H155" s="44" t="s">
        <v>536</v>
      </c>
      <c r="I155" s="45">
        <v>1.0</v>
      </c>
      <c r="J155" s="45">
        <v>2055.0</v>
      </c>
      <c r="K155" s="45">
        <v>2195.0</v>
      </c>
      <c r="L155" s="45">
        <v>150.0</v>
      </c>
      <c r="M155" s="45">
        <v>86.0</v>
      </c>
      <c r="N155" s="45">
        <v>2055.0</v>
      </c>
      <c r="O155" s="46">
        <v>45.0</v>
      </c>
      <c r="P155" s="46">
        <v>18.0</v>
      </c>
      <c r="Q155" s="46">
        <f>IFERROR(__xludf.DUMMYFUNCTION("""COMPUTED_VALUE"""),0.0)</f>
        <v>0</v>
      </c>
      <c r="R155" s="47">
        <v>140.0</v>
      </c>
    </row>
    <row r="156" ht="22.5" customHeight="1">
      <c r="A156" s="42">
        <v>44506.0</v>
      </c>
      <c r="B156" s="43">
        <v>44506.79167824074</v>
      </c>
      <c r="C156" s="17" t="s">
        <v>78</v>
      </c>
      <c r="D156" s="17" t="s">
        <v>537</v>
      </c>
      <c r="E156" s="17" t="s">
        <v>84</v>
      </c>
      <c r="F156" s="17" t="s">
        <v>50</v>
      </c>
      <c r="G156" s="17" t="s">
        <v>538</v>
      </c>
      <c r="H156" s="44" t="s">
        <v>539</v>
      </c>
      <c r="I156" s="45">
        <v>1.0</v>
      </c>
      <c r="J156" s="45">
        <v>489.0</v>
      </c>
      <c r="K156" s="45">
        <v>504.0</v>
      </c>
      <c r="L156" s="45">
        <v>51.0</v>
      </c>
      <c r="M156" s="45">
        <v>15.0</v>
      </c>
      <c r="N156" s="45">
        <v>489.0</v>
      </c>
      <c r="O156" s="46">
        <v>45.0</v>
      </c>
      <c r="P156" s="46">
        <v>19.0</v>
      </c>
      <c r="Q156" s="46">
        <f>IFERROR(__xludf.DUMMYFUNCTION("""COMPUTED_VALUE"""),0.0)</f>
        <v>0</v>
      </c>
      <c r="R156" s="47">
        <v>15.0</v>
      </c>
    </row>
    <row r="157" ht="22.5" customHeight="1">
      <c r="A157" s="42">
        <v>44507.0</v>
      </c>
      <c r="B157" s="43">
        <v>44507.458333333336</v>
      </c>
      <c r="C157" s="17" t="s">
        <v>78</v>
      </c>
      <c r="D157" s="17" t="s">
        <v>540</v>
      </c>
      <c r="E157" s="17" t="s">
        <v>80</v>
      </c>
      <c r="F157" s="17" t="s">
        <v>55</v>
      </c>
      <c r="G157" s="17" t="s">
        <v>541</v>
      </c>
      <c r="H157" s="44" t="s">
        <v>542</v>
      </c>
      <c r="I157" s="45">
        <v>1.0</v>
      </c>
      <c r="J157" s="45">
        <v>947.0</v>
      </c>
      <c r="K157" s="45">
        <v>1031.0</v>
      </c>
      <c r="L157" s="45">
        <v>45.0</v>
      </c>
      <c r="M157" s="45">
        <v>27.0</v>
      </c>
      <c r="N157" s="45">
        <v>947.0</v>
      </c>
      <c r="O157" s="46">
        <v>46.0</v>
      </c>
      <c r="P157" s="46">
        <v>11.0</v>
      </c>
      <c r="Q157" s="46">
        <f>IFERROR(__xludf.DUMMYFUNCTION("""COMPUTED_VALUE"""),0.0)</f>
        <v>0</v>
      </c>
      <c r="R157" s="47">
        <v>84.0</v>
      </c>
    </row>
    <row r="158" ht="22.5" customHeight="1">
      <c r="A158" s="42">
        <v>44507.0</v>
      </c>
      <c r="B158" s="43">
        <v>44507.54523148148</v>
      </c>
      <c r="C158" s="17" t="s">
        <v>78</v>
      </c>
      <c r="D158" s="17" t="s">
        <v>543</v>
      </c>
      <c r="E158" s="17" t="s">
        <v>80</v>
      </c>
      <c r="F158" s="17" t="s">
        <v>55</v>
      </c>
      <c r="G158" s="17" t="s">
        <v>544</v>
      </c>
      <c r="H158" s="44" t="s">
        <v>545</v>
      </c>
      <c r="I158" s="45">
        <v>1.0</v>
      </c>
      <c r="J158" s="45">
        <v>925.0</v>
      </c>
      <c r="K158" s="45">
        <v>1080.0</v>
      </c>
      <c r="L158" s="45">
        <v>240.0</v>
      </c>
      <c r="M158" s="45">
        <v>59.0</v>
      </c>
      <c r="N158" s="45">
        <v>925.0</v>
      </c>
      <c r="O158" s="46">
        <v>46.0</v>
      </c>
      <c r="P158" s="46">
        <v>13.0</v>
      </c>
      <c r="Q158" s="46">
        <f>IFERROR(__xludf.DUMMYFUNCTION("""COMPUTED_VALUE"""),0.0)</f>
        <v>0</v>
      </c>
      <c r="R158" s="47">
        <v>155.0</v>
      </c>
    </row>
    <row r="159" ht="22.5" customHeight="1">
      <c r="A159" s="42">
        <v>44508.0</v>
      </c>
      <c r="B159" s="43">
        <v>44508.33335648148</v>
      </c>
      <c r="C159" s="17" t="s">
        <v>78</v>
      </c>
      <c r="D159" s="17" t="s">
        <v>546</v>
      </c>
      <c r="E159" s="17" t="s">
        <v>84</v>
      </c>
      <c r="F159" s="17" t="s">
        <v>50</v>
      </c>
      <c r="G159" s="17" t="s">
        <v>547</v>
      </c>
      <c r="H159" s="44" t="s">
        <v>548</v>
      </c>
      <c r="I159" s="45">
        <v>1.0</v>
      </c>
      <c r="J159" s="45">
        <v>8871.0</v>
      </c>
      <c r="K159" s="45">
        <v>8958.0</v>
      </c>
      <c r="L159" s="45">
        <v>136.0</v>
      </c>
      <c r="M159" s="45">
        <v>48.0</v>
      </c>
      <c r="N159" s="45">
        <v>8871.0</v>
      </c>
      <c r="O159" s="46">
        <v>46.0</v>
      </c>
      <c r="P159" s="46">
        <v>8.0</v>
      </c>
      <c r="Q159" s="46">
        <f>IFERROR(__xludf.DUMMYFUNCTION("""COMPUTED_VALUE"""),0.0)</f>
        <v>0</v>
      </c>
      <c r="R159" s="47">
        <v>87.0</v>
      </c>
    </row>
    <row r="160" ht="22.5" customHeight="1">
      <c r="A160" s="42">
        <v>44508.0</v>
      </c>
      <c r="B160" s="43">
        <v>44508.458333333336</v>
      </c>
      <c r="C160" s="17" t="s">
        <v>78</v>
      </c>
      <c r="D160" s="17" t="s">
        <v>549</v>
      </c>
      <c r="E160" s="17" t="s">
        <v>84</v>
      </c>
      <c r="F160" s="17" t="s">
        <v>50</v>
      </c>
      <c r="G160" s="17" t="s">
        <v>550</v>
      </c>
      <c r="H160" s="44" t="s">
        <v>551</v>
      </c>
      <c r="I160" s="45">
        <v>1.0</v>
      </c>
      <c r="J160" s="45">
        <v>11967.0</v>
      </c>
      <c r="K160" s="45">
        <v>14102.0</v>
      </c>
      <c r="L160" s="45">
        <v>2562.0</v>
      </c>
      <c r="M160" s="45">
        <v>287.0</v>
      </c>
      <c r="N160" s="45">
        <v>11967.0</v>
      </c>
      <c r="O160" s="46">
        <v>46.0</v>
      </c>
      <c r="P160" s="46">
        <v>11.0</v>
      </c>
      <c r="Q160" s="46">
        <f>IFERROR(__xludf.DUMMYFUNCTION("""COMPUTED_VALUE"""),0.0)</f>
        <v>0</v>
      </c>
      <c r="R160" s="47">
        <v>2135.0</v>
      </c>
    </row>
    <row r="161" ht="22.5" customHeight="1">
      <c r="A161" s="42">
        <v>44508.0</v>
      </c>
      <c r="B161" s="43">
        <v>44508.541666666664</v>
      </c>
      <c r="C161" s="17" t="s">
        <v>78</v>
      </c>
      <c r="D161" s="17" t="s">
        <v>552</v>
      </c>
      <c r="E161" s="17" t="s">
        <v>84</v>
      </c>
      <c r="F161" s="17" t="s">
        <v>50</v>
      </c>
      <c r="G161" s="17" t="s">
        <v>553</v>
      </c>
      <c r="H161" s="44" t="s">
        <v>554</v>
      </c>
      <c r="I161" s="45">
        <v>1.0</v>
      </c>
      <c r="J161" s="45">
        <v>7098.0</v>
      </c>
      <c r="K161" s="45">
        <v>7167.0</v>
      </c>
      <c r="L161" s="45">
        <v>106.0</v>
      </c>
      <c r="M161" s="45">
        <v>32.0</v>
      </c>
      <c r="N161" s="45">
        <v>7098.0</v>
      </c>
      <c r="O161" s="46">
        <v>46.0</v>
      </c>
      <c r="P161" s="46">
        <v>13.0</v>
      </c>
      <c r="Q161" s="46">
        <f>IFERROR(__xludf.DUMMYFUNCTION("""COMPUTED_VALUE"""),0.0)</f>
        <v>0</v>
      </c>
      <c r="R161" s="47">
        <v>69.0</v>
      </c>
    </row>
    <row r="162" ht="22.5" customHeight="1">
      <c r="A162" s="42">
        <v>44508.0</v>
      </c>
      <c r="B162" s="43">
        <v>44508.62501157408</v>
      </c>
      <c r="C162" s="17" t="s">
        <v>78</v>
      </c>
      <c r="D162" s="17" t="s">
        <v>555</v>
      </c>
      <c r="E162" s="17" t="s">
        <v>84</v>
      </c>
      <c r="F162" s="17" t="s">
        <v>50</v>
      </c>
      <c r="G162" s="17" t="s">
        <v>556</v>
      </c>
      <c r="H162" s="44" t="s">
        <v>557</v>
      </c>
      <c r="I162" s="45">
        <v>1.0</v>
      </c>
      <c r="J162" s="45">
        <v>539.0</v>
      </c>
      <c r="K162" s="45">
        <v>555.0</v>
      </c>
      <c r="L162" s="45">
        <v>37.0</v>
      </c>
      <c r="M162" s="45">
        <v>24.0</v>
      </c>
      <c r="N162" s="45">
        <v>539.0</v>
      </c>
      <c r="O162" s="46">
        <v>46.0</v>
      </c>
      <c r="P162" s="46">
        <v>15.0</v>
      </c>
      <c r="Q162" s="46">
        <f>IFERROR(__xludf.DUMMYFUNCTION("""COMPUTED_VALUE"""),0.0)</f>
        <v>0</v>
      </c>
      <c r="R162" s="47">
        <v>16.0</v>
      </c>
    </row>
    <row r="163" ht="22.5" customHeight="1">
      <c r="A163" s="42">
        <v>44508.0</v>
      </c>
      <c r="B163" s="43">
        <v>44508.708344907405</v>
      </c>
      <c r="C163" s="17" t="s">
        <v>78</v>
      </c>
      <c r="D163" s="17" t="s">
        <v>558</v>
      </c>
      <c r="E163" s="17" t="s">
        <v>84</v>
      </c>
      <c r="F163" s="17" t="s">
        <v>50</v>
      </c>
      <c r="G163" s="17" t="s">
        <v>559</v>
      </c>
      <c r="H163" s="44" t="s">
        <v>560</v>
      </c>
      <c r="I163" s="45">
        <v>1.0</v>
      </c>
      <c r="J163" s="45">
        <v>6512.0</v>
      </c>
      <c r="K163" s="45">
        <v>7216.0</v>
      </c>
      <c r="L163" s="45">
        <v>236.0</v>
      </c>
      <c r="M163" s="45">
        <v>244.0</v>
      </c>
      <c r="N163" s="45">
        <v>6512.0</v>
      </c>
      <c r="O163" s="46">
        <v>46.0</v>
      </c>
      <c r="P163" s="46">
        <v>17.0</v>
      </c>
      <c r="Q163" s="46">
        <f>IFERROR(__xludf.DUMMYFUNCTION("""COMPUTED_VALUE"""),0.0)</f>
        <v>0</v>
      </c>
      <c r="R163" s="47">
        <v>704.0</v>
      </c>
    </row>
    <row r="164" ht="22.5" customHeight="1">
      <c r="A164" s="42">
        <v>44508.0</v>
      </c>
      <c r="B164" s="43">
        <v>44508.75</v>
      </c>
      <c r="C164" s="17" t="s">
        <v>78</v>
      </c>
      <c r="D164" s="17" t="s">
        <v>561</v>
      </c>
      <c r="E164" s="17" t="s">
        <v>84</v>
      </c>
      <c r="F164" s="17" t="s">
        <v>50</v>
      </c>
      <c r="G164" s="17" t="s">
        <v>562</v>
      </c>
      <c r="H164" s="44" t="s">
        <v>563</v>
      </c>
      <c r="I164" s="45">
        <v>1.0</v>
      </c>
      <c r="J164" s="45">
        <v>5762.0</v>
      </c>
      <c r="K164" s="45">
        <v>6547.0</v>
      </c>
      <c r="L164" s="45">
        <v>120.0</v>
      </c>
      <c r="M164" s="45">
        <v>307.0</v>
      </c>
      <c r="N164" s="45">
        <v>5762.0</v>
      </c>
      <c r="O164" s="46">
        <v>46.0</v>
      </c>
      <c r="P164" s="46">
        <v>18.0</v>
      </c>
      <c r="Q164" s="46">
        <f>IFERROR(__xludf.DUMMYFUNCTION("""COMPUTED_VALUE"""),0.0)</f>
        <v>0</v>
      </c>
      <c r="R164" s="47">
        <v>785.0</v>
      </c>
    </row>
    <row r="165" ht="22.5" customHeight="1">
      <c r="A165" s="42">
        <v>44508.0</v>
      </c>
      <c r="B165" s="43">
        <v>44508.875069444446</v>
      </c>
      <c r="C165" s="17" t="s">
        <v>78</v>
      </c>
      <c r="D165" s="17" t="s">
        <v>564</v>
      </c>
      <c r="E165" s="17" t="s">
        <v>84</v>
      </c>
      <c r="F165" s="17" t="s">
        <v>50</v>
      </c>
      <c r="G165" s="17" t="s">
        <v>565</v>
      </c>
      <c r="H165" s="44" t="s">
        <v>566</v>
      </c>
      <c r="I165" s="45">
        <v>1.0</v>
      </c>
      <c r="J165" s="45">
        <v>1472.0</v>
      </c>
      <c r="K165" s="45">
        <v>1552.0</v>
      </c>
      <c r="L165" s="45">
        <v>260.0</v>
      </c>
      <c r="M165" s="45">
        <v>55.0</v>
      </c>
      <c r="N165" s="45">
        <v>1472.0</v>
      </c>
      <c r="O165" s="46">
        <v>46.0</v>
      </c>
      <c r="P165" s="46">
        <v>21.0</v>
      </c>
      <c r="Q165" s="46">
        <f>IFERROR(__xludf.DUMMYFUNCTION("""COMPUTED_VALUE"""),0.0)</f>
        <v>0</v>
      </c>
      <c r="R165" s="47">
        <v>80.0</v>
      </c>
    </row>
    <row r="166" ht="22.5" customHeight="1">
      <c r="A166" s="42">
        <v>44509.0</v>
      </c>
      <c r="B166" s="43">
        <v>44509.333344907405</v>
      </c>
      <c r="C166" s="17" t="s">
        <v>78</v>
      </c>
      <c r="D166" s="17" t="s">
        <v>567</v>
      </c>
      <c r="E166" s="17" t="s">
        <v>84</v>
      </c>
      <c r="F166" s="17" t="s">
        <v>50</v>
      </c>
      <c r="G166" s="17" t="s">
        <v>568</v>
      </c>
      <c r="H166" s="44" t="s">
        <v>569</v>
      </c>
      <c r="I166" s="45">
        <v>1.0</v>
      </c>
      <c r="J166" s="45">
        <v>7509.0</v>
      </c>
      <c r="K166" s="45">
        <v>7823.0</v>
      </c>
      <c r="L166" s="45">
        <v>295.0</v>
      </c>
      <c r="M166" s="45">
        <v>100.0</v>
      </c>
      <c r="N166" s="45">
        <v>7509.0</v>
      </c>
      <c r="O166" s="46">
        <v>46.0</v>
      </c>
      <c r="P166" s="46">
        <v>8.0</v>
      </c>
      <c r="Q166" s="46">
        <f>IFERROR(__xludf.DUMMYFUNCTION("""COMPUTED_VALUE"""),0.0)</f>
        <v>0</v>
      </c>
      <c r="R166" s="47">
        <v>314.0</v>
      </c>
    </row>
    <row r="167" ht="22.5" customHeight="1">
      <c r="A167" s="42">
        <v>44509.0</v>
      </c>
      <c r="B167" s="43">
        <v>44509.458344907405</v>
      </c>
      <c r="C167" s="17" t="s">
        <v>78</v>
      </c>
      <c r="D167" s="17" t="s">
        <v>570</v>
      </c>
      <c r="E167" s="17" t="s">
        <v>84</v>
      </c>
      <c r="F167" s="17" t="s">
        <v>50</v>
      </c>
      <c r="G167" s="17" t="s">
        <v>571</v>
      </c>
      <c r="H167" s="44" t="s">
        <v>572</v>
      </c>
      <c r="I167" s="45">
        <v>1.0</v>
      </c>
      <c r="J167" s="45">
        <v>8428.0</v>
      </c>
      <c r="K167" s="45">
        <v>11918.0</v>
      </c>
      <c r="L167" s="45">
        <v>2440.0</v>
      </c>
      <c r="M167" s="45">
        <v>2028.0</v>
      </c>
      <c r="N167" s="45">
        <v>8428.0</v>
      </c>
      <c r="O167" s="46">
        <v>46.0</v>
      </c>
      <c r="P167" s="46">
        <v>11.0</v>
      </c>
      <c r="Q167" s="46">
        <f>IFERROR(__xludf.DUMMYFUNCTION("""COMPUTED_VALUE"""),0.0)</f>
        <v>0</v>
      </c>
      <c r="R167" s="47">
        <v>3490.0</v>
      </c>
    </row>
    <row r="168" ht="22.5" customHeight="1">
      <c r="A168" s="42">
        <v>44509.0</v>
      </c>
      <c r="B168" s="43">
        <v>44509.75087962963</v>
      </c>
      <c r="C168" s="17" t="s">
        <v>78</v>
      </c>
      <c r="D168" s="17" t="s">
        <v>573</v>
      </c>
      <c r="E168" s="17" t="s">
        <v>97</v>
      </c>
      <c r="F168" s="17" t="s">
        <v>52</v>
      </c>
      <c r="G168" s="17" t="s">
        <v>574</v>
      </c>
      <c r="H168" s="44" t="s">
        <v>575</v>
      </c>
      <c r="I168" s="45">
        <v>1.0</v>
      </c>
      <c r="J168" s="45">
        <v>472.0</v>
      </c>
      <c r="K168" s="45">
        <v>587.0</v>
      </c>
      <c r="L168" s="45">
        <v>39.0</v>
      </c>
      <c r="M168" s="45">
        <v>166.0</v>
      </c>
      <c r="N168" s="45">
        <v>472.0</v>
      </c>
      <c r="O168" s="46">
        <v>46.0</v>
      </c>
      <c r="P168" s="46">
        <v>18.0</v>
      </c>
      <c r="Q168" s="46">
        <f>IFERROR(__xludf.DUMMYFUNCTION("""COMPUTED_VALUE"""),0.0)</f>
        <v>0</v>
      </c>
      <c r="R168" s="47">
        <v>115.0</v>
      </c>
    </row>
    <row r="169" ht="22.5" customHeight="1">
      <c r="A169" s="42">
        <v>44509.0</v>
      </c>
      <c r="B169" s="43">
        <v>44509.833391203705</v>
      </c>
      <c r="C169" s="17" t="s">
        <v>78</v>
      </c>
      <c r="D169" s="17" t="s">
        <v>576</v>
      </c>
      <c r="E169" s="17" t="s">
        <v>84</v>
      </c>
      <c r="F169" s="17" t="s">
        <v>50</v>
      </c>
      <c r="G169" s="17" t="s">
        <v>577</v>
      </c>
      <c r="H169" s="44" t="s">
        <v>578</v>
      </c>
      <c r="I169" s="45">
        <v>1.0</v>
      </c>
      <c r="J169" s="45">
        <v>526.0</v>
      </c>
      <c r="K169" s="45">
        <v>554.0</v>
      </c>
      <c r="L169" s="45">
        <v>55.0</v>
      </c>
      <c r="M169" s="45">
        <v>15.0</v>
      </c>
      <c r="N169" s="45">
        <v>526.0</v>
      </c>
      <c r="O169" s="46">
        <v>46.0</v>
      </c>
      <c r="P169" s="46">
        <v>20.0</v>
      </c>
      <c r="Q169" s="46">
        <f>IFERROR(__xludf.DUMMYFUNCTION("""COMPUTED_VALUE"""),0.0)</f>
        <v>0</v>
      </c>
      <c r="R169" s="47">
        <v>28.0</v>
      </c>
    </row>
    <row r="170" ht="22.5" customHeight="1">
      <c r="A170" s="42">
        <v>44510.0</v>
      </c>
      <c r="B170" s="43">
        <v>44510.33335648148</v>
      </c>
      <c r="C170" s="17" t="s">
        <v>78</v>
      </c>
      <c r="D170" s="17" t="s">
        <v>579</v>
      </c>
      <c r="E170" s="17" t="s">
        <v>84</v>
      </c>
      <c r="F170" s="17" t="s">
        <v>50</v>
      </c>
      <c r="G170" s="17" t="s">
        <v>580</v>
      </c>
      <c r="H170" s="44" t="s">
        <v>581</v>
      </c>
      <c r="I170" s="45">
        <v>1.0</v>
      </c>
      <c r="J170" s="45">
        <v>5441.0</v>
      </c>
      <c r="K170" s="45">
        <v>5862.0</v>
      </c>
      <c r="L170" s="45">
        <v>315.0</v>
      </c>
      <c r="M170" s="45">
        <v>36.0</v>
      </c>
      <c r="N170" s="45">
        <v>5441.0</v>
      </c>
      <c r="O170" s="46">
        <v>46.0</v>
      </c>
      <c r="P170" s="46">
        <v>8.0</v>
      </c>
      <c r="Q170" s="46">
        <f>IFERROR(__xludf.DUMMYFUNCTION("""COMPUTED_VALUE"""),0.0)</f>
        <v>0</v>
      </c>
      <c r="R170" s="47">
        <v>421.0</v>
      </c>
    </row>
    <row r="171" ht="22.5" customHeight="1">
      <c r="A171" s="42">
        <v>44510.0</v>
      </c>
      <c r="B171" s="43">
        <v>44510.708344907405</v>
      </c>
      <c r="C171" s="17" t="s">
        <v>78</v>
      </c>
      <c r="D171" s="17" t="s">
        <v>582</v>
      </c>
      <c r="E171" s="17" t="s">
        <v>84</v>
      </c>
      <c r="F171" s="17" t="s">
        <v>50</v>
      </c>
      <c r="G171" s="17" t="s">
        <v>583</v>
      </c>
      <c r="H171" s="44" t="s">
        <v>584</v>
      </c>
      <c r="I171" s="45">
        <v>1.0</v>
      </c>
      <c r="J171" s="45">
        <v>735.0</v>
      </c>
      <c r="K171" s="45">
        <v>774.0</v>
      </c>
      <c r="L171" s="45">
        <v>84.0</v>
      </c>
      <c r="M171" s="45">
        <v>31.0</v>
      </c>
      <c r="N171" s="45">
        <v>735.0</v>
      </c>
      <c r="O171" s="46">
        <v>46.0</v>
      </c>
      <c r="P171" s="46">
        <v>17.0</v>
      </c>
      <c r="Q171" s="46">
        <f>IFERROR(__xludf.DUMMYFUNCTION("""COMPUTED_VALUE"""),0.0)</f>
        <v>0</v>
      </c>
      <c r="R171" s="47">
        <v>39.0</v>
      </c>
    </row>
    <row r="172" ht="22.5" customHeight="1">
      <c r="A172" s="42">
        <v>44511.0</v>
      </c>
      <c r="B172" s="43">
        <v>44511.41668981482</v>
      </c>
      <c r="C172" s="17" t="s">
        <v>78</v>
      </c>
      <c r="D172" s="17" t="s">
        <v>585</v>
      </c>
      <c r="E172" s="17" t="s">
        <v>84</v>
      </c>
      <c r="F172" s="17" t="s">
        <v>50</v>
      </c>
      <c r="G172" s="17" t="s">
        <v>586</v>
      </c>
      <c r="H172" s="44" t="s">
        <v>587</v>
      </c>
      <c r="I172" s="45">
        <v>1.0</v>
      </c>
      <c r="J172" s="45">
        <v>4452.0</v>
      </c>
      <c r="K172" s="45">
        <v>4501.0</v>
      </c>
      <c r="L172" s="45">
        <v>128.0</v>
      </c>
      <c r="M172" s="45">
        <v>16.0</v>
      </c>
      <c r="N172" s="45">
        <v>4452.0</v>
      </c>
      <c r="O172" s="46">
        <v>46.0</v>
      </c>
      <c r="P172" s="46">
        <v>10.0</v>
      </c>
      <c r="Q172" s="46">
        <f>IFERROR(__xludf.DUMMYFUNCTION("""COMPUTED_VALUE"""),0.0)</f>
        <v>0</v>
      </c>
      <c r="R172" s="47">
        <v>49.0</v>
      </c>
    </row>
    <row r="173" ht="22.5" customHeight="1">
      <c r="A173" s="42">
        <v>44511.0</v>
      </c>
      <c r="B173" s="43">
        <v>44511.45837962963</v>
      </c>
      <c r="C173" s="17" t="s">
        <v>78</v>
      </c>
      <c r="D173" s="17" t="s">
        <v>588</v>
      </c>
      <c r="E173" s="17" t="s">
        <v>84</v>
      </c>
      <c r="F173" s="17" t="s">
        <v>50</v>
      </c>
      <c r="G173" s="17" t="s">
        <v>589</v>
      </c>
      <c r="H173" s="44" t="s">
        <v>590</v>
      </c>
      <c r="I173" s="45">
        <v>1.0</v>
      </c>
      <c r="J173" s="45">
        <v>748.0</v>
      </c>
      <c r="K173" s="45">
        <v>930.0</v>
      </c>
      <c r="L173" s="45">
        <v>68.0</v>
      </c>
      <c r="M173" s="45">
        <v>78.0</v>
      </c>
      <c r="N173" s="45">
        <v>748.0</v>
      </c>
      <c r="O173" s="46">
        <v>46.0</v>
      </c>
      <c r="P173" s="46">
        <v>11.0</v>
      </c>
      <c r="Q173" s="46">
        <f>IFERROR(__xludf.DUMMYFUNCTION("""COMPUTED_VALUE"""),0.0)</f>
        <v>0</v>
      </c>
      <c r="R173" s="47">
        <v>182.0</v>
      </c>
    </row>
    <row r="174" ht="22.5" customHeight="1">
      <c r="A174" s="42">
        <v>44511.0</v>
      </c>
      <c r="B174" s="43">
        <v>44511.55724537037</v>
      </c>
      <c r="C174" s="17" t="s">
        <v>78</v>
      </c>
      <c r="D174" s="17" t="s">
        <v>591</v>
      </c>
      <c r="E174" s="17" t="s">
        <v>80</v>
      </c>
      <c r="F174" s="17" t="s">
        <v>55</v>
      </c>
      <c r="G174" s="17" t="s">
        <v>592</v>
      </c>
      <c r="H174" s="44" t="s">
        <v>593</v>
      </c>
      <c r="I174" s="45">
        <v>1.0</v>
      </c>
      <c r="J174" s="45">
        <v>1238.0</v>
      </c>
      <c r="K174" s="45">
        <v>1984.0</v>
      </c>
      <c r="L174" s="45">
        <v>1427.0</v>
      </c>
      <c r="M174" s="45">
        <v>243.0</v>
      </c>
      <c r="N174" s="45">
        <v>1238.0</v>
      </c>
      <c r="O174" s="46">
        <v>46.0</v>
      </c>
      <c r="P174" s="46">
        <v>13.0</v>
      </c>
      <c r="Q174" s="46">
        <f>IFERROR(__xludf.DUMMYFUNCTION("""COMPUTED_VALUE"""),0.0)</f>
        <v>0</v>
      </c>
      <c r="R174" s="47">
        <v>746.0</v>
      </c>
    </row>
    <row r="175" ht="22.5" customHeight="1">
      <c r="A175" s="42">
        <v>44512.0</v>
      </c>
      <c r="B175" s="43">
        <v>44512.458333333336</v>
      </c>
      <c r="C175" s="17" t="s">
        <v>78</v>
      </c>
      <c r="D175" s="17" t="s">
        <v>594</v>
      </c>
      <c r="E175" s="17" t="s">
        <v>84</v>
      </c>
      <c r="F175" s="17" t="s">
        <v>50</v>
      </c>
      <c r="G175" s="17" t="s">
        <v>595</v>
      </c>
      <c r="H175" s="44" t="s">
        <v>596</v>
      </c>
      <c r="I175" s="45">
        <v>1.0</v>
      </c>
      <c r="J175" s="45">
        <v>5681.0</v>
      </c>
      <c r="K175" s="45">
        <v>5778.0</v>
      </c>
      <c r="L175" s="45">
        <v>193.0</v>
      </c>
      <c r="M175" s="45">
        <v>77.0</v>
      </c>
      <c r="N175" s="45">
        <v>5681.0</v>
      </c>
      <c r="O175" s="46">
        <v>46.0</v>
      </c>
      <c r="P175" s="46">
        <v>11.0</v>
      </c>
      <c r="Q175" s="46">
        <f>IFERROR(__xludf.DUMMYFUNCTION("""COMPUTED_VALUE"""),0.0)</f>
        <v>0</v>
      </c>
      <c r="R175" s="47">
        <v>97.0</v>
      </c>
    </row>
    <row r="176" ht="22.5" customHeight="1">
      <c r="A176" s="42">
        <v>44512.0</v>
      </c>
      <c r="B176" s="43">
        <v>44512.79173611111</v>
      </c>
      <c r="C176" s="17" t="s">
        <v>78</v>
      </c>
      <c r="D176" s="17" t="s">
        <v>597</v>
      </c>
      <c r="E176" s="17" t="s">
        <v>80</v>
      </c>
      <c r="F176" s="17" t="s">
        <v>55</v>
      </c>
      <c r="G176" s="17" t="s">
        <v>598</v>
      </c>
      <c r="H176" s="44" t="s">
        <v>599</v>
      </c>
      <c r="I176" s="45">
        <v>1.0</v>
      </c>
      <c r="J176" s="45">
        <v>616.0</v>
      </c>
      <c r="K176" s="45">
        <v>658.0</v>
      </c>
      <c r="L176" s="45">
        <v>139.0</v>
      </c>
      <c r="M176" s="45">
        <v>20.0</v>
      </c>
      <c r="N176" s="45">
        <v>616.0</v>
      </c>
      <c r="O176" s="46">
        <v>46.0</v>
      </c>
      <c r="P176" s="46">
        <v>19.0</v>
      </c>
      <c r="Q176" s="46">
        <f>IFERROR(__xludf.DUMMYFUNCTION("""COMPUTED_VALUE"""),0.0)</f>
        <v>0</v>
      </c>
      <c r="R176" s="47">
        <v>42.0</v>
      </c>
    </row>
    <row r="177" ht="22.5" customHeight="1">
      <c r="A177" s="42">
        <v>44512.0</v>
      </c>
      <c r="B177" s="43">
        <v>44512.83336805556</v>
      </c>
      <c r="C177" s="17" t="s">
        <v>78</v>
      </c>
      <c r="D177" s="17" t="s">
        <v>600</v>
      </c>
      <c r="E177" s="17" t="s">
        <v>84</v>
      </c>
      <c r="F177" s="17" t="s">
        <v>47</v>
      </c>
      <c r="G177" s="17" t="s">
        <v>601</v>
      </c>
      <c r="H177" s="44" t="s">
        <v>602</v>
      </c>
      <c r="I177" s="45">
        <v>1.0</v>
      </c>
      <c r="J177" s="45">
        <v>1658.0</v>
      </c>
      <c r="K177" s="45">
        <v>1697.0</v>
      </c>
      <c r="L177" s="45">
        <v>54.0</v>
      </c>
      <c r="M177" s="45">
        <v>32.0</v>
      </c>
      <c r="N177" s="45">
        <v>1658.0</v>
      </c>
      <c r="O177" s="46">
        <v>46.0</v>
      </c>
      <c r="P177" s="46">
        <v>20.0</v>
      </c>
      <c r="Q177" s="46">
        <f>IFERROR(__xludf.DUMMYFUNCTION("""COMPUTED_VALUE"""),0.0)</f>
        <v>0</v>
      </c>
      <c r="R177" s="47">
        <v>39.0</v>
      </c>
    </row>
    <row r="178" ht="22.5" customHeight="1">
      <c r="A178" s="42">
        <v>44513.0</v>
      </c>
      <c r="B178" s="43">
        <v>44513.29173611111</v>
      </c>
      <c r="C178" s="17" t="s">
        <v>78</v>
      </c>
      <c r="D178" s="17" t="s">
        <v>603</v>
      </c>
      <c r="E178" s="17" t="s">
        <v>84</v>
      </c>
      <c r="F178" s="17" t="s">
        <v>50</v>
      </c>
      <c r="G178" s="17" t="s">
        <v>604</v>
      </c>
      <c r="H178" s="44" t="s">
        <v>605</v>
      </c>
      <c r="I178" s="45">
        <v>1.0</v>
      </c>
      <c r="J178" s="45">
        <v>475.0</v>
      </c>
      <c r="K178" s="45">
        <v>489.0</v>
      </c>
      <c r="L178" s="45">
        <v>50.0</v>
      </c>
      <c r="M178" s="45">
        <v>3.0</v>
      </c>
      <c r="N178" s="45">
        <v>475.0</v>
      </c>
      <c r="O178" s="46">
        <v>46.0</v>
      </c>
      <c r="P178" s="46">
        <v>7.0</v>
      </c>
      <c r="Q178" s="46">
        <f>IFERROR(__xludf.DUMMYFUNCTION("""COMPUTED_VALUE"""),0.0)</f>
        <v>0</v>
      </c>
      <c r="R178" s="47">
        <v>14.0</v>
      </c>
    </row>
    <row r="179" ht="22.5" customHeight="1">
      <c r="A179" s="42">
        <v>44513.0</v>
      </c>
      <c r="B179" s="43">
        <v>44513.375023148146</v>
      </c>
      <c r="C179" s="17" t="s">
        <v>78</v>
      </c>
      <c r="D179" s="17" t="s">
        <v>606</v>
      </c>
      <c r="E179" s="17" t="s">
        <v>84</v>
      </c>
      <c r="F179" s="17" t="s">
        <v>50</v>
      </c>
      <c r="G179" s="17" t="s">
        <v>607</v>
      </c>
      <c r="H179" s="44" t="s">
        <v>608</v>
      </c>
      <c r="I179" s="45">
        <v>1.0</v>
      </c>
      <c r="J179" s="45">
        <v>11049.0</v>
      </c>
      <c r="K179" s="45">
        <v>11293.0</v>
      </c>
      <c r="L179" s="45">
        <v>305.0</v>
      </c>
      <c r="M179" s="45">
        <v>96.0</v>
      </c>
      <c r="N179" s="45">
        <v>11049.0</v>
      </c>
      <c r="O179" s="46">
        <v>46.0</v>
      </c>
      <c r="P179" s="46">
        <v>9.0</v>
      </c>
      <c r="Q179" s="46">
        <f>IFERROR(__xludf.DUMMYFUNCTION("""COMPUTED_VALUE"""),0.0)</f>
        <v>0</v>
      </c>
      <c r="R179" s="47">
        <v>244.0</v>
      </c>
    </row>
    <row r="180" ht="22.5" customHeight="1">
      <c r="A180" s="42">
        <v>44513.0</v>
      </c>
      <c r="B180" s="43">
        <v>44513.458391203705</v>
      </c>
      <c r="C180" s="17" t="s">
        <v>78</v>
      </c>
      <c r="D180" s="17" t="s">
        <v>609</v>
      </c>
      <c r="E180" s="17" t="s">
        <v>84</v>
      </c>
      <c r="F180" s="17" t="s">
        <v>50</v>
      </c>
      <c r="G180" s="17" t="s">
        <v>610</v>
      </c>
      <c r="H180" s="44" t="s">
        <v>611</v>
      </c>
      <c r="I180" s="45">
        <v>1.0</v>
      </c>
      <c r="J180" s="45">
        <v>8577.0</v>
      </c>
      <c r="K180" s="45">
        <v>8646.0</v>
      </c>
      <c r="L180" s="45">
        <v>129.0</v>
      </c>
      <c r="M180" s="45">
        <v>23.0</v>
      </c>
      <c r="N180" s="45">
        <v>8577.0</v>
      </c>
      <c r="O180" s="46">
        <v>46.0</v>
      </c>
      <c r="P180" s="46">
        <v>11.0</v>
      </c>
      <c r="Q180" s="46">
        <f>IFERROR(__xludf.DUMMYFUNCTION("""COMPUTED_VALUE"""),0.0)</f>
        <v>0</v>
      </c>
      <c r="R180" s="47">
        <v>69.0</v>
      </c>
    </row>
    <row r="181" ht="22.5" customHeight="1">
      <c r="A181" s="42">
        <v>44513.0</v>
      </c>
      <c r="B181" s="43">
        <v>44513.5</v>
      </c>
      <c r="C181" s="17" t="s">
        <v>78</v>
      </c>
      <c r="D181" s="17" t="s">
        <v>612</v>
      </c>
      <c r="E181" s="17" t="s">
        <v>84</v>
      </c>
      <c r="F181" s="17" t="s">
        <v>50</v>
      </c>
      <c r="G181" s="17" t="s">
        <v>613</v>
      </c>
      <c r="H181" s="44" t="s">
        <v>614</v>
      </c>
      <c r="I181" s="45">
        <v>1.0</v>
      </c>
      <c r="J181" s="45">
        <v>8995.0</v>
      </c>
      <c r="K181" s="45">
        <v>9098.0</v>
      </c>
      <c r="L181" s="45">
        <v>105.0</v>
      </c>
      <c r="M181" s="45">
        <v>33.0</v>
      </c>
      <c r="N181" s="45">
        <v>8995.0</v>
      </c>
      <c r="O181" s="46">
        <v>46.0</v>
      </c>
      <c r="P181" s="46">
        <v>12.0</v>
      </c>
      <c r="Q181" s="46">
        <f>IFERROR(__xludf.DUMMYFUNCTION("""COMPUTED_VALUE"""),0.0)</f>
        <v>0</v>
      </c>
      <c r="R181" s="47">
        <v>103.0</v>
      </c>
    </row>
    <row r="182" ht="22.5" customHeight="1">
      <c r="A182" s="42">
        <v>44513.0</v>
      </c>
      <c r="B182" s="43">
        <v>44513.58336805556</v>
      </c>
      <c r="C182" s="17" t="s">
        <v>78</v>
      </c>
      <c r="D182" s="17" t="s">
        <v>615</v>
      </c>
      <c r="E182" s="17" t="s">
        <v>80</v>
      </c>
      <c r="F182" s="17" t="s">
        <v>53</v>
      </c>
      <c r="G182" s="17" t="s">
        <v>616</v>
      </c>
      <c r="H182" s="44" t="s">
        <v>617</v>
      </c>
      <c r="I182" s="45">
        <v>1.0</v>
      </c>
      <c r="J182" s="45">
        <v>3184.0</v>
      </c>
      <c r="K182" s="45">
        <v>3703.0</v>
      </c>
      <c r="L182" s="45">
        <v>73.0</v>
      </c>
      <c r="M182" s="45">
        <v>183.0</v>
      </c>
      <c r="N182" s="45">
        <v>3184.0</v>
      </c>
      <c r="O182" s="46">
        <v>46.0</v>
      </c>
      <c r="P182" s="46">
        <v>14.0</v>
      </c>
      <c r="Q182" s="46">
        <f>IFERROR(__xludf.DUMMYFUNCTION("""COMPUTED_VALUE"""),0.0)</f>
        <v>0</v>
      </c>
      <c r="R182" s="47">
        <v>519.0</v>
      </c>
    </row>
    <row r="183" ht="22.5" customHeight="1">
      <c r="A183" s="42">
        <v>44513.0</v>
      </c>
      <c r="B183" s="43">
        <v>44513.875023148146</v>
      </c>
      <c r="C183" s="17" t="s">
        <v>78</v>
      </c>
      <c r="D183" s="17" t="s">
        <v>618</v>
      </c>
      <c r="E183" s="17" t="s">
        <v>80</v>
      </c>
      <c r="F183" s="17" t="s">
        <v>53</v>
      </c>
      <c r="G183" s="17" t="s">
        <v>619</v>
      </c>
      <c r="H183" s="44" t="s">
        <v>620</v>
      </c>
      <c r="I183" s="45">
        <v>1.0</v>
      </c>
      <c r="J183" s="45">
        <v>1196.0</v>
      </c>
      <c r="K183" s="45">
        <v>1432.0</v>
      </c>
      <c r="L183" s="45">
        <v>47.0</v>
      </c>
      <c r="M183" s="45">
        <v>48.0</v>
      </c>
      <c r="N183" s="45">
        <v>1196.0</v>
      </c>
      <c r="O183" s="46">
        <v>46.0</v>
      </c>
      <c r="P183" s="46">
        <v>21.0</v>
      </c>
      <c r="Q183" s="46">
        <f>IFERROR(__xludf.DUMMYFUNCTION("""COMPUTED_VALUE"""),0.0)</f>
        <v>0</v>
      </c>
      <c r="R183" s="47">
        <v>236.0</v>
      </c>
    </row>
    <row r="184" ht="22.5" customHeight="1">
      <c r="A184" s="42">
        <v>44514.0</v>
      </c>
      <c r="B184" s="43">
        <v>44514.375023148146</v>
      </c>
      <c r="C184" s="17" t="s">
        <v>78</v>
      </c>
      <c r="D184" s="17" t="s">
        <v>621</v>
      </c>
      <c r="E184" s="17" t="s">
        <v>84</v>
      </c>
      <c r="F184" s="17" t="s">
        <v>50</v>
      </c>
      <c r="G184" s="17" t="s">
        <v>622</v>
      </c>
      <c r="H184" s="44" t="s">
        <v>623</v>
      </c>
      <c r="I184" s="45">
        <v>1.0</v>
      </c>
      <c r="J184" s="45">
        <v>13410.0</v>
      </c>
      <c r="K184" s="45">
        <v>13941.0</v>
      </c>
      <c r="L184" s="45">
        <v>654.0</v>
      </c>
      <c r="M184" s="45">
        <v>94.0</v>
      </c>
      <c r="N184" s="45">
        <v>13410.0</v>
      </c>
      <c r="O184" s="46">
        <v>47.0</v>
      </c>
      <c r="P184" s="46">
        <v>9.0</v>
      </c>
      <c r="Q184" s="46">
        <f>IFERROR(__xludf.DUMMYFUNCTION("""COMPUTED_VALUE"""),0.0)</f>
        <v>0</v>
      </c>
      <c r="R184" s="47">
        <v>531.0</v>
      </c>
    </row>
    <row r="185" ht="22.5" customHeight="1">
      <c r="A185" s="42">
        <v>44514.0</v>
      </c>
      <c r="B185" s="43">
        <v>44514.53927083333</v>
      </c>
      <c r="C185" s="17" t="s">
        <v>78</v>
      </c>
      <c r="D185" s="17" t="s">
        <v>624</v>
      </c>
      <c r="E185" s="17" t="s">
        <v>80</v>
      </c>
      <c r="F185" s="17" t="s">
        <v>55</v>
      </c>
      <c r="G185" s="17" t="s">
        <v>625</v>
      </c>
      <c r="H185" s="44" t="s">
        <v>626</v>
      </c>
      <c r="I185" s="45">
        <v>1.0</v>
      </c>
      <c r="J185" s="45">
        <v>558.0</v>
      </c>
      <c r="K185" s="45">
        <v>807.0</v>
      </c>
      <c r="L185" s="45">
        <v>646.0</v>
      </c>
      <c r="M185" s="45">
        <v>111.0</v>
      </c>
      <c r="N185" s="45">
        <v>558.0</v>
      </c>
      <c r="O185" s="46">
        <v>47.0</v>
      </c>
      <c r="P185" s="46">
        <v>12.0</v>
      </c>
      <c r="Q185" s="46">
        <f>IFERROR(__xludf.DUMMYFUNCTION("""COMPUTED_VALUE"""),0.0)</f>
        <v>0</v>
      </c>
      <c r="R185" s="47">
        <v>249.0</v>
      </c>
    </row>
    <row r="186" ht="22.5" customHeight="1">
      <c r="A186" s="42">
        <v>44515.0</v>
      </c>
      <c r="B186" s="43">
        <v>44515.54167824074</v>
      </c>
      <c r="C186" s="17" t="s">
        <v>78</v>
      </c>
      <c r="D186" s="17" t="s">
        <v>627</v>
      </c>
      <c r="E186" s="17" t="s">
        <v>80</v>
      </c>
      <c r="F186" s="17" t="s">
        <v>55</v>
      </c>
      <c r="G186" s="17" t="s">
        <v>628</v>
      </c>
      <c r="H186" s="44" t="s">
        <v>629</v>
      </c>
      <c r="I186" s="45">
        <v>1.0</v>
      </c>
      <c r="J186" s="45">
        <v>1098.0</v>
      </c>
      <c r="K186" s="45">
        <v>1184.0</v>
      </c>
      <c r="L186" s="45">
        <v>64.0</v>
      </c>
      <c r="M186" s="45">
        <v>30.0</v>
      </c>
      <c r="N186" s="45">
        <v>1098.0</v>
      </c>
      <c r="O186" s="46">
        <v>47.0</v>
      </c>
      <c r="P186" s="46">
        <v>13.0</v>
      </c>
      <c r="Q186" s="46">
        <f>IFERROR(__xludf.DUMMYFUNCTION("""COMPUTED_VALUE"""),0.0)</f>
        <v>0</v>
      </c>
      <c r="R186" s="47">
        <v>86.0</v>
      </c>
    </row>
    <row r="187" ht="22.5" customHeight="1">
      <c r="A187" s="42">
        <v>44515.0</v>
      </c>
      <c r="B187" s="43">
        <v>44515.709814814814</v>
      </c>
      <c r="C187" s="17" t="s">
        <v>78</v>
      </c>
      <c r="D187" s="17" t="s">
        <v>630</v>
      </c>
      <c r="E187" s="17" t="s">
        <v>84</v>
      </c>
      <c r="F187" s="17" t="s">
        <v>48</v>
      </c>
      <c r="G187" s="17"/>
      <c r="H187" s="44" t="s">
        <v>631</v>
      </c>
      <c r="I187" s="45">
        <v>1.0</v>
      </c>
      <c r="J187" s="45">
        <v>1168.0</v>
      </c>
      <c r="K187" s="45">
        <v>1272.0</v>
      </c>
      <c r="L187" s="45">
        <v>92.0</v>
      </c>
      <c r="M187" s="45">
        <v>12.0</v>
      </c>
      <c r="N187" s="45">
        <v>1168.0</v>
      </c>
      <c r="O187" s="46">
        <v>47.0</v>
      </c>
      <c r="P187" s="46">
        <v>17.0</v>
      </c>
      <c r="Q187" s="46">
        <f>IFERROR(__xludf.DUMMYFUNCTION("""COMPUTED_VALUE"""),0.0)</f>
        <v>0</v>
      </c>
      <c r="R187" s="47">
        <v>104.0</v>
      </c>
    </row>
    <row r="188" ht="22.5" customHeight="1">
      <c r="A188" s="42">
        <v>44516.0</v>
      </c>
      <c r="B188" s="43">
        <v>44516.33337962963</v>
      </c>
      <c r="C188" s="17" t="s">
        <v>78</v>
      </c>
      <c r="D188" s="17" t="s">
        <v>632</v>
      </c>
      <c r="E188" s="17" t="s">
        <v>84</v>
      </c>
      <c r="F188" s="17" t="s">
        <v>50</v>
      </c>
      <c r="G188" s="17" t="s">
        <v>633</v>
      </c>
      <c r="H188" s="44" t="s">
        <v>634</v>
      </c>
      <c r="I188" s="45">
        <v>1.0</v>
      </c>
      <c r="J188" s="45">
        <v>7945.0</v>
      </c>
      <c r="K188" s="45">
        <v>8104.0</v>
      </c>
      <c r="L188" s="45">
        <v>272.0</v>
      </c>
      <c r="M188" s="45">
        <v>86.0</v>
      </c>
      <c r="N188" s="45">
        <v>7945.0</v>
      </c>
      <c r="O188" s="46">
        <v>47.0</v>
      </c>
      <c r="P188" s="46">
        <v>8.0</v>
      </c>
      <c r="Q188" s="46">
        <f>IFERROR(__xludf.DUMMYFUNCTION("""COMPUTED_VALUE"""),0.0)</f>
        <v>0</v>
      </c>
      <c r="R188" s="47">
        <v>159.0</v>
      </c>
    </row>
    <row r="189" ht="22.5" customHeight="1">
      <c r="A189" s="42">
        <v>44516.0</v>
      </c>
      <c r="B189" s="43">
        <v>44516.41672453703</v>
      </c>
      <c r="C189" s="17" t="s">
        <v>78</v>
      </c>
      <c r="D189" s="17" t="s">
        <v>635</v>
      </c>
      <c r="E189" s="17" t="s">
        <v>84</v>
      </c>
      <c r="F189" s="17" t="s">
        <v>50</v>
      </c>
      <c r="G189" s="17" t="s">
        <v>636</v>
      </c>
      <c r="H189" s="44" t="s">
        <v>637</v>
      </c>
      <c r="I189" s="45">
        <v>1.0</v>
      </c>
      <c r="J189" s="45">
        <v>5814.0</v>
      </c>
      <c r="K189" s="45">
        <v>5904.0</v>
      </c>
      <c r="L189" s="45">
        <v>72.0</v>
      </c>
      <c r="M189" s="45">
        <v>21.0</v>
      </c>
      <c r="N189" s="45">
        <v>5814.0</v>
      </c>
      <c r="O189" s="46">
        <v>47.0</v>
      </c>
      <c r="P189" s="46">
        <v>10.0</v>
      </c>
      <c r="Q189" s="46">
        <f>IFERROR(__xludf.DUMMYFUNCTION("""COMPUTED_VALUE"""),0.0)</f>
        <v>0</v>
      </c>
      <c r="R189" s="47">
        <v>90.0</v>
      </c>
    </row>
    <row r="190" ht="22.5" customHeight="1">
      <c r="A190" s="42">
        <v>44516.0</v>
      </c>
      <c r="B190" s="43">
        <v>44516.66667824074</v>
      </c>
      <c r="C190" s="17" t="s">
        <v>78</v>
      </c>
      <c r="D190" s="17" t="s">
        <v>638</v>
      </c>
      <c r="E190" s="17" t="s">
        <v>84</v>
      </c>
      <c r="F190" s="17" t="s">
        <v>50</v>
      </c>
      <c r="G190" s="17" t="s">
        <v>639</v>
      </c>
      <c r="H190" s="44" t="s">
        <v>640</v>
      </c>
      <c r="I190" s="45">
        <v>1.0</v>
      </c>
      <c r="J190" s="45">
        <v>6250.0</v>
      </c>
      <c r="K190" s="45">
        <v>6316.0</v>
      </c>
      <c r="L190" s="45">
        <v>32.0</v>
      </c>
      <c r="M190" s="45">
        <v>15.0</v>
      </c>
      <c r="N190" s="45">
        <v>6250.0</v>
      </c>
      <c r="O190" s="46">
        <v>47.0</v>
      </c>
      <c r="P190" s="46">
        <v>16.0</v>
      </c>
      <c r="Q190" s="46">
        <f>IFERROR(__xludf.DUMMYFUNCTION("""COMPUTED_VALUE"""),0.0)</f>
        <v>0</v>
      </c>
      <c r="R190" s="47">
        <v>66.0</v>
      </c>
    </row>
    <row r="191" ht="22.5" customHeight="1">
      <c r="A191" s="42">
        <v>44516.0</v>
      </c>
      <c r="B191" s="43">
        <v>44516.79172453703</v>
      </c>
      <c r="C191" s="17" t="s">
        <v>78</v>
      </c>
      <c r="D191" s="17" t="s">
        <v>641</v>
      </c>
      <c r="E191" s="17" t="s">
        <v>84</v>
      </c>
      <c r="F191" s="17" t="s">
        <v>50</v>
      </c>
      <c r="G191" s="17" t="s">
        <v>642</v>
      </c>
      <c r="H191" s="44" t="s">
        <v>643</v>
      </c>
      <c r="I191" s="45">
        <v>1.0</v>
      </c>
      <c r="J191" s="45">
        <v>909.0</v>
      </c>
      <c r="K191" s="45">
        <v>1136.0</v>
      </c>
      <c r="L191" s="45">
        <v>41.0</v>
      </c>
      <c r="M191" s="45">
        <v>31.0</v>
      </c>
      <c r="N191" s="45">
        <v>909.0</v>
      </c>
      <c r="O191" s="46">
        <v>47.0</v>
      </c>
      <c r="P191" s="46">
        <v>19.0</v>
      </c>
      <c r="Q191" s="46">
        <f>IFERROR(__xludf.DUMMYFUNCTION("""COMPUTED_VALUE"""),0.0)</f>
        <v>0</v>
      </c>
      <c r="R191" s="47">
        <v>227.0</v>
      </c>
    </row>
    <row r="192" ht="22.5" customHeight="1">
      <c r="A192" s="42">
        <v>44517.0</v>
      </c>
      <c r="B192" s="43">
        <v>44517.541666666664</v>
      </c>
      <c r="C192" s="17" t="s">
        <v>78</v>
      </c>
      <c r="D192" s="17" t="s">
        <v>644</v>
      </c>
      <c r="E192" s="17" t="s">
        <v>84</v>
      </c>
      <c r="F192" s="17" t="s">
        <v>50</v>
      </c>
      <c r="G192" s="17" t="s">
        <v>645</v>
      </c>
      <c r="H192" s="44" t="s">
        <v>646</v>
      </c>
      <c r="I192" s="45">
        <v>1.0</v>
      </c>
      <c r="J192" s="45">
        <v>219.0</v>
      </c>
      <c r="K192" s="45">
        <v>228.0</v>
      </c>
      <c r="L192" s="45">
        <v>33.0</v>
      </c>
      <c r="M192" s="45">
        <v>5.0</v>
      </c>
      <c r="N192" s="45">
        <v>219.0</v>
      </c>
      <c r="O192" s="46">
        <v>47.0</v>
      </c>
      <c r="P192" s="46">
        <v>13.0</v>
      </c>
      <c r="Q192" s="46">
        <f>IFERROR(__xludf.DUMMYFUNCTION("""COMPUTED_VALUE"""),1.0)</f>
        <v>1</v>
      </c>
      <c r="R192" s="47">
        <v>9.0</v>
      </c>
    </row>
    <row r="193" ht="22.5" customHeight="1">
      <c r="A193" s="42">
        <v>44518.0</v>
      </c>
      <c r="B193" s="43">
        <v>44518.708333333336</v>
      </c>
      <c r="C193" s="17" t="s">
        <v>78</v>
      </c>
      <c r="D193" s="17" t="s">
        <v>647</v>
      </c>
      <c r="E193" s="17" t="s">
        <v>84</v>
      </c>
      <c r="F193" s="17" t="s">
        <v>50</v>
      </c>
      <c r="G193" s="17" t="s">
        <v>648</v>
      </c>
      <c r="H193" s="44" t="s">
        <v>649</v>
      </c>
      <c r="I193" s="45">
        <v>1.0</v>
      </c>
      <c r="J193" s="45">
        <v>447.0</v>
      </c>
      <c r="K193" s="45">
        <v>465.0</v>
      </c>
      <c r="L193" s="45">
        <v>36.0</v>
      </c>
      <c r="M193" s="45">
        <v>5.0</v>
      </c>
      <c r="N193" s="45">
        <v>447.0</v>
      </c>
      <c r="O193" s="46">
        <v>47.0</v>
      </c>
      <c r="P193" s="46">
        <v>17.0</v>
      </c>
      <c r="Q193" s="46">
        <f>IFERROR(__xludf.DUMMYFUNCTION("""COMPUTED_VALUE"""),0.0)</f>
        <v>0</v>
      </c>
      <c r="R193" s="47">
        <v>18.0</v>
      </c>
    </row>
    <row r="194" ht="22.5" customHeight="1">
      <c r="A194" s="42">
        <v>44518.0</v>
      </c>
      <c r="B194" s="43">
        <v>44518.791712962964</v>
      </c>
      <c r="C194" s="17" t="s">
        <v>78</v>
      </c>
      <c r="D194" s="17" t="s">
        <v>650</v>
      </c>
      <c r="E194" s="17" t="s">
        <v>84</v>
      </c>
      <c r="F194" s="17" t="s">
        <v>50</v>
      </c>
      <c r="G194" s="17" t="s">
        <v>651</v>
      </c>
      <c r="H194" s="44" t="s">
        <v>652</v>
      </c>
      <c r="I194" s="45">
        <v>1.0</v>
      </c>
      <c r="J194" s="45">
        <v>381.0</v>
      </c>
      <c r="K194" s="45">
        <v>414.0</v>
      </c>
      <c r="L194" s="45">
        <v>7.0</v>
      </c>
      <c r="M194" s="45">
        <v>22.0</v>
      </c>
      <c r="N194" s="45">
        <v>381.0</v>
      </c>
      <c r="O194" s="46">
        <v>47.0</v>
      </c>
      <c r="P194" s="46">
        <v>19.0</v>
      </c>
      <c r="Q194" s="46">
        <f>IFERROR(__xludf.DUMMYFUNCTION("""COMPUTED_VALUE"""),0.0)</f>
        <v>0</v>
      </c>
      <c r="R194" s="47">
        <v>33.0</v>
      </c>
    </row>
    <row r="195" ht="22.5" customHeight="1">
      <c r="A195" s="42">
        <v>44518.0</v>
      </c>
      <c r="B195" s="43">
        <v>44518.833958333336</v>
      </c>
      <c r="C195" s="17" t="s">
        <v>78</v>
      </c>
      <c r="D195" s="17" t="s">
        <v>653</v>
      </c>
      <c r="E195" s="17" t="s">
        <v>109</v>
      </c>
      <c r="F195" s="17" t="s">
        <v>49</v>
      </c>
      <c r="G195" s="17" t="s">
        <v>654</v>
      </c>
      <c r="H195" s="44" t="s">
        <v>655</v>
      </c>
      <c r="I195" s="45">
        <v>1.0</v>
      </c>
      <c r="J195" s="45">
        <v>241.0</v>
      </c>
      <c r="K195" s="45">
        <v>265.0</v>
      </c>
      <c r="L195" s="45">
        <v>23.0</v>
      </c>
      <c r="M195" s="45">
        <v>4.0</v>
      </c>
      <c r="N195" s="45">
        <v>241.0</v>
      </c>
      <c r="O195" s="46">
        <v>47.0</v>
      </c>
      <c r="P195" s="46">
        <v>20.0</v>
      </c>
      <c r="Q195" s="46">
        <f>IFERROR(__xludf.DUMMYFUNCTION("""COMPUTED_VALUE"""),0.0)</f>
        <v>0</v>
      </c>
      <c r="R195" s="47">
        <v>24.0</v>
      </c>
    </row>
    <row r="196" ht="22.5" customHeight="1">
      <c r="A196" s="42">
        <v>44519.0</v>
      </c>
      <c r="B196" s="43">
        <v>44519.41667824074</v>
      </c>
      <c r="C196" s="17" t="s">
        <v>78</v>
      </c>
      <c r="D196" s="17" t="s">
        <v>656</v>
      </c>
      <c r="E196" s="17" t="s">
        <v>84</v>
      </c>
      <c r="F196" s="17" t="s">
        <v>50</v>
      </c>
      <c r="G196" s="17" t="s">
        <v>657</v>
      </c>
      <c r="H196" s="44" t="s">
        <v>658</v>
      </c>
      <c r="I196" s="45">
        <v>1.0</v>
      </c>
      <c r="J196" s="45">
        <v>9743.0</v>
      </c>
      <c r="K196" s="45">
        <v>9856.0</v>
      </c>
      <c r="L196" s="45">
        <v>48.0</v>
      </c>
      <c r="M196" s="45">
        <v>27.0</v>
      </c>
      <c r="N196" s="45">
        <v>9743.0</v>
      </c>
      <c r="O196" s="46">
        <v>47.0</v>
      </c>
      <c r="P196" s="46">
        <v>10.0</v>
      </c>
      <c r="Q196" s="46">
        <f>IFERROR(__xludf.DUMMYFUNCTION("""COMPUTED_VALUE"""),0.0)</f>
        <v>0</v>
      </c>
      <c r="R196" s="47">
        <v>113.0</v>
      </c>
    </row>
    <row r="197" ht="22.5" customHeight="1">
      <c r="A197" s="42">
        <v>44519.0</v>
      </c>
      <c r="B197" s="43">
        <v>44519.50001157408</v>
      </c>
      <c r="C197" s="17" t="s">
        <v>78</v>
      </c>
      <c r="D197" s="17" t="s">
        <v>659</v>
      </c>
      <c r="E197" s="17" t="s">
        <v>80</v>
      </c>
      <c r="F197" s="17" t="s">
        <v>55</v>
      </c>
      <c r="G197" s="17" t="s">
        <v>660</v>
      </c>
      <c r="H197" s="44" t="s">
        <v>661</v>
      </c>
      <c r="I197" s="45">
        <v>1.0</v>
      </c>
      <c r="J197" s="45">
        <v>828.0</v>
      </c>
      <c r="K197" s="45">
        <v>916.0</v>
      </c>
      <c r="L197" s="45">
        <v>115.0</v>
      </c>
      <c r="M197" s="45">
        <v>39.0</v>
      </c>
      <c r="N197" s="45">
        <v>828.0</v>
      </c>
      <c r="O197" s="46">
        <v>47.0</v>
      </c>
      <c r="P197" s="46">
        <v>12.0</v>
      </c>
      <c r="Q197" s="46">
        <f>IFERROR(__xludf.DUMMYFUNCTION("""COMPUTED_VALUE"""),0.0)</f>
        <v>0</v>
      </c>
      <c r="R197" s="47">
        <v>88.0</v>
      </c>
    </row>
    <row r="198" ht="22.5" customHeight="1">
      <c r="A198" s="42">
        <v>44519.0</v>
      </c>
      <c r="B198" s="43">
        <v>44519.54168981482</v>
      </c>
      <c r="C198" s="17" t="s">
        <v>78</v>
      </c>
      <c r="D198" s="17" t="s">
        <v>662</v>
      </c>
      <c r="E198" s="17" t="s">
        <v>84</v>
      </c>
      <c r="F198" s="17" t="s">
        <v>50</v>
      </c>
      <c r="G198" s="17" t="s">
        <v>663</v>
      </c>
      <c r="H198" s="44" t="s">
        <v>664</v>
      </c>
      <c r="I198" s="45">
        <v>1.0</v>
      </c>
      <c r="J198" s="45">
        <v>10079.0</v>
      </c>
      <c r="K198" s="45">
        <v>10213.0</v>
      </c>
      <c r="L198" s="45">
        <v>115.0</v>
      </c>
      <c r="M198" s="45">
        <v>24.0</v>
      </c>
      <c r="N198" s="45">
        <v>10079.0</v>
      </c>
      <c r="O198" s="46">
        <v>47.0</v>
      </c>
      <c r="P198" s="46">
        <v>13.0</v>
      </c>
      <c r="Q198" s="46">
        <f>IFERROR(__xludf.DUMMYFUNCTION("""COMPUTED_VALUE"""),0.0)</f>
        <v>0</v>
      </c>
      <c r="R198" s="47">
        <v>134.0</v>
      </c>
    </row>
    <row r="199" ht="22.5" customHeight="1">
      <c r="A199" s="42">
        <v>44519.0</v>
      </c>
      <c r="B199" s="43">
        <v>44519.70898148148</v>
      </c>
      <c r="C199" s="17" t="s">
        <v>78</v>
      </c>
      <c r="D199" s="17" t="s">
        <v>665</v>
      </c>
      <c r="E199" s="17" t="s">
        <v>97</v>
      </c>
      <c r="F199" s="17" t="s">
        <v>52</v>
      </c>
      <c r="G199" s="17" t="s">
        <v>666</v>
      </c>
      <c r="H199" s="44" t="s">
        <v>667</v>
      </c>
      <c r="I199" s="45">
        <v>1.0</v>
      </c>
      <c r="J199" s="45">
        <v>235.0</v>
      </c>
      <c r="K199" s="45">
        <v>264.0</v>
      </c>
      <c r="L199" s="45">
        <v>9.0</v>
      </c>
      <c r="M199" s="45">
        <v>27.0</v>
      </c>
      <c r="N199" s="45">
        <v>235.0</v>
      </c>
      <c r="O199" s="46">
        <v>47.0</v>
      </c>
      <c r="P199" s="46">
        <v>17.0</v>
      </c>
      <c r="Q199" s="46">
        <f>IFERROR(__xludf.DUMMYFUNCTION("""COMPUTED_VALUE"""),0.0)</f>
        <v>0</v>
      </c>
      <c r="R199" s="47">
        <v>29.0</v>
      </c>
    </row>
    <row r="200" ht="22.5" customHeight="1">
      <c r="A200" s="42">
        <v>44519.0</v>
      </c>
      <c r="B200" s="43">
        <v>44519.83341435185</v>
      </c>
      <c r="C200" s="17" t="s">
        <v>78</v>
      </c>
      <c r="D200" s="17" t="s">
        <v>668</v>
      </c>
      <c r="E200" s="17" t="s">
        <v>80</v>
      </c>
      <c r="F200" s="17" t="s">
        <v>55</v>
      </c>
      <c r="G200" s="17" t="s">
        <v>669</v>
      </c>
      <c r="H200" s="44" t="s">
        <v>670</v>
      </c>
      <c r="I200" s="45">
        <v>1.0</v>
      </c>
      <c r="J200" s="45">
        <v>527.0</v>
      </c>
      <c r="K200" s="45">
        <v>638.0</v>
      </c>
      <c r="L200" s="45">
        <v>21.0</v>
      </c>
      <c r="M200" s="45">
        <v>17.0</v>
      </c>
      <c r="N200" s="45">
        <v>527.0</v>
      </c>
      <c r="O200" s="46">
        <v>47.0</v>
      </c>
      <c r="P200" s="46">
        <v>20.0</v>
      </c>
      <c r="Q200" s="46">
        <f>IFERROR(__xludf.DUMMYFUNCTION("""COMPUTED_VALUE"""),0.0)</f>
        <v>0</v>
      </c>
      <c r="R200" s="47">
        <v>111.0</v>
      </c>
    </row>
    <row r="201" ht="22.5" customHeight="1">
      <c r="A201" s="42">
        <v>44520.0</v>
      </c>
      <c r="B201" s="43">
        <v>44520.291712962964</v>
      </c>
      <c r="C201" s="17" t="s">
        <v>78</v>
      </c>
      <c r="D201" s="17" t="s">
        <v>671</v>
      </c>
      <c r="E201" s="17" t="s">
        <v>84</v>
      </c>
      <c r="F201" s="17" t="s">
        <v>50</v>
      </c>
      <c r="G201" s="17" t="s">
        <v>672</v>
      </c>
      <c r="H201" s="44" t="s">
        <v>673</v>
      </c>
      <c r="I201" s="45">
        <v>1.0</v>
      </c>
      <c r="J201" s="45">
        <v>954.0</v>
      </c>
      <c r="K201" s="45">
        <v>991.0</v>
      </c>
      <c r="L201" s="45">
        <v>78.0</v>
      </c>
      <c r="M201" s="45">
        <v>16.0</v>
      </c>
      <c r="N201" s="45">
        <v>954.0</v>
      </c>
      <c r="O201" s="46">
        <v>47.0</v>
      </c>
      <c r="P201" s="46">
        <v>7.0</v>
      </c>
      <c r="Q201" s="46">
        <f>IFERROR(__xludf.DUMMYFUNCTION("""COMPUTED_VALUE"""),0.0)</f>
        <v>0</v>
      </c>
      <c r="R201" s="47">
        <v>37.0</v>
      </c>
    </row>
    <row r="202" ht="22.5" customHeight="1">
      <c r="A202" s="42">
        <v>44520.0</v>
      </c>
      <c r="B202" s="43">
        <v>44520.37503472222</v>
      </c>
      <c r="C202" s="17" t="s">
        <v>78</v>
      </c>
      <c r="D202" s="17" t="s">
        <v>674</v>
      </c>
      <c r="E202" s="17" t="s">
        <v>84</v>
      </c>
      <c r="F202" s="17" t="s">
        <v>50</v>
      </c>
      <c r="G202" s="17" t="s">
        <v>675</v>
      </c>
      <c r="H202" s="44" t="s">
        <v>676</v>
      </c>
      <c r="I202" s="45">
        <v>1.0</v>
      </c>
      <c r="J202" s="45">
        <v>11134.0</v>
      </c>
      <c r="K202" s="45">
        <v>11404.0</v>
      </c>
      <c r="L202" s="45">
        <v>297.0</v>
      </c>
      <c r="M202" s="45">
        <v>76.0</v>
      </c>
      <c r="N202" s="45">
        <v>11134.0</v>
      </c>
      <c r="O202" s="46">
        <v>47.0</v>
      </c>
      <c r="P202" s="46">
        <v>9.0</v>
      </c>
      <c r="Q202" s="46">
        <f>IFERROR(__xludf.DUMMYFUNCTION("""COMPUTED_VALUE"""),0.0)</f>
        <v>0</v>
      </c>
      <c r="R202" s="47">
        <v>270.0</v>
      </c>
    </row>
    <row r="203" ht="22.5" customHeight="1">
      <c r="A203" s="42">
        <v>44520.0</v>
      </c>
      <c r="B203" s="43">
        <v>44520.62501157408</v>
      </c>
      <c r="C203" s="17" t="s">
        <v>78</v>
      </c>
      <c r="D203" s="17" t="s">
        <v>677</v>
      </c>
      <c r="E203" s="17" t="s">
        <v>84</v>
      </c>
      <c r="F203" s="17" t="s">
        <v>50</v>
      </c>
      <c r="G203" s="17" t="s">
        <v>678</v>
      </c>
      <c r="H203" s="44" t="s">
        <v>679</v>
      </c>
      <c r="I203" s="45">
        <v>1.0</v>
      </c>
      <c r="J203" s="45">
        <v>1519.0</v>
      </c>
      <c r="K203" s="45">
        <v>1572.0</v>
      </c>
      <c r="L203" s="45">
        <v>253.0</v>
      </c>
      <c r="M203" s="45">
        <v>21.0</v>
      </c>
      <c r="N203" s="45">
        <v>1519.0</v>
      </c>
      <c r="O203" s="46">
        <v>47.0</v>
      </c>
      <c r="P203" s="46">
        <v>15.0</v>
      </c>
      <c r="Q203" s="46">
        <f>IFERROR(__xludf.DUMMYFUNCTION("""COMPUTED_VALUE"""),1.0)</f>
        <v>1</v>
      </c>
      <c r="R203" s="47">
        <v>53.0</v>
      </c>
    </row>
    <row r="204" ht="22.5" customHeight="1">
      <c r="A204" s="42">
        <v>44520.0</v>
      </c>
      <c r="B204" s="43">
        <v>44520.70489583333</v>
      </c>
      <c r="C204" s="17" t="s">
        <v>78</v>
      </c>
      <c r="D204" s="17" t="s">
        <v>680</v>
      </c>
      <c r="E204" s="17" t="s">
        <v>97</v>
      </c>
      <c r="F204" s="17" t="s">
        <v>52</v>
      </c>
      <c r="G204" s="17" t="s">
        <v>681</v>
      </c>
      <c r="H204" s="44" t="s">
        <v>682</v>
      </c>
      <c r="I204" s="45">
        <v>1.0</v>
      </c>
      <c r="J204" s="45">
        <v>225.0</v>
      </c>
      <c r="K204" s="45">
        <v>247.0</v>
      </c>
      <c r="L204" s="45">
        <v>10.0</v>
      </c>
      <c r="M204" s="45">
        <v>12.0</v>
      </c>
      <c r="N204" s="45">
        <v>225.0</v>
      </c>
      <c r="O204" s="46">
        <v>47.0</v>
      </c>
      <c r="P204" s="46">
        <v>16.0</v>
      </c>
      <c r="Q204" s="46">
        <f>IFERROR(__xludf.DUMMYFUNCTION("""COMPUTED_VALUE"""),0.0)</f>
        <v>0</v>
      </c>
      <c r="R204" s="47">
        <v>22.0</v>
      </c>
    </row>
    <row r="205" ht="22.5" customHeight="1">
      <c r="A205" s="42">
        <v>44520.0</v>
      </c>
      <c r="B205" s="43">
        <v>44520.75009259259</v>
      </c>
      <c r="C205" s="17" t="s">
        <v>78</v>
      </c>
      <c r="D205" s="17" t="s">
        <v>683</v>
      </c>
      <c r="E205" s="17" t="s">
        <v>80</v>
      </c>
      <c r="F205" s="17" t="s">
        <v>55</v>
      </c>
      <c r="G205" s="17" t="s">
        <v>684</v>
      </c>
      <c r="H205" s="44" t="s">
        <v>685</v>
      </c>
      <c r="I205" s="45">
        <v>1.0</v>
      </c>
      <c r="J205" s="45">
        <v>522.0</v>
      </c>
      <c r="K205" s="45">
        <v>551.0</v>
      </c>
      <c r="L205" s="45">
        <v>21.0</v>
      </c>
      <c r="M205" s="45">
        <v>15.0</v>
      </c>
      <c r="N205" s="45">
        <v>522.0</v>
      </c>
      <c r="O205" s="46">
        <v>47.0</v>
      </c>
      <c r="P205" s="46">
        <v>18.0</v>
      </c>
      <c r="Q205" s="46">
        <f>IFERROR(__xludf.DUMMYFUNCTION("""COMPUTED_VALUE"""),0.0)</f>
        <v>0</v>
      </c>
      <c r="R205" s="47">
        <v>29.0</v>
      </c>
    </row>
    <row r="206" ht="22.5" customHeight="1">
      <c r="A206" s="42">
        <v>44521.0</v>
      </c>
      <c r="B206" s="43">
        <v>44521.333333333336</v>
      </c>
      <c r="C206" s="17" t="s">
        <v>78</v>
      </c>
      <c r="D206" s="17" t="s">
        <v>686</v>
      </c>
      <c r="E206" s="17" t="s">
        <v>84</v>
      </c>
      <c r="F206" s="17" t="s">
        <v>50</v>
      </c>
      <c r="G206" s="17" t="s">
        <v>687</v>
      </c>
      <c r="H206" s="44" t="s">
        <v>688</v>
      </c>
      <c r="I206" s="45">
        <v>1.0</v>
      </c>
      <c r="J206" s="45">
        <v>12250.0</v>
      </c>
      <c r="K206" s="45">
        <v>13785.0</v>
      </c>
      <c r="L206" s="45">
        <v>1871.0</v>
      </c>
      <c r="M206" s="45">
        <v>281.0</v>
      </c>
      <c r="N206" s="45">
        <v>12250.0</v>
      </c>
      <c r="O206" s="46">
        <v>48.0</v>
      </c>
      <c r="P206" s="46">
        <v>8.0</v>
      </c>
      <c r="Q206" s="46">
        <f>IFERROR(__xludf.DUMMYFUNCTION("""COMPUTED_VALUE"""),0.0)</f>
        <v>0</v>
      </c>
      <c r="R206" s="47">
        <v>1535.0</v>
      </c>
    </row>
    <row r="207" ht="22.5" customHeight="1">
      <c r="A207" s="42">
        <v>44521.0</v>
      </c>
      <c r="B207" s="43">
        <v>44521.41668981482</v>
      </c>
      <c r="C207" s="17" t="s">
        <v>78</v>
      </c>
      <c r="D207" s="17" t="s">
        <v>689</v>
      </c>
      <c r="E207" s="17" t="s">
        <v>84</v>
      </c>
      <c r="F207" s="17" t="s">
        <v>50</v>
      </c>
      <c r="G207" s="17" t="s">
        <v>690</v>
      </c>
      <c r="H207" s="44" t="s">
        <v>691</v>
      </c>
      <c r="I207" s="45">
        <v>1.0</v>
      </c>
      <c r="J207" s="45">
        <v>203.0</v>
      </c>
      <c r="K207" s="45">
        <v>212.0</v>
      </c>
      <c r="L207" s="45">
        <v>33.0</v>
      </c>
      <c r="M207" s="45">
        <v>4.0</v>
      </c>
      <c r="N207" s="45">
        <v>203.0</v>
      </c>
      <c r="O207" s="46">
        <v>48.0</v>
      </c>
      <c r="P207" s="46">
        <v>10.0</v>
      </c>
      <c r="Q207" s="46">
        <f>IFERROR(__xludf.DUMMYFUNCTION("""COMPUTED_VALUE"""),1.0)</f>
        <v>1</v>
      </c>
      <c r="R207" s="47">
        <v>9.0</v>
      </c>
    </row>
    <row r="208" ht="22.5" customHeight="1">
      <c r="A208" s="42">
        <v>44521.0</v>
      </c>
      <c r="B208" s="43">
        <v>44521.45835648148</v>
      </c>
      <c r="C208" s="17" t="s">
        <v>78</v>
      </c>
      <c r="D208" s="17" t="s">
        <v>692</v>
      </c>
      <c r="E208" s="17" t="s">
        <v>84</v>
      </c>
      <c r="F208" s="17" t="s">
        <v>50</v>
      </c>
      <c r="G208" s="17" t="s">
        <v>693</v>
      </c>
      <c r="H208" s="44" t="s">
        <v>694</v>
      </c>
      <c r="I208" s="45">
        <v>1.0</v>
      </c>
      <c r="J208" s="45">
        <v>7115.0</v>
      </c>
      <c r="K208" s="45">
        <v>7205.0</v>
      </c>
      <c r="L208" s="45">
        <v>92.0</v>
      </c>
      <c r="M208" s="45">
        <v>54.0</v>
      </c>
      <c r="N208" s="45">
        <v>7115.0</v>
      </c>
      <c r="O208" s="46">
        <v>48.0</v>
      </c>
      <c r="P208" s="46">
        <v>11.0</v>
      </c>
      <c r="Q208" s="46">
        <f>IFERROR(__xludf.DUMMYFUNCTION("""COMPUTED_VALUE"""),0.0)</f>
        <v>0</v>
      </c>
      <c r="R208" s="47">
        <v>90.0</v>
      </c>
    </row>
    <row r="209" ht="22.5" customHeight="1">
      <c r="A209" s="42">
        <v>44521.0</v>
      </c>
      <c r="B209" s="43">
        <v>44521.708391203705</v>
      </c>
      <c r="C209" s="17" t="s">
        <v>78</v>
      </c>
      <c r="D209" s="17" t="s">
        <v>695</v>
      </c>
      <c r="E209" s="17" t="s">
        <v>97</v>
      </c>
      <c r="F209" s="17" t="s">
        <v>52</v>
      </c>
      <c r="G209" s="17" t="s">
        <v>696</v>
      </c>
      <c r="H209" s="44" t="s">
        <v>697</v>
      </c>
      <c r="I209" s="45">
        <v>1.0</v>
      </c>
      <c r="J209" s="45">
        <v>451.0</v>
      </c>
      <c r="K209" s="45">
        <v>540.0</v>
      </c>
      <c r="L209" s="45">
        <v>23.0</v>
      </c>
      <c r="M209" s="45">
        <v>24.0</v>
      </c>
      <c r="N209" s="45">
        <v>451.0</v>
      </c>
      <c r="O209" s="46">
        <v>48.0</v>
      </c>
      <c r="P209" s="46">
        <v>17.0</v>
      </c>
      <c r="Q209" s="46">
        <f>IFERROR(__xludf.DUMMYFUNCTION("""COMPUTED_VALUE"""),0.0)</f>
        <v>0</v>
      </c>
      <c r="R209" s="47">
        <v>89.0</v>
      </c>
    </row>
    <row r="210" ht="22.5" customHeight="1">
      <c r="A210" s="42">
        <v>44522.0</v>
      </c>
      <c r="B210" s="43">
        <v>44522.583344907405</v>
      </c>
      <c r="C210" s="17" t="s">
        <v>78</v>
      </c>
      <c r="D210" s="17" t="s">
        <v>698</v>
      </c>
      <c r="E210" s="17" t="s">
        <v>80</v>
      </c>
      <c r="F210" s="17" t="s">
        <v>53</v>
      </c>
      <c r="G210" s="17" t="s">
        <v>699</v>
      </c>
      <c r="H210" s="44" t="s">
        <v>700</v>
      </c>
      <c r="I210" s="45">
        <v>1.0</v>
      </c>
      <c r="J210" s="45">
        <v>1040.0</v>
      </c>
      <c r="K210" s="45">
        <v>1136.0</v>
      </c>
      <c r="L210" s="45">
        <v>37.0</v>
      </c>
      <c r="M210" s="45">
        <v>20.0</v>
      </c>
      <c r="N210" s="45">
        <v>1040.0</v>
      </c>
      <c r="O210" s="46">
        <v>48.0</v>
      </c>
      <c r="P210" s="46">
        <v>14.0</v>
      </c>
      <c r="Q210" s="46">
        <f>IFERROR(__xludf.DUMMYFUNCTION("""COMPUTED_VALUE"""),0.0)</f>
        <v>0</v>
      </c>
      <c r="R210" s="47">
        <v>96.0</v>
      </c>
    </row>
    <row r="211" ht="22.5" customHeight="1">
      <c r="A211" s="42">
        <v>44522.0</v>
      </c>
      <c r="B211" s="43">
        <v>44522.66670138889</v>
      </c>
      <c r="C211" s="17" t="s">
        <v>78</v>
      </c>
      <c r="D211" s="17" t="s">
        <v>701</v>
      </c>
      <c r="E211" s="17" t="s">
        <v>84</v>
      </c>
      <c r="F211" s="17" t="s">
        <v>50</v>
      </c>
      <c r="G211" s="17" t="s">
        <v>702</v>
      </c>
      <c r="H211" s="44" t="s">
        <v>703</v>
      </c>
      <c r="I211" s="45">
        <v>1.0</v>
      </c>
      <c r="J211" s="45">
        <v>8603.0</v>
      </c>
      <c r="K211" s="45">
        <v>9301.0</v>
      </c>
      <c r="L211" s="45">
        <v>619.0</v>
      </c>
      <c r="M211" s="45">
        <v>231.0</v>
      </c>
      <c r="N211" s="45">
        <v>8603.0</v>
      </c>
      <c r="O211" s="46">
        <v>48.0</v>
      </c>
      <c r="P211" s="46">
        <v>16.0</v>
      </c>
      <c r="Q211" s="46">
        <f>IFERROR(__xludf.DUMMYFUNCTION("""COMPUTED_VALUE"""),0.0)</f>
        <v>0</v>
      </c>
      <c r="R211" s="47">
        <v>698.0</v>
      </c>
    </row>
    <row r="212" ht="22.5" customHeight="1">
      <c r="A212" s="42">
        <v>44522.0</v>
      </c>
      <c r="B212" s="43">
        <v>44522.750023148146</v>
      </c>
      <c r="C212" s="17" t="s">
        <v>78</v>
      </c>
      <c r="D212" s="17" t="s">
        <v>704</v>
      </c>
      <c r="E212" s="17" t="s">
        <v>84</v>
      </c>
      <c r="F212" s="17" t="s">
        <v>47</v>
      </c>
      <c r="G212" s="17" t="s">
        <v>705</v>
      </c>
      <c r="H212" s="44" t="s">
        <v>706</v>
      </c>
      <c r="I212" s="45">
        <v>1.0</v>
      </c>
      <c r="J212" s="45">
        <v>803.0</v>
      </c>
      <c r="K212" s="45">
        <v>918.0</v>
      </c>
      <c r="L212" s="45">
        <v>27.0</v>
      </c>
      <c r="M212" s="45">
        <v>16.0</v>
      </c>
      <c r="N212" s="45">
        <v>803.0</v>
      </c>
      <c r="O212" s="46">
        <v>48.0</v>
      </c>
      <c r="P212" s="46">
        <v>18.0</v>
      </c>
      <c r="Q212" s="46">
        <f>IFERROR(__xludf.DUMMYFUNCTION("""COMPUTED_VALUE"""),0.0)</f>
        <v>0</v>
      </c>
      <c r="R212" s="47">
        <v>115.0</v>
      </c>
    </row>
    <row r="213" ht="22.5" customHeight="1">
      <c r="A213" s="42">
        <v>44523.0</v>
      </c>
      <c r="B213" s="43">
        <v>44523.333333333336</v>
      </c>
      <c r="C213" s="17" t="s">
        <v>78</v>
      </c>
      <c r="D213" s="17" t="s">
        <v>707</v>
      </c>
      <c r="E213" s="17" t="s">
        <v>84</v>
      </c>
      <c r="F213" s="17" t="s">
        <v>50</v>
      </c>
      <c r="G213" s="17" t="s">
        <v>708</v>
      </c>
      <c r="H213" s="44" t="s">
        <v>709</v>
      </c>
      <c r="I213" s="45">
        <v>1.0</v>
      </c>
      <c r="J213" s="45">
        <v>11220.0</v>
      </c>
      <c r="K213" s="45">
        <v>11920.0</v>
      </c>
      <c r="L213" s="45">
        <v>574.0</v>
      </c>
      <c r="M213" s="45">
        <v>217.0</v>
      </c>
      <c r="N213" s="45">
        <v>11220.0</v>
      </c>
      <c r="O213" s="46">
        <v>48.0</v>
      </c>
      <c r="P213" s="46">
        <v>8.0</v>
      </c>
      <c r="Q213" s="46">
        <f>IFERROR(__xludf.DUMMYFUNCTION("""COMPUTED_VALUE"""),0.0)</f>
        <v>0</v>
      </c>
      <c r="R213" s="47">
        <v>700.0</v>
      </c>
    </row>
    <row r="214" ht="22.5" customHeight="1">
      <c r="A214" s="42">
        <v>44523.0</v>
      </c>
      <c r="B214" s="43">
        <v>44523.41668981482</v>
      </c>
      <c r="C214" s="17" t="s">
        <v>78</v>
      </c>
      <c r="D214" s="17" t="s">
        <v>710</v>
      </c>
      <c r="E214" s="17" t="s">
        <v>84</v>
      </c>
      <c r="F214" s="17" t="s">
        <v>50</v>
      </c>
      <c r="G214" s="17" t="s">
        <v>711</v>
      </c>
      <c r="H214" s="44" t="s">
        <v>712</v>
      </c>
      <c r="I214" s="45">
        <v>1.0</v>
      </c>
      <c r="J214" s="45">
        <v>8986.0</v>
      </c>
      <c r="K214" s="45">
        <v>9774.0</v>
      </c>
      <c r="L214" s="45">
        <v>402.0</v>
      </c>
      <c r="M214" s="45">
        <v>125.0</v>
      </c>
      <c r="N214" s="45">
        <v>8986.0</v>
      </c>
      <c r="O214" s="46">
        <v>48.0</v>
      </c>
      <c r="P214" s="46">
        <v>10.0</v>
      </c>
      <c r="Q214" s="46">
        <f>IFERROR(__xludf.DUMMYFUNCTION("""COMPUTED_VALUE"""),0.0)</f>
        <v>0</v>
      </c>
      <c r="R214" s="47">
        <v>788.0</v>
      </c>
    </row>
    <row r="215" ht="22.5" customHeight="1">
      <c r="A215" s="42">
        <v>44523.0</v>
      </c>
      <c r="B215" s="43">
        <v>44523.58341435185</v>
      </c>
      <c r="C215" s="17" t="s">
        <v>78</v>
      </c>
      <c r="D215" s="17" t="s">
        <v>713</v>
      </c>
      <c r="E215" s="17" t="s">
        <v>84</v>
      </c>
      <c r="F215" s="17" t="s">
        <v>50</v>
      </c>
      <c r="G215" s="17" t="s">
        <v>714</v>
      </c>
      <c r="H215" s="44" t="s">
        <v>715</v>
      </c>
      <c r="I215" s="45">
        <v>1.0</v>
      </c>
      <c r="J215" s="45">
        <v>751.0</v>
      </c>
      <c r="K215" s="45">
        <v>782.0</v>
      </c>
      <c r="L215" s="45">
        <v>73.0</v>
      </c>
      <c r="M215" s="45">
        <v>15.0</v>
      </c>
      <c r="N215" s="45">
        <v>751.0</v>
      </c>
      <c r="O215" s="46">
        <v>48.0</v>
      </c>
      <c r="P215" s="46">
        <v>14.0</v>
      </c>
      <c r="Q215" s="46">
        <f>IFERROR(__xludf.DUMMYFUNCTION("""COMPUTED_VALUE"""),0.0)</f>
        <v>0</v>
      </c>
      <c r="R215" s="47">
        <v>31.0</v>
      </c>
    </row>
    <row r="216" ht="22.5" customHeight="1">
      <c r="A216" s="42">
        <v>44523.0</v>
      </c>
      <c r="B216" s="43">
        <v>44523.66700231482</v>
      </c>
      <c r="C216" s="17" t="s">
        <v>78</v>
      </c>
      <c r="D216" s="17" t="s">
        <v>716</v>
      </c>
      <c r="E216" s="17" t="s">
        <v>80</v>
      </c>
      <c r="F216" s="17" t="s">
        <v>55</v>
      </c>
      <c r="G216" s="17" t="s">
        <v>717</v>
      </c>
      <c r="H216" s="44" t="s">
        <v>718</v>
      </c>
      <c r="I216" s="45">
        <v>1.0</v>
      </c>
      <c r="J216" s="45">
        <v>256.0</v>
      </c>
      <c r="K216" s="45">
        <v>279.0</v>
      </c>
      <c r="L216" s="45">
        <v>14.0</v>
      </c>
      <c r="M216" s="45">
        <v>3.0</v>
      </c>
      <c r="N216" s="45">
        <v>256.0</v>
      </c>
      <c r="O216" s="46">
        <v>48.0</v>
      </c>
      <c r="P216" s="46">
        <v>16.0</v>
      </c>
      <c r="Q216" s="46">
        <f>IFERROR(__xludf.DUMMYFUNCTION("""COMPUTED_VALUE"""),0.0)</f>
        <v>0</v>
      </c>
      <c r="R216" s="47">
        <v>23.0</v>
      </c>
    </row>
    <row r="217" ht="22.5" customHeight="1">
      <c r="A217" s="42">
        <v>44523.0</v>
      </c>
      <c r="B217" s="43">
        <v>44523.91670138889</v>
      </c>
      <c r="C217" s="17" t="s">
        <v>78</v>
      </c>
      <c r="D217" s="17" t="s">
        <v>719</v>
      </c>
      <c r="E217" s="17" t="s">
        <v>84</v>
      </c>
      <c r="F217" s="17" t="s">
        <v>50</v>
      </c>
      <c r="G217" s="17" t="s">
        <v>720</v>
      </c>
      <c r="H217" s="44" t="s">
        <v>721</v>
      </c>
      <c r="I217" s="45">
        <v>1.0</v>
      </c>
      <c r="J217" s="45">
        <v>20183.0</v>
      </c>
      <c r="K217" s="45">
        <v>20868.0</v>
      </c>
      <c r="L217" s="45">
        <v>279.0</v>
      </c>
      <c r="M217" s="45">
        <v>166.0</v>
      </c>
      <c r="N217" s="45">
        <v>20183.0</v>
      </c>
      <c r="O217" s="46">
        <v>48.0</v>
      </c>
      <c r="P217" s="46">
        <v>22.0</v>
      </c>
      <c r="Q217" s="46">
        <f>IFERROR(__xludf.DUMMYFUNCTION("""COMPUTED_VALUE"""),0.0)</f>
        <v>0</v>
      </c>
      <c r="R217" s="47">
        <v>685.0</v>
      </c>
    </row>
    <row r="218" ht="22.5" customHeight="1">
      <c r="A218" s="42">
        <v>44524.0</v>
      </c>
      <c r="B218" s="43">
        <v>44524.33335648148</v>
      </c>
      <c r="C218" s="17" t="s">
        <v>78</v>
      </c>
      <c r="D218" s="17" t="s">
        <v>722</v>
      </c>
      <c r="E218" s="17" t="s">
        <v>84</v>
      </c>
      <c r="F218" s="17" t="s">
        <v>50</v>
      </c>
      <c r="G218" s="17" t="s">
        <v>723</v>
      </c>
      <c r="H218" s="44" t="s">
        <v>724</v>
      </c>
      <c r="I218" s="45">
        <v>1.0</v>
      </c>
      <c r="J218" s="45">
        <v>6012.0</v>
      </c>
      <c r="K218" s="45">
        <v>6072.0</v>
      </c>
      <c r="L218" s="45">
        <v>57.0</v>
      </c>
      <c r="M218" s="45">
        <v>27.0</v>
      </c>
      <c r="N218" s="45">
        <v>6012.0</v>
      </c>
      <c r="O218" s="46">
        <v>48.0</v>
      </c>
      <c r="P218" s="46">
        <v>8.0</v>
      </c>
      <c r="Q218" s="46">
        <f>IFERROR(__xludf.DUMMYFUNCTION("""COMPUTED_VALUE"""),0.0)</f>
        <v>0</v>
      </c>
      <c r="R218" s="47">
        <v>60.0</v>
      </c>
    </row>
    <row r="219" ht="22.5" customHeight="1">
      <c r="A219" s="42">
        <v>44524.0</v>
      </c>
      <c r="B219" s="43">
        <v>44524.37505787037</v>
      </c>
      <c r="C219" s="17" t="s">
        <v>78</v>
      </c>
      <c r="D219" s="17" t="s">
        <v>725</v>
      </c>
      <c r="E219" s="17" t="s">
        <v>84</v>
      </c>
      <c r="F219" s="17" t="s">
        <v>50</v>
      </c>
      <c r="G219" s="17" t="s">
        <v>726</v>
      </c>
      <c r="H219" s="44" t="s">
        <v>727</v>
      </c>
      <c r="I219" s="45">
        <v>1.0</v>
      </c>
      <c r="J219" s="45">
        <v>9359.0</v>
      </c>
      <c r="K219" s="45">
        <v>9555.0</v>
      </c>
      <c r="L219" s="45">
        <v>262.0</v>
      </c>
      <c r="M219" s="45">
        <v>83.0</v>
      </c>
      <c r="N219" s="45">
        <v>9359.0</v>
      </c>
      <c r="O219" s="46">
        <v>48.0</v>
      </c>
      <c r="P219" s="46">
        <v>9.0</v>
      </c>
      <c r="Q219" s="46">
        <f>IFERROR(__xludf.DUMMYFUNCTION("""COMPUTED_VALUE"""),0.0)</f>
        <v>0</v>
      </c>
      <c r="R219" s="47">
        <v>196.0</v>
      </c>
    </row>
    <row r="220" ht="22.5" customHeight="1">
      <c r="A220" s="42">
        <v>44524.0</v>
      </c>
      <c r="B220" s="43">
        <v>44524.50010416667</v>
      </c>
      <c r="C220" s="17" t="s">
        <v>78</v>
      </c>
      <c r="D220" s="17" t="s">
        <v>728</v>
      </c>
      <c r="E220" s="17" t="s">
        <v>84</v>
      </c>
      <c r="F220" s="17" t="s">
        <v>50</v>
      </c>
      <c r="G220" s="17" t="s">
        <v>729</v>
      </c>
      <c r="H220" s="44" t="s">
        <v>730</v>
      </c>
      <c r="I220" s="45">
        <v>1.0</v>
      </c>
      <c r="J220" s="45">
        <v>14943.0</v>
      </c>
      <c r="K220" s="45">
        <v>18450.0</v>
      </c>
      <c r="L220" s="45">
        <v>2686.0</v>
      </c>
      <c r="M220" s="45">
        <v>2666.0</v>
      </c>
      <c r="N220" s="45">
        <v>14943.0</v>
      </c>
      <c r="O220" s="46">
        <v>48.0</v>
      </c>
      <c r="P220" s="46">
        <v>12.0</v>
      </c>
      <c r="Q220" s="46">
        <f>IFERROR(__xludf.DUMMYFUNCTION("""COMPUTED_VALUE"""),0.0)</f>
        <v>0</v>
      </c>
      <c r="R220" s="47">
        <v>3507.0</v>
      </c>
    </row>
    <row r="221" ht="22.5" customHeight="1">
      <c r="A221" s="42">
        <v>44524.0</v>
      </c>
      <c r="B221" s="43">
        <v>44524.66667824074</v>
      </c>
      <c r="C221" s="17" t="s">
        <v>78</v>
      </c>
      <c r="D221" s="17" t="s">
        <v>731</v>
      </c>
      <c r="E221" s="17" t="s">
        <v>84</v>
      </c>
      <c r="F221" s="17" t="s">
        <v>50</v>
      </c>
      <c r="G221" s="17" t="s">
        <v>732</v>
      </c>
      <c r="H221" s="44" t="s">
        <v>733</v>
      </c>
      <c r="I221" s="45">
        <v>1.0</v>
      </c>
      <c r="J221" s="45">
        <v>255.0</v>
      </c>
      <c r="K221" s="45">
        <v>264.0</v>
      </c>
      <c r="L221" s="45">
        <v>24.0</v>
      </c>
      <c r="M221" s="45">
        <v>10.0</v>
      </c>
      <c r="N221" s="45">
        <v>255.0</v>
      </c>
      <c r="O221" s="46">
        <v>48.0</v>
      </c>
      <c r="P221" s="46">
        <v>16.0</v>
      </c>
      <c r="Q221" s="46">
        <f>IFERROR(__xludf.DUMMYFUNCTION("""COMPUTED_VALUE"""),1.0)</f>
        <v>1</v>
      </c>
      <c r="R221" s="47">
        <v>9.0</v>
      </c>
    </row>
    <row r="222" ht="22.5" customHeight="1">
      <c r="A222" s="42">
        <v>44524.0</v>
      </c>
      <c r="B222" s="43">
        <v>44524.75001157408</v>
      </c>
      <c r="C222" s="17" t="s">
        <v>78</v>
      </c>
      <c r="D222" s="17" t="s">
        <v>734</v>
      </c>
      <c r="E222" s="17" t="s">
        <v>84</v>
      </c>
      <c r="F222" s="17" t="s">
        <v>47</v>
      </c>
      <c r="G222" s="17" t="s">
        <v>735</v>
      </c>
      <c r="H222" s="44" t="s">
        <v>736</v>
      </c>
      <c r="I222" s="45">
        <v>1.0</v>
      </c>
      <c r="J222" s="45">
        <v>4975.0</v>
      </c>
      <c r="K222" s="45">
        <v>6632.0</v>
      </c>
      <c r="L222" s="45">
        <v>2014.0</v>
      </c>
      <c r="M222" s="45">
        <v>1129.0</v>
      </c>
      <c r="N222" s="45">
        <v>4975.0</v>
      </c>
      <c r="O222" s="46">
        <v>48.0</v>
      </c>
      <c r="P222" s="46">
        <v>18.0</v>
      </c>
      <c r="Q222" s="46">
        <f>IFERROR(__xludf.DUMMYFUNCTION("""COMPUTED_VALUE"""),0.0)</f>
        <v>0</v>
      </c>
      <c r="R222" s="47">
        <v>1657.0</v>
      </c>
    </row>
    <row r="223" ht="22.5" customHeight="1">
      <c r="A223" s="42">
        <v>44524.0</v>
      </c>
      <c r="B223" s="43">
        <v>44524.83362268518</v>
      </c>
      <c r="C223" s="17" t="s">
        <v>78</v>
      </c>
      <c r="D223" s="17" t="s">
        <v>737</v>
      </c>
      <c r="E223" s="17" t="s">
        <v>80</v>
      </c>
      <c r="F223" s="17" t="s">
        <v>55</v>
      </c>
      <c r="G223" s="17" t="s">
        <v>738</v>
      </c>
      <c r="H223" s="44" t="s">
        <v>739</v>
      </c>
      <c r="I223" s="45">
        <v>1.0</v>
      </c>
      <c r="J223" s="45">
        <v>462.0</v>
      </c>
      <c r="K223" s="45">
        <v>528.0</v>
      </c>
      <c r="L223" s="45">
        <v>30.0</v>
      </c>
      <c r="M223" s="45">
        <v>13.0</v>
      </c>
      <c r="N223" s="45">
        <v>462.0</v>
      </c>
      <c r="O223" s="46">
        <v>48.0</v>
      </c>
      <c r="P223" s="46">
        <v>20.0</v>
      </c>
      <c r="Q223" s="46">
        <f>IFERROR(__xludf.DUMMYFUNCTION("""COMPUTED_VALUE"""),0.0)</f>
        <v>0</v>
      </c>
      <c r="R223" s="47">
        <v>66.0</v>
      </c>
    </row>
    <row r="224" ht="22.5" customHeight="1">
      <c r="A224" s="42">
        <v>44525.0</v>
      </c>
      <c r="B224" s="43">
        <v>44525.500023148146</v>
      </c>
      <c r="C224" s="17" t="s">
        <v>78</v>
      </c>
      <c r="D224" s="17" t="s">
        <v>740</v>
      </c>
      <c r="E224" s="17" t="s">
        <v>84</v>
      </c>
      <c r="F224" s="17" t="s">
        <v>50</v>
      </c>
      <c r="G224" s="17" t="s">
        <v>741</v>
      </c>
      <c r="H224" s="44" t="s">
        <v>742</v>
      </c>
      <c r="I224" s="45">
        <v>1.0</v>
      </c>
      <c r="J224" s="45">
        <v>208.0</v>
      </c>
      <c r="K224" s="45">
        <v>214.0</v>
      </c>
      <c r="L224" s="45">
        <v>17.0</v>
      </c>
      <c r="M224" s="45">
        <v>2.0</v>
      </c>
      <c r="N224" s="45">
        <v>208.0</v>
      </c>
      <c r="O224" s="46">
        <v>48.0</v>
      </c>
      <c r="P224" s="46">
        <v>12.0</v>
      </c>
      <c r="Q224" s="46">
        <f>IFERROR(__xludf.DUMMYFUNCTION("""COMPUTED_VALUE"""),1.0)</f>
        <v>1</v>
      </c>
      <c r="R224" s="47">
        <v>6.0</v>
      </c>
    </row>
    <row r="225" ht="22.5" customHeight="1">
      <c r="A225" s="42">
        <v>44525.0</v>
      </c>
      <c r="B225" s="43">
        <v>44525.66667824074</v>
      </c>
      <c r="C225" s="17" t="s">
        <v>78</v>
      </c>
      <c r="D225" s="17" t="s">
        <v>743</v>
      </c>
      <c r="E225" s="17" t="s">
        <v>84</v>
      </c>
      <c r="F225" s="17" t="s">
        <v>47</v>
      </c>
      <c r="G225" s="17" t="s">
        <v>744</v>
      </c>
      <c r="H225" s="44" t="s">
        <v>745</v>
      </c>
      <c r="I225" s="45">
        <v>1.0</v>
      </c>
      <c r="J225" s="45">
        <v>663.0</v>
      </c>
      <c r="K225" s="45">
        <v>693.0</v>
      </c>
      <c r="L225" s="45">
        <v>55.0</v>
      </c>
      <c r="M225" s="45">
        <v>11.0</v>
      </c>
      <c r="N225" s="45">
        <v>663.0</v>
      </c>
      <c r="O225" s="46">
        <v>48.0</v>
      </c>
      <c r="P225" s="46">
        <v>16.0</v>
      </c>
      <c r="Q225" s="46">
        <f>IFERROR(__xludf.DUMMYFUNCTION("""COMPUTED_VALUE"""),0.0)</f>
        <v>0</v>
      </c>
      <c r="R225" s="47">
        <v>30.0</v>
      </c>
    </row>
    <row r="226" ht="22.5" customHeight="1">
      <c r="A226" s="42">
        <v>44525.0</v>
      </c>
      <c r="B226" s="43">
        <v>44525.83341435185</v>
      </c>
      <c r="C226" s="17" t="s">
        <v>78</v>
      </c>
      <c r="D226" s="17" t="s">
        <v>746</v>
      </c>
      <c r="E226" s="17" t="s">
        <v>80</v>
      </c>
      <c r="F226" s="17" t="s">
        <v>55</v>
      </c>
      <c r="G226" s="17" t="s">
        <v>747</v>
      </c>
      <c r="H226" s="44" t="s">
        <v>748</v>
      </c>
      <c r="I226" s="45">
        <v>1.0</v>
      </c>
      <c r="J226" s="45">
        <v>1029.0</v>
      </c>
      <c r="K226" s="45">
        <v>1180.0</v>
      </c>
      <c r="L226" s="45">
        <v>147.0</v>
      </c>
      <c r="M226" s="45">
        <v>65.0</v>
      </c>
      <c r="N226" s="45">
        <v>1029.0</v>
      </c>
      <c r="O226" s="46">
        <v>48.0</v>
      </c>
      <c r="P226" s="46">
        <v>20.0</v>
      </c>
      <c r="Q226" s="46">
        <f>IFERROR(__xludf.DUMMYFUNCTION("""COMPUTED_VALUE"""),0.0)</f>
        <v>0</v>
      </c>
      <c r="R226" s="47">
        <v>151.0</v>
      </c>
    </row>
    <row r="227" ht="22.5" customHeight="1">
      <c r="A227" s="42">
        <v>44525.0</v>
      </c>
      <c r="B227" s="43">
        <v>44525.87501157408</v>
      </c>
      <c r="C227" s="17" t="s">
        <v>78</v>
      </c>
      <c r="D227" s="17" t="s">
        <v>749</v>
      </c>
      <c r="E227" s="17" t="s">
        <v>84</v>
      </c>
      <c r="F227" s="17" t="s">
        <v>47</v>
      </c>
      <c r="G227" s="17" t="s">
        <v>750</v>
      </c>
      <c r="H227" s="44" t="s">
        <v>751</v>
      </c>
      <c r="I227" s="45">
        <v>1.0</v>
      </c>
      <c r="J227" s="45">
        <v>1062.0</v>
      </c>
      <c r="K227" s="45">
        <v>1103.0</v>
      </c>
      <c r="L227" s="45">
        <v>63.0</v>
      </c>
      <c r="M227" s="45">
        <v>21.0</v>
      </c>
      <c r="N227" s="45">
        <v>1062.0</v>
      </c>
      <c r="O227" s="46">
        <v>48.0</v>
      </c>
      <c r="P227" s="46">
        <v>21.0</v>
      </c>
      <c r="Q227" s="46">
        <f>IFERROR(__xludf.DUMMYFUNCTION("""COMPUTED_VALUE"""),0.0)</f>
        <v>0</v>
      </c>
      <c r="R227" s="47">
        <v>41.0</v>
      </c>
    </row>
    <row r="228" ht="22.5" customHeight="1">
      <c r="A228" s="42">
        <v>44526.0</v>
      </c>
      <c r="B228" s="43">
        <v>44526.33335648148</v>
      </c>
      <c r="C228" s="17" t="s">
        <v>78</v>
      </c>
      <c r="D228" s="17" t="s">
        <v>752</v>
      </c>
      <c r="E228" s="17" t="s">
        <v>84</v>
      </c>
      <c r="F228" s="17" t="s">
        <v>50</v>
      </c>
      <c r="G228" s="17" t="s">
        <v>753</v>
      </c>
      <c r="H228" s="44" t="s">
        <v>754</v>
      </c>
      <c r="I228" s="45">
        <v>1.0</v>
      </c>
      <c r="J228" s="45">
        <v>7918.0</v>
      </c>
      <c r="K228" s="45">
        <v>8076.0</v>
      </c>
      <c r="L228" s="45">
        <v>264.0</v>
      </c>
      <c r="M228" s="45">
        <v>67.0</v>
      </c>
      <c r="N228" s="45">
        <v>7918.0</v>
      </c>
      <c r="O228" s="46">
        <v>48.0</v>
      </c>
      <c r="P228" s="46">
        <v>8.0</v>
      </c>
      <c r="Q228" s="46">
        <f>IFERROR(__xludf.DUMMYFUNCTION("""COMPUTED_VALUE"""),0.0)</f>
        <v>0</v>
      </c>
      <c r="R228" s="47">
        <v>158.0</v>
      </c>
    </row>
    <row r="229" ht="22.5" customHeight="1">
      <c r="A229" s="42">
        <v>44526.0</v>
      </c>
      <c r="B229" s="43">
        <v>44526.54167824074</v>
      </c>
      <c r="C229" s="17" t="s">
        <v>78</v>
      </c>
      <c r="D229" s="17" t="s">
        <v>755</v>
      </c>
      <c r="E229" s="17" t="s">
        <v>84</v>
      </c>
      <c r="F229" s="17" t="s">
        <v>50</v>
      </c>
      <c r="G229" s="17" t="s">
        <v>756</v>
      </c>
      <c r="H229" s="44" t="s">
        <v>757</v>
      </c>
      <c r="I229" s="45">
        <v>1.0</v>
      </c>
      <c r="J229" s="45">
        <v>5631.0</v>
      </c>
      <c r="K229" s="45">
        <v>5755.0</v>
      </c>
      <c r="L229" s="45">
        <v>52.0</v>
      </c>
      <c r="M229" s="45">
        <v>32.0</v>
      </c>
      <c r="N229" s="45">
        <v>5631.0</v>
      </c>
      <c r="O229" s="46">
        <v>48.0</v>
      </c>
      <c r="P229" s="46">
        <v>13.0</v>
      </c>
      <c r="Q229" s="46">
        <f>IFERROR(__xludf.DUMMYFUNCTION("""COMPUTED_VALUE"""),0.0)</f>
        <v>0</v>
      </c>
      <c r="R229" s="47">
        <v>124.0</v>
      </c>
    </row>
    <row r="230" ht="22.5" customHeight="1">
      <c r="A230" s="42">
        <v>44526.0</v>
      </c>
      <c r="B230" s="43">
        <v>44526.702314814815</v>
      </c>
      <c r="C230" s="17" t="s">
        <v>78</v>
      </c>
      <c r="D230" s="17" t="s">
        <v>758</v>
      </c>
      <c r="E230" s="17" t="s">
        <v>109</v>
      </c>
      <c r="F230" s="17" t="s">
        <v>52</v>
      </c>
      <c r="G230" s="17"/>
      <c r="H230" s="44" t="s">
        <v>759</v>
      </c>
      <c r="I230" s="45">
        <v>1.0</v>
      </c>
      <c r="J230" s="45">
        <v>277.0</v>
      </c>
      <c r="K230" s="45">
        <v>288.0</v>
      </c>
      <c r="L230" s="45">
        <v>65.0</v>
      </c>
      <c r="M230" s="45"/>
      <c r="N230" s="45">
        <v>277.0</v>
      </c>
      <c r="O230" s="46">
        <v>48.0</v>
      </c>
      <c r="P230" s="46">
        <v>16.0</v>
      </c>
      <c r="Q230" s="46">
        <f>IFERROR(__xludf.DUMMYFUNCTION("""COMPUTED_VALUE"""),0.0)</f>
        <v>0</v>
      </c>
      <c r="R230" s="47">
        <v>11.0</v>
      </c>
    </row>
    <row r="231" ht="22.5" customHeight="1">
      <c r="A231" s="42">
        <v>44527.0</v>
      </c>
      <c r="B231" s="43">
        <v>44527.375023148146</v>
      </c>
      <c r="C231" s="17" t="s">
        <v>78</v>
      </c>
      <c r="D231" s="17" t="s">
        <v>760</v>
      </c>
      <c r="E231" s="17" t="s">
        <v>84</v>
      </c>
      <c r="F231" s="17" t="s">
        <v>50</v>
      </c>
      <c r="G231" s="17" t="s">
        <v>720</v>
      </c>
      <c r="H231" s="44" t="s">
        <v>761</v>
      </c>
      <c r="I231" s="45">
        <v>1.0</v>
      </c>
      <c r="J231" s="45">
        <v>22476.0</v>
      </c>
      <c r="K231" s="45">
        <v>22980.0</v>
      </c>
      <c r="L231" s="45">
        <v>154.0</v>
      </c>
      <c r="M231" s="45">
        <v>61.0</v>
      </c>
      <c r="N231" s="45">
        <v>22476.0</v>
      </c>
      <c r="O231" s="46">
        <v>48.0</v>
      </c>
      <c r="P231" s="46">
        <v>9.0</v>
      </c>
      <c r="Q231" s="46">
        <f>IFERROR(__xludf.DUMMYFUNCTION("""COMPUTED_VALUE"""),0.0)</f>
        <v>0</v>
      </c>
      <c r="R231" s="47">
        <v>504.0</v>
      </c>
    </row>
    <row r="232" ht="22.5" customHeight="1">
      <c r="A232" s="42">
        <v>44527.0</v>
      </c>
      <c r="B232" s="43">
        <v>44527.375023148146</v>
      </c>
      <c r="C232" s="17" t="s">
        <v>78</v>
      </c>
      <c r="D232" s="17" t="s">
        <v>762</v>
      </c>
      <c r="E232" s="17" t="s">
        <v>84</v>
      </c>
      <c r="F232" s="17" t="s">
        <v>50</v>
      </c>
      <c r="G232" s="17" t="s">
        <v>763</v>
      </c>
      <c r="H232" s="44" t="s">
        <v>764</v>
      </c>
      <c r="I232" s="45">
        <v>1.0</v>
      </c>
      <c r="J232" s="45">
        <v>11502.0</v>
      </c>
      <c r="K232" s="45">
        <v>12318.0</v>
      </c>
      <c r="L232" s="45">
        <v>661.0</v>
      </c>
      <c r="M232" s="45">
        <v>137.0</v>
      </c>
      <c r="N232" s="45">
        <v>11502.0</v>
      </c>
      <c r="O232" s="46">
        <v>48.0</v>
      </c>
      <c r="P232" s="46">
        <v>9.0</v>
      </c>
      <c r="Q232" s="46">
        <f>IFERROR(__xludf.DUMMYFUNCTION("""COMPUTED_VALUE"""),0.0)</f>
        <v>0</v>
      </c>
      <c r="R232" s="47">
        <v>816.0</v>
      </c>
    </row>
    <row r="233" ht="22.5" customHeight="1">
      <c r="A233" s="42">
        <v>44527.0</v>
      </c>
      <c r="B233" s="43">
        <v>44527.66670138889</v>
      </c>
      <c r="C233" s="17" t="s">
        <v>78</v>
      </c>
      <c r="D233" s="17" t="s">
        <v>765</v>
      </c>
      <c r="E233" s="17" t="s">
        <v>84</v>
      </c>
      <c r="F233" s="17" t="s">
        <v>47</v>
      </c>
      <c r="G233" s="17" t="s">
        <v>766</v>
      </c>
      <c r="H233" s="44" t="s">
        <v>767</v>
      </c>
      <c r="I233" s="45">
        <v>1.0</v>
      </c>
      <c r="J233" s="45">
        <v>3354.0</v>
      </c>
      <c r="K233" s="45">
        <v>3910.0</v>
      </c>
      <c r="L233" s="45">
        <v>623.0</v>
      </c>
      <c r="M233" s="45">
        <v>461.0</v>
      </c>
      <c r="N233" s="45">
        <v>3354.0</v>
      </c>
      <c r="O233" s="46">
        <v>48.0</v>
      </c>
      <c r="P233" s="46">
        <v>16.0</v>
      </c>
      <c r="Q233" s="46">
        <f>IFERROR(__xludf.DUMMYFUNCTION("""COMPUTED_VALUE"""),0.0)</f>
        <v>0</v>
      </c>
      <c r="R233" s="47">
        <v>556.0</v>
      </c>
    </row>
    <row r="234" ht="22.5" customHeight="1">
      <c r="A234" s="42">
        <v>44527.0</v>
      </c>
      <c r="B234" s="43">
        <v>44527.833391203705</v>
      </c>
      <c r="C234" s="17" t="s">
        <v>78</v>
      </c>
      <c r="D234" s="17" t="s">
        <v>768</v>
      </c>
      <c r="E234" s="17" t="s">
        <v>84</v>
      </c>
      <c r="F234" s="17" t="s">
        <v>50</v>
      </c>
      <c r="G234" s="17" t="s">
        <v>769</v>
      </c>
      <c r="H234" s="44" t="s">
        <v>770</v>
      </c>
      <c r="I234" s="45">
        <v>1.0</v>
      </c>
      <c r="J234" s="45">
        <v>4871.0</v>
      </c>
      <c r="K234" s="45">
        <v>5157.0</v>
      </c>
      <c r="L234" s="45">
        <v>149.0</v>
      </c>
      <c r="M234" s="45">
        <v>52.0</v>
      </c>
      <c r="N234" s="45">
        <v>4871.0</v>
      </c>
      <c r="O234" s="46">
        <v>48.0</v>
      </c>
      <c r="P234" s="46">
        <v>20.0</v>
      </c>
      <c r="Q234" s="46">
        <f>IFERROR(__xludf.DUMMYFUNCTION("""COMPUTED_VALUE"""),0.0)</f>
        <v>0</v>
      </c>
      <c r="R234" s="47">
        <v>286.0</v>
      </c>
    </row>
    <row r="235" ht="22.5" customHeight="1">
      <c r="A235" s="42">
        <v>44528.0</v>
      </c>
      <c r="B235" s="43">
        <v>44528.37503472222</v>
      </c>
      <c r="C235" s="17" t="s">
        <v>78</v>
      </c>
      <c r="D235" s="17" t="s">
        <v>771</v>
      </c>
      <c r="E235" s="17" t="s">
        <v>84</v>
      </c>
      <c r="F235" s="17" t="s">
        <v>50</v>
      </c>
      <c r="G235" s="17" t="s">
        <v>772</v>
      </c>
      <c r="H235" s="44" t="s">
        <v>773</v>
      </c>
      <c r="I235" s="45">
        <v>1.0</v>
      </c>
      <c r="J235" s="45">
        <v>10052.0</v>
      </c>
      <c r="K235" s="45">
        <v>10346.0</v>
      </c>
      <c r="L235" s="45">
        <v>350.0</v>
      </c>
      <c r="M235" s="45">
        <v>45.0</v>
      </c>
      <c r="N235" s="45">
        <v>10052.0</v>
      </c>
      <c r="O235" s="46">
        <v>49.0</v>
      </c>
      <c r="P235" s="46">
        <v>9.0</v>
      </c>
      <c r="Q235" s="46">
        <f>IFERROR(__xludf.DUMMYFUNCTION("""COMPUTED_VALUE"""),0.0)</f>
        <v>0</v>
      </c>
      <c r="R235" s="47">
        <v>294.0</v>
      </c>
    </row>
    <row r="236" ht="22.5" customHeight="1">
      <c r="A236" s="42">
        <v>44528.0</v>
      </c>
      <c r="B236" s="43">
        <v>44528.458344907405</v>
      </c>
      <c r="C236" s="17" t="s">
        <v>78</v>
      </c>
      <c r="D236" s="17" t="s">
        <v>774</v>
      </c>
      <c r="E236" s="17" t="s">
        <v>84</v>
      </c>
      <c r="F236" s="17" t="s">
        <v>50</v>
      </c>
      <c r="G236" s="17" t="s">
        <v>775</v>
      </c>
      <c r="H236" s="44" t="s">
        <v>776</v>
      </c>
      <c r="I236" s="45">
        <v>1.0</v>
      </c>
      <c r="J236" s="45">
        <v>479.0</v>
      </c>
      <c r="K236" s="45">
        <v>496.0</v>
      </c>
      <c r="L236" s="45">
        <v>60.0</v>
      </c>
      <c r="M236" s="45">
        <v>11.0</v>
      </c>
      <c r="N236" s="45">
        <v>479.0</v>
      </c>
      <c r="O236" s="46">
        <v>49.0</v>
      </c>
      <c r="P236" s="46">
        <v>11.0</v>
      </c>
      <c r="Q236" s="46">
        <f>IFERROR(__xludf.DUMMYFUNCTION("""COMPUTED_VALUE"""),1.0)</f>
        <v>1</v>
      </c>
      <c r="R236" s="47">
        <v>17.0</v>
      </c>
    </row>
    <row r="237" ht="22.5" customHeight="1">
      <c r="A237" s="42">
        <v>44528.0</v>
      </c>
      <c r="B237" s="43">
        <v>44528.541666666664</v>
      </c>
      <c r="C237" s="17" t="s">
        <v>78</v>
      </c>
      <c r="D237" s="17" t="s">
        <v>777</v>
      </c>
      <c r="E237" s="17" t="s">
        <v>84</v>
      </c>
      <c r="F237" s="17" t="s">
        <v>50</v>
      </c>
      <c r="G237" s="17" t="s">
        <v>778</v>
      </c>
      <c r="H237" s="44" t="s">
        <v>779</v>
      </c>
      <c r="I237" s="45">
        <v>1.0</v>
      </c>
      <c r="J237" s="45">
        <v>7416.0</v>
      </c>
      <c r="K237" s="45">
        <v>9090.0</v>
      </c>
      <c r="L237" s="45">
        <v>1337.0</v>
      </c>
      <c r="M237" s="45">
        <v>652.0</v>
      </c>
      <c r="N237" s="45">
        <v>7416.0</v>
      </c>
      <c r="O237" s="46">
        <v>49.0</v>
      </c>
      <c r="P237" s="46">
        <v>13.0</v>
      </c>
      <c r="Q237" s="46">
        <f>IFERROR(__xludf.DUMMYFUNCTION("""COMPUTED_VALUE"""),0.0)</f>
        <v>0</v>
      </c>
      <c r="R237" s="47">
        <v>1674.0</v>
      </c>
    </row>
    <row r="238" ht="22.5" customHeight="1">
      <c r="A238" s="42">
        <v>44528.0</v>
      </c>
      <c r="B238" s="43">
        <v>44528.62501157408</v>
      </c>
      <c r="C238" s="17" t="s">
        <v>78</v>
      </c>
      <c r="D238" s="17" t="s">
        <v>780</v>
      </c>
      <c r="E238" s="17" t="s">
        <v>84</v>
      </c>
      <c r="F238" s="17" t="s">
        <v>50</v>
      </c>
      <c r="G238" s="17" t="s">
        <v>781</v>
      </c>
      <c r="H238" s="44" t="s">
        <v>782</v>
      </c>
      <c r="I238" s="45">
        <v>1.0</v>
      </c>
      <c r="J238" s="45">
        <v>11971.0</v>
      </c>
      <c r="K238" s="45">
        <v>12771.0</v>
      </c>
      <c r="L238" s="45">
        <v>204.0</v>
      </c>
      <c r="M238" s="45">
        <v>154.0</v>
      </c>
      <c r="N238" s="45">
        <v>11971.0</v>
      </c>
      <c r="O238" s="46">
        <v>49.0</v>
      </c>
      <c r="P238" s="46">
        <v>15.0</v>
      </c>
      <c r="Q238" s="46">
        <f>IFERROR(__xludf.DUMMYFUNCTION("""COMPUTED_VALUE"""),0.0)</f>
        <v>0</v>
      </c>
      <c r="R238" s="47">
        <v>800.0</v>
      </c>
    </row>
    <row r="239" ht="22.5" customHeight="1">
      <c r="A239" s="42">
        <v>44528.0</v>
      </c>
      <c r="B239" s="43">
        <v>44528.70144675926</v>
      </c>
      <c r="C239" s="17" t="s">
        <v>78</v>
      </c>
      <c r="D239" s="17" t="s">
        <v>783</v>
      </c>
      <c r="E239" s="17" t="s">
        <v>97</v>
      </c>
      <c r="F239" s="17" t="s">
        <v>52</v>
      </c>
      <c r="G239" s="17" t="s">
        <v>784</v>
      </c>
      <c r="H239" s="44" t="s">
        <v>785</v>
      </c>
      <c r="I239" s="45">
        <v>1.0</v>
      </c>
      <c r="J239" s="45">
        <v>678.0</v>
      </c>
      <c r="K239" s="45">
        <v>747.0</v>
      </c>
      <c r="L239" s="45">
        <v>222.0</v>
      </c>
      <c r="M239" s="45">
        <v>57.0</v>
      </c>
      <c r="N239" s="45">
        <v>678.0</v>
      </c>
      <c r="O239" s="46">
        <v>49.0</v>
      </c>
      <c r="P239" s="46">
        <v>16.0</v>
      </c>
      <c r="Q239" s="46">
        <f>IFERROR(__xludf.DUMMYFUNCTION("""COMPUTED_VALUE"""),0.0)</f>
        <v>0</v>
      </c>
      <c r="R239" s="47">
        <v>69.0</v>
      </c>
    </row>
    <row r="240" ht="22.5" customHeight="1">
      <c r="A240" s="42">
        <v>44528.0</v>
      </c>
      <c r="B240" s="43">
        <v>44528.87505787037</v>
      </c>
      <c r="C240" s="17" t="s">
        <v>78</v>
      </c>
      <c r="D240" s="17" t="s">
        <v>786</v>
      </c>
      <c r="E240" s="17" t="s">
        <v>80</v>
      </c>
      <c r="F240" s="17" t="s">
        <v>55</v>
      </c>
      <c r="G240" s="17" t="s">
        <v>787</v>
      </c>
      <c r="H240" s="44" t="s">
        <v>788</v>
      </c>
      <c r="I240" s="45">
        <v>1.0</v>
      </c>
      <c r="J240" s="45">
        <v>1963.0</v>
      </c>
      <c r="K240" s="45">
        <v>2195.0</v>
      </c>
      <c r="L240" s="45">
        <v>116.0</v>
      </c>
      <c r="M240" s="45">
        <v>51.0</v>
      </c>
      <c r="N240" s="45">
        <v>1963.0</v>
      </c>
      <c r="O240" s="46">
        <v>49.0</v>
      </c>
      <c r="P240" s="46">
        <v>21.0</v>
      </c>
      <c r="Q240" s="46">
        <f>IFERROR(__xludf.DUMMYFUNCTION("""COMPUTED_VALUE"""),0.0)</f>
        <v>0</v>
      </c>
      <c r="R240" s="47">
        <v>232.0</v>
      </c>
    </row>
    <row r="241" ht="22.5" customHeight="1">
      <c r="A241" s="42">
        <v>44529.0</v>
      </c>
      <c r="B241" s="43">
        <v>44529.87503472222</v>
      </c>
      <c r="C241" s="17" t="s">
        <v>78</v>
      </c>
      <c r="D241" s="17" t="s">
        <v>789</v>
      </c>
      <c r="E241" s="17" t="s">
        <v>84</v>
      </c>
      <c r="F241" s="17" t="s">
        <v>50</v>
      </c>
      <c r="G241" s="17" t="s">
        <v>790</v>
      </c>
      <c r="H241" s="44" t="s">
        <v>791</v>
      </c>
      <c r="I241" s="45">
        <v>1.0</v>
      </c>
      <c r="J241" s="45">
        <v>14512.0</v>
      </c>
      <c r="K241" s="45">
        <v>16546.0</v>
      </c>
      <c r="L241" s="45">
        <v>1305.0</v>
      </c>
      <c r="M241" s="45">
        <v>555.0</v>
      </c>
      <c r="N241" s="45">
        <v>14512.0</v>
      </c>
      <c r="O241" s="46">
        <v>49.0</v>
      </c>
      <c r="P241" s="46">
        <v>21.0</v>
      </c>
      <c r="Q241" s="46">
        <f>IFERROR(__xludf.DUMMYFUNCTION("""COMPUTED_VALUE"""),0.0)</f>
        <v>0</v>
      </c>
      <c r="R241" s="47">
        <v>2034.0</v>
      </c>
    </row>
    <row r="242" ht="22.5" customHeight="1">
      <c r="A242" s="42">
        <v>44530.0</v>
      </c>
      <c r="B242" s="43">
        <v>44530.41706018519</v>
      </c>
      <c r="C242" s="17" t="s">
        <v>78</v>
      </c>
      <c r="D242" s="17" t="s">
        <v>792</v>
      </c>
      <c r="E242" s="17" t="s">
        <v>80</v>
      </c>
      <c r="F242" s="17" t="s">
        <v>55</v>
      </c>
      <c r="G242" s="17" t="s">
        <v>793</v>
      </c>
      <c r="H242" s="44" t="s">
        <v>794</v>
      </c>
      <c r="I242" s="45">
        <v>1.0</v>
      </c>
      <c r="J242" s="45">
        <v>738.0</v>
      </c>
      <c r="K242" s="45">
        <v>779.0</v>
      </c>
      <c r="L242" s="45">
        <v>27.0</v>
      </c>
      <c r="M242" s="45">
        <v>22.0</v>
      </c>
      <c r="N242" s="45">
        <v>738.0</v>
      </c>
      <c r="O242" s="46">
        <v>49.0</v>
      </c>
      <c r="P242" s="46">
        <v>10.0</v>
      </c>
      <c r="Q242" s="46">
        <f>IFERROR(__xludf.DUMMYFUNCTION("""COMPUTED_VALUE"""),0.0)</f>
        <v>0</v>
      </c>
      <c r="R242" s="47">
        <v>41.0</v>
      </c>
    </row>
    <row r="243" ht="22.5" customHeight="1">
      <c r="A243" s="42">
        <v>44530.0</v>
      </c>
      <c r="B243" s="43">
        <v>44530.458344907405</v>
      </c>
      <c r="C243" s="17" t="s">
        <v>78</v>
      </c>
      <c r="D243" s="17" t="s">
        <v>795</v>
      </c>
      <c r="E243" s="17" t="s">
        <v>84</v>
      </c>
      <c r="F243" s="17" t="s">
        <v>50</v>
      </c>
      <c r="G243" s="17" t="s">
        <v>796</v>
      </c>
      <c r="H243" s="44" t="s">
        <v>797</v>
      </c>
      <c r="I243" s="45">
        <v>1.0</v>
      </c>
      <c r="J243" s="45">
        <v>6390.0</v>
      </c>
      <c r="K243" s="45">
        <v>6697.0</v>
      </c>
      <c r="L243" s="45">
        <v>178.0</v>
      </c>
      <c r="M243" s="45">
        <v>35.0</v>
      </c>
      <c r="N243" s="45">
        <v>6390.0</v>
      </c>
      <c r="O243" s="46">
        <v>49.0</v>
      </c>
      <c r="P243" s="46">
        <v>11.0</v>
      </c>
      <c r="Q243" s="46">
        <f>IFERROR(__xludf.DUMMYFUNCTION("""COMPUTED_VALUE"""),0.0)</f>
        <v>0</v>
      </c>
      <c r="R243" s="47">
        <v>307.0</v>
      </c>
    </row>
    <row r="244" ht="22.5" customHeight="1">
      <c r="A244" s="42">
        <v>44530.0</v>
      </c>
      <c r="B244" s="43">
        <v>44530.500023148146</v>
      </c>
      <c r="C244" s="17" t="s">
        <v>78</v>
      </c>
      <c r="D244" s="17" t="s">
        <v>798</v>
      </c>
      <c r="E244" s="17" t="s">
        <v>84</v>
      </c>
      <c r="F244" s="17" t="s">
        <v>50</v>
      </c>
      <c r="G244" s="17" t="s">
        <v>799</v>
      </c>
      <c r="H244" s="44" t="s">
        <v>800</v>
      </c>
      <c r="I244" s="45">
        <v>1.0</v>
      </c>
      <c r="J244" s="45">
        <v>697.0</v>
      </c>
      <c r="K244" s="45">
        <v>733.0</v>
      </c>
      <c r="L244" s="45">
        <v>40.0</v>
      </c>
      <c r="M244" s="45">
        <v>111.0</v>
      </c>
      <c r="N244" s="45">
        <v>697.0</v>
      </c>
      <c r="O244" s="46">
        <v>49.0</v>
      </c>
      <c r="P244" s="46">
        <v>12.0</v>
      </c>
      <c r="Q244" s="46">
        <f>IFERROR(__xludf.DUMMYFUNCTION("""COMPUTED_VALUE"""),0.0)</f>
        <v>0</v>
      </c>
      <c r="R244" s="47">
        <v>36.0</v>
      </c>
    </row>
    <row r="245" ht="22.5" customHeight="1">
      <c r="A245" s="42">
        <v>44530.0</v>
      </c>
      <c r="B245" s="43">
        <v>44530.58335648148</v>
      </c>
      <c r="C245" s="17" t="s">
        <v>78</v>
      </c>
      <c r="D245" s="17" t="s">
        <v>801</v>
      </c>
      <c r="E245" s="17" t="s">
        <v>80</v>
      </c>
      <c r="F245" s="17" t="s">
        <v>55</v>
      </c>
      <c r="G245" s="17" t="s">
        <v>802</v>
      </c>
      <c r="H245" s="44" t="s">
        <v>803</v>
      </c>
      <c r="I245" s="45">
        <v>1.0</v>
      </c>
      <c r="J245" s="45">
        <v>2439.0</v>
      </c>
      <c r="K245" s="45">
        <v>2970.0</v>
      </c>
      <c r="L245" s="45">
        <v>131.0</v>
      </c>
      <c r="M245" s="45">
        <v>72.0</v>
      </c>
      <c r="N245" s="45">
        <v>2439.0</v>
      </c>
      <c r="O245" s="46">
        <v>49.0</v>
      </c>
      <c r="P245" s="46">
        <v>14.0</v>
      </c>
      <c r="Q245" s="46">
        <f>IFERROR(__xludf.DUMMYFUNCTION("""COMPUTED_VALUE"""),0.0)</f>
        <v>0</v>
      </c>
      <c r="R245" s="47">
        <v>531.0</v>
      </c>
    </row>
    <row r="246" ht="22.5" customHeight="1">
      <c r="A246" s="42">
        <v>44546.0</v>
      </c>
      <c r="B246" s="43">
        <v>44546.54168981482</v>
      </c>
      <c r="C246" s="17" t="s">
        <v>78</v>
      </c>
      <c r="D246" s="17" t="s">
        <v>804</v>
      </c>
      <c r="E246" s="17" t="s">
        <v>80</v>
      </c>
      <c r="F246" s="17" t="s">
        <v>53</v>
      </c>
      <c r="G246" s="17" t="s">
        <v>805</v>
      </c>
      <c r="H246" s="44" t="s">
        <v>806</v>
      </c>
      <c r="I246" s="45">
        <v>1.0</v>
      </c>
      <c r="J246" s="45">
        <v>629.0</v>
      </c>
      <c r="K246" s="45">
        <v>682.0</v>
      </c>
      <c r="L246" s="45">
        <v>34.0</v>
      </c>
      <c r="M246" s="45">
        <v>10.0</v>
      </c>
      <c r="N246" s="45">
        <v>629.0</v>
      </c>
      <c r="O246" s="46">
        <v>51.0</v>
      </c>
      <c r="P246" s="46">
        <v>13.0</v>
      </c>
      <c r="Q246" s="46">
        <f>IFERROR(__xludf.DUMMYFUNCTION("""COMPUTED_VALUE"""),0.0)</f>
        <v>0</v>
      </c>
      <c r="R246" s="47">
        <v>53.0</v>
      </c>
    </row>
    <row r="247" ht="22.5" customHeight="1">
      <c r="A247" s="42">
        <v>44546.0</v>
      </c>
      <c r="B247" s="43">
        <v>44546.66667824074</v>
      </c>
      <c r="C247" s="17" t="s">
        <v>78</v>
      </c>
      <c r="D247" s="17" t="s">
        <v>807</v>
      </c>
      <c r="E247" s="17" t="s">
        <v>80</v>
      </c>
      <c r="F247" s="17" t="s">
        <v>53</v>
      </c>
      <c r="G247" s="17" t="s">
        <v>808</v>
      </c>
      <c r="H247" s="44" t="s">
        <v>809</v>
      </c>
      <c r="I247" s="45">
        <v>1.0</v>
      </c>
      <c r="J247" s="45">
        <v>826.0</v>
      </c>
      <c r="K247" s="45">
        <v>896.0</v>
      </c>
      <c r="L247" s="45">
        <v>40.0</v>
      </c>
      <c r="M247" s="45">
        <v>40.0</v>
      </c>
      <c r="N247" s="45">
        <v>826.0</v>
      </c>
      <c r="O247" s="46">
        <v>51.0</v>
      </c>
      <c r="P247" s="46">
        <v>16.0</v>
      </c>
      <c r="Q247" s="46">
        <f>IFERROR(__xludf.DUMMYFUNCTION("""COMPUTED_VALUE"""),0.0)</f>
        <v>0</v>
      </c>
      <c r="R247" s="47">
        <v>70.0</v>
      </c>
    </row>
    <row r="248" ht="22.5" customHeight="1">
      <c r="A248" s="42">
        <v>44546.0</v>
      </c>
      <c r="B248" s="43">
        <v>44546.75005787037</v>
      </c>
      <c r="C248" s="17" t="s">
        <v>78</v>
      </c>
      <c r="D248" s="17" t="s">
        <v>810</v>
      </c>
      <c r="E248" s="17" t="s">
        <v>84</v>
      </c>
      <c r="F248" s="17" t="s">
        <v>50</v>
      </c>
      <c r="G248" s="17" t="s">
        <v>811</v>
      </c>
      <c r="H248" s="44" t="s">
        <v>812</v>
      </c>
      <c r="I248" s="45">
        <v>1.0</v>
      </c>
      <c r="J248" s="45">
        <v>184.0</v>
      </c>
      <c r="K248" s="45">
        <v>187.0</v>
      </c>
      <c r="L248" s="45">
        <v>8.0</v>
      </c>
      <c r="M248" s="45">
        <v>7.0</v>
      </c>
      <c r="N248" s="45">
        <v>184.0</v>
      </c>
      <c r="O248" s="46">
        <v>51.0</v>
      </c>
      <c r="P248" s="46">
        <v>18.0</v>
      </c>
      <c r="Q248" s="46">
        <f>IFERROR(__xludf.DUMMYFUNCTION("""COMPUTED_VALUE"""),0.0)</f>
        <v>0</v>
      </c>
      <c r="R248" s="47">
        <v>3.0</v>
      </c>
    </row>
    <row r="249" ht="22.5" customHeight="1">
      <c r="A249" s="42">
        <v>44546.0</v>
      </c>
      <c r="B249" s="43">
        <v>44546.7815162037</v>
      </c>
      <c r="C249" s="17" t="s">
        <v>78</v>
      </c>
      <c r="D249" s="17" t="s">
        <v>813</v>
      </c>
      <c r="E249" s="17" t="s">
        <v>80</v>
      </c>
      <c r="F249" s="17" t="s">
        <v>55</v>
      </c>
      <c r="G249" s="17" t="s">
        <v>814</v>
      </c>
      <c r="H249" s="44" t="s">
        <v>815</v>
      </c>
      <c r="I249" s="45">
        <v>1.0</v>
      </c>
      <c r="J249" s="45">
        <v>308.0</v>
      </c>
      <c r="K249" s="45">
        <v>449.0</v>
      </c>
      <c r="L249" s="45">
        <v>201.0</v>
      </c>
      <c r="M249" s="45">
        <v>72.0</v>
      </c>
      <c r="N249" s="45">
        <v>308.0</v>
      </c>
      <c r="O249" s="46">
        <v>51.0</v>
      </c>
      <c r="P249" s="46">
        <v>18.0</v>
      </c>
      <c r="Q249" s="46">
        <f>IFERROR(__xludf.DUMMYFUNCTION("""COMPUTED_VALUE"""),0.0)</f>
        <v>0</v>
      </c>
      <c r="R249" s="47">
        <v>141.0</v>
      </c>
    </row>
    <row r="250" ht="22.5" customHeight="1">
      <c r="A250" s="42">
        <v>44546.0</v>
      </c>
      <c r="B250" s="43">
        <v>44546.83335648148</v>
      </c>
      <c r="C250" s="17" t="s">
        <v>78</v>
      </c>
      <c r="D250" s="17" t="s">
        <v>816</v>
      </c>
      <c r="E250" s="17" t="s">
        <v>84</v>
      </c>
      <c r="F250" s="17" t="s">
        <v>50</v>
      </c>
      <c r="G250" s="17" t="s">
        <v>817</v>
      </c>
      <c r="H250" s="44" t="s">
        <v>818</v>
      </c>
      <c r="I250" s="45">
        <v>1.0</v>
      </c>
      <c r="J250" s="45">
        <v>21816.0</v>
      </c>
      <c r="K250" s="45">
        <v>22184.0</v>
      </c>
      <c r="L250" s="45">
        <v>161.0</v>
      </c>
      <c r="M250" s="45">
        <v>51.0</v>
      </c>
      <c r="N250" s="45">
        <v>21816.0</v>
      </c>
      <c r="O250" s="46">
        <v>51.0</v>
      </c>
      <c r="P250" s="46">
        <v>20.0</v>
      </c>
      <c r="Q250" s="46">
        <f>IFERROR(__xludf.DUMMYFUNCTION("""COMPUTED_VALUE"""),0.0)</f>
        <v>0</v>
      </c>
      <c r="R250" s="47">
        <v>368.0</v>
      </c>
    </row>
    <row r="251" ht="22.5" customHeight="1">
      <c r="A251" s="42">
        <v>44547.0</v>
      </c>
      <c r="B251" s="43">
        <v>44547.333333333336</v>
      </c>
      <c r="C251" s="17" t="s">
        <v>78</v>
      </c>
      <c r="D251" s="17" t="s">
        <v>819</v>
      </c>
      <c r="E251" s="17" t="s">
        <v>84</v>
      </c>
      <c r="F251" s="17" t="s">
        <v>50</v>
      </c>
      <c r="G251" s="17" t="s">
        <v>820</v>
      </c>
      <c r="H251" s="44" t="s">
        <v>821</v>
      </c>
      <c r="I251" s="45">
        <v>1.0</v>
      </c>
      <c r="J251" s="45">
        <v>206.0</v>
      </c>
      <c r="K251" s="45">
        <v>218.0</v>
      </c>
      <c r="L251" s="45">
        <v>23.0</v>
      </c>
      <c r="M251" s="45">
        <v>3.0</v>
      </c>
      <c r="N251" s="45">
        <v>206.0</v>
      </c>
      <c r="O251" s="46">
        <v>51.0</v>
      </c>
      <c r="P251" s="46">
        <v>8.0</v>
      </c>
      <c r="Q251" s="46">
        <f>IFERROR(__xludf.DUMMYFUNCTION("""COMPUTED_VALUE"""),1.0)</f>
        <v>1</v>
      </c>
      <c r="R251" s="47">
        <v>12.0</v>
      </c>
    </row>
    <row r="252" ht="22.5" customHeight="1">
      <c r="A252" s="42">
        <v>44547.0</v>
      </c>
      <c r="B252" s="43">
        <v>44547.37501157408</v>
      </c>
      <c r="C252" s="17" t="s">
        <v>78</v>
      </c>
      <c r="D252" s="17" t="s">
        <v>822</v>
      </c>
      <c r="E252" s="17" t="s">
        <v>84</v>
      </c>
      <c r="F252" s="17" t="s">
        <v>50</v>
      </c>
      <c r="G252" s="17" t="s">
        <v>823</v>
      </c>
      <c r="H252" s="44" t="s">
        <v>824</v>
      </c>
      <c r="I252" s="45">
        <v>1.0</v>
      </c>
      <c r="J252" s="45">
        <v>8665.0</v>
      </c>
      <c r="K252" s="45">
        <v>10329.0</v>
      </c>
      <c r="L252" s="45">
        <v>786.0</v>
      </c>
      <c r="M252" s="45">
        <v>215.0</v>
      </c>
      <c r="N252" s="45">
        <v>8665.0</v>
      </c>
      <c r="O252" s="46">
        <v>51.0</v>
      </c>
      <c r="P252" s="46">
        <v>9.0</v>
      </c>
      <c r="Q252" s="46">
        <f>IFERROR(__xludf.DUMMYFUNCTION("""COMPUTED_VALUE"""),0.0)</f>
        <v>0</v>
      </c>
      <c r="R252" s="47">
        <v>1664.0</v>
      </c>
    </row>
    <row r="253" ht="22.5" customHeight="1">
      <c r="A253" s="42">
        <v>44547.0</v>
      </c>
      <c r="B253" s="43">
        <v>44547.458344907405</v>
      </c>
      <c r="C253" s="17" t="s">
        <v>78</v>
      </c>
      <c r="D253" s="17" t="s">
        <v>825</v>
      </c>
      <c r="E253" s="17" t="s">
        <v>84</v>
      </c>
      <c r="F253" s="17" t="s">
        <v>50</v>
      </c>
      <c r="G253" s="17" t="s">
        <v>826</v>
      </c>
      <c r="H253" s="44" t="s">
        <v>827</v>
      </c>
      <c r="I253" s="45">
        <v>1.0</v>
      </c>
      <c r="J253" s="45">
        <v>8296.0</v>
      </c>
      <c r="K253" s="45">
        <v>9179.0</v>
      </c>
      <c r="L253" s="45">
        <v>322.0</v>
      </c>
      <c r="M253" s="45">
        <v>231.0</v>
      </c>
      <c r="N253" s="45">
        <v>8296.0</v>
      </c>
      <c r="O253" s="46">
        <v>51.0</v>
      </c>
      <c r="P253" s="46">
        <v>11.0</v>
      </c>
      <c r="Q253" s="46">
        <f>IFERROR(__xludf.DUMMYFUNCTION("""COMPUTED_VALUE"""),0.0)</f>
        <v>0</v>
      </c>
      <c r="R253" s="47">
        <v>883.0</v>
      </c>
    </row>
    <row r="254" ht="22.5" customHeight="1">
      <c r="A254" s="42">
        <v>44547.0</v>
      </c>
      <c r="B254" s="43">
        <v>44547.62501157408</v>
      </c>
      <c r="C254" s="17" t="s">
        <v>78</v>
      </c>
      <c r="D254" s="17" t="s">
        <v>828</v>
      </c>
      <c r="E254" s="17" t="s">
        <v>84</v>
      </c>
      <c r="F254" s="17" t="s">
        <v>47</v>
      </c>
      <c r="G254" s="17" t="s">
        <v>829</v>
      </c>
      <c r="H254" s="44" t="s">
        <v>830</v>
      </c>
      <c r="I254" s="45">
        <v>1.0</v>
      </c>
      <c r="J254" s="45">
        <v>2498.0</v>
      </c>
      <c r="K254" s="45">
        <v>2784.0</v>
      </c>
      <c r="L254" s="45">
        <v>212.0</v>
      </c>
      <c r="M254" s="45">
        <v>170.0</v>
      </c>
      <c r="N254" s="45">
        <v>2498.0</v>
      </c>
      <c r="O254" s="46">
        <v>51.0</v>
      </c>
      <c r="P254" s="46">
        <v>15.0</v>
      </c>
      <c r="Q254" s="46">
        <f>IFERROR(__xludf.DUMMYFUNCTION("""COMPUTED_VALUE"""),0.0)</f>
        <v>0</v>
      </c>
      <c r="R254" s="47">
        <v>286.0</v>
      </c>
    </row>
    <row r="255" ht="22.5" customHeight="1">
      <c r="A255" s="42">
        <v>44547.0</v>
      </c>
      <c r="B255" s="43">
        <v>44547.666712962964</v>
      </c>
      <c r="C255" s="17" t="s">
        <v>78</v>
      </c>
      <c r="D255" s="17" t="s">
        <v>831</v>
      </c>
      <c r="E255" s="17" t="s">
        <v>80</v>
      </c>
      <c r="F255" s="17" t="s">
        <v>55</v>
      </c>
      <c r="G255" s="17" t="s">
        <v>832</v>
      </c>
      <c r="H255" s="44" t="s">
        <v>833</v>
      </c>
      <c r="I255" s="45">
        <v>1.0</v>
      </c>
      <c r="J255" s="45">
        <v>549.0</v>
      </c>
      <c r="K255" s="45">
        <v>584.0</v>
      </c>
      <c r="L255" s="45">
        <v>52.0</v>
      </c>
      <c r="M255" s="45">
        <v>13.0</v>
      </c>
      <c r="N255" s="45">
        <v>549.0</v>
      </c>
      <c r="O255" s="46">
        <v>51.0</v>
      </c>
      <c r="P255" s="46">
        <v>16.0</v>
      </c>
      <c r="Q255" s="46">
        <f>IFERROR(__xludf.DUMMYFUNCTION("""COMPUTED_VALUE"""),0.0)</f>
        <v>0</v>
      </c>
      <c r="R255" s="47">
        <v>35.0</v>
      </c>
    </row>
    <row r="256" ht="22.5" customHeight="1">
      <c r="A256" s="42">
        <v>44547.0</v>
      </c>
      <c r="B256" s="43">
        <v>44547.75003472222</v>
      </c>
      <c r="C256" s="17" t="s">
        <v>78</v>
      </c>
      <c r="D256" s="17" t="s">
        <v>834</v>
      </c>
      <c r="E256" s="17" t="s">
        <v>84</v>
      </c>
      <c r="F256" s="17" t="s">
        <v>50</v>
      </c>
      <c r="G256" s="17" t="s">
        <v>835</v>
      </c>
      <c r="H256" s="44" t="s">
        <v>836</v>
      </c>
      <c r="I256" s="45">
        <v>1.0</v>
      </c>
      <c r="J256" s="45">
        <v>170.0</v>
      </c>
      <c r="K256" s="45">
        <v>174.0</v>
      </c>
      <c r="L256" s="45">
        <v>19.0</v>
      </c>
      <c r="N256" s="45">
        <v>170.0</v>
      </c>
      <c r="O256" s="46">
        <v>51.0</v>
      </c>
      <c r="P256" s="46">
        <v>18.0</v>
      </c>
      <c r="Q256" s="46">
        <f>IFERROR(__xludf.DUMMYFUNCTION("""COMPUTED_VALUE"""),0.0)</f>
        <v>0</v>
      </c>
      <c r="R256" s="47">
        <v>4.0</v>
      </c>
    </row>
    <row r="257" ht="22.5" customHeight="1">
      <c r="A257" s="42">
        <v>44547.0</v>
      </c>
      <c r="B257" s="43">
        <v>44547.782118055555</v>
      </c>
      <c r="C257" s="17" t="s">
        <v>78</v>
      </c>
      <c r="D257" s="17" t="s">
        <v>837</v>
      </c>
      <c r="E257" s="17" t="s">
        <v>80</v>
      </c>
      <c r="F257" s="17" t="s">
        <v>55</v>
      </c>
      <c r="G257" s="17" t="s">
        <v>838</v>
      </c>
      <c r="H257" s="44" t="s">
        <v>839</v>
      </c>
      <c r="I257" s="45">
        <v>1.0</v>
      </c>
      <c r="J257" s="45">
        <v>324.0</v>
      </c>
      <c r="K257" s="45">
        <v>437.0</v>
      </c>
      <c r="L257" s="45">
        <v>305.0</v>
      </c>
      <c r="M257" s="45">
        <v>69.0</v>
      </c>
      <c r="N257" s="45">
        <v>324.0</v>
      </c>
      <c r="O257" s="46">
        <v>51.0</v>
      </c>
      <c r="P257" s="46">
        <v>18.0</v>
      </c>
      <c r="Q257" s="46">
        <f>IFERROR(__xludf.DUMMYFUNCTION("""COMPUTED_VALUE"""),0.0)</f>
        <v>0</v>
      </c>
      <c r="R257" s="47">
        <v>113.0</v>
      </c>
    </row>
    <row r="258" ht="22.5" customHeight="1">
      <c r="A258" s="42">
        <v>44548.0</v>
      </c>
      <c r="B258" s="43">
        <v>44548.333344907405</v>
      </c>
      <c r="C258" s="17" t="s">
        <v>78</v>
      </c>
      <c r="D258" s="17" t="s">
        <v>840</v>
      </c>
      <c r="E258" s="17" t="s">
        <v>84</v>
      </c>
      <c r="F258" s="17" t="s">
        <v>50</v>
      </c>
      <c r="G258" s="17" t="s">
        <v>841</v>
      </c>
      <c r="H258" s="44" t="s">
        <v>842</v>
      </c>
      <c r="I258" s="45">
        <v>1.0</v>
      </c>
      <c r="J258" s="45">
        <v>8784.0</v>
      </c>
      <c r="K258" s="45">
        <v>8943.0</v>
      </c>
      <c r="L258" s="45">
        <v>176.0</v>
      </c>
      <c r="M258" s="45">
        <v>71.0</v>
      </c>
      <c r="N258" s="45">
        <v>8784.0</v>
      </c>
      <c r="O258" s="46">
        <v>51.0</v>
      </c>
      <c r="P258" s="46">
        <v>8.0</v>
      </c>
      <c r="Q258" s="46">
        <f>IFERROR(__xludf.DUMMYFUNCTION("""COMPUTED_VALUE"""),0.0)</f>
        <v>0</v>
      </c>
      <c r="R258" s="47">
        <v>159.0</v>
      </c>
    </row>
    <row r="259" ht="22.5" customHeight="1">
      <c r="A259" s="42">
        <v>44548.0</v>
      </c>
      <c r="B259" s="43">
        <v>44548.37501157408</v>
      </c>
      <c r="C259" s="17" t="s">
        <v>78</v>
      </c>
      <c r="D259" s="17" t="s">
        <v>843</v>
      </c>
      <c r="E259" s="17" t="s">
        <v>84</v>
      </c>
      <c r="F259" s="17" t="s">
        <v>50</v>
      </c>
      <c r="G259" s="17" t="s">
        <v>844</v>
      </c>
      <c r="H259" s="44" t="s">
        <v>845</v>
      </c>
      <c r="I259" s="45">
        <v>1.0</v>
      </c>
      <c r="J259" s="45">
        <v>9349.0</v>
      </c>
      <c r="K259" s="45">
        <v>9464.0</v>
      </c>
      <c r="L259" s="45">
        <v>240.0</v>
      </c>
      <c r="M259" s="45">
        <v>25.0</v>
      </c>
      <c r="N259" s="45">
        <v>9349.0</v>
      </c>
      <c r="O259" s="46">
        <v>51.0</v>
      </c>
      <c r="P259" s="46">
        <v>9.0</v>
      </c>
      <c r="Q259" s="46">
        <f>IFERROR(__xludf.DUMMYFUNCTION("""COMPUTED_VALUE"""),1.0)</f>
        <v>1</v>
      </c>
      <c r="R259" s="47">
        <v>115.0</v>
      </c>
    </row>
    <row r="260" ht="22.5" customHeight="1">
      <c r="A260" s="42">
        <v>44548.0</v>
      </c>
      <c r="B260" s="43">
        <v>44548.458344907405</v>
      </c>
      <c r="C260" s="17" t="s">
        <v>78</v>
      </c>
      <c r="D260" s="17" t="s">
        <v>846</v>
      </c>
      <c r="E260" s="17" t="s">
        <v>109</v>
      </c>
      <c r="F260" s="17" t="s">
        <v>49</v>
      </c>
      <c r="G260" s="17" t="s">
        <v>847</v>
      </c>
      <c r="H260" s="44" t="s">
        <v>848</v>
      </c>
      <c r="I260" s="45">
        <v>1.0</v>
      </c>
      <c r="J260" s="45">
        <v>820.0</v>
      </c>
      <c r="K260" s="45">
        <v>885.0</v>
      </c>
      <c r="L260" s="45">
        <v>73.0</v>
      </c>
      <c r="M260" s="45">
        <v>17.0</v>
      </c>
      <c r="N260" s="45">
        <v>820.0</v>
      </c>
      <c r="O260" s="46">
        <v>51.0</v>
      </c>
      <c r="P260" s="46">
        <v>11.0</v>
      </c>
      <c r="Q260" s="46">
        <f>IFERROR(__xludf.DUMMYFUNCTION("""COMPUTED_VALUE"""),0.0)</f>
        <v>0</v>
      </c>
      <c r="R260" s="47">
        <v>65.0</v>
      </c>
    </row>
    <row r="261" ht="22.5" customHeight="1">
      <c r="A261" s="42">
        <v>44548.0</v>
      </c>
      <c r="B261" s="43">
        <v>44548.541666666664</v>
      </c>
      <c r="C261" s="17" t="s">
        <v>78</v>
      </c>
      <c r="D261" s="17" t="s">
        <v>849</v>
      </c>
      <c r="E261" s="17" t="s">
        <v>84</v>
      </c>
      <c r="F261" s="17" t="s">
        <v>50</v>
      </c>
      <c r="G261" s="17" t="s">
        <v>850</v>
      </c>
      <c r="H261" s="44" t="s">
        <v>851</v>
      </c>
      <c r="I261" s="45">
        <v>1.0</v>
      </c>
      <c r="J261" s="45">
        <v>7253.0</v>
      </c>
      <c r="K261" s="45">
        <v>7680.0</v>
      </c>
      <c r="L261" s="45">
        <v>724.0</v>
      </c>
      <c r="M261" s="45">
        <v>247.0</v>
      </c>
      <c r="N261" s="45">
        <v>7253.0</v>
      </c>
      <c r="O261" s="46">
        <v>51.0</v>
      </c>
      <c r="P261" s="46">
        <v>13.0</v>
      </c>
      <c r="Q261" s="46">
        <f>IFERROR(__xludf.DUMMYFUNCTION("""COMPUTED_VALUE"""),0.0)</f>
        <v>0</v>
      </c>
      <c r="R261" s="47">
        <v>427.0</v>
      </c>
    </row>
    <row r="262" ht="22.5" customHeight="1">
      <c r="A262" s="42">
        <v>44548.0</v>
      </c>
      <c r="B262" s="43">
        <v>44548.625</v>
      </c>
      <c r="C262" s="17" t="s">
        <v>78</v>
      </c>
      <c r="D262" s="17" t="s">
        <v>852</v>
      </c>
      <c r="E262" s="17" t="s">
        <v>84</v>
      </c>
      <c r="F262" s="17" t="s">
        <v>50</v>
      </c>
      <c r="G262" s="17" t="s">
        <v>853</v>
      </c>
      <c r="H262" s="44" t="s">
        <v>854</v>
      </c>
      <c r="I262" s="45">
        <v>1.0</v>
      </c>
      <c r="J262" s="45">
        <v>162.0</v>
      </c>
      <c r="K262" s="45">
        <v>167.0</v>
      </c>
      <c r="L262" s="45">
        <v>25.0</v>
      </c>
      <c r="M262" s="45">
        <v>4.0</v>
      </c>
      <c r="N262" s="45">
        <v>162.0</v>
      </c>
      <c r="O262" s="46">
        <v>51.0</v>
      </c>
      <c r="P262" s="46">
        <v>15.0</v>
      </c>
      <c r="Q262" s="46">
        <f>IFERROR(__xludf.DUMMYFUNCTION("""COMPUTED_VALUE"""),1.0)</f>
        <v>1</v>
      </c>
      <c r="R262" s="47">
        <v>5.0</v>
      </c>
    </row>
    <row r="263" ht="22.5" customHeight="1">
      <c r="A263" s="42">
        <v>44548.0</v>
      </c>
      <c r="B263" s="43">
        <v>44548.708344907405</v>
      </c>
      <c r="C263" s="17" t="s">
        <v>78</v>
      </c>
      <c r="D263" s="17" t="s">
        <v>855</v>
      </c>
      <c r="E263" s="17" t="s">
        <v>80</v>
      </c>
      <c r="F263" s="17" t="s">
        <v>55</v>
      </c>
      <c r="G263" s="17" t="s">
        <v>856</v>
      </c>
      <c r="H263" s="44" t="s">
        <v>857</v>
      </c>
      <c r="I263" s="45">
        <v>1.0</v>
      </c>
      <c r="J263" s="45">
        <v>602.0</v>
      </c>
      <c r="K263" s="45">
        <v>634.0</v>
      </c>
      <c r="L263" s="45">
        <v>67.0</v>
      </c>
      <c r="M263" s="45">
        <v>18.0</v>
      </c>
      <c r="N263" s="45">
        <v>602.0</v>
      </c>
      <c r="O263" s="46">
        <v>51.0</v>
      </c>
      <c r="P263" s="46">
        <v>17.0</v>
      </c>
      <c r="Q263" s="46">
        <f>IFERROR(__xludf.DUMMYFUNCTION("""COMPUTED_VALUE"""),0.0)</f>
        <v>0</v>
      </c>
      <c r="R263" s="47">
        <v>32.0</v>
      </c>
    </row>
    <row r="264" ht="22.5" customHeight="1">
      <c r="A264" s="42">
        <v>44548.0</v>
      </c>
      <c r="B264" s="43">
        <v>44548.77179398148</v>
      </c>
      <c r="C264" s="17" t="s">
        <v>78</v>
      </c>
      <c r="D264" s="17" t="s">
        <v>858</v>
      </c>
      <c r="E264" s="17" t="s">
        <v>80</v>
      </c>
      <c r="F264" s="17" t="s">
        <v>55</v>
      </c>
      <c r="G264" s="17" t="s">
        <v>859</v>
      </c>
      <c r="H264" s="44" t="s">
        <v>860</v>
      </c>
      <c r="I264" s="45">
        <v>1.0</v>
      </c>
      <c r="J264" s="45">
        <v>465.0</v>
      </c>
      <c r="K264" s="45">
        <v>606.0</v>
      </c>
      <c r="L264" s="45">
        <v>271.0</v>
      </c>
      <c r="M264" s="45">
        <v>90.0</v>
      </c>
      <c r="N264" s="45">
        <v>465.0</v>
      </c>
      <c r="O264" s="46">
        <v>51.0</v>
      </c>
      <c r="P264" s="46">
        <v>18.0</v>
      </c>
      <c r="Q264" s="46">
        <f>IFERROR(__xludf.DUMMYFUNCTION("""COMPUTED_VALUE"""),0.0)</f>
        <v>0</v>
      </c>
      <c r="R264" s="47">
        <v>141.0</v>
      </c>
    </row>
    <row r="265" ht="22.5" customHeight="1">
      <c r="A265" s="42">
        <v>44549.0</v>
      </c>
      <c r="B265" s="43">
        <v>44549.375</v>
      </c>
      <c r="C265" s="17" t="s">
        <v>78</v>
      </c>
      <c r="D265" s="17" t="s">
        <v>861</v>
      </c>
      <c r="E265" s="17" t="s">
        <v>84</v>
      </c>
      <c r="F265" s="17" t="s">
        <v>50</v>
      </c>
      <c r="G265" s="17" t="s">
        <v>862</v>
      </c>
      <c r="H265" s="44" t="s">
        <v>863</v>
      </c>
      <c r="I265" s="45">
        <v>1.0</v>
      </c>
      <c r="J265" s="45">
        <v>10575.0</v>
      </c>
      <c r="K265" s="45">
        <v>10721.0</v>
      </c>
      <c r="L265" s="45">
        <v>185.0</v>
      </c>
      <c r="M265" s="45">
        <v>51.0</v>
      </c>
      <c r="N265" s="45">
        <v>10575.0</v>
      </c>
      <c r="O265" s="46">
        <v>52.0</v>
      </c>
      <c r="P265" s="46">
        <v>9.0</v>
      </c>
      <c r="Q265" s="46">
        <f>IFERROR(__xludf.DUMMYFUNCTION("""COMPUTED_VALUE"""),0.0)</f>
        <v>0</v>
      </c>
      <c r="R265" s="47">
        <v>146.0</v>
      </c>
    </row>
    <row r="266" ht="22.5" customHeight="1">
      <c r="A266" s="42">
        <v>44549.0</v>
      </c>
      <c r="B266" s="43">
        <v>44549.458344907405</v>
      </c>
      <c r="C266" s="17" t="s">
        <v>78</v>
      </c>
      <c r="D266" s="17" t="s">
        <v>864</v>
      </c>
      <c r="E266" s="17" t="s">
        <v>80</v>
      </c>
      <c r="F266" s="17" t="s">
        <v>55</v>
      </c>
      <c r="G266" s="17" t="s">
        <v>865</v>
      </c>
      <c r="H266" s="44" t="s">
        <v>866</v>
      </c>
      <c r="I266" s="45">
        <v>1.0</v>
      </c>
      <c r="J266" s="45">
        <v>405.0</v>
      </c>
      <c r="K266" s="45">
        <v>424.0</v>
      </c>
      <c r="L266" s="45">
        <v>35.0</v>
      </c>
      <c r="M266" s="45">
        <v>12.0</v>
      </c>
      <c r="N266" s="45">
        <v>405.0</v>
      </c>
      <c r="O266" s="46">
        <v>52.0</v>
      </c>
      <c r="P266" s="46">
        <v>11.0</v>
      </c>
      <c r="Q266" s="46">
        <f>IFERROR(__xludf.DUMMYFUNCTION("""COMPUTED_VALUE"""),0.0)</f>
        <v>0</v>
      </c>
      <c r="R266" s="47">
        <v>19.0</v>
      </c>
    </row>
    <row r="267" ht="22.5" customHeight="1">
      <c r="A267" s="42">
        <v>44549.0</v>
      </c>
      <c r="B267" s="43">
        <v>44549.54167824074</v>
      </c>
      <c r="C267" s="17" t="s">
        <v>78</v>
      </c>
      <c r="D267" s="17" t="s">
        <v>867</v>
      </c>
      <c r="E267" s="17" t="s">
        <v>84</v>
      </c>
      <c r="F267" s="17" t="s">
        <v>50</v>
      </c>
      <c r="G267" s="17" t="s">
        <v>868</v>
      </c>
      <c r="H267" s="44" t="s">
        <v>869</v>
      </c>
      <c r="I267" s="45">
        <v>1.0</v>
      </c>
      <c r="J267" s="45">
        <v>8407.0</v>
      </c>
      <c r="K267" s="45">
        <v>9394.0</v>
      </c>
      <c r="L267" s="45">
        <v>765.0</v>
      </c>
      <c r="M267" s="45">
        <v>405.0</v>
      </c>
      <c r="N267" s="45">
        <v>8407.0</v>
      </c>
      <c r="O267" s="46">
        <v>52.0</v>
      </c>
      <c r="P267" s="46">
        <v>13.0</v>
      </c>
      <c r="Q267" s="46">
        <f>IFERROR(__xludf.DUMMYFUNCTION("""COMPUTED_VALUE"""),0.0)</f>
        <v>0</v>
      </c>
      <c r="R267" s="47">
        <v>987.0</v>
      </c>
    </row>
    <row r="268" ht="22.5" customHeight="1">
      <c r="A268" s="42">
        <v>44549.0</v>
      </c>
      <c r="B268" s="43">
        <v>44549.583344907405</v>
      </c>
      <c r="C268" s="17" t="s">
        <v>78</v>
      </c>
      <c r="D268" s="17" t="s">
        <v>870</v>
      </c>
      <c r="E268" s="17" t="s">
        <v>84</v>
      </c>
      <c r="F268" s="17" t="s">
        <v>50</v>
      </c>
      <c r="G268" s="17" t="s">
        <v>871</v>
      </c>
      <c r="H268" s="44" t="s">
        <v>872</v>
      </c>
      <c r="I268" s="45">
        <v>1.0</v>
      </c>
      <c r="J268" s="45">
        <v>325.0</v>
      </c>
      <c r="K268" s="45">
        <v>332.0</v>
      </c>
      <c r="L268" s="45">
        <v>17.0</v>
      </c>
      <c r="M268" s="45">
        <v>3.0</v>
      </c>
      <c r="N268" s="45">
        <v>325.0</v>
      </c>
      <c r="O268" s="46">
        <v>52.0</v>
      </c>
      <c r="P268" s="46">
        <v>14.0</v>
      </c>
      <c r="Q268" s="46">
        <f>IFERROR(__xludf.DUMMYFUNCTION("""COMPUTED_VALUE"""),0.0)</f>
        <v>0</v>
      </c>
      <c r="R268" s="47">
        <v>7.0</v>
      </c>
    </row>
    <row r="269" ht="22.5" customHeight="1">
      <c r="A269" s="42">
        <v>44549.0</v>
      </c>
      <c r="B269" s="43">
        <v>44549.66667824074</v>
      </c>
      <c r="C269" s="17" t="s">
        <v>78</v>
      </c>
      <c r="D269" s="17" t="s">
        <v>873</v>
      </c>
      <c r="E269" s="17" t="s">
        <v>80</v>
      </c>
      <c r="F269" s="17" t="s">
        <v>53</v>
      </c>
      <c r="G269" s="17" t="s">
        <v>874</v>
      </c>
      <c r="H269" s="44" t="s">
        <v>875</v>
      </c>
      <c r="I269" s="45">
        <v>1.0</v>
      </c>
      <c r="J269" s="45">
        <v>10626.0</v>
      </c>
      <c r="K269" s="45">
        <v>12701.0</v>
      </c>
      <c r="L269" s="45">
        <v>74.0</v>
      </c>
      <c r="M269" s="45">
        <v>338.0</v>
      </c>
      <c r="N269" s="45">
        <v>10626.0</v>
      </c>
      <c r="O269" s="46">
        <v>52.0</v>
      </c>
      <c r="P269" s="46">
        <v>16.0</v>
      </c>
      <c r="Q269" s="46">
        <f>IFERROR(__xludf.DUMMYFUNCTION("""COMPUTED_VALUE"""),0.0)</f>
        <v>0</v>
      </c>
      <c r="R269" s="47">
        <v>2075.0</v>
      </c>
    </row>
    <row r="270" ht="22.5" customHeight="1">
      <c r="A270" s="42">
        <v>44549.0</v>
      </c>
      <c r="B270" s="43">
        <v>44549.75001157408</v>
      </c>
      <c r="C270" s="17" t="s">
        <v>78</v>
      </c>
      <c r="D270" s="17" t="s">
        <v>876</v>
      </c>
      <c r="E270" s="17" t="s">
        <v>84</v>
      </c>
      <c r="F270" s="17" t="s">
        <v>50</v>
      </c>
      <c r="G270" s="17" t="s">
        <v>877</v>
      </c>
      <c r="H270" s="44" t="s">
        <v>878</v>
      </c>
      <c r="I270" s="45">
        <v>1.0</v>
      </c>
      <c r="J270" s="45">
        <v>414.0</v>
      </c>
      <c r="K270" s="45">
        <v>424.0</v>
      </c>
      <c r="L270" s="45">
        <v>47.0</v>
      </c>
      <c r="M270" s="45">
        <v>14.0</v>
      </c>
      <c r="N270" s="45">
        <v>414.0</v>
      </c>
      <c r="O270" s="46">
        <v>52.0</v>
      </c>
      <c r="P270" s="46">
        <v>18.0</v>
      </c>
      <c r="Q270" s="46">
        <f>IFERROR(__xludf.DUMMYFUNCTION("""COMPUTED_VALUE"""),0.0)</f>
        <v>0</v>
      </c>
      <c r="R270" s="47">
        <v>10.0</v>
      </c>
    </row>
    <row r="271" ht="22.5" customHeight="1">
      <c r="A271" s="42">
        <v>44549.0</v>
      </c>
      <c r="B271" s="43">
        <v>44549.77143518518</v>
      </c>
      <c r="C271" s="17" t="s">
        <v>78</v>
      </c>
      <c r="D271" s="17" t="s">
        <v>879</v>
      </c>
      <c r="E271" s="17" t="s">
        <v>80</v>
      </c>
      <c r="F271" s="17" t="s">
        <v>55</v>
      </c>
      <c r="G271" s="17" t="s">
        <v>880</v>
      </c>
      <c r="H271" s="44" t="s">
        <v>881</v>
      </c>
      <c r="I271" s="45">
        <v>1.0</v>
      </c>
      <c r="J271" s="45">
        <v>416.0</v>
      </c>
      <c r="K271" s="45">
        <v>543.0</v>
      </c>
      <c r="L271" s="45">
        <v>339.0</v>
      </c>
      <c r="M271" s="45">
        <v>132.0</v>
      </c>
      <c r="N271" s="45">
        <v>416.0</v>
      </c>
      <c r="O271" s="46">
        <v>52.0</v>
      </c>
      <c r="P271" s="46">
        <v>18.0</v>
      </c>
      <c r="Q271" s="46">
        <f>IFERROR(__xludf.DUMMYFUNCTION("""COMPUTED_VALUE"""),0.0)</f>
        <v>0</v>
      </c>
      <c r="R271" s="47">
        <v>127.0</v>
      </c>
    </row>
    <row r="272" ht="22.5" customHeight="1">
      <c r="A272" s="42">
        <v>44550.0</v>
      </c>
      <c r="B272" s="43">
        <v>44550.333333333336</v>
      </c>
      <c r="C272" s="17" t="s">
        <v>78</v>
      </c>
      <c r="D272" s="17" t="s">
        <v>882</v>
      </c>
      <c r="E272" s="17" t="s">
        <v>84</v>
      </c>
      <c r="F272" s="17" t="s">
        <v>50</v>
      </c>
      <c r="G272" s="17" t="s">
        <v>883</v>
      </c>
      <c r="H272" s="44" t="s">
        <v>884</v>
      </c>
      <c r="I272" s="45">
        <v>1.0</v>
      </c>
      <c r="J272" s="45">
        <v>9181.0</v>
      </c>
      <c r="K272" s="45">
        <v>9361.0</v>
      </c>
      <c r="L272" s="45">
        <v>223.0</v>
      </c>
      <c r="M272" s="45">
        <v>97.0</v>
      </c>
      <c r="N272" s="45">
        <v>9181.0</v>
      </c>
      <c r="O272" s="46">
        <v>52.0</v>
      </c>
      <c r="P272" s="46">
        <v>8.0</v>
      </c>
      <c r="Q272" s="46">
        <f>IFERROR(__xludf.DUMMYFUNCTION("""COMPUTED_VALUE"""),0.0)</f>
        <v>0</v>
      </c>
      <c r="R272" s="47">
        <v>180.0</v>
      </c>
    </row>
    <row r="273" ht="22.5" customHeight="1">
      <c r="A273" s="42">
        <v>44550.0</v>
      </c>
      <c r="B273" s="43">
        <v>44550.416666666664</v>
      </c>
      <c r="C273" s="17" t="s">
        <v>78</v>
      </c>
      <c r="D273" s="17" t="s">
        <v>885</v>
      </c>
      <c r="E273" s="17" t="s">
        <v>84</v>
      </c>
      <c r="F273" s="17" t="s">
        <v>50</v>
      </c>
      <c r="G273" s="17" t="s">
        <v>886</v>
      </c>
      <c r="H273" s="44" t="s">
        <v>887</v>
      </c>
      <c r="I273" s="45">
        <v>1.0</v>
      </c>
      <c r="J273" s="45">
        <v>190.0</v>
      </c>
      <c r="K273" s="45">
        <v>194.0</v>
      </c>
      <c r="L273" s="45">
        <v>30.0</v>
      </c>
      <c r="M273" s="45">
        <v>6.0</v>
      </c>
      <c r="N273" s="45">
        <v>190.0</v>
      </c>
      <c r="O273" s="46">
        <v>52.0</v>
      </c>
      <c r="P273" s="46">
        <v>10.0</v>
      </c>
      <c r="Q273" s="46">
        <f>IFERROR(__xludf.DUMMYFUNCTION("""COMPUTED_VALUE"""),1.0)</f>
        <v>1</v>
      </c>
      <c r="R273" s="47">
        <v>4.0</v>
      </c>
    </row>
    <row r="274" ht="22.5" customHeight="1">
      <c r="A274" s="42">
        <v>44550.0</v>
      </c>
      <c r="B274" s="43">
        <v>44550.62501157408</v>
      </c>
      <c r="C274" s="17" t="s">
        <v>78</v>
      </c>
      <c r="D274" s="17" t="s">
        <v>888</v>
      </c>
      <c r="E274" s="17" t="s">
        <v>84</v>
      </c>
      <c r="F274" s="17" t="s">
        <v>50</v>
      </c>
      <c r="G274" s="17" t="s">
        <v>889</v>
      </c>
      <c r="H274" s="44" t="s">
        <v>890</v>
      </c>
      <c r="I274" s="45">
        <v>1.0</v>
      </c>
      <c r="J274" s="45">
        <v>7511.0</v>
      </c>
      <c r="K274" s="45">
        <v>8344.0</v>
      </c>
      <c r="L274" s="45">
        <v>821.0</v>
      </c>
      <c r="M274" s="45">
        <v>257.0</v>
      </c>
      <c r="N274" s="45">
        <v>7511.0</v>
      </c>
      <c r="O274" s="46">
        <v>52.0</v>
      </c>
      <c r="P274" s="46">
        <v>15.0</v>
      </c>
      <c r="Q274" s="46">
        <f>IFERROR(__xludf.DUMMYFUNCTION("""COMPUTED_VALUE"""),0.0)</f>
        <v>0</v>
      </c>
      <c r="R274" s="47">
        <v>833.0</v>
      </c>
    </row>
    <row r="275" ht="22.5" customHeight="1">
      <c r="A275" s="42">
        <v>44550.0</v>
      </c>
      <c r="B275" s="43">
        <v>44550.75001157408</v>
      </c>
      <c r="C275" s="17" t="s">
        <v>78</v>
      </c>
      <c r="D275" s="17" t="s">
        <v>891</v>
      </c>
      <c r="E275" s="17" t="s">
        <v>84</v>
      </c>
      <c r="F275" s="17" t="s">
        <v>50</v>
      </c>
      <c r="G275" s="17" t="s">
        <v>892</v>
      </c>
      <c r="H275" s="44" t="s">
        <v>893</v>
      </c>
      <c r="I275" s="45">
        <v>1.0</v>
      </c>
      <c r="J275" s="45">
        <v>283.0</v>
      </c>
      <c r="K275" s="45">
        <v>286.0</v>
      </c>
      <c r="L275" s="45">
        <v>17.0</v>
      </c>
      <c r="M275" s="45">
        <v>6.0</v>
      </c>
      <c r="N275" s="45">
        <v>283.0</v>
      </c>
      <c r="O275" s="46">
        <v>52.0</v>
      </c>
      <c r="P275" s="46">
        <v>18.0</v>
      </c>
      <c r="Q275" s="46">
        <f>IFERROR(__xludf.DUMMYFUNCTION("""COMPUTED_VALUE"""),0.0)</f>
        <v>0</v>
      </c>
      <c r="R275" s="47">
        <v>3.0</v>
      </c>
    </row>
    <row r="276" ht="22.5" customHeight="1">
      <c r="A276" s="42">
        <v>44550.0</v>
      </c>
      <c r="B276" s="43">
        <v>44550.782164351855</v>
      </c>
      <c r="C276" s="17" t="s">
        <v>78</v>
      </c>
      <c r="D276" s="17" t="s">
        <v>894</v>
      </c>
      <c r="E276" s="17" t="s">
        <v>80</v>
      </c>
      <c r="F276" s="17" t="s">
        <v>55</v>
      </c>
      <c r="G276" s="17" t="s">
        <v>895</v>
      </c>
      <c r="H276" s="44" t="s">
        <v>896</v>
      </c>
      <c r="I276" s="45">
        <v>1.0</v>
      </c>
      <c r="J276" s="45">
        <v>387.0</v>
      </c>
      <c r="K276" s="45">
        <v>512.0</v>
      </c>
      <c r="L276" s="45">
        <v>306.0</v>
      </c>
      <c r="M276" s="45">
        <v>91.0</v>
      </c>
      <c r="N276" s="45">
        <v>387.0</v>
      </c>
      <c r="O276" s="46">
        <v>52.0</v>
      </c>
      <c r="P276" s="46">
        <v>18.0</v>
      </c>
      <c r="Q276" s="46">
        <f>IFERROR(__xludf.DUMMYFUNCTION("""COMPUTED_VALUE"""),0.0)</f>
        <v>0</v>
      </c>
      <c r="R276" s="47">
        <v>125.0</v>
      </c>
    </row>
    <row r="277" ht="22.5" customHeight="1">
      <c r="A277" s="42">
        <v>44550.0</v>
      </c>
      <c r="B277" s="43">
        <v>44550.83335648148</v>
      </c>
      <c r="C277" s="17" t="s">
        <v>78</v>
      </c>
      <c r="D277" s="17" t="s">
        <v>897</v>
      </c>
      <c r="E277" s="17" t="s">
        <v>80</v>
      </c>
      <c r="F277" s="17" t="s">
        <v>53</v>
      </c>
      <c r="G277" s="17" t="s">
        <v>898</v>
      </c>
      <c r="H277" s="44" t="s">
        <v>899</v>
      </c>
      <c r="I277" s="45">
        <v>1.0</v>
      </c>
      <c r="J277" s="45">
        <v>622.0</v>
      </c>
      <c r="K277" s="45">
        <v>650.0</v>
      </c>
      <c r="L277" s="45">
        <v>59.0</v>
      </c>
      <c r="M277" s="45">
        <v>26.0</v>
      </c>
      <c r="N277" s="45">
        <v>622.0</v>
      </c>
      <c r="O277" s="46">
        <v>52.0</v>
      </c>
      <c r="P277" s="46">
        <v>20.0</v>
      </c>
      <c r="Q277" s="46">
        <f>IFERROR(__xludf.DUMMYFUNCTION("""COMPUTED_VALUE"""),0.0)</f>
        <v>0</v>
      </c>
      <c r="R277" s="47">
        <v>28.0</v>
      </c>
    </row>
    <row r="278" ht="22.5" customHeight="1">
      <c r="A278" s="42">
        <v>44551.0</v>
      </c>
      <c r="B278" s="43">
        <v>44551.333344907405</v>
      </c>
      <c r="C278" s="17" t="s">
        <v>78</v>
      </c>
      <c r="D278" s="17" t="s">
        <v>900</v>
      </c>
      <c r="E278" s="17" t="s">
        <v>84</v>
      </c>
      <c r="F278" s="17" t="s">
        <v>50</v>
      </c>
      <c r="G278" s="17" t="s">
        <v>901</v>
      </c>
      <c r="H278" s="44" t="s">
        <v>902</v>
      </c>
      <c r="I278" s="45">
        <v>1.0</v>
      </c>
      <c r="J278" s="45">
        <v>8227.0</v>
      </c>
      <c r="K278" s="45">
        <v>8334.0</v>
      </c>
      <c r="L278" s="45">
        <v>158.0</v>
      </c>
      <c r="M278" s="45">
        <v>44.0</v>
      </c>
      <c r="N278" s="45">
        <v>8227.0</v>
      </c>
      <c r="O278" s="46">
        <v>52.0</v>
      </c>
      <c r="P278" s="46">
        <v>8.0</v>
      </c>
      <c r="Q278" s="46">
        <f>IFERROR(__xludf.DUMMYFUNCTION("""COMPUTED_VALUE"""),1.0)</f>
        <v>1</v>
      </c>
      <c r="R278" s="47">
        <v>107.0</v>
      </c>
    </row>
    <row r="279" ht="22.5" customHeight="1">
      <c r="A279" s="42">
        <v>44551.0</v>
      </c>
      <c r="B279" s="43">
        <v>44551.416666666664</v>
      </c>
      <c r="C279" s="17" t="s">
        <v>78</v>
      </c>
      <c r="D279" s="17" t="s">
        <v>903</v>
      </c>
      <c r="E279" s="17" t="s">
        <v>84</v>
      </c>
      <c r="F279" s="17" t="s">
        <v>50</v>
      </c>
      <c r="G279" s="17" t="s">
        <v>904</v>
      </c>
      <c r="H279" s="44" t="s">
        <v>905</v>
      </c>
      <c r="I279" s="45">
        <v>1.0</v>
      </c>
      <c r="J279" s="45">
        <v>6797.0</v>
      </c>
      <c r="K279" s="45">
        <v>6937.0</v>
      </c>
      <c r="L279" s="45">
        <v>217.0</v>
      </c>
      <c r="M279" s="45">
        <v>51.0</v>
      </c>
      <c r="N279" s="45">
        <v>6797.0</v>
      </c>
      <c r="O279" s="46">
        <v>52.0</v>
      </c>
      <c r="P279" s="46">
        <v>10.0</v>
      </c>
      <c r="Q279" s="46">
        <f>IFERROR(__xludf.DUMMYFUNCTION("""COMPUTED_VALUE"""),1.0)</f>
        <v>1</v>
      </c>
      <c r="R279" s="47">
        <v>140.0</v>
      </c>
    </row>
    <row r="280" ht="22.5" customHeight="1">
      <c r="A280" s="42">
        <v>44551.0</v>
      </c>
      <c r="B280" s="43">
        <v>44551.583333333336</v>
      </c>
      <c r="C280" s="17" t="s">
        <v>78</v>
      </c>
      <c r="D280" s="17" t="s">
        <v>906</v>
      </c>
      <c r="E280" s="17" t="s">
        <v>84</v>
      </c>
      <c r="F280" s="17" t="s">
        <v>47</v>
      </c>
      <c r="G280" s="17" t="s">
        <v>907</v>
      </c>
      <c r="H280" s="44" t="s">
        <v>908</v>
      </c>
      <c r="I280" s="45">
        <v>1.0</v>
      </c>
      <c r="J280" s="45">
        <v>1252.0</v>
      </c>
      <c r="K280" s="45">
        <v>1332.0</v>
      </c>
      <c r="L280" s="45">
        <v>90.0</v>
      </c>
      <c r="M280" s="45">
        <v>173.0</v>
      </c>
      <c r="N280" s="45">
        <v>1252.0</v>
      </c>
      <c r="O280" s="46">
        <v>52.0</v>
      </c>
      <c r="P280" s="46">
        <v>14.0</v>
      </c>
      <c r="Q280" s="46">
        <f>IFERROR(__xludf.DUMMYFUNCTION("""COMPUTED_VALUE"""),0.0)</f>
        <v>0</v>
      </c>
      <c r="R280" s="47">
        <v>80.0</v>
      </c>
    </row>
    <row r="281" ht="22.5" customHeight="1">
      <c r="A281" s="42">
        <v>44551.0</v>
      </c>
      <c r="B281" s="43">
        <v>44551.62501157408</v>
      </c>
      <c r="C281" s="17" t="s">
        <v>78</v>
      </c>
      <c r="D281" s="17" t="s">
        <v>909</v>
      </c>
      <c r="E281" s="17" t="s">
        <v>84</v>
      </c>
      <c r="F281" s="17" t="s">
        <v>50</v>
      </c>
      <c r="G281" s="17" t="s">
        <v>910</v>
      </c>
      <c r="H281" s="44" t="s">
        <v>911</v>
      </c>
      <c r="I281" s="45">
        <v>1.0</v>
      </c>
      <c r="J281" s="45">
        <v>1743.0</v>
      </c>
      <c r="K281" s="45">
        <v>1918.0</v>
      </c>
      <c r="L281" s="45">
        <v>320.0</v>
      </c>
      <c r="M281" s="45">
        <v>49.0</v>
      </c>
      <c r="N281" s="45">
        <v>1743.0</v>
      </c>
      <c r="O281" s="46">
        <v>52.0</v>
      </c>
      <c r="P281" s="46">
        <v>15.0</v>
      </c>
      <c r="Q281" s="46">
        <f>IFERROR(__xludf.DUMMYFUNCTION("""COMPUTED_VALUE"""),0.0)</f>
        <v>0</v>
      </c>
      <c r="R281" s="47">
        <v>175.0</v>
      </c>
    </row>
    <row r="282" ht="22.5" customHeight="1">
      <c r="A282" s="42">
        <v>44551.0</v>
      </c>
      <c r="B282" s="43">
        <v>44551.70842592593</v>
      </c>
      <c r="C282" s="17" t="s">
        <v>78</v>
      </c>
      <c r="D282" s="17" t="s">
        <v>912</v>
      </c>
      <c r="E282" s="17" t="s">
        <v>80</v>
      </c>
      <c r="F282" s="17" t="s">
        <v>55</v>
      </c>
      <c r="G282" s="17" t="s">
        <v>913</v>
      </c>
      <c r="H282" s="44" t="s">
        <v>914</v>
      </c>
      <c r="I282" s="45">
        <v>1.0</v>
      </c>
      <c r="J282" s="45">
        <v>1083.0</v>
      </c>
      <c r="K282" s="45">
        <v>1219.0</v>
      </c>
      <c r="L282" s="45">
        <v>140.0</v>
      </c>
      <c r="M282" s="45">
        <v>75.0</v>
      </c>
      <c r="N282" s="45">
        <v>1083.0</v>
      </c>
      <c r="O282" s="46">
        <v>52.0</v>
      </c>
      <c r="P282" s="46">
        <v>17.0</v>
      </c>
      <c r="Q282" s="46">
        <f>IFERROR(__xludf.DUMMYFUNCTION("""COMPUTED_VALUE"""),0.0)</f>
        <v>0</v>
      </c>
      <c r="R282" s="47">
        <v>136.0</v>
      </c>
    </row>
    <row r="283" ht="22.5" customHeight="1">
      <c r="A283" s="42">
        <v>44551.0</v>
      </c>
      <c r="B283" s="43">
        <v>44551.75001157408</v>
      </c>
      <c r="C283" s="17" t="s">
        <v>78</v>
      </c>
      <c r="D283" s="17" t="s">
        <v>915</v>
      </c>
      <c r="E283" s="17" t="s">
        <v>84</v>
      </c>
      <c r="F283" s="17" t="s">
        <v>50</v>
      </c>
      <c r="G283" s="17" t="s">
        <v>916</v>
      </c>
      <c r="H283" s="44" t="s">
        <v>917</v>
      </c>
      <c r="I283" s="45">
        <v>1.0</v>
      </c>
      <c r="J283" s="45">
        <v>267.0</v>
      </c>
      <c r="K283" s="45">
        <v>274.0</v>
      </c>
      <c r="L283" s="45">
        <v>30.0</v>
      </c>
      <c r="M283" s="45">
        <v>3.0</v>
      </c>
      <c r="N283" s="45">
        <v>267.0</v>
      </c>
      <c r="O283" s="46">
        <v>52.0</v>
      </c>
      <c r="P283" s="46">
        <v>18.0</v>
      </c>
      <c r="Q283" s="46">
        <f>IFERROR(__xludf.DUMMYFUNCTION("""COMPUTED_VALUE"""),0.0)</f>
        <v>0</v>
      </c>
      <c r="R283" s="47">
        <v>7.0</v>
      </c>
    </row>
    <row r="284" ht="22.5" customHeight="1">
      <c r="A284" s="42">
        <v>44551.0</v>
      </c>
      <c r="B284" s="43">
        <v>44551.83335648148</v>
      </c>
      <c r="C284" s="17" t="s">
        <v>78</v>
      </c>
      <c r="D284" s="17" t="s">
        <v>918</v>
      </c>
      <c r="E284" s="17" t="s">
        <v>84</v>
      </c>
      <c r="F284" s="17" t="s">
        <v>50</v>
      </c>
      <c r="G284" s="17" t="s">
        <v>919</v>
      </c>
      <c r="H284" s="44" t="s">
        <v>920</v>
      </c>
      <c r="I284" s="45">
        <v>1.0</v>
      </c>
      <c r="J284" s="45">
        <v>4414.0</v>
      </c>
      <c r="K284" s="45">
        <v>4541.0</v>
      </c>
      <c r="L284" s="45">
        <v>70.0</v>
      </c>
      <c r="M284" s="45">
        <v>20.0</v>
      </c>
      <c r="N284" s="45">
        <v>4414.0</v>
      </c>
      <c r="O284" s="46">
        <v>52.0</v>
      </c>
      <c r="P284" s="46">
        <v>20.0</v>
      </c>
      <c r="Q284" s="46">
        <f>IFERROR(__xludf.DUMMYFUNCTION("""COMPUTED_VALUE"""),0.0)</f>
        <v>0</v>
      </c>
      <c r="R284" s="47">
        <v>127.0</v>
      </c>
    </row>
    <row r="285" ht="22.5" customHeight="1">
      <c r="A285" s="42">
        <v>44552.0</v>
      </c>
      <c r="B285" s="43">
        <v>44552.333344907405</v>
      </c>
      <c r="C285" s="17" t="s">
        <v>78</v>
      </c>
      <c r="D285" s="17" t="s">
        <v>921</v>
      </c>
      <c r="E285" s="17" t="s">
        <v>84</v>
      </c>
      <c r="F285" s="17" t="s">
        <v>50</v>
      </c>
      <c r="G285" s="17" t="s">
        <v>922</v>
      </c>
      <c r="H285" s="44" t="s">
        <v>923</v>
      </c>
      <c r="I285" s="45">
        <v>1.0</v>
      </c>
      <c r="J285" s="45">
        <v>12386.0</v>
      </c>
      <c r="K285" s="45">
        <v>14789.0</v>
      </c>
      <c r="L285" s="45">
        <v>1307.0</v>
      </c>
      <c r="M285" s="45">
        <v>357.0</v>
      </c>
      <c r="N285" s="45">
        <v>12386.0</v>
      </c>
      <c r="O285" s="46">
        <v>52.0</v>
      </c>
      <c r="P285" s="46">
        <v>8.0</v>
      </c>
      <c r="Q285" s="46">
        <f>IFERROR(__xludf.DUMMYFUNCTION("""COMPUTED_VALUE"""),0.0)</f>
        <v>0</v>
      </c>
      <c r="R285" s="47">
        <v>2403.0</v>
      </c>
    </row>
    <row r="286" ht="22.5" customHeight="1">
      <c r="A286" s="42">
        <v>44552.0</v>
      </c>
      <c r="B286" s="43">
        <v>44552.41667824074</v>
      </c>
      <c r="C286" s="17" t="s">
        <v>78</v>
      </c>
      <c r="D286" s="17" t="s">
        <v>924</v>
      </c>
      <c r="E286" s="17" t="s">
        <v>84</v>
      </c>
      <c r="F286" s="17" t="s">
        <v>50</v>
      </c>
      <c r="G286" s="17" t="s">
        <v>925</v>
      </c>
      <c r="H286" s="44" t="s">
        <v>926</v>
      </c>
      <c r="I286" s="45">
        <v>1.0</v>
      </c>
      <c r="J286" s="45">
        <v>8241.0</v>
      </c>
      <c r="K286" s="45">
        <v>8562.0</v>
      </c>
      <c r="L286" s="45">
        <v>237.0</v>
      </c>
      <c r="M286" s="45">
        <v>88.0</v>
      </c>
      <c r="N286" s="45">
        <v>8241.0</v>
      </c>
      <c r="O286" s="46">
        <v>52.0</v>
      </c>
      <c r="P286" s="46">
        <v>10.0</v>
      </c>
      <c r="Q286" s="46">
        <f>IFERROR(__xludf.DUMMYFUNCTION("""COMPUTED_VALUE"""),0.0)</f>
        <v>0</v>
      </c>
      <c r="R286" s="47">
        <v>321.0</v>
      </c>
    </row>
    <row r="287" ht="22.5" customHeight="1">
      <c r="A287" s="42">
        <v>44552.0</v>
      </c>
      <c r="B287" s="43">
        <v>44552.541666666664</v>
      </c>
      <c r="C287" s="17" t="s">
        <v>78</v>
      </c>
      <c r="D287" s="17" t="s">
        <v>927</v>
      </c>
      <c r="E287" s="17" t="s">
        <v>84</v>
      </c>
      <c r="F287" s="17" t="s">
        <v>47</v>
      </c>
      <c r="G287" s="17" t="s">
        <v>928</v>
      </c>
      <c r="H287" s="44" t="s">
        <v>929</v>
      </c>
      <c r="I287" s="45">
        <v>1.0</v>
      </c>
      <c r="J287" s="45">
        <v>1810.0</v>
      </c>
      <c r="K287" s="45">
        <v>1877.0</v>
      </c>
      <c r="L287" s="45">
        <v>83.0</v>
      </c>
      <c r="M287" s="45">
        <v>44.0</v>
      </c>
      <c r="N287" s="45">
        <v>1810.0</v>
      </c>
      <c r="O287" s="46">
        <v>52.0</v>
      </c>
      <c r="P287" s="46">
        <v>13.0</v>
      </c>
      <c r="Q287" s="46">
        <f>IFERROR(__xludf.DUMMYFUNCTION("""COMPUTED_VALUE"""),0.0)</f>
        <v>0</v>
      </c>
      <c r="R287" s="47">
        <v>67.0</v>
      </c>
    </row>
    <row r="288" ht="22.5" customHeight="1">
      <c r="A288" s="42">
        <v>44552.0</v>
      </c>
      <c r="B288" s="43">
        <v>44552.62501157408</v>
      </c>
      <c r="C288" s="17" t="s">
        <v>78</v>
      </c>
      <c r="D288" s="17" t="s">
        <v>930</v>
      </c>
      <c r="E288" s="17" t="s">
        <v>84</v>
      </c>
      <c r="F288" s="17" t="s">
        <v>50</v>
      </c>
      <c r="G288" s="17" t="s">
        <v>931</v>
      </c>
      <c r="H288" s="44" t="s">
        <v>932</v>
      </c>
      <c r="I288" s="45">
        <v>1.0</v>
      </c>
      <c r="J288" s="45">
        <v>6966.0</v>
      </c>
      <c r="K288" s="45">
        <v>7158.0</v>
      </c>
      <c r="L288" s="45">
        <v>71.0</v>
      </c>
      <c r="M288" s="45">
        <v>59.0</v>
      </c>
      <c r="N288" s="45">
        <v>6966.0</v>
      </c>
      <c r="O288" s="46">
        <v>52.0</v>
      </c>
      <c r="P288" s="46">
        <v>15.0</v>
      </c>
      <c r="Q288" s="46">
        <f>IFERROR(__xludf.DUMMYFUNCTION("""COMPUTED_VALUE"""),0.0)</f>
        <v>0</v>
      </c>
      <c r="R288" s="47">
        <v>192.0</v>
      </c>
    </row>
    <row r="289" ht="22.5" customHeight="1">
      <c r="A289" s="42">
        <v>44552.0</v>
      </c>
      <c r="B289" s="43">
        <v>44552.708344907405</v>
      </c>
      <c r="C289" s="17" t="s">
        <v>78</v>
      </c>
      <c r="D289" s="17" t="s">
        <v>933</v>
      </c>
      <c r="E289" s="17" t="s">
        <v>80</v>
      </c>
      <c r="F289" s="17" t="s">
        <v>55</v>
      </c>
      <c r="G289" s="17" t="s">
        <v>934</v>
      </c>
      <c r="H289" s="44" t="s">
        <v>935</v>
      </c>
      <c r="I289" s="45">
        <v>1.0</v>
      </c>
      <c r="J289" s="45">
        <v>1016.0</v>
      </c>
      <c r="K289" s="45">
        <v>1068.0</v>
      </c>
      <c r="L289" s="45">
        <v>78.0</v>
      </c>
      <c r="M289" s="45">
        <v>30.0</v>
      </c>
      <c r="N289" s="45">
        <v>1016.0</v>
      </c>
      <c r="O289" s="46">
        <v>52.0</v>
      </c>
      <c r="P289" s="46">
        <v>17.0</v>
      </c>
      <c r="Q289" s="46">
        <f>IFERROR(__xludf.DUMMYFUNCTION("""COMPUTED_VALUE"""),0.0)</f>
        <v>0</v>
      </c>
      <c r="R289" s="47">
        <v>52.0</v>
      </c>
    </row>
    <row r="290" ht="22.5" customHeight="1">
      <c r="A290" s="42">
        <v>44552.0</v>
      </c>
      <c r="B290" s="43">
        <v>44552.75001157408</v>
      </c>
      <c r="C290" s="17" t="s">
        <v>78</v>
      </c>
      <c r="D290" s="17" t="s">
        <v>936</v>
      </c>
      <c r="E290" s="17" t="s">
        <v>84</v>
      </c>
      <c r="F290" s="17" t="s">
        <v>50</v>
      </c>
      <c r="G290" s="17" t="s">
        <v>937</v>
      </c>
      <c r="H290" s="44" t="s">
        <v>938</v>
      </c>
      <c r="I290" s="45">
        <v>1.0</v>
      </c>
      <c r="J290" s="45">
        <v>317.0</v>
      </c>
      <c r="K290" s="45">
        <v>320.0</v>
      </c>
      <c r="L290" s="45">
        <v>18.0</v>
      </c>
      <c r="M290" s="45">
        <v>4.0</v>
      </c>
      <c r="N290" s="45">
        <v>317.0</v>
      </c>
      <c r="O290" s="46">
        <v>52.0</v>
      </c>
      <c r="P290" s="46">
        <v>18.0</v>
      </c>
      <c r="Q290" s="46">
        <f>IFERROR(__xludf.DUMMYFUNCTION("""COMPUTED_VALUE"""),0.0)</f>
        <v>0</v>
      </c>
      <c r="R290" s="47">
        <v>3.0</v>
      </c>
    </row>
    <row r="291" ht="22.5" customHeight="1">
      <c r="A291" s="42">
        <v>44553.0</v>
      </c>
      <c r="B291" s="43">
        <v>44553.333344907405</v>
      </c>
      <c r="C291" s="17" t="s">
        <v>78</v>
      </c>
      <c r="D291" s="17" t="s">
        <v>939</v>
      </c>
      <c r="E291" s="17" t="s">
        <v>84</v>
      </c>
      <c r="F291" s="17" t="s">
        <v>50</v>
      </c>
      <c r="G291" s="17" t="s">
        <v>940</v>
      </c>
      <c r="H291" s="44" t="s">
        <v>941</v>
      </c>
      <c r="I291" s="45">
        <v>1.0</v>
      </c>
      <c r="J291" s="45">
        <v>2773.0</v>
      </c>
      <c r="K291" s="45">
        <v>3058.0</v>
      </c>
      <c r="L291" s="45">
        <v>386.0</v>
      </c>
      <c r="M291" s="45">
        <v>92.0</v>
      </c>
      <c r="N291" s="45">
        <v>2773.0</v>
      </c>
      <c r="O291" s="46">
        <v>52.0</v>
      </c>
      <c r="P291" s="46">
        <v>8.0</v>
      </c>
      <c r="Q291" s="46">
        <f>IFERROR(__xludf.DUMMYFUNCTION("""COMPUTED_VALUE"""),0.0)</f>
        <v>0</v>
      </c>
      <c r="R291" s="47">
        <v>285.0</v>
      </c>
    </row>
    <row r="292" ht="22.5" customHeight="1">
      <c r="A292" s="42">
        <v>44553.0</v>
      </c>
      <c r="B292" s="43">
        <v>44553.375</v>
      </c>
      <c r="C292" s="17" t="s">
        <v>78</v>
      </c>
      <c r="D292" s="17" t="s">
        <v>942</v>
      </c>
      <c r="E292" s="17" t="s">
        <v>84</v>
      </c>
      <c r="F292" s="17" t="s">
        <v>50</v>
      </c>
      <c r="G292" s="17" t="s">
        <v>943</v>
      </c>
      <c r="H292" s="44" t="s">
        <v>944</v>
      </c>
      <c r="I292" s="45">
        <v>1.0</v>
      </c>
      <c r="J292" s="45">
        <v>909.0</v>
      </c>
      <c r="K292" s="45">
        <v>1012.0</v>
      </c>
      <c r="L292" s="45">
        <v>97.0</v>
      </c>
      <c r="M292" s="45">
        <v>13.0</v>
      </c>
      <c r="N292" s="45">
        <v>909.0</v>
      </c>
      <c r="O292" s="46">
        <v>52.0</v>
      </c>
      <c r="P292" s="46">
        <v>9.0</v>
      </c>
      <c r="Q292" s="46">
        <f>IFERROR(__xludf.DUMMYFUNCTION("""COMPUTED_VALUE"""),0.0)</f>
        <v>0</v>
      </c>
      <c r="R292" s="47">
        <v>103.0</v>
      </c>
    </row>
    <row r="293" ht="22.5" customHeight="1">
      <c r="A293" s="42">
        <v>44553.0</v>
      </c>
      <c r="B293" s="43">
        <v>44553.416666666664</v>
      </c>
      <c r="C293" s="17" t="s">
        <v>78</v>
      </c>
      <c r="D293" s="17" t="s">
        <v>945</v>
      </c>
      <c r="E293" s="17" t="s">
        <v>84</v>
      </c>
      <c r="F293" s="17" t="s">
        <v>50</v>
      </c>
      <c r="G293" s="17" t="s">
        <v>946</v>
      </c>
      <c r="H293" s="44" t="s">
        <v>947</v>
      </c>
      <c r="I293" s="45">
        <v>1.0</v>
      </c>
      <c r="J293" s="45">
        <v>177.0</v>
      </c>
      <c r="K293" s="45">
        <v>180.0</v>
      </c>
      <c r="L293" s="45">
        <v>16.0</v>
      </c>
      <c r="N293" s="45">
        <v>177.0</v>
      </c>
      <c r="O293" s="46">
        <v>52.0</v>
      </c>
      <c r="P293" s="46">
        <v>10.0</v>
      </c>
      <c r="Q293" s="46">
        <f>IFERROR(__xludf.DUMMYFUNCTION("""COMPUTED_VALUE"""),1.0)</f>
        <v>1</v>
      </c>
      <c r="R293" s="47">
        <v>3.0</v>
      </c>
    </row>
    <row r="294" ht="22.5" customHeight="1">
      <c r="A294" s="42">
        <v>44553.0</v>
      </c>
      <c r="B294" s="43">
        <v>44553.5</v>
      </c>
      <c r="C294" s="17" t="s">
        <v>78</v>
      </c>
      <c r="D294" s="17" t="s">
        <v>948</v>
      </c>
      <c r="E294" s="17" t="s">
        <v>84</v>
      </c>
      <c r="F294" s="17" t="s">
        <v>50</v>
      </c>
      <c r="G294" s="17" t="s">
        <v>949</v>
      </c>
      <c r="H294" s="44" t="s">
        <v>950</v>
      </c>
      <c r="I294" s="45">
        <v>1.0</v>
      </c>
      <c r="J294" s="45">
        <v>4476.0</v>
      </c>
      <c r="K294" s="45">
        <v>4845.0</v>
      </c>
      <c r="L294" s="45">
        <v>735.0</v>
      </c>
      <c r="M294" s="45">
        <v>658.0</v>
      </c>
      <c r="N294" s="45">
        <v>4476.0</v>
      </c>
      <c r="O294" s="46">
        <v>52.0</v>
      </c>
      <c r="P294" s="46">
        <v>12.0</v>
      </c>
      <c r="Q294" s="46">
        <f>IFERROR(__xludf.DUMMYFUNCTION("""COMPUTED_VALUE"""),0.0)</f>
        <v>0</v>
      </c>
      <c r="R294" s="47">
        <v>369.0</v>
      </c>
    </row>
    <row r="295" ht="22.5" customHeight="1">
      <c r="A295" s="42">
        <v>44553.0</v>
      </c>
      <c r="B295" s="43">
        <v>44553.583333333336</v>
      </c>
      <c r="C295" s="17" t="s">
        <v>78</v>
      </c>
      <c r="D295" s="17" t="s">
        <v>951</v>
      </c>
      <c r="E295" s="17" t="s">
        <v>84</v>
      </c>
      <c r="F295" s="17" t="s">
        <v>50</v>
      </c>
      <c r="G295" s="17" t="s">
        <v>952</v>
      </c>
      <c r="H295" s="44" t="s">
        <v>953</v>
      </c>
      <c r="I295" s="45">
        <v>1.0</v>
      </c>
      <c r="J295" s="45">
        <v>4518.0</v>
      </c>
      <c r="K295" s="45">
        <v>4546.0</v>
      </c>
      <c r="L295" s="45">
        <v>29.0</v>
      </c>
      <c r="M295" s="45">
        <v>18.0</v>
      </c>
      <c r="N295" s="45">
        <v>4518.0</v>
      </c>
      <c r="O295" s="46">
        <v>52.0</v>
      </c>
      <c r="P295" s="46">
        <v>14.0</v>
      </c>
      <c r="Q295" s="46">
        <f>IFERROR(__xludf.DUMMYFUNCTION("""COMPUTED_VALUE"""),0.0)</f>
        <v>0</v>
      </c>
      <c r="R295" s="47">
        <v>28.0</v>
      </c>
    </row>
    <row r="296" ht="22.5" customHeight="1">
      <c r="A296" s="42">
        <v>44553.0</v>
      </c>
      <c r="B296" s="43">
        <v>44553.66668981482</v>
      </c>
      <c r="C296" s="17" t="s">
        <v>78</v>
      </c>
      <c r="D296" s="17" t="s">
        <v>954</v>
      </c>
      <c r="E296" s="17" t="s">
        <v>80</v>
      </c>
      <c r="F296" s="17" t="s">
        <v>55</v>
      </c>
      <c r="G296" s="17" t="s">
        <v>955</v>
      </c>
      <c r="H296" s="44" t="s">
        <v>956</v>
      </c>
      <c r="I296" s="45">
        <v>1.0</v>
      </c>
      <c r="J296" s="45">
        <v>612.0</v>
      </c>
      <c r="K296" s="45">
        <v>665.0</v>
      </c>
      <c r="L296" s="45">
        <v>39.0</v>
      </c>
      <c r="M296" s="45">
        <v>7.0</v>
      </c>
      <c r="N296" s="45">
        <v>612.0</v>
      </c>
      <c r="O296" s="46">
        <v>52.0</v>
      </c>
      <c r="P296" s="46">
        <v>16.0</v>
      </c>
      <c r="Q296" s="46">
        <f>IFERROR(__xludf.DUMMYFUNCTION("""COMPUTED_VALUE"""),0.0)</f>
        <v>0</v>
      </c>
      <c r="R296" s="47">
        <v>53.0</v>
      </c>
    </row>
    <row r="297" ht="22.5" customHeight="1">
      <c r="A297" s="42">
        <v>44553.0</v>
      </c>
      <c r="B297" s="43">
        <v>44553.75001157408</v>
      </c>
      <c r="C297" s="17" t="s">
        <v>78</v>
      </c>
      <c r="D297" s="17" t="s">
        <v>957</v>
      </c>
      <c r="E297" s="17" t="s">
        <v>84</v>
      </c>
      <c r="F297" s="17" t="s">
        <v>50</v>
      </c>
      <c r="G297" s="17" t="s">
        <v>958</v>
      </c>
      <c r="H297" s="44" t="s">
        <v>959</v>
      </c>
      <c r="I297" s="45">
        <v>1.0</v>
      </c>
      <c r="J297" s="45">
        <v>273.0</v>
      </c>
      <c r="K297" s="45">
        <v>277.0</v>
      </c>
      <c r="L297" s="45">
        <v>10.0</v>
      </c>
      <c r="M297" s="45">
        <v>3.0</v>
      </c>
      <c r="N297" s="45">
        <v>273.0</v>
      </c>
      <c r="O297" s="46">
        <v>52.0</v>
      </c>
      <c r="P297" s="46">
        <v>18.0</v>
      </c>
      <c r="Q297" s="46">
        <f>IFERROR(__xludf.DUMMYFUNCTION("""COMPUTED_VALUE"""),0.0)</f>
        <v>0</v>
      </c>
      <c r="R297" s="47">
        <v>4.0</v>
      </c>
    </row>
    <row r="298" ht="22.5" customHeight="1">
      <c r="A298" s="42">
        <v>44553.0</v>
      </c>
      <c r="B298" s="43">
        <v>44553.83335648148</v>
      </c>
      <c r="C298" s="17" t="s">
        <v>78</v>
      </c>
      <c r="D298" s="17" t="s">
        <v>960</v>
      </c>
      <c r="E298" s="17" t="s">
        <v>80</v>
      </c>
      <c r="F298" s="17" t="s">
        <v>55</v>
      </c>
      <c r="G298" s="17" t="s">
        <v>961</v>
      </c>
      <c r="H298" s="44" t="s">
        <v>962</v>
      </c>
      <c r="I298" s="45">
        <v>1.0</v>
      </c>
      <c r="J298" s="45">
        <v>402.0</v>
      </c>
      <c r="K298" s="45">
        <v>445.0</v>
      </c>
      <c r="L298" s="45">
        <v>13.0</v>
      </c>
      <c r="M298" s="45">
        <v>7.0</v>
      </c>
      <c r="N298" s="45">
        <v>402.0</v>
      </c>
      <c r="O298" s="46">
        <v>52.0</v>
      </c>
      <c r="P298" s="46">
        <v>20.0</v>
      </c>
      <c r="Q298" s="46">
        <f>IFERROR(__xludf.DUMMYFUNCTION("""COMPUTED_VALUE"""),0.0)</f>
        <v>0</v>
      </c>
      <c r="R298" s="47">
        <v>43.0</v>
      </c>
    </row>
    <row r="299" ht="22.5" customHeight="1">
      <c r="A299" s="42">
        <v>44554.0</v>
      </c>
      <c r="B299" s="43">
        <v>44554.333333333336</v>
      </c>
      <c r="C299" s="17" t="s">
        <v>78</v>
      </c>
      <c r="D299" s="17" t="s">
        <v>963</v>
      </c>
      <c r="E299" s="17" t="s">
        <v>84</v>
      </c>
      <c r="F299" s="17" t="s">
        <v>50</v>
      </c>
      <c r="G299" s="17" t="s">
        <v>964</v>
      </c>
      <c r="H299" s="44" t="s">
        <v>965</v>
      </c>
      <c r="I299" s="45">
        <v>1.0</v>
      </c>
      <c r="J299" s="45">
        <v>12209.0</v>
      </c>
      <c r="K299" s="45">
        <v>12962.0</v>
      </c>
      <c r="L299" s="45">
        <v>451.0</v>
      </c>
      <c r="M299" s="45">
        <v>248.0</v>
      </c>
      <c r="N299" s="45">
        <v>12209.0</v>
      </c>
      <c r="O299" s="46">
        <v>52.0</v>
      </c>
      <c r="P299" s="46">
        <v>8.0</v>
      </c>
      <c r="Q299" s="46">
        <f>IFERROR(__xludf.DUMMYFUNCTION("""COMPUTED_VALUE"""),0.0)</f>
        <v>0</v>
      </c>
      <c r="R299" s="47">
        <v>753.0</v>
      </c>
    </row>
    <row r="300" ht="22.5" customHeight="1">
      <c r="A300" s="42">
        <v>44554.0</v>
      </c>
      <c r="B300" s="43">
        <v>44554.375</v>
      </c>
      <c r="C300" s="17" t="s">
        <v>78</v>
      </c>
      <c r="D300" s="17" t="s">
        <v>966</v>
      </c>
      <c r="E300" s="17" t="s">
        <v>84</v>
      </c>
      <c r="F300" s="17" t="s">
        <v>50</v>
      </c>
      <c r="G300" s="17" t="s">
        <v>967</v>
      </c>
      <c r="H300" s="44" t="s">
        <v>968</v>
      </c>
      <c r="I300" s="45">
        <v>1.0</v>
      </c>
      <c r="J300" s="45">
        <v>10863.0</v>
      </c>
      <c r="K300" s="45">
        <v>11260.0</v>
      </c>
      <c r="L300" s="45">
        <v>404.0</v>
      </c>
      <c r="M300" s="45">
        <v>109.0</v>
      </c>
      <c r="N300" s="45">
        <v>10863.0</v>
      </c>
      <c r="O300" s="46">
        <v>52.0</v>
      </c>
      <c r="P300" s="46">
        <v>9.0</v>
      </c>
      <c r="Q300" s="46">
        <f>IFERROR(__xludf.DUMMYFUNCTION("""COMPUTED_VALUE"""),0.0)</f>
        <v>0</v>
      </c>
      <c r="R300" s="47">
        <v>397.0</v>
      </c>
    </row>
    <row r="301" ht="22.5" customHeight="1">
      <c r="A301" s="42">
        <v>44554.0</v>
      </c>
      <c r="B301" s="43">
        <v>44554.54167824074</v>
      </c>
      <c r="C301" s="17" t="s">
        <v>78</v>
      </c>
      <c r="D301" s="17" t="s">
        <v>969</v>
      </c>
      <c r="E301" s="17" t="s">
        <v>80</v>
      </c>
      <c r="F301" s="17" t="s">
        <v>55</v>
      </c>
      <c r="G301" s="17" t="s">
        <v>970</v>
      </c>
      <c r="H301" s="44" t="s">
        <v>971</v>
      </c>
      <c r="I301" s="45">
        <v>1.0</v>
      </c>
      <c r="J301" s="45">
        <v>1550.0</v>
      </c>
      <c r="K301" s="45">
        <v>1777.0</v>
      </c>
      <c r="L301" s="45">
        <v>113.0</v>
      </c>
      <c r="M301" s="45">
        <v>36.0</v>
      </c>
      <c r="N301" s="45">
        <v>1550.0</v>
      </c>
      <c r="O301" s="46">
        <v>52.0</v>
      </c>
      <c r="P301" s="46">
        <v>13.0</v>
      </c>
      <c r="Q301" s="46">
        <f>IFERROR(__xludf.DUMMYFUNCTION("""COMPUTED_VALUE"""),0.0)</f>
        <v>0</v>
      </c>
      <c r="R301" s="47">
        <v>227.0</v>
      </c>
    </row>
    <row r="302" ht="22.5" customHeight="1">
      <c r="A302" s="51">
        <v>44470.0</v>
      </c>
      <c r="B302" s="52">
        <v>44470.50071759259</v>
      </c>
      <c r="C302" s="53" t="s">
        <v>972</v>
      </c>
      <c r="D302" s="53" t="s">
        <v>973</v>
      </c>
      <c r="E302" s="53" t="s">
        <v>84</v>
      </c>
      <c r="F302" s="53" t="s">
        <v>50</v>
      </c>
      <c r="G302" s="53" t="s">
        <v>974</v>
      </c>
      <c r="H302" s="54" t="s">
        <v>975</v>
      </c>
      <c r="I302" s="55">
        <v>1.0</v>
      </c>
      <c r="J302" s="55">
        <v>1091.0</v>
      </c>
      <c r="K302" s="55">
        <v>1111.0</v>
      </c>
      <c r="L302" s="55">
        <v>13.0</v>
      </c>
      <c r="M302" s="55">
        <v>49.0</v>
      </c>
      <c r="N302" s="55">
        <v>1091.0</v>
      </c>
      <c r="O302" s="56">
        <v>40.0</v>
      </c>
      <c r="P302" s="56">
        <v>12.0</v>
      </c>
      <c r="Q302" s="56">
        <v>0.0</v>
      </c>
      <c r="R302" s="57">
        <v>20.0</v>
      </c>
    </row>
    <row r="303" ht="22.5" customHeight="1">
      <c r="A303" s="51">
        <v>44470.0</v>
      </c>
      <c r="B303" s="52">
        <v>44470.625069444446</v>
      </c>
      <c r="C303" s="53" t="s">
        <v>972</v>
      </c>
      <c r="D303" s="53" t="s">
        <v>976</v>
      </c>
      <c r="E303" s="53" t="s">
        <v>84</v>
      </c>
      <c r="F303" s="53" t="s">
        <v>50</v>
      </c>
      <c r="G303" s="53" t="s">
        <v>977</v>
      </c>
      <c r="H303" s="54" t="s">
        <v>978</v>
      </c>
      <c r="I303" s="55">
        <v>1.0</v>
      </c>
      <c r="J303" s="55">
        <v>2465.0</v>
      </c>
      <c r="K303" s="55">
        <v>2758.0</v>
      </c>
      <c r="L303" s="55">
        <v>30.0</v>
      </c>
      <c r="M303" s="55">
        <v>132.0</v>
      </c>
      <c r="N303" s="55">
        <v>2465.0</v>
      </c>
      <c r="O303" s="56">
        <v>40.0</v>
      </c>
      <c r="P303" s="56">
        <v>15.0</v>
      </c>
      <c r="Q303" s="56">
        <v>0.0</v>
      </c>
      <c r="R303" s="57">
        <v>293.0</v>
      </c>
    </row>
    <row r="304" ht="22.5" customHeight="1">
      <c r="A304" s="51">
        <v>44470.0</v>
      </c>
      <c r="B304" s="52">
        <v>44470.66672453703</v>
      </c>
      <c r="C304" s="53" t="s">
        <v>972</v>
      </c>
      <c r="D304" s="53" t="s">
        <v>979</v>
      </c>
      <c r="E304" s="53" t="s">
        <v>84</v>
      </c>
      <c r="F304" s="53" t="s">
        <v>50</v>
      </c>
      <c r="G304" s="53" t="s">
        <v>980</v>
      </c>
      <c r="H304" s="54" t="s">
        <v>981</v>
      </c>
      <c r="I304" s="55">
        <v>1.0</v>
      </c>
      <c r="J304" s="55">
        <v>108.0</v>
      </c>
      <c r="K304" s="55">
        <v>109.0</v>
      </c>
      <c r="L304" s="55">
        <v>0.0</v>
      </c>
      <c r="M304" s="53"/>
      <c r="N304" s="55">
        <v>108.0</v>
      </c>
      <c r="O304" s="56">
        <v>40.0</v>
      </c>
      <c r="P304" s="56">
        <v>16.0</v>
      </c>
      <c r="Q304" s="56">
        <v>0.0</v>
      </c>
      <c r="R304" s="57">
        <v>1.0</v>
      </c>
    </row>
    <row r="305" ht="22.5" customHeight="1">
      <c r="A305" s="51">
        <v>44470.0</v>
      </c>
      <c r="B305" s="52">
        <v>44470.93457175926</v>
      </c>
      <c r="C305" s="53" t="s">
        <v>972</v>
      </c>
      <c r="D305" s="53" t="s">
        <v>982</v>
      </c>
      <c r="E305" s="53" t="s">
        <v>84</v>
      </c>
      <c r="F305" s="53" t="s">
        <v>50</v>
      </c>
      <c r="G305" s="53" t="s">
        <v>983</v>
      </c>
      <c r="H305" s="54" t="s">
        <v>984</v>
      </c>
      <c r="I305" s="55">
        <v>1.0</v>
      </c>
      <c r="J305" s="55">
        <v>1034.0</v>
      </c>
      <c r="K305" s="55">
        <v>1049.0</v>
      </c>
      <c r="L305" s="55">
        <v>27.0</v>
      </c>
      <c r="M305" s="55">
        <v>14.0</v>
      </c>
      <c r="N305" s="55">
        <v>1034.0</v>
      </c>
      <c r="O305" s="56">
        <v>40.0</v>
      </c>
      <c r="P305" s="56">
        <v>22.0</v>
      </c>
      <c r="Q305" s="56">
        <v>0.0</v>
      </c>
      <c r="R305" s="57">
        <v>15.0</v>
      </c>
    </row>
    <row r="306" ht="22.5" customHeight="1">
      <c r="A306" s="51">
        <v>44470.0</v>
      </c>
      <c r="B306" s="52">
        <v>44470.93769675926</v>
      </c>
      <c r="C306" s="53" t="s">
        <v>972</v>
      </c>
      <c r="D306" s="53" t="s">
        <v>985</v>
      </c>
      <c r="E306" s="53" t="s">
        <v>84</v>
      </c>
      <c r="F306" s="53" t="s">
        <v>50</v>
      </c>
      <c r="G306" s="53" t="s">
        <v>986</v>
      </c>
      <c r="H306" s="54" t="s">
        <v>987</v>
      </c>
      <c r="I306" s="55">
        <v>1.0</v>
      </c>
      <c r="J306" s="55">
        <v>4684.0</v>
      </c>
      <c r="K306" s="55">
        <v>5203.0</v>
      </c>
      <c r="L306" s="55">
        <v>55.0</v>
      </c>
      <c r="M306" s="55">
        <v>545.0</v>
      </c>
      <c r="N306" s="55">
        <v>4684.0</v>
      </c>
      <c r="O306" s="56">
        <v>40.0</v>
      </c>
      <c r="P306" s="56">
        <v>22.0</v>
      </c>
      <c r="Q306" s="56">
        <v>0.0</v>
      </c>
      <c r="R306" s="57">
        <v>519.0</v>
      </c>
    </row>
    <row r="307" ht="22.5" customHeight="1">
      <c r="A307" s="51">
        <v>44471.0</v>
      </c>
      <c r="B307" s="52">
        <v>44471.62509259259</v>
      </c>
      <c r="C307" s="53" t="s">
        <v>972</v>
      </c>
      <c r="D307" s="53" t="s">
        <v>988</v>
      </c>
      <c r="E307" s="53" t="s">
        <v>84</v>
      </c>
      <c r="F307" s="53" t="s">
        <v>50</v>
      </c>
      <c r="G307" s="53" t="s">
        <v>989</v>
      </c>
      <c r="H307" s="54" t="s">
        <v>990</v>
      </c>
      <c r="I307" s="55">
        <v>1.0</v>
      </c>
      <c r="J307" s="55">
        <v>2952.0</v>
      </c>
      <c r="K307" s="55">
        <v>3015.0</v>
      </c>
      <c r="L307" s="55">
        <v>43.0</v>
      </c>
      <c r="M307" s="55">
        <v>130.0</v>
      </c>
      <c r="N307" s="55">
        <v>2952.0</v>
      </c>
      <c r="O307" s="56">
        <v>40.0</v>
      </c>
      <c r="P307" s="56">
        <v>15.0</v>
      </c>
      <c r="Q307" s="56">
        <v>0.0</v>
      </c>
      <c r="R307" s="57">
        <v>63.0</v>
      </c>
    </row>
    <row r="308" ht="22.5" customHeight="1">
      <c r="A308" s="51">
        <v>44471.0</v>
      </c>
      <c r="B308" s="52">
        <v>44471.675520833334</v>
      </c>
      <c r="C308" s="53" t="s">
        <v>972</v>
      </c>
      <c r="D308" s="53" t="s">
        <v>991</v>
      </c>
      <c r="E308" s="53" t="s">
        <v>80</v>
      </c>
      <c r="F308" s="53" t="s">
        <v>55</v>
      </c>
      <c r="G308" s="53" t="s">
        <v>992</v>
      </c>
      <c r="H308" s="54" t="s">
        <v>993</v>
      </c>
      <c r="I308" s="55">
        <v>1.0</v>
      </c>
      <c r="J308" s="55">
        <v>517.0</v>
      </c>
      <c r="K308" s="55">
        <v>549.0</v>
      </c>
      <c r="L308" s="55">
        <v>16.0</v>
      </c>
      <c r="M308" s="55">
        <v>48.0</v>
      </c>
      <c r="N308" s="55">
        <v>517.0</v>
      </c>
      <c r="O308" s="56">
        <v>40.0</v>
      </c>
      <c r="P308" s="56">
        <v>16.0</v>
      </c>
      <c r="Q308" s="56">
        <v>1.0</v>
      </c>
      <c r="R308" s="57">
        <v>32.0</v>
      </c>
    </row>
    <row r="309" ht="22.5" customHeight="1">
      <c r="A309" s="51">
        <v>44471.0</v>
      </c>
      <c r="B309" s="52">
        <v>44471.8803125</v>
      </c>
      <c r="C309" s="53" t="s">
        <v>972</v>
      </c>
      <c r="D309" s="53" t="s">
        <v>994</v>
      </c>
      <c r="E309" s="53" t="s">
        <v>84</v>
      </c>
      <c r="F309" s="53" t="s">
        <v>50</v>
      </c>
      <c r="G309" s="53" t="s">
        <v>995</v>
      </c>
      <c r="H309" s="54" t="s">
        <v>996</v>
      </c>
      <c r="I309" s="55">
        <v>1.0</v>
      </c>
      <c r="J309" s="55">
        <v>482.0</v>
      </c>
      <c r="K309" s="55">
        <v>483.0</v>
      </c>
      <c r="L309" s="55">
        <v>7.0</v>
      </c>
      <c r="M309" s="55">
        <v>5.0</v>
      </c>
      <c r="N309" s="55">
        <v>482.0</v>
      </c>
      <c r="O309" s="56">
        <v>40.0</v>
      </c>
      <c r="P309" s="56">
        <v>21.0</v>
      </c>
      <c r="Q309" s="56">
        <v>0.0</v>
      </c>
      <c r="R309" s="57">
        <v>1.0</v>
      </c>
    </row>
    <row r="310" ht="22.5" customHeight="1">
      <c r="A310" s="51">
        <v>44472.0</v>
      </c>
      <c r="B310" s="52">
        <v>44472.679930555554</v>
      </c>
      <c r="C310" s="53" t="s">
        <v>972</v>
      </c>
      <c r="D310" s="53" t="s">
        <v>997</v>
      </c>
      <c r="E310" s="53" t="s">
        <v>80</v>
      </c>
      <c r="F310" s="53" t="s">
        <v>55</v>
      </c>
      <c r="G310" s="53" t="s">
        <v>998</v>
      </c>
      <c r="H310" s="54" t="s">
        <v>999</v>
      </c>
      <c r="I310" s="55">
        <v>1.0</v>
      </c>
      <c r="J310" s="55">
        <v>461.0</v>
      </c>
      <c r="K310" s="55">
        <v>493.0</v>
      </c>
      <c r="L310" s="55">
        <v>16.0</v>
      </c>
      <c r="M310" s="55">
        <v>40.0</v>
      </c>
      <c r="N310" s="55">
        <v>461.0</v>
      </c>
      <c r="O310" s="56">
        <v>41.0</v>
      </c>
      <c r="P310" s="56">
        <v>16.0</v>
      </c>
      <c r="Q310" s="56">
        <v>1.0</v>
      </c>
      <c r="R310" s="57">
        <v>32.0</v>
      </c>
    </row>
    <row r="311" ht="22.5" customHeight="1">
      <c r="A311" s="51">
        <v>44472.0</v>
      </c>
      <c r="B311" s="52">
        <v>44472.88178240741</v>
      </c>
      <c r="C311" s="53" t="s">
        <v>972</v>
      </c>
      <c r="D311" s="53" t="s">
        <v>1000</v>
      </c>
      <c r="E311" s="53" t="s">
        <v>84</v>
      </c>
      <c r="F311" s="53" t="s">
        <v>47</v>
      </c>
      <c r="G311" s="53" t="s">
        <v>1001</v>
      </c>
      <c r="H311" s="54" t="s">
        <v>1002</v>
      </c>
      <c r="I311" s="55">
        <v>1.0</v>
      </c>
      <c r="J311" s="55">
        <v>229.0</v>
      </c>
      <c r="K311" s="55">
        <v>231.0</v>
      </c>
      <c r="L311" s="55">
        <v>4.0</v>
      </c>
      <c r="M311" s="55">
        <v>3.0</v>
      </c>
      <c r="N311" s="55">
        <v>229.0</v>
      </c>
      <c r="O311" s="56">
        <v>41.0</v>
      </c>
      <c r="P311" s="56">
        <v>21.0</v>
      </c>
      <c r="Q311" s="56">
        <v>0.0</v>
      </c>
      <c r="R311" s="57">
        <v>2.0</v>
      </c>
    </row>
    <row r="312" ht="22.5" customHeight="1">
      <c r="A312" s="51">
        <v>44472.0</v>
      </c>
      <c r="B312" s="52">
        <v>44472.89579861111</v>
      </c>
      <c r="C312" s="53" t="s">
        <v>972</v>
      </c>
      <c r="D312" s="53" t="s">
        <v>1003</v>
      </c>
      <c r="E312" s="53" t="s">
        <v>84</v>
      </c>
      <c r="F312" s="53" t="s">
        <v>50</v>
      </c>
      <c r="G312" s="53" t="s">
        <v>1004</v>
      </c>
      <c r="H312" s="54" t="s">
        <v>1005</v>
      </c>
      <c r="I312" s="55">
        <v>1.0</v>
      </c>
      <c r="J312" s="55">
        <v>447.0</v>
      </c>
      <c r="K312" s="55">
        <v>451.0</v>
      </c>
      <c r="L312" s="55">
        <v>3.0</v>
      </c>
      <c r="M312" s="55">
        <v>6.0</v>
      </c>
      <c r="N312" s="55">
        <v>447.0</v>
      </c>
      <c r="O312" s="56">
        <v>41.0</v>
      </c>
      <c r="P312" s="56">
        <v>21.0</v>
      </c>
      <c r="Q312" s="56">
        <v>0.0</v>
      </c>
      <c r="R312" s="57">
        <v>4.0</v>
      </c>
    </row>
    <row r="313" ht="22.5" customHeight="1">
      <c r="A313" s="51">
        <v>44474.0</v>
      </c>
      <c r="B313" s="52">
        <v>44474.42178240741</v>
      </c>
      <c r="C313" s="53" t="s">
        <v>972</v>
      </c>
      <c r="D313" s="53" t="s">
        <v>1006</v>
      </c>
      <c r="E313" s="53" t="s">
        <v>84</v>
      </c>
      <c r="F313" s="53" t="s">
        <v>50</v>
      </c>
      <c r="G313" s="53" t="s">
        <v>1007</v>
      </c>
      <c r="H313" s="54" t="s">
        <v>1008</v>
      </c>
      <c r="I313" s="55">
        <v>1.0</v>
      </c>
      <c r="J313" s="55">
        <v>74.0</v>
      </c>
      <c r="K313" s="55">
        <v>74.0</v>
      </c>
      <c r="L313" s="55">
        <v>3.0</v>
      </c>
      <c r="M313" s="53"/>
      <c r="N313" s="55">
        <v>74.0</v>
      </c>
      <c r="O313" s="56">
        <v>41.0</v>
      </c>
      <c r="P313" s="56">
        <v>10.0</v>
      </c>
      <c r="Q313" s="56">
        <v>0.0</v>
      </c>
      <c r="R313" s="57">
        <v>0.0</v>
      </c>
    </row>
    <row r="314" ht="22.5" customHeight="1">
      <c r="A314" s="51">
        <v>44474.0</v>
      </c>
      <c r="B314" s="52">
        <v>44474.67722222222</v>
      </c>
      <c r="C314" s="53" t="s">
        <v>972</v>
      </c>
      <c r="D314" s="53" t="s">
        <v>1009</v>
      </c>
      <c r="E314" s="53" t="s">
        <v>80</v>
      </c>
      <c r="F314" s="53" t="s">
        <v>55</v>
      </c>
      <c r="G314" s="53" t="s">
        <v>1010</v>
      </c>
      <c r="H314" s="54" t="s">
        <v>1011</v>
      </c>
      <c r="I314" s="55">
        <v>1.0</v>
      </c>
      <c r="J314" s="55">
        <v>1271.0</v>
      </c>
      <c r="K314" s="55">
        <v>1321.0</v>
      </c>
      <c r="L314" s="55">
        <v>15.0</v>
      </c>
      <c r="M314" s="55">
        <v>61.0</v>
      </c>
      <c r="N314" s="55">
        <v>1271.0</v>
      </c>
      <c r="O314" s="56">
        <v>41.0</v>
      </c>
      <c r="P314" s="56">
        <v>16.0</v>
      </c>
      <c r="Q314" s="56">
        <v>0.0</v>
      </c>
      <c r="R314" s="57">
        <v>50.0</v>
      </c>
    </row>
    <row r="315" ht="22.5" customHeight="1">
      <c r="A315" s="51">
        <v>44474.0</v>
      </c>
      <c r="B315" s="52">
        <v>44474.750081018516</v>
      </c>
      <c r="C315" s="53" t="s">
        <v>972</v>
      </c>
      <c r="D315" s="53" t="s">
        <v>1012</v>
      </c>
      <c r="E315" s="53" t="s">
        <v>80</v>
      </c>
      <c r="F315" s="53" t="s">
        <v>55</v>
      </c>
      <c r="G315" s="53" t="s">
        <v>1013</v>
      </c>
      <c r="H315" s="54" t="s">
        <v>1014</v>
      </c>
      <c r="I315" s="55">
        <v>1.0</v>
      </c>
      <c r="J315" s="55">
        <v>163.0</v>
      </c>
      <c r="K315" s="55">
        <v>165.0</v>
      </c>
      <c r="L315" s="55">
        <v>0.0</v>
      </c>
      <c r="M315" s="55">
        <v>3.0</v>
      </c>
      <c r="N315" s="55">
        <v>163.0</v>
      </c>
      <c r="O315" s="56">
        <v>41.0</v>
      </c>
      <c r="P315" s="56">
        <v>18.0</v>
      </c>
      <c r="Q315" s="56">
        <v>0.0</v>
      </c>
      <c r="R315" s="57">
        <v>2.0</v>
      </c>
    </row>
    <row r="316" ht="22.5" customHeight="1">
      <c r="A316" s="51">
        <v>44474.0</v>
      </c>
      <c r="B316" s="52">
        <v>44474.87501157408</v>
      </c>
      <c r="C316" s="53" t="s">
        <v>972</v>
      </c>
      <c r="D316" s="53" t="s">
        <v>1015</v>
      </c>
      <c r="E316" s="53" t="s">
        <v>84</v>
      </c>
      <c r="F316" s="53" t="s">
        <v>50</v>
      </c>
      <c r="G316" s="53" t="s">
        <v>1016</v>
      </c>
      <c r="H316" s="54" t="s">
        <v>1017</v>
      </c>
      <c r="I316" s="55">
        <v>1.0</v>
      </c>
      <c r="J316" s="55">
        <v>218.0</v>
      </c>
      <c r="K316" s="55">
        <v>225.0</v>
      </c>
      <c r="L316" s="55">
        <v>20.0</v>
      </c>
      <c r="M316" s="55">
        <v>11.0</v>
      </c>
      <c r="N316" s="55">
        <v>218.0</v>
      </c>
      <c r="O316" s="56">
        <v>41.0</v>
      </c>
      <c r="P316" s="56">
        <v>21.0</v>
      </c>
      <c r="Q316" s="56">
        <v>0.0</v>
      </c>
      <c r="R316" s="57">
        <v>7.0</v>
      </c>
    </row>
    <row r="317" ht="22.5" customHeight="1">
      <c r="A317" s="51">
        <v>44475.0</v>
      </c>
      <c r="B317" s="52">
        <v>44475.409270833334</v>
      </c>
      <c r="C317" s="53" t="s">
        <v>972</v>
      </c>
      <c r="D317" s="53" t="s">
        <v>1018</v>
      </c>
      <c r="E317" s="53" t="s">
        <v>109</v>
      </c>
      <c r="F317" s="53" t="s">
        <v>50</v>
      </c>
      <c r="G317" s="53" t="s">
        <v>1019</v>
      </c>
      <c r="H317" s="54" t="s">
        <v>1020</v>
      </c>
      <c r="I317" s="55">
        <v>1.0</v>
      </c>
      <c r="J317" s="55">
        <v>250.0</v>
      </c>
      <c r="K317" s="55">
        <v>250.0</v>
      </c>
      <c r="L317" s="55">
        <v>4.0</v>
      </c>
      <c r="M317" s="55">
        <v>14.0</v>
      </c>
      <c r="N317" s="55">
        <v>250.0</v>
      </c>
      <c r="O317" s="56">
        <v>41.0</v>
      </c>
      <c r="P317" s="56">
        <v>9.0</v>
      </c>
      <c r="Q317" s="56">
        <v>0.0</v>
      </c>
      <c r="R317" s="57">
        <v>0.0</v>
      </c>
    </row>
    <row r="318" ht="22.5" customHeight="1">
      <c r="A318" s="51">
        <v>44475.0</v>
      </c>
      <c r="B318" s="52">
        <v>44475.65335648148</v>
      </c>
      <c r="C318" s="53" t="s">
        <v>972</v>
      </c>
      <c r="D318" s="53" t="s">
        <v>1021</v>
      </c>
      <c r="E318" s="53" t="s">
        <v>80</v>
      </c>
      <c r="F318" s="53" t="s">
        <v>55</v>
      </c>
      <c r="G318" s="53" t="s">
        <v>1022</v>
      </c>
      <c r="H318" s="54" t="s">
        <v>1023</v>
      </c>
      <c r="I318" s="55">
        <v>1.0</v>
      </c>
      <c r="J318" s="55">
        <v>628.0</v>
      </c>
      <c r="K318" s="55">
        <v>642.0</v>
      </c>
      <c r="L318" s="55">
        <v>7.0</v>
      </c>
      <c r="M318" s="55">
        <v>33.0</v>
      </c>
      <c r="N318" s="55">
        <v>628.0</v>
      </c>
      <c r="O318" s="56">
        <v>41.0</v>
      </c>
      <c r="P318" s="56">
        <v>15.0</v>
      </c>
      <c r="Q318" s="56">
        <v>0.0</v>
      </c>
      <c r="R318" s="57">
        <v>14.0</v>
      </c>
    </row>
    <row r="319" ht="22.5" customHeight="1">
      <c r="A319" s="51">
        <v>44475.0</v>
      </c>
      <c r="B319" s="52">
        <v>44475.68817129629</v>
      </c>
      <c r="C319" s="53" t="s">
        <v>972</v>
      </c>
      <c r="D319" s="53" t="s">
        <v>1024</v>
      </c>
      <c r="E319" s="53" t="s">
        <v>84</v>
      </c>
      <c r="F319" s="53" t="s">
        <v>47</v>
      </c>
      <c r="G319" s="53" t="s">
        <v>1025</v>
      </c>
      <c r="H319" s="54" t="s">
        <v>1026</v>
      </c>
      <c r="I319" s="55">
        <v>1.0</v>
      </c>
      <c r="J319" s="55">
        <v>1139.0</v>
      </c>
      <c r="K319" s="55">
        <v>1164.0</v>
      </c>
      <c r="L319" s="55">
        <v>55.0</v>
      </c>
      <c r="M319" s="55">
        <v>157.0</v>
      </c>
      <c r="N319" s="55">
        <v>1139.0</v>
      </c>
      <c r="O319" s="56">
        <v>41.0</v>
      </c>
      <c r="P319" s="56">
        <v>16.0</v>
      </c>
      <c r="Q319" s="56">
        <v>0.0</v>
      </c>
      <c r="R319" s="57">
        <v>25.0</v>
      </c>
    </row>
    <row r="320" ht="22.5" customHeight="1">
      <c r="A320" s="51">
        <v>44475.0</v>
      </c>
      <c r="B320" s="52">
        <v>44475.750625</v>
      </c>
      <c r="C320" s="53" t="s">
        <v>972</v>
      </c>
      <c r="D320" s="53" t="s">
        <v>1027</v>
      </c>
      <c r="E320" s="53" t="s">
        <v>84</v>
      </c>
      <c r="F320" s="53" t="s">
        <v>50</v>
      </c>
      <c r="G320" s="53" t="s">
        <v>1028</v>
      </c>
      <c r="H320" s="54" t="s">
        <v>1029</v>
      </c>
      <c r="I320" s="55">
        <v>1.0</v>
      </c>
      <c r="J320" s="55">
        <v>1831.0</v>
      </c>
      <c r="K320" s="55">
        <v>1872.0</v>
      </c>
      <c r="L320" s="55">
        <v>44.0</v>
      </c>
      <c r="M320" s="55">
        <v>222.0</v>
      </c>
      <c r="N320" s="55">
        <v>1831.0</v>
      </c>
      <c r="O320" s="56">
        <v>41.0</v>
      </c>
      <c r="P320" s="56">
        <v>18.0</v>
      </c>
      <c r="Q320" s="56">
        <v>0.0</v>
      </c>
      <c r="R320" s="57">
        <v>41.0</v>
      </c>
    </row>
    <row r="321" ht="22.5" customHeight="1">
      <c r="A321" s="51">
        <v>44476.0</v>
      </c>
      <c r="B321" s="52">
        <v>44476.48962962963</v>
      </c>
      <c r="C321" s="53" t="s">
        <v>972</v>
      </c>
      <c r="D321" s="53" t="s">
        <v>1030</v>
      </c>
      <c r="E321" s="53" t="s">
        <v>80</v>
      </c>
      <c r="F321" s="53" t="s">
        <v>55</v>
      </c>
      <c r="G321" s="53" t="s">
        <v>1031</v>
      </c>
      <c r="H321" s="54" t="s">
        <v>1032</v>
      </c>
      <c r="I321" s="55">
        <v>1.0</v>
      </c>
      <c r="J321" s="55">
        <v>261.0</v>
      </c>
      <c r="K321" s="55">
        <v>268.0</v>
      </c>
      <c r="L321" s="55">
        <v>0.0</v>
      </c>
      <c r="M321" s="55">
        <v>8.0</v>
      </c>
      <c r="N321" s="55">
        <v>261.0</v>
      </c>
      <c r="O321" s="56">
        <v>41.0</v>
      </c>
      <c r="P321" s="56">
        <v>11.0</v>
      </c>
      <c r="Q321" s="56">
        <v>0.0</v>
      </c>
      <c r="R321" s="57">
        <v>7.0</v>
      </c>
    </row>
    <row r="322" ht="22.5" customHeight="1">
      <c r="A322" s="51">
        <v>44476.0</v>
      </c>
      <c r="B322" s="52">
        <v>44476.583715277775</v>
      </c>
      <c r="C322" s="53" t="s">
        <v>972</v>
      </c>
      <c r="D322" s="53" t="s">
        <v>1033</v>
      </c>
      <c r="E322" s="53" t="s">
        <v>80</v>
      </c>
      <c r="F322" s="53" t="s">
        <v>55</v>
      </c>
      <c r="G322" s="53" t="s">
        <v>1034</v>
      </c>
      <c r="H322" s="54" t="s">
        <v>1035</v>
      </c>
      <c r="I322" s="55">
        <v>1.0</v>
      </c>
      <c r="J322" s="55">
        <v>145.0</v>
      </c>
      <c r="K322" s="55">
        <v>148.0</v>
      </c>
      <c r="L322" s="55">
        <v>0.0</v>
      </c>
      <c r="M322" s="55">
        <v>2.0</v>
      </c>
      <c r="N322" s="55">
        <v>145.0</v>
      </c>
      <c r="O322" s="56">
        <v>41.0</v>
      </c>
      <c r="P322" s="56">
        <v>14.0</v>
      </c>
      <c r="Q322" s="56">
        <v>0.0</v>
      </c>
      <c r="R322" s="57">
        <v>3.0</v>
      </c>
    </row>
    <row r="323" ht="22.5" customHeight="1">
      <c r="A323" s="51">
        <v>44476.0</v>
      </c>
      <c r="B323" s="52">
        <v>44476.63263888889</v>
      </c>
      <c r="C323" s="53" t="s">
        <v>972</v>
      </c>
      <c r="D323" s="53" t="s">
        <v>1036</v>
      </c>
      <c r="E323" s="53" t="s">
        <v>109</v>
      </c>
      <c r="F323" s="53" t="s">
        <v>50</v>
      </c>
      <c r="G323" s="53" t="s">
        <v>1037</v>
      </c>
      <c r="H323" s="54" t="s">
        <v>1038</v>
      </c>
      <c r="I323" s="55">
        <v>1.0</v>
      </c>
      <c r="J323" s="55">
        <v>1252.0</v>
      </c>
      <c r="K323" s="55">
        <v>1259.0</v>
      </c>
      <c r="L323" s="55">
        <v>18.0</v>
      </c>
      <c r="M323" s="55">
        <v>75.0</v>
      </c>
      <c r="N323" s="55">
        <v>1252.0</v>
      </c>
      <c r="O323" s="56">
        <v>41.0</v>
      </c>
      <c r="P323" s="56">
        <v>15.0</v>
      </c>
      <c r="Q323" s="56">
        <v>0.0</v>
      </c>
      <c r="R323" s="57">
        <v>7.0</v>
      </c>
    </row>
    <row r="324" ht="22.5" customHeight="1">
      <c r="A324" s="51">
        <v>44476.0</v>
      </c>
      <c r="B324" s="52">
        <v>44476.69006944444</v>
      </c>
      <c r="C324" s="53" t="s">
        <v>972</v>
      </c>
      <c r="D324" s="53" t="s">
        <v>1039</v>
      </c>
      <c r="E324" s="58" t="s">
        <v>109</v>
      </c>
      <c r="F324" s="53"/>
      <c r="G324" s="53" t="s">
        <v>1040</v>
      </c>
      <c r="H324" s="54" t="s">
        <v>1041</v>
      </c>
      <c r="I324" s="55">
        <v>1.0</v>
      </c>
      <c r="J324" s="55">
        <v>63.0</v>
      </c>
      <c r="K324" s="55">
        <v>63.0</v>
      </c>
      <c r="L324" s="55">
        <v>0.0</v>
      </c>
      <c r="M324" s="55">
        <v>7.0</v>
      </c>
      <c r="N324" s="55">
        <v>63.0</v>
      </c>
      <c r="O324" s="56">
        <v>41.0</v>
      </c>
      <c r="P324" s="56">
        <v>16.0</v>
      </c>
      <c r="Q324" s="56">
        <v>0.0</v>
      </c>
      <c r="R324" s="57">
        <v>0.0</v>
      </c>
    </row>
    <row r="325" ht="22.5" customHeight="1">
      <c r="A325" s="51">
        <v>44477.0</v>
      </c>
      <c r="B325" s="52">
        <v>44477.489583333336</v>
      </c>
      <c r="C325" s="53" t="s">
        <v>972</v>
      </c>
      <c r="D325" s="53" t="s">
        <v>1042</v>
      </c>
      <c r="E325" s="53" t="s">
        <v>80</v>
      </c>
      <c r="F325" s="53" t="s">
        <v>55</v>
      </c>
      <c r="G325" s="53" t="s">
        <v>1043</v>
      </c>
      <c r="H325" s="54" t="s">
        <v>1044</v>
      </c>
      <c r="I325" s="55">
        <v>1.0</v>
      </c>
      <c r="J325" s="55">
        <v>141.0</v>
      </c>
      <c r="K325" s="55">
        <v>145.0</v>
      </c>
      <c r="L325" s="55">
        <v>2.0</v>
      </c>
      <c r="M325" s="55">
        <v>1.0</v>
      </c>
      <c r="N325" s="55">
        <v>141.0</v>
      </c>
      <c r="O325" s="56">
        <v>41.0</v>
      </c>
      <c r="P325" s="56">
        <v>11.0</v>
      </c>
      <c r="Q325" s="56">
        <v>0.0</v>
      </c>
      <c r="R325" s="57">
        <v>4.0</v>
      </c>
    </row>
    <row r="326" ht="22.5" customHeight="1">
      <c r="A326" s="51">
        <v>44477.0</v>
      </c>
      <c r="B326" s="52">
        <v>44477.58351851852</v>
      </c>
      <c r="C326" s="53" t="s">
        <v>972</v>
      </c>
      <c r="D326" s="53" t="s">
        <v>1045</v>
      </c>
      <c r="E326" s="53" t="s">
        <v>84</v>
      </c>
      <c r="F326" s="53" t="s">
        <v>50</v>
      </c>
      <c r="G326" s="53" t="s">
        <v>1046</v>
      </c>
      <c r="H326" s="54" t="s">
        <v>1047</v>
      </c>
      <c r="I326" s="55">
        <v>1.0</v>
      </c>
      <c r="J326" s="55">
        <v>584.0</v>
      </c>
      <c r="K326" s="55">
        <v>597.0</v>
      </c>
      <c r="L326" s="55">
        <v>10.0</v>
      </c>
      <c r="M326" s="55">
        <v>14.0</v>
      </c>
      <c r="N326" s="55">
        <v>584.0</v>
      </c>
      <c r="O326" s="56">
        <v>41.0</v>
      </c>
      <c r="P326" s="56">
        <v>14.0</v>
      </c>
      <c r="Q326" s="56">
        <v>0.0</v>
      </c>
      <c r="R326" s="57">
        <v>13.0</v>
      </c>
    </row>
    <row r="327" ht="22.5" customHeight="1">
      <c r="A327" s="51">
        <v>44477.0</v>
      </c>
      <c r="B327" s="52">
        <v>44477.64596064815</v>
      </c>
      <c r="C327" s="53" t="s">
        <v>972</v>
      </c>
      <c r="D327" s="53" t="s">
        <v>1048</v>
      </c>
      <c r="E327" s="53" t="s">
        <v>84</v>
      </c>
      <c r="F327" s="53" t="s">
        <v>50</v>
      </c>
      <c r="G327" s="53" t="s">
        <v>1049</v>
      </c>
      <c r="H327" s="54" t="s">
        <v>1050</v>
      </c>
      <c r="I327" s="55">
        <v>1.0</v>
      </c>
      <c r="J327" s="55">
        <v>451.0</v>
      </c>
      <c r="K327" s="55">
        <v>465.0</v>
      </c>
      <c r="L327" s="55">
        <v>1.0</v>
      </c>
      <c r="M327" s="55">
        <v>26.0</v>
      </c>
      <c r="N327" s="55">
        <v>451.0</v>
      </c>
      <c r="O327" s="56">
        <v>41.0</v>
      </c>
      <c r="P327" s="56">
        <v>15.0</v>
      </c>
      <c r="Q327" s="56">
        <v>0.0</v>
      </c>
      <c r="R327" s="57">
        <v>14.0</v>
      </c>
    </row>
    <row r="328" ht="22.5" customHeight="1">
      <c r="A328" s="51">
        <v>44477.0</v>
      </c>
      <c r="B328" s="52">
        <v>44477.722233796296</v>
      </c>
      <c r="C328" s="53" t="s">
        <v>972</v>
      </c>
      <c r="D328" s="53" t="s">
        <v>1051</v>
      </c>
      <c r="E328" s="58" t="s">
        <v>109</v>
      </c>
      <c r="F328" s="53"/>
      <c r="G328" s="53" t="s">
        <v>1052</v>
      </c>
      <c r="H328" s="54" t="s">
        <v>1053</v>
      </c>
      <c r="I328" s="55">
        <v>1.0</v>
      </c>
      <c r="J328" s="55">
        <v>93.0</v>
      </c>
      <c r="K328" s="55">
        <v>93.0</v>
      </c>
      <c r="L328" s="55">
        <v>1.0</v>
      </c>
      <c r="M328" s="55">
        <v>1.0</v>
      </c>
      <c r="N328" s="55">
        <v>93.0</v>
      </c>
      <c r="O328" s="56">
        <v>41.0</v>
      </c>
      <c r="P328" s="56">
        <v>17.0</v>
      </c>
      <c r="Q328" s="56">
        <v>0.0</v>
      </c>
      <c r="R328" s="57">
        <v>0.0</v>
      </c>
    </row>
    <row r="329" ht="22.5" customHeight="1">
      <c r="A329" s="51">
        <v>44478.0</v>
      </c>
      <c r="B329" s="52">
        <v>44478.64129629629</v>
      </c>
      <c r="C329" s="53" t="s">
        <v>972</v>
      </c>
      <c r="D329" s="53" t="s">
        <v>1054</v>
      </c>
      <c r="E329" s="53" t="s">
        <v>109</v>
      </c>
      <c r="F329" s="53" t="s">
        <v>50</v>
      </c>
      <c r="G329" s="53" t="s">
        <v>1055</v>
      </c>
      <c r="H329" s="54" t="s">
        <v>1056</v>
      </c>
      <c r="I329" s="55">
        <v>1.0</v>
      </c>
      <c r="J329" s="55">
        <v>1089.0</v>
      </c>
      <c r="K329" s="55">
        <v>1108.0</v>
      </c>
      <c r="L329" s="55">
        <v>34.0</v>
      </c>
      <c r="M329" s="55">
        <v>23.0</v>
      </c>
      <c r="N329" s="55">
        <v>1089.0</v>
      </c>
      <c r="O329" s="56">
        <v>41.0</v>
      </c>
      <c r="P329" s="56">
        <v>15.0</v>
      </c>
      <c r="Q329" s="56">
        <v>0.0</v>
      </c>
      <c r="R329" s="57">
        <v>19.0</v>
      </c>
    </row>
    <row r="330" ht="22.5" customHeight="1">
      <c r="A330" s="51">
        <v>44478.0</v>
      </c>
      <c r="B330" s="52">
        <v>44478.71833333333</v>
      </c>
      <c r="C330" s="53" t="s">
        <v>972</v>
      </c>
      <c r="D330" s="53" t="s">
        <v>1057</v>
      </c>
      <c r="E330" s="58" t="s">
        <v>109</v>
      </c>
      <c r="F330" s="53"/>
      <c r="G330" s="53" t="s">
        <v>1058</v>
      </c>
      <c r="H330" s="54" t="s">
        <v>1059</v>
      </c>
      <c r="I330" s="55">
        <v>1.0</v>
      </c>
      <c r="J330" s="55">
        <v>39.0</v>
      </c>
      <c r="K330" s="55">
        <v>39.0</v>
      </c>
      <c r="L330" s="55">
        <v>0.0</v>
      </c>
      <c r="M330" s="55">
        <v>3.0</v>
      </c>
      <c r="N330" s="55">
        <v>39.0</v>
      </c>
      <c r="O330" s="56">
        <v>41.0</v>
      </c>
      <c r="P330" s="56">
        <v>17.0</v>
      </c>
      <c r="Q330" s="56">
        <v>0.0</v>
      </c>
      <c r="R330" s="57">
        <v>0.0</v>
      </c>
    </row>
    <row r="331" ht="22.5" customHeight="1">
      <c r="A331" s="51">
        <v>44479.0</v>
      </c>
      <c r="B331" s="52">
        <v>44479.640173611115</v>
      </c>
      <c r="C331" s="53" t="s">
        <v>972</v>
      </c>
      <c r="D331" s="53" t="s">
        <v>1060</v>
      </c>
      <c r="E331" s="53" t="s">
        <v>80</v>
      </c>
      <c r="F331" s="53" t="s">
        <v>55</v>
      </c>
      <c r="G331" s="53" t="s">
        <v>1061</v>
      </c>
      <c r="H331" s="54" t="s">
        <v>1062</v>
      </c>
      <c r="I331" s="55">
        <v>1.0</v>
      </c>
      <c r="J331" s="55">
        <v>141.0</v>
      </c>
      <c r="K331" s="55">
        <v>147.0</v>
      </c>
      <c r="L331" s="55">
        <v>2.0</v>
      </c>
      <c r="M331" s="55">
        <v>2.0</v>
      </c>
      <c r="N331" s="55">
        <v>141.0</v>
      </c>
      <c r="O331" s="56">
        <v>42.0</v>
      </c>
      <c r="P331" s="56">
        <v>15.0</v>
      </c>
      <c r="Q331" s="56">
        <v>0.0</v>
      </c>
      <c r="R331" s="57">
        <v>6.0</v>
      </c>
    </row>
    <row r="332" ht="22.5" customHeight="1">
      <c r="A332" s="51">
        <v>44480.0</v>
      </c>
      <c r="B332" s="52">
        <v>44480.512083333335</v>
      </c>
      <c r="C332" s="53" t="s">
        <v>972</v>
      </c>
      <c r="D332" s="53" t="s">
        <v>1063</v>
      </c>
      <c r="E332" s="53" t="s">
        <v>109</v>
      </c>
      <c r="F332" s="53" t="s">
        <v>50</v>
      </c>
      <c r="G332" s="53" t="s">
        <v>1064</v>
      </c>
      <c r="H332" s="54" t="s">
        <v>1065</v>
      </c>
      <c r="I332" s="55">
        <v>1.0</v>
      </c>
      <c r="J332" s="55">
        <v>1579.0</v>
      </c>
      <c r="K332" s="55">
        <v>1613.0</v>
      </c>
      <c r="L332" s="55">
        <v>4.0</v>
      </c>
      <c r="M332" s="55">
        <v>30.0</v>
      </c>
      <c r="N332" s="55">
        <v>1579.0</v>
      </c>
      <c r="O332" s="56">
        <v>42.0</v>
      </c>
      <c r="P332" s="56">
        <v>12.0</v>
      </c>
      <c r="Q332" s="56">
        <v>0.0</v>
      </c>
      <c r="R332" s="57">
        <v>34.0</v>
      </c>
    </row>
    <row r="333" ht="22.5" customHeight="1">
      <c r="A333" s="51">
        <v>44481.0</v>
      </c>
      <c r="B333" s="52">
        <v>44481.62594907408</v>
      </c>
      <c r="C333" s="53" t="s">
        <v>972</v>
      </c>
      <c r="D333" s="53" t="s">
        <v>1066</v>
      </c>
      <c r="E333" s="53" t="s">
        <v>84</v>
      </c>
      <c r="F333" s="53" t="s">
        <v>50</v>
      </c>
      <c r="G333" s="53" t="s">
        <v>1067</v>
      </c>
      <c r="H333" s="54" t="s">
        <v>1068</v>
      </c>
      <c r="I333" s="55">
        <v>1.0</v>
      </c>
      <c r="J333" s="55">
        <v>571.0</v>
      </c>
      <c r="K333" s="55">
        <v>577.0</v>
      </c>
      <c r="L333" s="55">
        <v>75.0</v>
      </c>
      <c r="M333" s="55">
        <v>25.0</v>
      </c>
      <c r="N333" s="55">
        <v>571.0</v>
      </c>
      <c r="O333" s="56">
        <v>42.0</v>
      </c>
      <c r="P333" s="56">
        <v>15.0</v>
      </c>
      <c r="Q333" s="56">
        <v>0.0</v>
      </c>
      <c r="R333" s="57">
        <v>6.0</v>
      </c>
    </row>
    <row r="334" ht="22.5" customHeight="1">
      <c r="A334" s="51">
        <v>44481.0</v>
      </c>
      <c r="B334" s="52">
        <v>44481.66730324074</v>
      </c>
      <c r="C334" s="53" t="s">
        <v>972</v>
      </c>
      <c r="D334" s="53" t="s">
        <v>1069</v>
      </c>
      <c r="E334" s="53" t="s">
        <v>84</v>
      </c>
      <c r="F334" s="53" t="s">
        <v>50</v>
      </c>
      <c r="G334" s="53" t="s">
        <v>1070</v>
      </c>
      <c r="H334" s="54" t="s">
        <v>1071</v>
      </c>
      <c r="I334" s="55">
        <v>1.0</v>
      </c>
      <c r="J334" s="55">
        <v>238.0</v>
      </c>
      <c r="K334" s="55">
        <v>242.0</v>
      </c>
      <c r="L334" s="55">
        <v>4.0</v>
      </c>
      <c r="M334" s="55">
        <v>3.0</v>
      </c>
      <c r="N334" s="55">
        <v>238.0</v>
      </c>
      <c r="O334" s="56">
        <v>42.0</v>
      </c>
      <c r="P334" s="56">
        <v>16.0</v>
      </c>
      <c r="Q334" s="56">
        <v>0.0</v>
      </c>
      <c r="R334" s="57">
        <v>4.0</v>
      </c>
    </row>
    <row r="335" ht="22.5" customHeight="1">
      <c r="A335" s="51">
        <v>44481.0</v>
      </c>
      <c r="B335" s="52">
        <v>44481.750289351854</v>
      </c>
      <c r="C335" s="53" t="s">
        <v>972</v>
      </c>
      <c r="D335" s="53" t="s">
        <v>1072</v>
      </c>
      <c r="E335" s="53" t="s">
        <v>84</v>
      </c>
      <c r="F335" s="53" t="s">
        <v>47</v>
      </c>
      <c r="G335" s="53" t="s">
        <v>1073</v>
      </c>
      <c r="H335" s="54" t="s">
        <v>1074</v>
      </c>
      <c r="I335" s="55">
        <v>1.0</v>
      </c>
      <c r="J335" s="55">
        <v>151.0</v>
      </c>
      <c r="K335" s="55">
        <v>152.0</v>
      </c>
      <c r="L335" s="55">
        <v>4.0</v>
      </c>
      <c r="M335" s="55">
        <v>4.0</v>
      </c>
      <c r="N335" s="55">
        <v>151.0</v>
      </c>
      <c r="O335" s="56">
        <v>42.0</v>
      </c>
      <c r="P335" s="56">
        <v>18.0</v>
      </c>
      <c r="Q335" s="56">
        <v>0.0</v>
      </c>
      <c r="R335" s="57">
        <v>1.0</v>
      </c>
    </row>
    <row r="336" ht="22.5" customHeight="1">
      <c r="A336" s="51">
        <v>44482.0</v>
      </c>
      <c r="B336" s="52">
        <v>44482.58341435185</v>
      </c>
      <c r="C336" s="53" t="s">
        <v>972</v>
      </c>
      <c r="D336" s="53" t="s">
        <v>1075</v>
      </c>
      <c r="E336" s="53" t="s">
        <v>80</v>
      </c>
      <c r="F336" s="53" t="s">
        <v>55</v>
      </c>
      <c r="G336" s="53" t="s">
        <v>1076</v>
      </c>
      <c r="H336" s="54" t="s">
        <v>1077</v>
      </c>
      <c r="I336" s="55">
        <v>1.0</v>
      </c>
      <c r="J336" s="55">
        <v>382.0</v>
      </c>
      <c r="K336" s="55">
        <v>389.0</v>
      </c>
      <c r="L336" s="55">
        <v>15.0</v>
      </c>
      <c r="M336" s="55">
        <v>29.0</v>
      </c>
      <c r="N336" s="55">
        <v>382.0</v>
      </c>
      <c r="O336" s="56">
        <v>42.0</v>
      </c>
      <c r="P336" s="56">
        <v>14.0</v>
      </c>
      <c r="Q336" s="56">
        <v>0.0</v>
      </c>
      <c r="R336" s="57">
        <v>7.0</v>
      </c>
    </row>
    <row r="337" ht="22.5" customHeight="1">
      <c r="A337" s="51">
        <v>44484.0</v>
      </c>
      <c r="B337" s="52">
        <v>44484.64619212963</v>
      </c>
      <c r="C337" s="53" t="s">
        <v>972</v>
      </c>
      <c r="D337" s="53" t="s">
        <v>1078</v>
      </c>
      <c r="E337" s="53" t="s">
        <v>84</v>
      </c>
      <c r="F337" s="53" t="s">
        <v>50</v>
      </c>
      <c r="G337" s="53" t="s">
        <v>1079</v>
      </c>
      <c r="H337" s="54" t="s">
        <v>1080</v>
      </c>
      <c r="I337" s="55">
        <v>1.0</v>
      </c>
      <c r="J337" s="55">
        <v>278.0</v>
      </c>
      <c r="K337" s="55">
        <v>282.0</v>
      </c>
      <c r="L337" s="55">
        <v>9.0</v>
      </c>
      <c r="M337" s="55">
        <v>5.0</v>
      </c>
      <c r="N337" s="55">
        <v>278.0</v>
      </c>
      <c r="O337" s="56">
        <v>42.0</v>
      </c>
      <c r="P337" s="56">
        <v>15.0</v>
      </c>
      <c r="Q337" s="56">
        <v>0.0</v>
      </c>
      <c r="R337" s="57">
        <v>4.0</v>
      </c>
    </row>
    <row r="338" ht="22.5" customHeight="1">
      <c r="A338" s="51">
        <v>44486.0</v>
      </c>
      <c r="B338" s="52">
        <v>44486.60789351852</v>
      </c>
      <c r="C338" s="53" t="s">
        <v>972</v>
      </c>
      <c r="D338" s="53" t="s">
        <v>1081</v>
      </c>
      <c r="E338" s="53" t="s">
        <v>84</v>
      </c>
      <c r="F338" s="53" t="s">
        <v>50</v>
      </c>
      <c r="G338" s="53" t="s">
        <v>1082</v>
      </c>
      <c r="H338" s="54" t="s">
        <v>1083</v>
      </c>
      <c r="I338" s="55">
        <v>1.0</v>
      </c>
      <c r="J338" s="55">
        <v>103.0</v>
      </c>
      <c r="K338" s="55">
        <v>106.0</v>
      </c>
      <c r="L338" s="55">
        <v>0.0</v>
      </c>
      <c r="M338" s="55">
        <v>3.0</v>
      </c>
      <c r="N338" s="55">
        <v>103.0</v>
      </c>
      <c r="O338" s="56">
        <v>43.0</v>
      </c>
      <c r="P338" s="56">
        <v>14.0</v>
      </c>
      <c r="Q338" s="56">
        <v>0.0</v>
      </c>
      <c r="R338" s="57">
        <v>3.0</v>
      </c>
    </row>
    <row r="339" ht="22.5" customHeight="1">
      <c r="A339" s="51">
        <v>44486.0</v>
      </c>
      <c r="B339" s="52">
        <v>44486.667291666665</v>
      </c>
      <c r="C339" s="53" t="s">
        <v>972</v>
      </c>
      <c r="D339" s="53" t="s">
        <v>1084</v>
      </c>
      <c r="E339" s="53" t="s">
        <v>84</v>
      </c>
      <c r="F339" s="53" t="s">
        <v>50</v>
      </c>
      <c r="G339" s="53" t="s">
        <v>1085</v>
      </c>
      <c r="H339" s="54" t="s">
        <v>1086</v>
      </c>
      <c r="I339" s="55">
        <v>1.0</v>
      </c>
      <c r="J339" s="55">
        <v>94.0</v>
      </c>
      <c r="K339" s="55">
        <v>96.0</v>
      </c>
      <c r="L339" s="55">
        <v>3.0</v>
      </c>
      <c r="M339" s="55">
        <v>3.0</v>
      </c>
      <c r="N339" s="55">
        <v>94.0</v>
      </c>
      <c r="O339" s="56">
        <v>43.0</v>
      </c>
      <c r="P339" s="56">
        <v>16.0</v>
      </c>
      <c r="Q339" s="56">
        <v>0.0</v>
      </c>
      <c r="R339" s="57">
        <v>2.0</v>
      </c>
    </row>
    <row r="340" ht="22.5" customHeight="1">
      <c r="A340" s="51">
        <v>44487.0</v>
      </c>
      <c r="B340" s="52">
        <v>44487.58388888889</v>
      </c>
      <c r="C340" s="53" t="s">
        <v>972</v>
      </c>
      <c r="D340" s="53" t="s">
        <v>1087</v>
      </c>
      <c r="E340" s="53" t="s">
        <v>84</v>
      </c>
      <c r="F340" s="53" t="s">
        <v>50</v>
      </c>
      <c r="G340" s="53" t="s">
        <v>1088</v>
      </c>
      <c r="H340" s="54" t="s">
        <v>1089</v>
      </c>
      <c r="I340" s="55">
        <v>1.0</v>
      </c>
      <c r="J340" s="55">
        <v>110.0</v>
      </c>
      <c r="K340" s="55">
        <v>111.0</v>
      </c>
      <c r="L340" s="55">
        <v>0.0</v>
      </c>
      <c r="M340" s="55">
        <v>5.0</v>
      </c>
      <c r="N340" s="55">
        <v>110.0</v>
      </c>
      <c r="O340" s="56">
        <v>43.0</v>
      </c>
      <c r="P340" s="56">
        <v>14.0</v>
      </c>
      <c r="Q340" s="56">
        <v>0.0</v>
      </c>
      <c r="R340" s="57">
        <v>1.0</v>
      </c>
    </row>
    <row r="341" ht="22.5" customHeight="1">
      <c r="A341" s="51">
        <v>44488.0</v>
      </c>
      <c r="B341" s="52">
        <v>44488.58363425926</v>
      </c>
      <c r="C341" s="53" t="s">
        <v>972</v>
      </c>
      <c r="D341" s="53" t="s">
        <v>1090</v>
      </c>
      <c r="E341" s="53" t="s">
        <v>84</v>
      </c>
      <c r="F341" s="53" t="s">
        <v>50</v>
      </c>
      <c r="G341" s="53" t="s">
        <v>1091</v>
      </c>
      <c r="H341" s="54" t="s">
        <v>1092</v>
      </c>
      <c r="I341" s="55">
        <v>1.0</v>
      </c>
      <c r="J341" s="55">
        <v>91.0</v>
      </c>
      <c r="K341" s="55">
        <v>92.0</v>
      </c>
      <c r="L341" s="55">
        <v>0.0</v>
      </c>
      <c r="M341" s="53"/>
      <c r="N341" s="55">
        <v>91.0</v>
      </c>
      <c r="O341" s="56">
        <v>43.0</v>
      </c>
      <c r="P341" s="56">
        <v>14.0</v>
      </c>
      <c r="Q341" s="56">
        <v>0.0</v>
      </c>
      <c r="R341" s="57">
        <v>1.0</v>
      </c>
    </row>
    <row r="342" ht="22.5" customHeight="1">
      <c r="A342" s="51">
        <v>44488.0</v>
      </c>
      <c r="B342" s="52">
        <v>44488.87501157408</v>
      </c>
      <c r="C342" s="53" t="s">
        <v>972</v>
      </c>
      <c r="D342" s="53" t="s">
        <v>1093</v>
      </c>
      <c r="E342" s="53" t="s">
        <v>84</v>
      </c>
      <c r="F342" s="53" t="s">
        <v>50</v>
      </c>
      <c r="G342" s="53" t="s">
        <v>1094</v>
      </c>
      <c r="H342" s="54" t="s">
        <v>1095</v>
      </c>
      <c r="I342" s="55">
        <v>1.0</v>
      </c>
      <c r="J342" s="55">
        <v>124.0</v>
      </c>
      <c r="K342" s="55">
        <v>126.0</v>
      </c>
      <c r="L342" s="55">
        <v>5.0</v>
      </c>
      <c r="M342" s="55">
        <v>5.0</v>
      </c>
      <c r="N342" s="55">
        <v>124.0</v>
      </c>
      <c r="O342" s="56">
        <v>43.0</v>
      </c>
      <c r="P342" s="56">
        <v>21.0</v>
      </c>
      <c r="Q342" s="56">
        <v>0.0</v>
      </c>
      <c r="R342" s="57">
        <v>2.0</v>
      </c>
    </row>
    <row r="343" ht="22.5" customHeight="1">
      <c r="A343" s="51">
        <v>44489.0</v>
      </c>
      <c r="B343" s="52">
        <v>44489.56886574074</v>
      </c>
      <c r="C343" s="53" t="s">
        <v>972</v>
      </c>
      <c r="D343" s="53" t="s">
        <v>1096</v>
      </c>
      <c r="E343" s="53" t="s">
        <v>80</v>
      </c>
      <c r="F343" s="53" t="s">
        <v>55</v>
      </c>
      <c r="G343" s="53" t="s">
        <v>1097</v>
      </c>
      <c r="H343" s="54" t="s">
        <v>1098</v>
      </c>
      <c r="I343" s="55">
        <v>1.0</v>
      </c>
      <c r="J343" s="55">
        <v>571.0</v>
      </c>
      <c r="K343" s="55">
        <v>592.0</v>
      </c>
      <c r="L343" s="55">
        <v>14.0</v>
      </c>
      <c r="M343" s="55">
        <v>29.0</v>
      </c>
      <c r="N343" s="55">
        <v>571.0</v>
      </c>
      <c r="O343" s="56">
        <v>43.0</v>
      </c>
      <c r="P343" s="56">
        <v>13.0</v>
      </c>
      <c r="Q343" s="56">
        <v>0.0</v>
      </c>
      <c r="R343" s="57">
        <v>21.0</v>
      </c>
    </row>
    <row r="344" ht="22.5" customHeight="1">
      <c r="A344" s="51">
        <v>44489.0</v>
      </c>
      <c r="B344" s="52">
        <v>44489.67017361111</v>
      </c>
      <c r="C344" s="53" t="s">
        <v>972</v>
      </c>
      <c r="D344" s="53" t="s">
        <v>1099</v>
      </c>
      <c r="E344" s="53" t="s">
        <v>84</v>
      </c>
      <c r="F344" s="53" t="s">
        <v>47</v>
      </c>
      <c r="G344" s="53" t="s">
        <v>1100</v>
      </c>
      <c r="H344" s="54" t="s">
        <v>1101</v>
      </c>
      <c r="I344" s="55">
        <v>1.0</v>
      </c>
      <c r="J344" s="55">
        <v>512.0</v>
      </c>
      <c r="K344" s="55">
        <v>518.0</v>
      </c>
      <c r="L344" s="55">
        <v>6.0</v>
      </c>
      <c r="M344" s="55">
        <v>15.0</v>
      </c>
      <c r="N344" s="55">
        <v>512.0</v>
      </c>
      <c r="O344" s="56">
        <v>43.0</v>
      </c>
      <c r="P344" s="56">
        <v>16.0</v>
      </c>
      <c r="Q344" s="56">
        <v>0.0</v>
      </c>
      <c r="R344" s="57">
        <v>6.0</v>
      </c>
    </row>
    <row r="345" ht="22.5" customHeight="1">
      <c r="A345" s="51">
        <v>44489.0</v>
      </c>
      <c r="B345" s="52">
        <v>44489.75</v>
      </c>
      <c r="C345" s="53" t="s">
        <v>972</v>
      </c>
      <c r="D345" s="53" t="s">
        <v>1102</v>
      </c>
      <c r="E345" s="53" t="s">
        <v>80</v>
      </c>
      <c r="F345" s="53" t="s">
        <v>55</v>
      </c>
      <c r="G345" s="53" t="s">
        <v>1103</v>
      </c>
      <c r="H345" s="54" t="s">
        <v>1104</v>
      </c>
      <c r="I345" s="55">
        <v>1.0</v>
      </c>
      <c r="J345" s="55">
        <v>1389.0</v>
      </c>
      <c r="K345" s="55">
        <v>1459.0</v>
      </c>
      <c r="L345" s="55">
        <v>6.0</v>
      </c>
      <c r="M345" s="55">
        <v>79.0</v>
      </c>
      <c r="N345" s="55">
        <v>1389.0</v>
      </c>
      <c r="O345" s="56">
        <v>43.0</v>
      </c>
      <c r="P345" s="56">
        <v>18.0</v>
      </c>
      <c r="Q345" s="56">
        <v>0.0</v>
      </c>
      <c r="R345" s="57">
        <v>70.0</v>
      </c>
    </row>
    <row r="346" ht="22.5" customHeight="1">
      <c r="A346" s="51">
        <v>44495.0</v>
      </c>
      <c r="B346" s="52">
        <v>44495.472916666666</v>
      </c>
      <c r="C346" s="53" t="s">
        <v>972</v>
      </c>
      <c r="D346" s="53" t="s">
        <v>1105</v>
      </c>
      <c r="E346" s="53" t="s">
        <v>84</v>
      </c>
      <c r="F346" s="53" t="s">
        <v>50</v>
      </c>
      <c r="G346" s="53" t="s">
        <v>1106</v>
      </c>
      <c r="H346" s="54" t="s">
        <v>1107</v>
      </c>
      <c r="I346" s="55">
        <v>1.0</v>
      </c>
      <c r="J346" s="55">
        <v>1179.0</v>
      </c>
      <c r="K346" s="55">
        <v>1204.0</v>
      </c>
      <c r="L346" s="55">
        <v>17.0</v>
      </c>
      <c r="M346" s="55">
        <v>57.0</v>
      </c>
      <c r="N346" s="55">
        <v>1179.0</v>
      </c>
      <c r="O346" s="56">
        <v>44.0</v>
      </c>
      <c r="P346" s="56">
        <v>11.0</v>
      </c>
      <c r="Q346" s="56">
        <v>0.0</v>
      </c>
      <c r="R346" s="57">
        <v>25.0</v>
      </c>
    </row>
    <row r="347" ht="22.5" customHeight="1">
      <c r="A347" s="51">
        <v>44496.0</v>
      </c>
      <c r="B347" s="52">
        <v>44496.60428240741</v>
      </c>
      <c r="C347" s="53" t="s">
        <v>972</v>
      </c>
      <c r="D347" s="53" t="s">
        <v>1108</v>
      </c>
      <c r="E347" s="53" t="s">
        <v>80</v>
      </c>
      <c r="F347" s="53" t="s">
        <v>55</v>
      </c>
      <c r="G347" s="53" t="s">
        <v>1109</v>
      </c>
      <c r="H347" s="54" t="s">
        <v>1110</v>
      </c>
      <c r="I347" s="55">
        <v>1.0</v>
      </c>
      <c r="J347" s="55">
        <v>5307.0</v>
      </c>
      <c r="K347" s="55">
        <v>5448.0</v>
      </c>
      <c r="L347" s="55">
        <v>92.0</v>
      </c>
      <c r="M347" s="55">
        <v>514.0</v>
      </c>
      <c r="N347" s="55">
        <v>5307.0</v>
      </c>
      <c r="O347" s="56">
        <v>44.0</v>
      </c>
      <c r="P347" s="56">
        <v>14.0</v>
      </c>
      <c r="Q347" s="56">
        <v>0.0</v>
      </c>
      <c r="R347" s="57">
        <v>141.0</v>
      </c>
    </row>
    <row r="348" ht="22.5" customHeight="1">
      <c r="A348" s="51">
        <v>44496.0</v>
      </c>
      <c r="B348" s="52">
        <v>44496.70836805556</v>
      </c>
      <c r="C348" s="53" t="s">
        <v>972</v>
      </c>
      <c r="D348" s="53" t="s">
        <v>1111</v>
      </c>
      <c r="E348" s="53" t="s">
        <v>84</v>
      </c>
      <c r="F348" s="53" t="s">
        <v>47</v>
      </c>
      <c r="G348" s="53" t="s">
        <v>1112</v>
      </c>
      <c r="H348" s="54" t="s">
        <v>1113</v>
      </c>
      <c r="I348" s="55">
        <v>1.0</v>
      </c>
      <c r="J348" s="55">
        <v>227.0</v>
      </c>
      <c r="K348" s="55">
        <v>231.0</v>
      </c>
      <c r="L348" s="55">
        <v>7.0</v>
      </c>
      <c r="M348" s="55">
        <v>11.0</v>
      </c>
      <c r="N348" s="55">
        <v>227.0</v>
      </c>
      <c r="O348" s="56">
        <v>44.0</v>
      </c>
      <c r="P348" s="56">
        <v>17.0</v>
      </c>
      <c r="Q348" s="56">
        <v>0.0</v>
      </c>
      <c r="R348" s="57">
        <v>4.0</v>
      </c>
    </row>
    <row r="349" ht="22.5" customHeight="1">
      <c r="A349" s="51">
        <v>44496.0</v>
      </c>
      <c r="B349" s="52">
        <v>44496.75682870371</v>
      </c>
      <c r="C349" s="53" t="s">
        <v>972</v>
      </c>
      <c r="D349" s="53" t="s">
        <v>1114</v>
      </c>
      <c r="E349" s="53" t="s">
        <v>84</v>
      </c>
      <c r="F349" s="53" t="s">
        <v>48</v>
      </c>
      <c r="G349" s="53"/>
      <c r="H349" s="54" t="s">
        <v>1115</v>
      </c>
      <c r="I349" s="55">
        <v>1.0</v>
      </c>
      <c r="J349" s="55">
        <v>353.0</v>
      </c>
      <c r="K349" s="55">
        <v>359.0</v>
      </c>
      <c r="L349" s="55">
        <v>4.0</v>
      </c>
      <c r="M349" s="55">
        <v>2.0</v>
      </c>
      <c r="N349" s="55">
        <v>353.0</v>
      </c>
      <c r="O349" s="56">
        <v>44.0</v>
      </c>
      <c r="P349" s="56">
        <v>18.0</v>
      </c>
      <c r="Q349" s="56">
        <v>0.0</v>
      </c>
      <c r="R349" s="57">
        <v>6.0</v>
      </c>
    </row>
    <row r="350" ht="22.5" customHeight="1">
      <c r="A350" s="51">
        <v>44496.0</v>
      </c>
      <c r="B350" s="52">
        <v>44496.85076388889</v>
      </c>
      <c r="C350" s="53" t="s">
        <v>972</v>
      </c>
      <c r="D350" s="53" t="s">
        <v>1116</v>
      </c>
      <c r="E350" s="53" t="s">
        <v>109</v>
      </c>
      <c r="F350" s="53" t="s">
        <v>55</v>
      </c>
      <c r="G350" s="53" t="s">
        <v>1117</v>
      </c>
      <c r="H350" s="54" t="s">
        <v>1118</v>
      </c>
      <c r="I350" s="55">
        <v>1.0</v>
      </c>
      <c r="J350" s="55">
        <v>628.0</v>
      </c>
      <c r="K350" s="55">
        <v>643.0</v>
      </c>
      <c r="L350" s="55">
        <v>2.0</v>
      </c>
      <c r="M350" s="55">
        <v>29.0</v>
      </c>
      <c r="N350" s="55">
        <v>628.0</v>
      </c>
      <c r="O350" s="56">
        <v>44.0</v>
      </c>
      <c r="P350" s="56">
        <v>20.0</v>
      </c>
      <c r="Q350" s="56">
        <v>0.0</v>
      </c>
      <c r="R350" s="57">
        <v>15.0</v>
      </c>
    </row>
    <row r="351" ht="22.5" customHeight="1">
      <c r="A351" s="51">
        <v>44497.0</v>
      </c>
      <c r="B351" s="52">
        <v>44497.42607638889</v>
      </c>
      <c r="C351" s="53" t="s">
        <v>972</v>
      </c>
      <c r="D351" s="53" t="s">
        <v>1119</v>
      </c>
      <c r="E351" s="53" t="s">
        <v>84</v>
      </c>
      <c r="F351" s="53" t="s">
        <v>50</v>
      </c>
      <c r="G351" s="53" t="s">
        <v>1120</v>
      </c>
      <c r="H351" s="54" t="s">
        <v>1121</v>
      </c>
      <c r="I351" s="55">
        <v>1.0</v>
      </c>
      <c r="J351" s="55">
        <v>4064.0</v>
      </c>
      <c r="K351" s="55">
        <v>4392.0</v>
      </c>
      <c r="L351" s="55">
        <v>20.0</v>
      </c>
      <c r="M351" s="55">
        <v>184.0</v>
      </c>
      <c r="N351" s="55">
        <v>4064.0</v>
      </c>
      <c r="O351" s="56">
        <v>44.0</v>
      </c>
      <c r="P351" s="56">
        <v>10.0</v>
      </c>
      <c r="Q351" s="56">
        <v>0.0</v>
      </c>
      <c r="R351" s="57">
        <v>328.0</v>
      </c>
    </row>
    <row r="352" ht="22.5" customHeight="1">
      <c r="A352" s="51">
        <v>44499.0</v>
      </c>
      <c r="B352" s="52">
        <v>44499.58362268518</v>
      </c>
      <c r="C352" s="53" t="s">
        <v>972</v>
      </c>
      <c r="D352" s="53" t="s">
        <v>1122</v>
      </c>
      <c r="E352" s="53" t="s">
        <v>80</v>
      </c>
      <c r="F352" s="53" t="s">
        <v>55</v>
      </c>
      <c r="G352" s="53" t="s">
        <v>1123</v>
      </c>
      <c r="H352" s="54" t="s">
        <v>1124</v>
      </c>
      <c r="I352" s="55">
        <v>1.0</v>
      </c>
      <c r="J352" s="55">
        <v>387.0</v>
      </c>
      <c r="K352" s="55">
        <v>439.0</v>
      </c>
      <c r="L352" s="55">
        <v>6.0</v>
      </c>
      <c r="M352" s="55">
        <v>24.0</v>
      </c>
      <c r="N352" s="55">
        <v>387.0</v>
      </c>
      <c r="O352" s="56">
        <v>44.0</v>
      </c>
      <c r="P352" s="56">
        <v>14.0</v>
      </c>
      <c r="Q352" s="56">
        <v>0.0</v>
      </c>
      <c r="R352" s="57">
        <v>52.0</v>
      </c>
    </row>
    <row r="353" ht="22.5" customHeight="1">
      <c r="A353" s="51">
        <v>44500.0</v>
      </c>
      <c r="B353" s="52">
        <v>44500.68800925926</v>
      </c>
      <c r="C353" s="53" t="s">
        <v>972</v>
      </c>
      <c r="D353" s="53" t="s">
        <v>1125</v>
      </c>
      <c r="E353" s="53" t="s">
        <v>84</v>
      </c>
      <c r="F353" s="53" t="s">
        <v>50</v>
      </c>
      <c r="G353" s="53" t="s">
        <v>1126</v>
      </c>
      <c r="H353" s="54" t="s">
        <v>1127</v>
      </c>
      <c r="I353" s="55">
        <v>1.0</v>
      </c>
      <c r="J353" s="55">
        <v>172.0</v>
      </c>
      <c r="K353" s="55">
        <v>176.0</v>
      </c>
      <c r="L353" s="55">
        <v>1.0</v>
      </c>
      <c r="M353" s="55">
        <v>4.0</v>
      </c>
      <c r="N353" s="55">
        <v>172.0</v>
      </c>
      <c r="O353" s="56">
        <v>45.0</v>
      </c>
      <c r="P353" s="56">
        <v>16.0</v>
      </c>
      <c r="Q353" s="56">
        <v>0.0</v>
      </c>
      <c r="R353" s="57">
        <v>4.0</v>
      </c>
    </row>
    <row r="354" ht="22.5" customHeight="1">
      <c r="A354" s="51">
        <v>44501.0</v>
      </c>
      <c r="B354" s="52">
        <v>44501.75001157408</v>
      </c>
      <c r="C354" s="53" t="s">
        <v>972</v>
      </c>
      <c r="D354" s="53" t="s">
        <v>1128</v>
      </c>
      <c r="E354" s="53" t="s">
        <v>84</v>
      </c>
      <c r="F354" s="53" t="s">
        <v>50</v>
      </c>
      <c r="G354" s="53" t="s">
        <v>1129</v>
      </c>
      <c r="H354" s="54" t="s">
        <v>1130</v>
      </c>
      <c r="I354" s="55">
        <v>1.0</v>
      </c>
      <c r="J354" s="55">
        <v>383.0</v>
      </c>
      <c r="K354" s="55">
        <v>387.0</v>
      </c>
      <c r="L354" s="55">
        <v>4.0</v>
      </c>
      <c r="M354" s="55">
        <v>29.0</v>
      </c>
      <c r="N354" s="55">
        <v>383.0</v>
      </c>
      <c r="O354" s="56">
        <v>45.0</v>
      </c>
      <c r="P354" s="56">
        <v>18.0</v>
      </c>
      <c r="Q354" s="56">
        <v>0.0</v>
      </c>
      <c r="R354" s="57">
        <v>4.0</v>
      </c>
    </row>
    <row r="355" ht="22.5" customHeight="1">
      <c r="A355" s="51">
        <v>44502.0</v>
      </c>
      <c r="B355" s="52">
        <v>44502.41569444445</v>
      </c>
      <c r="C355" s="53" t="s">
        <v>972</v>
      </c>
      <c r="D355" s="53" t="s">
        <v>1131</v>
      </c>
      <c r="E355" s="53" t="s">
        <v>84</v>
      </c>
      <c r="F355" s="53" t="s">
        <v>50</v>
      </c>
      <c r="G355" s="53" t="s">
        <v>1132</v>
      </c>
      <c r="H355" s="54" t="s">
        <v>1133</v>
      </c>
      <c r="I355" s="55">
        <v>1.0</v>
      </c>
      <c r="J355" s="55">
        <v>2273.0</v>
      </c>
      <c r="K355" s="55">
        <v>2313.0</v>
      </c>
      <c r="L355" s="55">
        <v>44.0</v>
      </c>
      <c r="M355" s="55">
        <v>177.0</v>
      </c>
      <c r="N355" s="55">
        <v>2273.0</v>
      </c>
      <c r="O355" s="56">
        <v>45.0</v>
      </c>
      <c r="P355" s="56">
        <v>9.0</v>
      </c>
      <c r="Q355" s="56">
        <v>0.0</v>
      </c>
      <c r="R355" s="57">
        <v>40.0</v>
      </c>
    </row>
    <row r="356" ht="22.5" customHeight="1">
      <c r="A356" s="51">
        <v>44502.0</v>
      </c>
      <c r="B356" s="52">
        <v>44502.77284722222</v>
      </c>
      <c r="C356" s="53" t="s">
        <v>972</v>
      </c>
      <c r="D356" s="53" t="s">
        <v>1134</v>
      </c>
      <c r="E356" s="53" t="s">
        <v>80</v>
      </c>
      <c r="F356" s="53" t="s">
        <v>55</v>
      </c>
      <c r="G356" s="53" t="s">
        <v>1135</v>
      </c>
      <c r="H356" s="54" t="s">
        <v>1136</v>
      </c>
      <c r="I356" s="55">
        <v>1.0</v>
      </c>
      <c r="J356" s="55">
        <v>1327.0</v>
      </c>
      <c r="K356" s="55">
        <v>1740.0</v>
      </c>
      <c r="L356" s="55">
        <v>742.0</v>
      </c>
      <c r="M356" s="55">
        <v>268.0</v>
      </c>
      <c r="N356" s="55">
        <v>1327.0</v>
      </c>
      <c r="O356" s="56">
        <v>45.0</v>
      </c>
      <c r="P356" s="56">
        <v>18.0</v>
      </c>
      <c r="Q356" s="56">
        <v>0.0</v>
      </c>
      <c r="R356" s="57">
        <v>413.0</v>
      </c>
    </row>
    <row r="357" ht="22.5" customHeight="1">
      <c r="A357" s="51">
        <v>44502.0</v>
      </c>
      <c r="B357" s="52">
        <v>44502.875023148146</v>
      </c>
      <c r="C357" s="53" t="s">
        <v>972</v>
      </c>
      <c r="D357" s="53" t="s">
        <v>1137</v>
      </c>
      <c r="E357" s="53" t="s">
        <v>84</v>
      </c>
      <c r="F357" s="53" t="s">
        <v>50</v>
      </c>
      <c r="G357" s="53" t="s">
        <v>1138</v>
      </c>
      <c r="H357" s="54" t="s">
        <v>1139</v>
      </c>
      <c r="I357" s="55">
        <v>1.0</v>
      </c>
      <c r="J357" s="55">
        <v>195.0</v>
      </c>
      <c r="K357" s="55">
        <v>200.0</v>
      </c>
      <c r="L357" s="55">
        <v>11.0</v>
      </c>
      <c r="M357" s="55">
        <v>5.0</v>
      </c>
      <c r="N357" s="55">
        <v>195.0</v>
      </c>
      <c r="O357" s="56">
        <v>45.0</v>
      </c>
      <c r="P357" s="56">
        <v>21.0</v>
      </c>
      <c r="Q357" s="56">
        <v>0.0</v>
      </c>
      <c r="R357" s="57">
        <v>5.0</v>
      </c>
    </row>
    <row r="358" ht="22.5" customHeight="1">
      <c r="A358" s="51">
        <v>44503.0</v>
      </c>
      <c r="B358" s="52">
        <v>44503.575844907406</v>
      </c>
      <c r="C358" s="53" t="s">
        <v>972</v>
      </c>
      <c r="D358" s="53" t="s">
        <v>1140</v>
      </c>
      <c r="E358" s="53" t="s">
        <v>84</v>
      </c>
      <c r="F358" s="53" t="s">
        <v>48</v>
      </c>
      <c r="G358" s="53"/>
      <c r="H358" s="54" t="s">
        <v>1141</v>
      </c>
      <c r="I358" s="55">
        <v>1.0</v>
      </c>
      <c r="J358" s="55">
        <v>247.0</v>
      </c>
      <c r="K358" s="55">
        <v>253.0</v>
      </c>
      <c r="L358" s="55">
        <v>3.0</v>
      </c>
      <c r="M358" s="55">
        <v>2.0</v>
      </c>
      <c r="N358" s="55">
        <v>247.0</v>
      </c>
      <c r="O358" s="56">
        <v>45.0</v>
      </c>
      <c r="P358" s="56">
        <v>13.0</v>
      </c>
      <c r="Q358" s="56">
        <v>0.0</v>
      </c>
      <c r="R358" s="57">
        <v>6.0</v>
      </c>
    </row>
    <row r="359" ht="22.5" customHeight="1">
      <c r="A359" s="51">
        <v>44503.0</v>
      </c>
      <c r="B359" s="52">
        <v>44503.65280092593</v>
      </c>
      <c r="C359" s="53" t="s">
        <v>972</v>
      </c>
      <c r="D359" s="53" t="s">
        <v>1142</v>
      </c>
      <c r="E359" s="53" t="s">
        <v>84</v>
      </c>
      <c r="F359" s="53" t="s">
        <v>50</v>
      </c>
      <c r="G359" s="53" t="s">
        <v>1143</v>
      </c>
      <c r="H359" s="54" t="s">
        <v>1144</v>
      </c>
      <c r="I359" s="55">
        <v>1.0</v>
      </c>
      <c r="J359" s="55">
        <v>655.0</v>
      </c>
      <c r="K359" s="55">
        <v>661.0</v>
      </c>
      <c r="L359" s="55">
        <v>4.0</v>
      </c>
      <c r="M359" s="55">
        <v>7.0</v>
      </c>
      <c r="N359" s="55">
        <v>655.0</v>
      </c>
      <c r="O359" s="56">
        <v>45.0</v>
      </c>
      <c r="P359" s="56">
        <v>15.0</v>
      </c>
      <c r="Q359" s="56">
        <v>0.0</v>
      </c>
      <c r="R359" s="57">
        <v>6.0</v>
      </c>
    </row>
    <row r="360" ht="22.5" customHeight="1">
      <c r="A360" s="51">
        <v>44503.0</v>
      </c>
      <c r="B360" s="52">
        <v>44503.66706018519</v>
      </c>
      <c r="C360" s="53" t="s">
        <v>972</v>
      </c>
      <c r="D360" s="53" t="s">
        <v>1145</v>
      </c>
      <c r="E360" s="53" t="s">
        <v>80</v>
      </c>
      <c r="F360" s="53" t="s">
        <v>55</v>
      </c>
      <c r="G360" s="53" t="s">
        <v>1146</v>
      </c>
      <c r="H360" s="54" t="s">
        <v>1147</v>
      </c>
      <c r="I360" s="55">
        <v>1.0</v>
      </c>
      <c r="J360" s="55">
        <v>478.0</v>
      </c>
      <c r="K360" s="55">
        <v>484.0</v>
      </c>
      <c r="L360" s="55">
        <v>5.0</v>
      </c>
      <c r="M360" s="55">
        <v>18.0</v>
      </c>
      <c r="N360" s="55">
        <v>478.0</v>
      </c>
      <c r="O360" s="56">
        <v>45.0</v>
      </c>
      <c r="P360" s="56">
        <v>16.0</v>
      </c>
      <c r="Q360" s="56">
        <v>0.0</v>
      </c>
      <c r="R360" s="57">
        <v>6.0</v>
      </c>
    </row>
    <row r="361" ht="22.5" customHeight="1">
      <c r="A361" s="51">
        <v>44503.0</v>
      </c>
      <c r="B361" s="52">
        <v>44503.69159722222</v>
      </c>
      <c r="C361" s="53" t="s">
        <v>972</v>
      </c>
      <c r="D361" s="53" t="s">
        <v>1148</v>
      </c>
      <c r="E361" s="53" t="s">
        <v>84</v>
      </c>
      <c r="F361" s="53" t="s">
        <v>47</v>
      </c>
      <c r="G361" s="53" t="s">
        <v>1149</v>
      </c>
      <c r="H361" s="54" t="s">
        <v>1150</v>
      </c>
      <c r="I361" s="55">
        <v>1.0</v>
      </c>
      <c r="J361" s="55">
        <v>914.0</v>
      </c>
      <c r="K361" s="55">
        <v>930.0</v>
      </c>
      <c r="L361" s="55">
        <v>32.0</v>
      </c>
      <c r="M361" s="55">
        <v>114.0</v>
      </c>
      <c r="N361" s="55">
        <v>914.0</v>
      </c>
      <c r="O361" s="56">
        <v>45.0</v>
      </c>
      <c r="P361" s="56">
        <v>16.0</v>
      </c>
      <c r="Q361" s="56">
        <v>0.0</v>
      </c>
      <c r="R361" s="57">
        <v>16.0</v>
      </c>
    </row>
    <row r="362" ht="22.5" customHeight="1">
      <c r="A362" s="51">
        <v>44503.0</v>
      </c>
      <c r="B362" s="52">
        <v>44503.77442129629</v>
      </c>
      <c r="C362" s="53" t="s">
        <v>972</v>
      </c>
      <c r="D362" s="53" t="s">
        <v>1151</v>
      </c>
      <c r="E362" s="53" t="s">
        <v>80</v>
      </c>
      <c r="F362" s="53" t="s">
        <v>55</v>
      </c>
      <c r="G362" s="53" t="s">
        <v>1152</v>
      </c>
      <c r="H362" s="54" t="s">
        <v>1153</v>
      </c>
      <c r="I362" s="55">
        <v>1.0</v>
      </c>
      <c r="J362" s="55">
        <v>1103.0</v>
      </c>
      <c r="K362" s="55">
        <v>1558.0</v>
      </c>
      <c r="L362" s="55">
        <v>717.0</v>
      </c>
      <c r="M362" s="55">
        <v>192.0</v>
      </c>
      <c r="N362" s="55">
        <v>1103.0</v>
      </c>
      <c r="O362" s="56">
        <v>45.0</v>
      </c>
      <c r="P362" s="56">
        <v>18.0</v>
      </c>
      <c r="Q362" s="56">
        <v>0.0</v>
      </c>
      <c r="R362" s="57">
        <v>455.0</v>
      </c>
    </row>
    <row r="363" ht="22.5" customHeight="1">
      <c r="A363" s="51">
        <v>44504.0</v>
      </c>
      <c r="B363" s="52">
        <v>44504.7671875</v>
      </c>
      <c r="C363" s="53" t="s">
        <v>972</v>
      </c>
      <c r="D363" s="53" t="s">
        <v>1154</v>
      </c>
      <c r="E363" s="53" t="s">
        <v>80</v>
      </c>
      <c r="F363" s="53" t="s">
        <v>55</v>
      </c>
      <c r="G363" s="53" t="s">
        <v>1155</v>
      </c>
      <c r="H363" s="54" t="s">
        <v>1156</v>
      </c>
      <c r="I363" s="55">
        <v>1.0</v>
      </c>
      <c r="J363" s="55">
        <v>959.0</v>
      </c>
      <c r="K363" s="55">
        <v>1289.0</v>
      </c>
      <c r="L363" s="55">
        <v>919.0</v>
      </c>
      <c r="M363" s="55">
        <v>145.0</v>
      </c>
      <c r="N363" s="55">
        <v>959.0</v>
      </c>
      <c r="O363" s="56">
        <v>45.0</v>
      </c>
      <c r="P363" s="56">
        <v>18.0</v>
      </c>
      <c r="Q363" s="56">
        <v>0.0</v>
      </c>
      <c r="R363" s="57">
        <v>330.0</v>
      </c>
    </row>
    <row r="364" ht="22.5" customHeight="1">
      <c r="A364" s="51">
        <v>44505.0</v>
      </c>
      <c r="B364" s="52">
        <v>44505.57957175926</v>
      </c>
      <c r="C364" s="53" t="s">
        <v>972</v>
      </c>
      <c r="D364" s="53" t="s">
        <v>1157</v>
      </c>
      <c r="E364" s="53" t="s">
        <v>80</v>
      </c>
      <c r="F364" s="53" t="s">
        <v>55</v>
      </c>
      <c r="G364" s="53" t="s">
        <v>1158</v>
      </c>
      <c r="H364" s="54" t="s">
        <v>1159</v>
      </c>
      <c r="I364" s="55">
        <v>1.0</v>
      </c>
      <c r="J364" s="55">
        <v>1545.0</v>
      </c>
      <c r="K364" s="55">
        <v>1570.0</v>
      </c>
      <c r="L364" s="55">
        <v>20.0</v>
      </c>
      <c r="M364" s="55">
        <v>69.0</v>
      </c>
      <c r="N364" s="55">
        <v>1545.0</v>
      </c>
      <c r="O364" s="56">
        <v>45.0</v>
      </c>
      <c r="P364" s="56">
        <v>13.0</v>
      </c>
      <c r="Q364" s="56">
        <v>0.0</v>
      </c>
      <c r="R364" s="57">
        <v>25.0</v>
      </c>
    </row>
    <row r="365" ht="22.5" customHeight="1">
      <c r="A365" s="51">
        <v>44505.0</v>
      </c>
      <c r="B365" s="52">
        <v>44505.66677083333</v>
      </c>
      <c r="C365" s="53" t="s">
        <v>972</v>
      </c>
      <c r="D365" s="53" t="s">
        <v>1160</v>
      </c>
      <c r="E365" s="53" t="s">
        <v>80</v>
      </c>
      <c r="F365" s="53" t="s">
        <v>55</v>
      </c>
      <c r="G365" s="53" t="s">
        <v>1161</v>
      </c>
      <c r="H365" s="54" t="s">
        <v>1162</v>
      </c>
      <c r="I365" s="55">
        <v>1.0</v>
      </c>
      <c r="J365" s="55">
        <v>133.0</v>
      </c>
      <c r="K365" s="55">
        <v>136.0</v>
      </c>
      <c r="L365" s="55">
        <v>2.0</v>
      </c>
      <c r="M365" s="55">
        <v>8.0</v>
      </c>
      <c r="N365" s="55">
        <v>133.0</v>
      </c>
      <c r="O365" s="56">
        <v>45.0</v>
      </c>
      <c r="P365" s="56">
        <v>16.0</v>
      </c>
      <c r="Q365" s="56">
        <v>0.0</v>
      </c>
      <c r="R365" s="57">
        <v>3.0</v>
      </c>
    </row>
    <row r="366" ht="22.5" customHeight="1">
      <c r="A366" s="51">
        <v>44505.0</v>
      </c>
      <c r="B366" s="52">
        <v>44505.767696759256</v>
      </c>
      <c r="C366" s="53" t="s">
        <v>972</v>
      </c>
      <c r="D366" s="53" t="s">
        <v>1163</v>
      </c>
      <c r="E366" s="53" t="s">
        <v>80</v>
      </c>
      <c r="F366" s="53" t="s">
        <v>55</v>
      </c>
      <c r="G366" s="53" t="s">
        <v>1164</v>
      </c>
      <c r="H366" s="54" t="s">
        <v>1165</v>
      </c>
      <c r="I366" s="55">
        <v>1.0</v>
      </c>
      <c r="J366" s="55">
        <v>591.0</v>
      </c>
      <c r="K366" s="55">
        <v>843.0</v>
      </c>
      <c r="L366" s="55">
        <v>317.0</v>
      </c>
      <c r="M366" s="55">
        <v>98.0</v>
      </c>
      <c r="N366" s="55">
        <v>591.0</v>
      </c>
      <c r="O366" s="56">
        <v>45.0</v>
      </c>
      <c r="P366" s="56">
        <v>18.0</v>
      </c>
      <c r="Q366" s="56">
        <v>0.0</v>
      </c>
      <c r="R366" s="57">
        <v>252.0</v>
      </c>
    </row>
    <row r="367" ht="22.5" customHeight="1">
      <c r="A367" s="51">
        <v>44505.0</v>
      </c>
      <c r="B367" s="52">
        <v>44505.87105324074</v>
      </c>
      <c r="C367" s="53" t="s">
        <v>972</v>
      </c>
      <c r="D367" s="53" t="s">
        <v>1166</v>
      </c>
      <c r="E367" s="53" t="s">
        <v>80</v>
      </c>
      <c r="F367" s="53" t="s">
        <v>55</v>
      </c>
      <c r="G367" s="53" t="s">
        <v>1164</v>
      </c>
      <c r="H367" s="54" t="s">
        <v>1167</v>
      </c>
      <c r="I367" s="55">
        <v>1.0</v>
      </c>
      <c r="J367" s="55">
        <v>665.0</v>
      </c>
      <c r="K367" s="55">
        <v>817.0</v>
      </c>
      <c r="L367" s="55">
        <v>312.0</v>
      </c>
      <c r="M367" s="55">
        <v>49.0</v>
      </c>
      <c r="N367" s="55">
        <v>665.0</v>
      </c>
      <c r="O367" s="56">
        <v>45.0</v>
      </c>
      <c r="P367" s="56">
        <v>20.0</v>
      </c>
      <c r="Q367" s="56">
        <v>0.0</v>
      </c>
      <c r="R367" s="57">
        <v>152.0</v>
      </c>
    </row>
    <row r="368" ht="22.5" customHeight="1">
      <c r="A368" s="51">
        <v>44506.0</v>
      </c>
      <c r="B368" s="52">
        <v>44506.49736111111</v>
      </c>
      <c r="C368" s="53" t="s">
        <v>972</v>
      </c>
      <c r="D368" s="53" t="s">
        <v>1168</v>
      </c>
      <c r="E368" s="53" t="s">
        <v>84</v>
      </c>
      <c r="F368" s="53" t="s">
        <v>50</v>
      </c>
      <c r="G368" s="53" t="s">
        <v>1169</v>
      </c>
      <c r="H368" s="54" t="s">
        <v>1170</v>
      </c>
      <c r="I368" s="55">
        <v>1.0</v>
      </c>
      <c r="J368" s="55">
        <v>931.0</v>
      </c>
      <c r="K368" s="55">
        <v>943.0</v>
      </c>
      <c r="L368" s="55">
        <v>19.0</v>
      </c>
      <c r="M368" s="55">
        <v>20.0</v>
      </c>
      <c r="N368" s="55">
        <v>931.0</v>
      </c>
      <c r="O368" s="56">
        <v>45.0</v>
      </c>
      <c r="P368" s="56">
        <v>11.0</v>
      </c>
      <c r="Q368" s="56">
        <v>0.0</v>
      </c>
      <c r="R368" s="57">
        <v>12.0</v>
      </c>
    </row>
    <row r="369" ht="22.5" customHeight="1">
      <c r="A369" s="51">
        <v>44506.0</v>
      </c>
      <c r="B369" s="52">
        <v>44506.762025462966</v>
      </c>
      <c r="C369" s="53" t="s">
        <v>972</v>
      </c>
      <c r="D369" s="53" t="s">
        <v>1171</v>
      </c>
      <c r="E369" s="53" t="s">
        <v>80</v>
      </c>
      <c r="F369" s="53" t="s">
        <v>55</v>
      </c>
      <c r="G369" s="53" t="s">
        <v>1172</v>
      </c>
      <c r="H369" s="54" t="s">
        <v>1173</v>
      </c>
      <c r="I369" s="55">
        <v>1.0</v>
      </c>
      <c r="J369" s="55">
        <v>731.0</v>
      </c>
      <c r="K369" s="55">
        <v>975.0</v>
      </c>
      <c r="L369" s="55">
        <v>347.0</v>
      </c>
      <c r="M369" s="55">
        <v>113.0</v>
      </c>
      <c r="N369" s="55">
        <v>731.0</v>
      </c>
      <c r="O369" s="56">
        <v>45.0</v>
      </c>
      <c r="P369" s="56">
        <v>18.0</v>
      </c>
      <c r="Q369" s="56">
        <v>0.0</v>
      </c>
      <c r="R369" s="57">
        <v>244.0</v>
      </c>
    </row>
    <row r="370" ht="22.5" customHeight="1">
      <c r="A370" s="51">
        <v>44507.0</v>
      </c>
      <c r="B370" s="52">
        <v>44507.759375</v>
      </c>
      <c r="C370" s="53" t="s">
        <v>972</v>
      </c>
      <c r="D370" s="53" t="s">
        <v>1174</v>
      </c>
      <c r="E370" s="53" t="s">
        <v>80</v>
      </c>
      <c r="F370" s="53" t="s">
        <v>55</v>
      </c>
      <c r="G370" s="53" t="s">
        <v>1175</v>
      </c>
      <c r="H370" s="54" t="s">
        <v>1176</v>
      </c>
      <c r="I370" s="55">
        <v>1.0</v>
      </c>
      <c r="J370" s="55">
        <v>675.0</v>
      </c>
      <c r="K370" s="55">
        <v>893.0</v>
      </c>
      <c r="L370" s="55">
        <v>412.0</v>
      </c>
      <c r="M370" s="55">
        <v>99.0</v>
      </c>
      <c r="N370" s="55">
        <v>675.0</v>
      </c>
      <c r="O370" s="56">
        <v>46.0</v>
      </c>
      <c r="P370" s="56">
        <v>18.0</v>
      </c>
      <c r="Q370" s="56">
        <v>0.0</v>
      </c>
      <c r="R370" s="57">
        <v>218.0</v>
      </c>
    </row>
    <row r="371" ht="22.5" customHeight="1">
      <c r="A371" s="51">
        <v>44507.0</v>
      </c>
      <c r="B371" s="52">
        <v>44507.88118055555</v>
      </c>
      <c r="C371" s="53" t="s">
        <v>972</v>
      </c>
      <c r="D371" s="53" t="s">
        <v>1177</v>
      </c>
      <c r="E371" s="53" t="s">
        <v>80</v>
      </c>
      <c r="F371" s="53" t="s">
        <v>55</v>
      </c>
      <c r="G371" s="53" t="s">
        <v>1175</v>
      </c>
      <c r="H371" s="54" t="s">
        <v>1178</v>
      </c>
      <c r="I371" s="55">
        <v>1.0</v>
      </c>
      <c r="J371" s="55">
        <v>876.0</v>
      </c>
      <c r="K371" s="55">
        <v>1323.0</v>
      </c>
      <c r="L371" s="55">
        <v>760.0</v>
      </c>
      <c r="M371" s="55">
        <v>71.0</v>
      </c>
      <c r="N371" s="55">
        <v>876.0</v>
      </c>
      <c r="O371" s="56">
        <v>46.0</v>
      </c>
      <c r="P371" s="56">
        <v>21.0</v>
      </c>
      <c r="Q371" s="56">
        <v>0.0</v>
      </c>
      <c r="R371" s="57">
        <v>447.0</v>
      </c>
    </row>
    <row r="372" ht="22.5" customHeight="1">
      <c r="A372" s="51">
        <v>44508.0</v>
      </c>
      <c r="B372" s="52">
        <v>44508.54001157408</v>
      </c>
      <c r="C372" s="53" t="s">
        <v>972</v>
      </c>
      <c r="D372" s="53" t="s">
        <v>1179</v>
      </c>
      <c r="E372" s="53" t="s">
        <v>84</v>
      </c>
      <c r="F372" s="53" t="s">
        <v>47</v>
      </c>
      <c r="G372" s="53" t="s">
        <v>1180</v>
      </c>
      <c r="H372" s="54" t="s">
        <v>1181</v>
      </c>
      <c r="I372" s="55">
        <v>1.0</v>
      </c>
      <c r="J372" s="55">
        <v>2988.0</v>
      </c>
      <c r="K372" s="55">
        <v>3060.0</v>
      </c>
      <c r="L372" s="55">
        <v>40.0</v>
      </c>
      <c r="M372" s="55">
        <v>67.0</v>
      </c>
      <c r="N372" s="55">
        <v>2988.0</v>
      </c>
      <c r="O372" s="56">
        <v>46.0</v>
      </c>
      <c r="P372" s="56">
        <v>12.0</v>
      </c>
      <c r="Q372" s="56">
        <v>0.0</v>
      </c>
      <c r="R372" s="57">
        <v>72.0</v>
      </c>
    </row>
    <row r="373" ht="22.5" customHeight="1">
      <c r="A373" s="51">
        <v>44509.0</v>
      </c>
      <c r="B373" s="52">
        <v>44509.39586805556</v>
      </c>
      <c r="C373" s="53" t="s">
        <v>972</v>
      </c>
      <c r="D373" s="53" t="s">
        <v>1182</v>
      </c>
      <c r="E373" s="53" t="s">
        <v>84</v>
      </c>
      <c r="F373" s="53" t="s">
        <v>50</v>
      </c>
      <c r="G373" s="53" t="s">
        <v>1183</v>
      </c>
      <c r="H373" s="54" t="s">
        <v>1184</v>
      </c>
      <c r="I373" s="55">
        <v>1.0</v>
      </c>
      <c r="J373" s="55">
        <v>1602.0</v>
      </c>
      <c r="K373" s="55">
        <v>1623.0</v>
      </c>
      <c r="L373" s="55">
        <v>43.0</v>
      </c>
      <c r="M373" s="55">
        <v>283.0</v>
      </c>
      <c r="N373" s="55">
        <v>1602.0</v>
      </c>
      <c r="O373" s="56">
        <v>46.0</v>
      </c>
      <c r="P373" s="56">
        <v>9.0</v>
      </c>
      <c r="Q373" s="56">
        <v>0.0</v>
      </c>
      <c r="R373" s="57">
        <v>21.0</v>
      </c>
    </row>
    <row r="374" ht="22.5" customHeight="1">
      <c r="A374" s="51">
        <v>44509.0</v>
      </c>
      <c r="B374" s="52">
        <v>44509.607465277775</v>
      </c>
      <c r="C374" s="53" t="s">
        <v>972</v>
      </c>
      <c r="D374" s="53" t="s">
        <v>1185</v>
      </c>
      <c r="E374" s="53" t="s">
        <v>84</v>
      </c>
      <c r="F374" s="53" t="s">
        <v>50</v>
      </c>
      <c r="G374" s="53" t="s">
        <v>1186</v>
      </c>
      <c r="H374" s="54" t="s">
        <v>1187</v>
      </c>
      <c r="I374" s="55">
        <v>1.0</v>
      </c>
      <c r="J374" s="55">
        <v>1106.0</v>
      </c>
      <c r="K374" s="55">
        <v>1275.0</v>
      </c>
      <c r="L374" s="55">
        <v>4.0</v>
      </c>
      <c r="M374" s="55">
        <v>28.0</v>
      </c>
      <c r="N374" s="55">
        <v>1106.0</v>
      </c>
      <c r="O374" s="56">
        <v>46.0</v>
      </c>
      <c r="P374" s="56">
        <v>14.0</v>
      </c>
      <c r="Q374" s="56">
        <v>0.0</v>
      </c>
      <c r="R374" s="57">
        <v>169.0</v>
      </c>
    </row>
    <row r="375" ht="22.5" customHeight="1">
      <c r="A375" s="51">
        <v>44510.0</v>
      </c>
      <c r="B375" s="52">
        <v>44510.58400462963</v>
      </c>
      <c r="C375" s="53" t="s">
        <v>972</v>
      </c>
      <c r="D375" s="53" t="s">
        <v>1188</v>
      </c>
      <c r="E375" s="53" t="s">
        <v>84</v>
      </c>
      <c r="F375" s="53" t="s">
        <v>47</v>
      </c>
      <c r="G375" s="53" t="s">
        <v>1189</v>
      </c>
      <c r="H375" s="54" t="s">
        <v>1190</v>
      </c>
      <c r="I375" s="55">
        <v>1.0</v>
      </c>
      <c r="J375" s="55">
        <v>303.0</v>
      </c>
      <c r="K375" s="55">
        <v>307.0</v>
      </c>
      <c r="L375" s="55">
        <v>7.0</v>
      </c>
      <c r="M375" s="55">
        <v>20.0</v>
      </c>
      <c r="N375" s="55">
        <v>303.0</v>
      </c>
      <c r="O375" s="56">
        <v>46.0</v>
      </c>
      <c r="P375" s="56">
        <v>14.0</v>
      </c>
      <c r="Q375" s="56">
        <v>0.0</v>
      </c>
      <c r="R375" s="57">
        <v>4.0</v>
      </c>
    </row>
    <row r="376" ht="22.5" customHeight="1">
      <c r="A376" s="51">
        <v>44510.0</v>
      </c>
      <c r="B376" s="52">
        <v>44510.75318287037</v>
      </c>
      <c r="C376" s="53" t="s">
        <v>972</v>
      </c>
      <c r="D376" s="53" t="s">
        <v>1191</v>
      </c>
      <c r="E376" s="53" t="s">
        <v>80</v>
      </c>
      <c r="F376" s="53" t="s">
        <v>55</v>
      </c>
      <c r="G376" s="53" t="s">
        <v>1192</v>
      </c>
      <c r="H376" s="54" t="s">
        <v>1193</v>
      </c>
      <c r="I376" s="55">
        <v>1.0</v>
      </c>
      <c r="J376" s="55">
        <v>436.0</v>
      </c>
      <c r="K376" s="55">
        <v>450.0</v>
      </c>
      <c r="L376" s="55">
        <v>15.0</v>
      </c>
      <c r="M376" s="55">
        <v>60.0</v>
      </c>
      <c r="N376" s="55">
        <v>436.0</v>
      </c>
      <c r="O376" s="56">
        <v>46.0</v>
      </c>
      <c r="P376" s="56">
        <v>18.0</v>
      </c>
      <c r="Q376" s="56">
        <v>0.0</v>
      </c>
      <c r="R376" s="57">
        <v>14.0</v>
      </c>
    </row>
    <row r="377" ht="22.5" customHeight="1">
      <c r="A377" s="51">
        <v>44511.0</v>
      </c>
      <c r="B377" s="52">
        <v>44511.5834837963</v>
      </c>
      <c r="C377" s="53" t="s">
        <v>972</v>
      </c>
      <c r="D377" s="53" t="s">
        <v>1194</v>
      </c>
      <c r="E377" s="53" t="s">
        <v>84</v>
      </c>
      <c r="F377" s="53" t="s">
        <v>50</v>
      </c>
      <c r="G377" s="53" t="s">
        <v>1195</v>
      </c>
      <c r="H377" s="54" t="s">
        <v>1196</v>
      </c>
      <c r="I377" s="55">
        <v>1.0</v>
      </c>
      <c r="J377" s="55">
        <v>329.0</v>
      </c>
      <c r="K377" s="55">
        <v>334.0</v>
      </c>
      <c r="L377" s="55">
        <v>25.0</v>
      </c>
      <c r="M377" s="55">
        <v>32.0</v>
      </c>
      <c r="N377" s="55">
        <v>329.0</v>
      </c>
      <c r="O377" s="56">
        <v>46.0</v>
      </c>
      <c r="P377" s="56">
        <v>14.0</v>
      </c>
      <c r="Q377" s="56">
        <v>1.0</v>
      </c>
      <c r="R377" s="57">
        <v>5.0</v>
      </c>
    </row>
    <row r="378" ht="22.5" customHeight="1">
      <c r="A378" s="51">
        <v>44511.0</v>
      </c>
      <c r="B378" s="52">
        <v>44511.66704861111</v>
      </c>
      <c r="C378" s="53" t="s">
        <v>972</v>
      </c>
      <c r="D378" s="53" t="s">
        <v>1197</v>
      </c>
      <c r="E378" s="53" t="s">
        <v>80</v>
      </c>
      <c r="F378" s="53" t="s">
        <v>55</v>
      </c>
      <c r="G378" s="53" t="s">
        <v>1198</v>
      </c>
      <c r="H378" s="54" t="s">
        <v>1199</v>
      </c>
      <c r="I378" s="55">
        <v>1.0</v>
      </c>
      <c r="J378" s="55">
        <v>611.0</v>
      </c>
      <c r="K378" s="55">
        <v>623.0</v>
      </c>
      <c r="L378" s="55">
        <v>7.0</v>
      </c>
      <c r="M378" s="55">
        <v>6.0</v>
      </c>
      <c r="N378" s="55">
        <v>611.0</v>
      </c>
      <c r="O378" s="56">
        <v>46.0</v>
      </c>
      <c r="P378" s="56">
        <v>16.0</v>
      </c>
      <c r="Q378" s="56">
        <v>1.0</v>
      </c>
      <c r="R378" s="57">
        <v>12.0</v>
      </c>
    </row>
    <row r="379" ht="22.5" customHeight="1">
      <c r="A379" s="51">
        <v>44512.0</v>
      </c>
      <c r="B379" s="52">
        <v>44512.61215277778</v>
      </c>
      <c r="C379" s="53" t="s">
        <v>972</v>
      </c>
      <c r="D379" s="53" t="s">
        <v>1200</v>
      </c>
      <c r="E379" s="53" t="s">
        <v>84</v>
      </c>
      <c r="F379" s="53" t="s">
        <v>50</v>
      </c>
      <c r="G379" s="53" t="s">
        <v>1201</v>
      </c>
      <c r="H379" s="54" t="s">
        <v>1202</v>
      </c>
      <c r="I379" s="55">
        <v>1.0</v>
      </c>
      <c r="J379" s="55">
        <v>322.0</v>
      </c>
      <c r="K379" s="55">
        <v>324.0</v>
      </c>
      <c r="L379" s="55">
        <v>3.0</v>
      </c>
      <c r="M379" s="55">
        <v>5.0</v>
      </c>
      <c r="N379" s="55">
        <v>322.0</v>
      </c>
      <c r="O379" s="56">
        <v>46.0</v>
      </c>
      <c r="P379" s="56">
        <v>14.0</v>
      </c>
      <c r="Q379" s="56">
        <v>0.0</v>
      </c>
      <c r="R379" s="57">
        <v>2.0</v>
      </c>
    </row>
    <row r="380" ht="22.5" customHeight="1">
      <c r="A380" s="51">
        <v>44512.0</v>
      </c>
      <c r="B380" s="52">
        <v>44512.888136574074</v>
      </c>
      <c r="C380" s="53" t="s">
        <v>972</v>
      </c>
      <c r="D380" s="53" t="s">
        <v>1203</v>
      </c>
      <c r="E380" s="53" t="s">
        <v>109</v>
      </c>
      <c r="F380" s="53" t="s">
        <v>55</v>
      </c>
      <c r="G380" s="53" t="s">
        <v>1204</v>
      </c>
      <c r="H380" s="54" t="s">
        <v>1205</v>
      </c>
      <c r="I380" s="55">
        <v>1.0</v>
      </c>
      <c r="J380" s="55">
        <v>185.0</v>
      </c>
      <c r="K380" s="55">
        <v>211.0</v>
      </c>
      <c r="L380" s="55">
        <v>3.0</v>
      </c>
      <c r="M380" s="55">
        <v>1.0</v>
      </c>
      <c r="N380" s="55">
        <v>185.0</v>
      </c>
      <c r="O380" s="56">
        <v>46.0</v>
      </c>
      <c r="P380" s="56">
        <v>21.0</v>
      </c>
      <c r="Q380" s="56">
        <v>0.0</v>
      </c>
      <c r="R380" s="57">
        <v>26.0</v>
      </c>
    </row>
    <row r="381" ht="22.5" customHeight="1">
      <c r="A381" s="51">
        <v>44513.0</v>
      </c>
      <c r="B381" s="52">
        <v>44513.582708333335</v>
      </c>
      <c r="C381" s="53" t="s">
        <v>972</v>
      </c>
      <c r="D381" s="53" t="s">
        <v>1206</v>
      </c>
      <c r="E381" s="53" t="s">
        <v>84</v>
      </c>
      <c r="F381" s="53" t="s">
        <v>50</v>
      </c>
      <c r="G381" s="53" t="s">
        <v>1207</v>
      </c>
      <c r="H381" s="54" t="s">
        <v>1208</v>
      </c>
      <c r="I381" s="55">
        <v>1.0</v>
      </c>
      <c r="J381" s="55">
        <v>2917.0</v>
      </c>
      <c r="K381" s="55">
        <v>2995.0</v>
      </c>
      <c r="L381" s="55">
        <v>21.0</v>
      </c>
      <c r="M381" s="55">
        <v>222.0</v>
      </c>
      <c r="N381" s="55">
        <v>2917.0</v>
      </c>
      <c r="O381" s="56">
        <v>46.0</v>
      </c>
      <c r="P381" s="56">
        <v>13.0</v>
      </c>
      <c r="Q381" s="56">
        <v>0.0</v>
      </c>
      <c r="R381" s="57">
        <v>78.0</v>
      </c>
    </row>
    <row r="382" ht="22.5" customHeight="1">
      <c r="A382" s="51">
        <v>44514.0</v>
      </c>
      <c r="B382" s="52">
        <v>44514.558912037035</v>
      </c>
      <c r="C382" s="53" t="s">
        <v>972</v>
      </c>
      <c r="D382" s="53" t="s">
        <v>1209</v>
      </c>
      <c r="E382" s="53" t="s">
        <v>84</v>
      </c>
      <c r="F382" s="53" t="s">
        <v>47</v>
      </c>
      <c r="G382" s="53" t="s">
        <v>1210</v>
      </c>
      <c r="H382" s="54" t="s">
        <v>1211</v>
      </c>
      <c r="I382" s="55">
        <v>1.0</v>
      </c>
      <c r="J382" s="55">
        <v>2476.0</v>
      </c>
      <c r="K382" s="55">
        <v>2529.0</v>
      </c>
      <c r="L382" s="55">
        <v>4.0</v>
      </c>
      <c r="M382" s="55">
        <v>211.0</v>
      </c>
      <c r="N382" s="55">
        <v>2476.0</v>
      </c>
      <c r="O382" s="56">
        <v>47.0</v>
      </c>
      <c r="P382" s="56">
        <v>13.0</v>
      </c>
      <c r="Q382" s="56">
        <v>0.0</v>
      </c>
      <c r="R382" s="57">
        <v>53.0</v>
      </c>
    </row>
    <row r="383" ht="22.5" customHeight="1">
      <c r="A383" s="51">
        <v>44514.0</v>
      </c>
      <c r="B383" s="52">
        <v>44514.708344907405</v>
      </c>
      <c r="C383" s="53" t="s">
        <v>972</v>
      </c>
      <c r="D383" s="53" t="s">
        <v>1212</v>
      </c>
      <c r="E383" s="53" t="s">
        <v>84</v>
      </c>
      <c r="F383" s="53" t="s">
        <v>50</v>
      </c>
      <c r="G383" s="53" t="s">
        <v>1213</v>
      </c>
      <c r="H383" s="54" t="s">
        <v>1214</v>
      </c>
      <c r="I383" s="55">
        <v>1.0</v>
      </c>
      <c r="J383" s="55">
        <v>1306.0</v>
      </c>
      <c r="K383" s="55">
        <v>1324.0</v>
      </c>
      <c r="L383" s="55">
        <v>15.0</v>
      </c>
      <c r="M383" s="55">
        <v>33.0</v>
      </c>
      <c r="N383" s="55">
        <v>1306.0</v>
      </c>
      <c r="O383" s="56">
        <v>47.0</v>
      </c>
      <c r="P383" s="56">
        <v>17.0</v>
      </c>
      <c r="Q383" s="56">
        <v>0.0</v>
      </c>
      <c r="R383" s="57">
        <v>18.0</v>
      </c>
    </row>
    <row r="384" ht="22.5" customHeight="1">
      <c r="A384" s="51">
        <v>44515.0</v>
      </c>
      <c r="B384" s="52">
        <v>44515.54982638889</v>
      </c>
      <c r="C384" s="53" t="s">
        <v>972</v>
      </c>
      <c r="D384" s="53" t="s">
        <v>1215</v>
      </c>
      <c r="E384" s="53" t="s">
        <v>80</v>
      </c>
      <c r="F384" s="53" t="s">
        <v>55</v>
      </c>
      <c r="G384" s="53" t="s">
        <v>1216</v>
      </c>
      <c r="H384" s="54" t="s">
        <v>1217</v>
      </c>
      <c r="I384" s="55">
        <v>1.0</v>
      </c>
      <c r="J384" s="55">
        <v>422.0</v>
      </c>
      <c r="K384" s="55">
        <v>432.0</v>
      </c>
      <c r="L384" s="55">
        <v>10.0</v>
      </c>
      <c r="M384" s="55">
        <v>16.0</v>
      </c>
      <c r="N384" s="55">
        <v>422.0</v>
      </c>
      <c r="O384" s="56">
        <v>47.0</v>
      </c>
      <c r="P384" s="56">
        <v>13.0</v>
      </c>
      <c r="Q384" s="56">
        <v>0.0</v>
      </c>
      <c r="R384" s="57">
        <v>10.0</v>
      </c>
    </row>
    <row r="385" ht="22.5" customHeight="1">
      <c r="A385" s="51">
        <v>44515.0</v>
      </c>
      <c r="B385" s="52">
        <v>44515.60471064815</v>
      </c>
      <c r="C385" s="53" t="s">
        <v>972</v>
      </c>
      <c r="D385" s="53" t="s">
        <v>1218</v>
      </c>
      <c r="E385" s="53" t="s">
        <v>84</v>
      </c>
      <c r="F385" s="53" t="s">
        <v>50</v>
      </c>
      <c r="G385" s="53" t="s">
        <v>1219</v>
      </c>
      <c r="H385" s="54" t="s">
        <v>1220</v>
      </c>
      <c r="I385" s="55">
        <v>1.0</v>
      </c>
      <c r="J385" s="55">
        <v>1049.0</v>
      </c>
      <c r="K385" s="55">
        <v>1061.0</v>
      </c>
      <c r="L385" s="55">
        <v>7.0</v>
      </c>
      <c r="M385" s="55">
        <v>9.0</v>
      </c>
      <c r="N385" s="55">
        <v>1049.0</v>
      </c>
      <c r="O385" s="56">
        <v>47.0</v>
      </c>
      <c r="P385" s="56">
        <v>14.0</v>
      </c>
      <c r="Q385" s="56">
        <v>0.0</v>
      </c>
      <c r="R385" s="57">
        <v>12.0</v>
      </c>
    </row>
    <row r="386" ht="22.5" customHeight="1">
      <c r="A386" s="51">
        <v>44515.0</v>
      </c>
      <c r="B386" s="52">
        <v>44515.64865740741</v>
      </c>
      <c r="C386" s="53" t="s">
        <v>972</v>
      </c>
      <c r="D386" s="53" t="s">
        <v>1221</v>
      </c>
      <c r="E386" s="53" t="s">
        <v>80</v>
      </c>
      <c r="F386" s="53" t="s">
        <v>55</v>
      </c>
      <c r="G386" s="53" t="s">
        <v>1222</v>
      </c>
      <c r="H386" s="54" t="s">
        <v>1223</v>
      </c>
      <c r="I386" s="55">
        <v>1.0</v>
      </c>
      <c r="J386" s="55">
        <v>1450.0</v>
      </c>
      <c r="K386" s="55">
        <v>1724.0</v>
      </c>
      <c r="L386" s="55">
        <v>246.0</v>
      </c>
      <c r="M386" s="55">
        <v>194.0</v>
      </c>
      <c r="N386" s="55">
        <v>1450.0</v>
      </c>
      <c r="O386" s="56">
        <v>47.0</v>
      </c>
      <c r="P386" s="56">
        <v>15.0</v>
      </c>
      <c r="Q386" s="56">
        <v>0.0</v>
      </c>
      <c r="R386" s="57">
        <v>274.0</v>
      </c>
    </row>
    <row r="387" ht="22.5" customHeight="1">
      <c r="A387" s="51">
        <v>44515.0</v>
      </c>
      <c r="B387" s="52">
        <v>44515.65321759259</v>
      </c>
      <c r="C387" s="53" t="s">
        <v>972</v>
      </c>
      <c r="D387" s="53" t="s">
        <v>1224</v>
      </c>
      <c r="E387" s="53" t="s">
        <v>84</v>
      </c>
      <c r="F387" s="53" t="s">
        <v>50</v>
      </c>
      <c r="G387" s="53" t="s">
        <v>1225</v>
      </c>
      <c r="H387" s="54" t="s">
        <v>1226</v>
      </c>
      <c r="I387" s="55">
        <v>1.0</v>
      </c>
      <c r="J387" s="55">
        <v>482.0</v>
      </c>
      <c r="K387" s="55">
        <v>489.0</v>
      </c>
      <c r="L387" s="55">
        <v>0.0</v>
      </c>
      <c r="M387" s="55">
        <v>6.0</v>
      </c>
      <c r="N387" s="55">
        <v>482.0</v>
      </c>
      <c r="O387" s="56">
        <v>47.0</v>
      </c>
      <c r="P387" s="56">
        <v>15.0</v>
      </c>
      <c r="Q387" s="56">
        <v>0.0</v>
      </c>
      <c r="R387" s="57">
        <v>7.0</v>
      </c>
    </row>
    <row r="388" ht="22.5" customHeight="1">
      <c r="A388" s="51">
        <v>44516.0</v>
      </c>
      <c r="B388" s="52">
        <v>44516.46184027778</v>
      </c>
      <c r="C388" s="53" t="s">
        <v>972</v>
      </c>
      <c r="D388" s="53" t="s">
        <v>1227</v>
      </c>
      <c r="E388" s="53" t="s">
        <v>84</v>
      </c>
      <c r="F388" s="53" t="s">
        <v>50</v>
      </c>
      <c r="G388" s="53" t="s">
        <v>1228</v>
      </c>
      <c r="H388" s="54" t="s">
        <v>1229</v>
      </c>
      <c r="I388" s="55">
        <v>1.0</v>
      </c>
      <c r="J388" s="55">
        <v>1661.0</v>
      </c>
      <c r="K388" s="55">
        <v>1885.0</v>
      </c>
      <c r="L388" s="55">
        <v>39.0</v>
      </c>
      <c r="M388" s="55">
        <v>86.0</v>
      </c>
      <c r="N388" s="55">
        <v>1661.0</v>
      </c>
      <c r="O388" s="56">
        <v>47.0</v>
      </c>
      <c r="P388" s="56">
        <v>11.0</v>
      </c>
      <c r="Q388" s="56">
        <v>0.0</v>
      </c>
      <c r="R388" s="57">
        <v>224.0</v>
      </c>
    </row>
    <row r="389" ht="22.5" customHeight="1">
      <c r="A389" s="51">
        <v>44516.0</v>
      </c>
      <c r="B389" s="52">
        <v>44516.62501157408</v>
      </c>
      <c r="C389" s="53" t="s">
        <v>972</v>
      </c>
      <c r="D389" s="53" t="s">
        <v>1230</v>
      </c>
      <c r="E389" s="53" t="s">
        <v>84</v>
      </c>
      <c r="F389" s="53" t="s">
        <v>47</v>
      </c>
      <c r="G389" s="53" t="s">
        <v>1231</v>
      </c>
      <c r="H389" s="54" t="s">
        <v>1232</v>
      </c>
      <c r="I389" s="55">
        <v>1.0</v>
      </c>
      <c r="J389" s="55">
        <v>2390.0</v>
      </c>
      <c r="K389" s="55">
        <v>2429.0</v>
      </c>
      <c r="L389" s="55">
        <v>5.0</v>
      </c>
      <c r="M389" s="55">
        <v>17.0</v>
      </c>
      <c r="N389" s="55">
        <v>2390.0</v>
      </c>
      <c r="O389" s="56">
        <v>47.0</v>
      </c>
      <c r="P389" s="56">
        <v>15.0</v>
      </c>
      <c r="Q389" s="56">
        <v>0.0</v>
      </c>
      <c r="R389" s="57">
        <v>39.0</v>
      </c>
    </row>
    <row r="390" ht="22.5" customHeight="1">
      <c r="A390" s="51">
        <v>44516.0</v>
      </c>
      <c r="B390" s="52">
        <v>44516.750023148146</v>
      </c>
      <c r="C390" s="53" t="s">
        <v>972</v>
      </c>
      <c r="D390" s="53" t="s">
        <v>1233</v>
      </c>
      <c r="E390" s="53" t="s">
        <v>80</v>
      </c>
      <c r="F390" s="53" t="s">
        <v>55</v>
      </c>
      <c r="G390" s="53" t="s">
        <v>1234</v>
      </c>
      <c r="H390" s="54" t="s">
        <v>1235</v>
      </c>
      <c r="I390" s="55">
        <v>1.0</v>
      </c>
      <c r="J390" s="55">
        <v>493.0</v>
      </c>
      <c r="K390" s="55">
        <v>501.0</v>
      </c>
      <c r="L390" s="55">
        <v>10.0</v>
      </c>
      <c r="M390" s="55">
        <v>41.0</v>
      </c>
      <c r="N390" s="55">
        <v>493.0</v>
      </c>
      <c r="O390" s="56">
        <v>47.0</v>
      </c>
      <c r="P390" s="56">
        <v>18.0</v>
      </c>
      <c r="Q390" s="56">
        <v>0.0</v>
      </c>
      <c r="R390" s="57">
        <v>8.0</v>
      </c>
    </row>
    <row r="391" ht="22.5" customHeight="1">
      <c r="A391" s="51">
        <v>44516.0</v>
      </c>
      <c r="B391" s="52">
        <v>44516.8055787037</v>
      </c>
      <c r="C391" s="53" t="s">
        <v>972</v>
      </c>
      <c r="D391" s="53" t="s">
        <v>1236</v>
      </c>
      <c r="E391" s="53" t="s">
        <v>84</v>
      </c>
      <c r="F391" s="53" t="s">
        <v>47</v>
      </c>
      <c r="G391" s="53" t="s">
        <v>1237</v>
      </c>
      <c r="H391" s="54" t="s">
        <v>1238</v>
      </c>
      <c r="I391" s="55">
        <v>1.0</v>
      </c>
      <c r="J391" s="55">
        <v>2032.0</v>
      </c>
      <c r="K391" s="55">
        <v>2063.0</v>
      </c>
      <c r="L391" s="55">
        <v>13.0</v>
      </c>
      <c r="M391" s="55">
        <v>14.0</v>
      </c>
      <c r="N391" s="55">
        <v>2032.0</v>
      </c>
      <c r="O391" s="56">
        <v>47.0</v>
      </c>
      <c r="P391" s="56">
        <v>19.0</v>
      </c>
      <c r="Q391" s="56">
        <v>0.0</v>
      </c>
      <c r="R391" s="57">
        <v>31.0</v>
      </c>
    </row>
    <row r="392" ht="22.5" customHeight="1">
      <c r="A392" s="51">
        <v>44516.0</v>
      </c>
      <c r="B392" s="52">
        <v>44516.875023148146</v>
      </c>
      <c r="C392" s="53" t="s">
        <v>972</v>
      </c>
      <c r="D392" s="53" t="s">
        <v>1239</v>
      </c>
      <c r="E392" s="53" t="s">
        <v>84</v>
      </c>
      <c r="F392" s="53" t="s">
        <v>50</v>
      </c>
      <c r="G392" s="53" t="s">
        <v>1240</v>
      </c>
      <c r="H392" s="54" t="s">
        <v>1241</v>
      </c>
      <c r="I392" s="55">
        <v>1.0</v>
      </c>
      <c r="J392" s="55">
        <v>162.0</v>
      </c>
      <c r="K392" s="55">
        <v>164.0</v>
      </c>
      <c r="L392" s="55">
        <v>11.0</v>
      </c>
      <c r="M392" s="55">
        <v>8.0</v>
      </c>
      <c r="N392" s="55">
        <v>162.0</v>
      </c>
      <c r="O392" s="56">
        <v>47.0</v>
      </c>
      <c r="P392" s="56">
        <v>21.0</v>
      </c>
      <c r="Q392" s="56">
        <v>0.0</v>
      </c>
      <c r="R392" s="57">
        <v>2.0</v>
      </c>
    </row>
    <row r="393" ht="22.5" customHeight="1">
      <c r="A393" s="51">
        <v>44517.0</v>
      </c>
      <c r="B393" s="52">
        <v>44517.3750462963</v>
      </c>
      <c r="C393" s="53" t="s">
        <v>972</v>
      </c>
      <c r="D393" s="53" t="s">
        <v>1242</v>
      </c>
      <c r="E393" s="53" t="s">
        <v>84</v>
      </c>
      <c r="F393" s="53" t="s">
        <v>50</v>
      </c>
      <c r="G393" s="53" t="s">
        <v>1243</v>
      </c>
      <c r="H393" s="54" t="s">
        <v>1244</v>
      </c>
      <c r="I393" s="55">
        <v>1.0</v>
      </c>
      <c r="J393" s="55">
        <v>821.0</v>
      </c>
      <c r="K393" s="55">
        <v>827.0</v>
      </c>
      <c r="L393" s="55">
        <v>8.0</v>
      </c>
      <c r="M393" s="55">
        <v>45.0</v>
      </c>
      <c r="N393" s="55">
        <v>821.0</v>
      </c>
      <c r="O393" s="56">
        <v>47.0</v>
      </c>
      <c r="P393" s="56">
        <v>9.0</v>
      </c>
      <c r="Q393" s="56">
        <v>0.0</v>
      </c>
      <c r="R393" s="57">
        <v>6.0</v>
      </c>
    </row>
    <row r="394" ht="22.5" customHeight="1">
      <c r="A394" s="51">
        <v>44517.0</v>
      </c>
      <c r="B394" s="52">
        <v>44517.458344907405</v>
      </c>
      <c r="C394" s="53" t="s">
        <v>972</v>
      </c>
      <c r="D394" s="53" t="s">
        <v>1245</v>
      </c>
      <c r="E394" s="53" t="s">
        <v>84</v>
      </c>
      <c r="F394" s="53" t="s">
        <v>50</v>
      </c>
      <c r="G394" s="53" t="s">
        <v>1246</v>
      </c>
      <c r="H394" s="54" t="s">
        <v>1247</v>
      </c>
      <c r="I394" s="55">
        <v>1.0</v>
      </c>
      <c r="J394" s="55">
        <v>1181.0</v>
      </c>
      <c r="K394" s="55">
        <v>1208.0</v>
      </c>
      <c r="L394" s="55">
        <v>7.0</v>
      </c>
      <c r="M394" s="55">
        <v>22.0</v>
      </c>
      <c r="N394" s="55">
        <v>1181.0</v>
      </c>
      <c r="O394" s="56">
        <v>47.0</v>
      </c>
      <c r="P394" s="56">
        <v>11.0</v>
      </c>
      <c r="Q394" s="56">
        <v>0.0</v>
      </c>
      <c r="R394" s="57">
        <v>27.0</v>
      </c>
    </row>
    <row r="395" ht="22.5" customHeight="1">
      <c r="A395" s="51">
        <v>44517.0</v>
      </c>
      <c r="B395" s="52">
        <v>44517.625023148146</v>
      </c>
      <c r="C395" s="53" t="s">
        <v>972</v>
      </c>
      <c r="D395" s="53" t="s">
        <v>1248</v>
      </c>
      <c r="E395" s="53" t="s">
        <v>80</v>
      </c>
      <c r="F395" s="53" t="s">
        <v>55</v>
      </c>
      <c r="G395" s="53" t="s">
        <v>1249</v>
      </c>
      <c r="H395" s="54" t="s">
        <v>1250</v>
      </c>
      <c r="I395" s="55">
        <v>1.0</v>
      </c>
      <c r="J395" s="55">
        <v>602.0</v>
      </c>
      <c r="K395" s="55">
        <v>612.0</v>
      </c>
      <c r="L395" s="55">
        <v>1.0</v>
      </c>
      <c r="M395" s="55">
        <v>77.0</v>
      </c>
      <c r="N395" s="55">
        <v>602.0</v>
      </c>
      <c r="O395" s="56">
        <v>47.0</v>
      </c>
      <c r="P395" s="56">
        <v>15.0</v>
      </c>
      <c r="Q395" s="56">
        <v>0.0</v>
      </c>
      <c r="R395" s="57">
        <v>10.0</v>
      </c>
    </row>
    <row r="396" ht="22.5" customHeight="1">
      <c r="A396" s="51">
        <v>44517.0</v>
      </c>
      <c r="B396" s="52">
        <v>44517.76175925926</v>
      </c>
      <c r="C396" s="53" t="s">
        <v>972</v>
      </c>
      <c r="D396" s="53" t="s">
        <v>1251</v>
      </c>
      <c r="E396" s="53" t="s">
        <v>84</v>
      </c>
      <c r="F396" s="53" t="s">
        <v>50</v>
      </c>
      <c r="G396" s="53" t="s">
        <v>1252</v>
      </c>
      <c r="H396" s="54" t="s">
        <v>1253</v>
      </c>
      <c r="I396" s="55">
        <v>1.0</v>
      </c>
      <c r="J396" s="55">
        <v>1439.0</v>
      </c>
      <c r="K396" s="55">
        <v>1467.0</v>
      </c>
      <c r="L396" s="55">
        <v>12.0</v>
      </c>
      <c r="M396" s="55">
        <v>51.0</v>
      </c>
      <c r="N396" s="55">
        <v>1439.0</v>
      </c>
      <c r="O396" s="56">
        <v>47.0</v>
      </c>
      <c r="P396" s="56">
        <v>18.0</v>
      </c>
      <c r="Q396" s="56">
        <v>0.0</v>
      </c>
      <c r="R396" s="57">
        <v>28.0</v>
      </c>
    </row>
    <row r="397" ht="22.5" customHeight="1">
      <c r="A397" s="51">
        <v>44518.0</v>
      </c>
      <c r="B397" s="52">
        <v>44518.3750462963</v>
      </c>
      <c r="C397" s="53" t="s">
        <v>972</v>
      </c>
      <c r="D397" s="53" t="s">
        <v>1254</v>
      </c>
      <c r="E397" s="53" t="s">
        <v>84</v>
      </c>
      <c r="F397" s="53" t="s">
        <v>50</v>
      </c>
      <c r="G397" s="53" t="s">
        <v>1255</v>
      </c>
      <c r="H397" s="54" t="s">
        <v>1256</v>
      </c>
      <c r="I397" s="55">
        <v>1.0</v>
      </c>
      <c r="J397" s="55">
        <v>1193.0</v>
      </c>
      <c r="K397" s="55">
        <v>1261.0</v>
      </c>
      <c r="L397" s="55">
        <v>10.0</v>
      </c>
      <c r="M397" s="55">
        <v>57.0</v>
      </c>
      <c r="N397" s="55">
        <v>1193.0</v>
      </c>
      <c r="O397" s="56">
        <v>47.0</v>
      </c>
      <c r="P397" s="56">
        <v>9.0</v>
      </c>
      <c r="Q397" s="56">
        <v>0.0</v>
      </c>
      <c r="R397" s="57">
        <v>68.0</v>
      </c>
    </row>
    <row r="398" ht="22.5" customHeight="1">
      <c r="A398" s="51">
        <v>44518.0</v>
      </c>
      <c r="B398" s="52">
        <v>44518.489583333336</v>
      </c>
      <c r="C398" s="53" t="s">
        <v>972</v>
      </c>
      <c r="D398" s="53" t="s">
        <v>1257</v>
      </c>
      <c r="E398" s="53" t="s">
        <v>80</v>
      </c>
      <c r="F398" s="53" t="s">
        <v>55</v>
      </c>
      <c r="G398" s="53" t="s">
        <v>1258</v>
      </c>
      <c r="H398" s="54" t="s">
        <v>1259</v>
      </c>
      <c r="I398" s="55">
        <v>1.0</v>
      </c>
      <c r="J398" s="55">
        <v>311.0</v>
      </c>
      <c r="K398" s="55">
        <v>315.0</v>
      </c>
      <c r="L398" s="55">
        <v>0.0</v>
      </c>
      <c r="M398" s="55">
        <v>3.0</v>
      </c>
      <c r="N398" s="55">
        <v>311.0</v>
      </c>
      <c r="O398" s="56">
        <v>47.0</v>
      </c>
      <c r="P398" s="56">
        <v>11.0</v>
      </c>
      <c r="Q398" s="56">
        <v>0.0</v>
      </c>
      <c r="R398" s="57">
        <v>4.0</v>
      </c>
    </row>
    <row r="399" ht="22.5" customHeight="1">
      <c r="A399" s="51">
        <v>44518.0</v>
      </c>
      <c r="B399" s="52">
        <v>44518.58329861111</v>
      </c>
      <c r="C399" s="53" t="s">
        <v>972</v>
      </c>
      <c r="D399" s="53" t="s">
        <v>1260</v>
      </c>
      <c r="E399" s="53" t="s">
        <v>84</v>
      </c>
      <c r="F399" s="53" t="s">
        <v>50</v>
      </c>
      <c r="G399" s="53" t="s">
        <v>1261</v>
      </c>
      <c r="H399" s="54" t="s">
        <v>1262</v>
      </c>
      <c r="I399" s="55">
        <v>1.0</v>
      </c>
      <c r="J399" s="55">
        <v>2002.0</v>
      </c>
      <c r="K399" s="55">
        <v>2043.0</v>
      </c>
      <c r="L399" s="55">
        <v>16.0</v>
      </c>
      <c r="M399" s="55">
        <v>367.0</v>
      </c>
      <c r="N399" s="55">
        <v>2002.0</v>
      </c>
      <c r="O399" s="56">
        <v>47.0</v>
      </c>
      <c r="P399" s="56">
        <v>13.0</v>
      </c>
      <c r="Q399" s="56">
        <v>0.0</v>
      </c>
      <c r="R399" s="57">
        <v>41.0</v>
      </c>
    </row>
    <row r="400" ht="22.5" customHeight="1">
      <c r="A400" s="51">
        <v>44518.0</v>
      </c>
      <c r="B400" s="52">
        <v>44518.67832175926</v>
      </c>
      <c r="C400" s="53" t="s">
        <v>972</v>
      </c>
      <c r="D400" s="53" t="s">
        <v>1263</v>
      </c>
      <c r="E400" s="53" t="s">
        <v>84</v>
      </c>
      <c r="F400" s="53" t="s">
        <v>50</v>
      </c>
      <c r="G400" s="53" t="s">
        <v>1264</v>
      </c>
      <c r="H400" s="54" t="s">
        <v>1265</v>
      </c>
      <c r="I400" s="55">
        <v>1.0</v>
      </c>
      <c r="J400" s="55">
        <v>1843.0</v>
      </c>
      <c r="K400" s="55">
        <v>1874.0</v>
      </c>
      <c r="L400" s="55">
        <v>53.0</v>
      </c>
      <c r="M400" s="55">
        <v>49.0</v>
      </c>
      <c r="N400" s="55">
        <v>1843.0</v>
      </c>
      <c r="O400" s="56">
        <v>47.0</v>
      </c>
      <c r="P400" s="56">
        <v>16.0</v>
      </c>
      <c r="Q400" s="56">
        <v>0.0</v>
      </c>
      <c r="R400" s="57">
        <v>31.0</v>
      </c>
    </row>
    <row r="401" ht="22.5" customHeight="1">
      <c r="A401" s="51">
        <v>44518.0</v>
      </c>
      <c r="B401" s="52">
        <v>44518.71876157408</v>
      </c>
      <c r="C401" s="53" t="s">
        <v>972</v>
      </c>
      <c r="D401" s="53" t="s">
        <v>1266</v>
      </c>
      <c r="E401" s="53" t="s">
        <v>84</v>
      </c>
      <c r="F401" s="53" t="s">
        <v>50</v>
      </c>
      <c r="G401" s="53" t="s">
        <v>1267</v>
      </c>
      <c r="H401" s="54" t="s">
        <v>1268</v>
      </c>
      <c r="I401" s="55">
        <v>1.0</v>
      </c>
      <c r="J401" s="55">
        <v>2469.0</v>
      </c>
      <c r="K401" s="55">
        <v>3021.0</v>
      </c>
      <c r="L401" s="55">
        <v>40.0</v>
      </c>
      <c r="M401" s="55">
        <v>104.0</v>
      </c>
      <c r="N401" s="55">
        <v>2469.0</v>
      </c>
      <c r="O401" s="56">
        <v>47.0</v>
      </c>
      <c r="P401" s="56">
        <v>17.0</v>
      </c>
      <c r="Q401" s="56">
        <v>0.0</v>
      </c>
      <c r="R401" s="57">
        <v>552.0</v>
      </c>
    </row>
    <row r="402" ht="22.5" customHeight="1">
      <c r="A402" s="51">
        <v>44518.0</v>
      </c>
      <c r="B402" s="52">
        <v>44518.78136574074</v>
      </c>
      <c r="C402" s="53" t="s">
        <v>972</v>
      </c>
      <c r="D402" s="53" t="s">
        <v>1269</v>
      </c>
      <c r="E402" s="53" t="s">
        <v>80</v>
      </c>
      <c r="F402" s="53" t="s">
        <v>55</v>
      </c>
      <c r="G402" s="53" t="s">
        <v>1270</v>
      </c>
      <c r="H402" s="54" t="s">
        <v>1271</v>
      </c>
      <c r="I402" s="55">
        <v>1.0</v>
      </c>
      <c r="J402" s="55">
        <v>223.0</v>
      </c>
      <c r="K402" s="55">
        <v>225.0</v>
      </c>
      <c r="L402" s="55">
        <v>0.0</v>
      </c>
      <c r="M402" s="55">
        <v>9.0</v>
      </c>
      <c r="N402" s="55">
        <v>223.0</v>
      </c>
      <c r="O402" s="56">
        <v>47.0</v>
      </c>
      <c r="P402" s="56">
        <v>18.0</v>
      </c>
      <c r="Q402" s="56">
        <v>0.0</v>
      </c>
      <c r="R402" s="57">
        <v>2.0</v>
      </c>
    </row>
    <row r="403" ht="22.5" customHeight="1">
      <c r="A403" s="51">
        <v>44518.0</v>
      </c>
      <c r="B403" s="52">
        <v>44518.8403587963</v>
      </c>
      <c r="C403" s="53" t="s">
        <v>972</v>
      </c>
      <c r="D403" s="53" t="s">
        <v>1272</v>
      </c>
      <c r="E403" s="53" t="s">
        <v>84</v>
      </c>
      <c r="F403" s="53" t="s">
        <v>47</v>
      </c>
      <c r="G403" s="53" t="s">
        <v>1273</v>
      </c>
      <c r="H403" s="54" t="s">
        <v>1274</v>
      </c>
      <c r="I403" s="55">
        <v>1.0</v>
      </c>
      <c r="J403" s="55">
        <v>3332.0</v>
      </c>
      <c r="K403" s="55">
        <v>3418.0</v>
      </c>
      <c r="L403" s="55">
        <v>22.0</v>
      </c>
      <c r="M403" s="55">
        <v>123.0</v>
      </c>
      <c r="N403" s="55">
        <v>3332.0</v>
      </c>
      <c r="O403" s="56">
        <v>47.0</v>
      </c>
      <c r="P403" s="56">
        <v>20.0</v>
      </c>
      <c r="Q403" s="56">
        <v>0.0</v>
      </c>
      <c r="R403" s="57">
        <v>86.0</v>
      </c>
    </row>
    <row r="404" ht="22.5" customHeight="1">
      <c r="A404" s="51">
        <v>44519.0</v>
      </c>
      <c r="B404" s="52">
        <v>44519.333391203705</v>
      </c>
      <c r="C404" s="53" t="s">
        <v>972</v>
      </c>
      <c r="D404" s="53" t="s">
        <v>1275</v>
      </c>
      <c r="E404" s="53" t="s">
        <v>84</v>
      </c>
      <c r="F404" s="53" t="s">
        <v>50</v>
      </c>
      <c r="G404" s="53" t="s">
        <v>1276</v>
      </c>
      <c r="H404" s="54" t="s">
        <v>1277</v>
      </c>
      <c r="I404" s="55">
        <v>1.0</v>
      </c>
      <c r="J404" s="55">
        <v>1948.0</v>
      </c>
      <c r="K404" s="55">
        <v>2087.0</v>
      </c>
      <c r="L404" s="55">
        <v>18.0</v>
      </c>
      <c r="M404" s="55">
        <v>359.0</v>
      </c>
      <c r="N404" s="55">
        <v>1948.0</v>
      </c>
      <c r="O404" s="56">
        <v>47.0</v>
      </c>
      <c r="P404" s="56">
        <v>8.0</v>
      </c>
      <c r="Q404" s="56">
        <v>0.0</v>
      </c>
      <c r="R404" s="57">
        <v>139.0</v>
      </c>
    </row>
    <row r="405" ht="22.5" customHeight="1">
      <c r="A405" s="51">
        <v>44519.0</v>
      </c>
      <c r="B405" s="52">
        <v>44519.695543981485</v>
      </c>
      <c r="C405" s="53" t="s">
        <v>972</v>
      </c>
      <c r="D405" s="53" t="s">
        <v>1278</v>
      </c>
      <c r="E405" s="53" t="s">
        <v>84</v>
      </c>
      <c r="F405" s="53" t="s">
        <v>50</v>
      </c>
      <c r="G405" s="53" t="s">
        <v>1279</v>
      </c>
      <c r="H405" s="54" t="s">
        <v>1280</v>
      </c>
      <c r="I405" s="55">
        <v>1.0</v>
      </c>
      <c r="J405" s="55">
        <v>1730.0</v>
      </c>
      <c r="K405" s="55">
        <v>1758.0</v>
      </c>
      <c r="L405" s="55">
        <v>36.0</v>
      </c>
      <c r="M405" s="55">
        <v>75.0</v>
      </c>
      <c r="N405" s="55">
        <v>1730.0</v>
      </c>
      <c r="O405" s="56">
        <v>47.0</v>
      </c>
      <c r="P405" s="56">
        <v>16.0</v>
      </c>
      <c r="Q405" s="56">
        <v>0.0</v>
      </c>
      <c r="R405" s="57">
        <v>28.0</v>
      </c>
    </row>
    <row r="406" ht="22.5" customHeight="1">
      <c r="A406" s="51">
        <v>44519.0</v>
      </c>
      <c r="B406" s="52">
        <v>44519.95097222222</v>
      </c>
      <c r="C406" s="53" t="s">
        <v>972</v>
      </c>
      <c r="D406" s="53" t="s">
        <v>1281</v>
      </c>
      <c r="E406" s="53" t="s">
        <v>84</v>
      </c>
      <c r="F406" s="53" t="s">
        <v>47</v>
      </c>
      <c r="G406" s="53" t="s">
        <v>1282</v>
      </c>
      <c r="H406" s="54" t="s">
        <v>1283</v>
      </c>
      <c r="I406" s="55">
        <v>1.0</v>
      </c>
      <c r="J406" s="55">
        <v>974.0</v>
      </c>
      <c r="K406" s="55">
        <v>986.0</v>
      </c>
      <c r="L406" s="55">
        <v>4.0</v>
      </c>
      <c r="M406" s="55">
        <v>38.0</v>
      </c>
      <c r="N406" s="55">
        <v>974.0</v>
      </c>
      <c r="O406" s="56">
        <v>47.0</v>
      </c>
      <c r="P406" s="56">
        <v>22.0</v>
      </c>
      <c r="Q406" s="56">
        <v>0.0</v>
      </c>
      <c r="R406" s="57">
        <v>12.0</v>
      </c>
    </row>
    <row r="407" ht="22.5" customHeight="1">
      <c r="A407" s="51">
        <v>44520.0</v>
      </c>
      <c r="B407" s="52">
        <v>44520.354166666664</v>
      </c>
      <c r="C407" s="53" t="s">
        <v>972</v>
      </c>
      <c r="D407" s="53" t="s">
        <v>1284</v>
      </c>
      <c r="E407" s="53" t="s">
        <v>84</v>
      </c>
      <c r="F407" s="53" t="s">
        <v>50</v>
      </c>
      <c r="G407" s="53" t="s">
        <v>1285</v>
      </c>
      <c r="H407" s="54" t="s">
        <v>1286</v>
      </c>
      <c r="I407" s="55">
        <v>1.0</v>
      </c>
      <c r="J407" s="55">
        <v>952.0</v>
      </c>
      <c r="K407" s="55">
        <v>971.0</v>
      </c>
      <c r="L407" s="55">
        <v>7.0</v>
      </c>
      <c r="M407" s="55">
        <v>45.0</v>
      </c>
      <c r="N407" s="55">
        <v>952.0</v>
      </c>
      <c r="O407" s="56">
        <v>47.0</v>
      </c>
      <c r="P407" s="56">
        <v>8.0</v>
      </c>
      <c r="Q407" s="56">
        <v>0.0</v>
      </c>
      <c r="R407" s="57">
        <v>19.0</v>
      </c>
    </row>
    <row r="408" ht="22.5" customHeight="1">
      <c r="A408" s="51">
        <v>44520.0</v>
      </c>
      <c r="B408" s="52">
        <v>44520.455671296295</v>
      </c>
      <c r="C408" s="53" t="s">
        <v>972</v>
      </c>
      <c r="D408" s="53" t="s">
        <v>1287</v>
      </c>
      <c r="E408" s="53" t="s">
        <v>84</v>
      </c>
      <c r="F408" s="53" t="s">
        <v>50</v>
      </c>
      <c r="G408" s="53" t="s">
        <v>1288</v>
      </c>
      <c r="H408" s="54" t="s">
        <v>1289</v>
      </c>
      <c r="I408" s="55">
        <v>1.0</v>
      </c>
      <c r="J408" s="55">
        <v>899.0</v>
      </c>
      <c r="K408" s="55">
        <v>1074.0</v>
      </c>
      <c r="L408" s="55">
        <v>10.0</v>
      </c>
      <c r="M408" s="55">
        <v>49.0</v>
      </c>
      <c r="N408" s="55">
        <v>899.0</v>
      </c>
      <c r="O408" s="56">
        <v>47.0</v>
      </c>
      <c r="P408" s="56">
        <v>10.0</v>
      </c>
      <c r="Q408" s="56">
        <v>0.0</v>
      </c>
      <c r="R408" s="57">
        <v>175.0</v>
      </c>
    </row>
    <row r="409" ht="22.5" customHeight="1">
      <c r="A409" s="51">
        <v>44520.0</v>
      </c>
      <c r="B409" s="52">
        <v>44520.68996527778</v>
      </c>
      <c r="C409" s="53" t="s">
        <v>972</v>
      </c>
      <c r="D409" s="53" t="s">
        <v>1290</v>
      </c>
      <c r="E409" s="53" t="s">
        <v>84</v>
      </c>
      <c r="F409" s="53" t="s">
        <v>47</v>
      </c>
      <c r="G409" s="53" t="s">
        <v>1291</v>
      </c>
      <c r="H409" s="54" t="s">
        <v>1292</v>
      </c>
      <c r="I409" s="55">
        <v>1.0</v>
      </c>
      <c r="J409" s="55">
        <v>599.0</v>
      </c>
      <c r="K409" s="55">
        <v>605.0</v>
      </c>
      <c r="L409" s="55">
        <v>7.0</v>
      </c>
      <c r="M409" s="55">
        <v>16.0</v>
      </c>
      <c r="N409" s="55">
        <v>599.0</v>
      </c>
      <c r="O409" s="56">
        <v>47.0</v>
      </c>
      <c r="P409" s="56">
        <v>16.0</v>
      </c>
      <c r="Q409" s="56">
        <v>0.0</v>
      </c>
      <c r="R409" s="57">
        <v>6.0</v>
      </c>
    </row>
    <row r="410" ht="22.5" customHeight="1">
      <c r="A410" s="51">
        <v>44520.0</v>
      </c>
      <c r="B410" s="52">
        <v>44520.786770833336</v>
      </c>
      <c r="C410" s="53" t="s">
        <v>972</v>
      </c>
      <c r="D410" s="53" t="s">
        <v>1293</v>
      </c>
      <c r="E410" s="53" t="s">
        <v>84</v>
      </c>
      <c r="F410" s="53" t="s">
        <v>50</v>
      </c>
      <c r="G410" s="53" t="s">
        <v>1294</v>
      </c>
      <c r="H410" s="54" t="s">
        <v>1295</v>
      </c>
      <c r="I410" s="55">
        <v>1.0</v>
      </c>
      <c r="J410" s="55">
        <v>5022.0</v>
      </c>
      <c r="K410" s="55">
        <v>5572.0</v>
      </c>
      <c r="L410" s="55">
        <v>64.0</v>
      </c>
      <c r="M410" s="55">
        <v>478.0</v>
      </c>
      <c r="N410" s="55">
        <v>5022.0</v>
      </c>
      <c r="O410" s="56">
        <v>47.0</v>
      </c>
      <c r="P410" s="56">
        <v>18.0</v>
      </c>
      <c r="Q410" s="56">
        <v>0.0</v>
      </c>
      <c r="R410" s="57">
        <v>550.0</v>
      </c>
    </row>
    <row r="411" ht="22.5" customHeight="1">
      <c r="A411" s="51">
        <v>44520.0</v>
      </c>
      <c r="B411" s="52">
        <v>44520.91446759259</v>
      </c>
      <c r="C411" s="53" t="s">
        <v>972</v>
      </c>
      <c r="D411" s="53" t="s">
        <v>1296</v>
      </c>
      <c r="E411" s="53" t="s">
        <v>84</v>
      </c>
      <c r="F411" s="53" t="s">
        <v>47</v>
      </c>
      <c r="G411" s="53" t="s">
        <v>1297</v>
      </c>
      <c r="H411" s="54" t="s">
        <v>1298</v>
      </c>
      <c r="I411" s="55">
        <v>1.0</v>
      </c>
      <c r="J411" s="55">
        <v>1212.0</v>
      </c>
      <c r="K411" s="55">
        <v>1281.0</v>
      </c>
      <c r="L411" s="55">
        <v>26.0</v>
      </c>
      <c r="M411" s="55">
        <v>59.0</v>
      </c>
      <c r="N411" s="55">
        <v>1212.0</v>
      </c>
      <c r="O411" s="56">
        <v>47.0</v>
      </c>
      <c r="P411" s="56">
        <v>21.0</v>
      </c>
      <c r="Q411" s="56">
        <v>0.0</v>
      </c>
      <c r="R411" s="57">
        <v>69.0</v>
      </c>
    </row>
    <row r="412" ht="22.5" customHeight="1">
      <c r="A412" s="51">
        <v>44521.0</v>
      </c>
      <c r="B412" s="52">
        <v>44521.35420138889</v>
      </c>
      <c r="C412" s="53" t="s">
        <v>972</v>
      </c>
      <c r="D412" s="53" t="s">
        <v>1299</v>
      </c>
      <c r="E412" s="53" t="s">
        <v>84</v>
      </c>
      <c r="F412" s="53" t="s">
        <v>50</v>
      </c>
      <c r="G412" s="53" t="s">
        <v>1300</v>
      </c>
      <c r="H412" s="54" t="s">
        <v>1301</v>
      </c>
      <c r="I412" s="55">
        <v>1.0</v>
      </c>
      <c r="J412" s="55">
        <v>1156.0</v>
      </c>
      <c r="K412" s="55">
        <v>1180.0</v>
      </c>
      <c r="L412" s="55">
        <v>6.0</v>
      </c>
      <c r="M412" s="55">
        <v>28.0</v>
      </c>
      <c r="N412" s="55">
        <v>1156.0</v>
      </c>
      <c r="O412" s="56">
        <v>48.0</v>
      </c>
      <c r="P412" s="56">
        <v>8.0</v>
      </c>
      <c r="Q412" s="56">
        <v>0.0</v>
      </c>
      <c r="R412" s="57">
        <v>24.0</v>
      </c>
    </row>
    <row r="413" ht="22.5" customHeight="1">
      <c r="A413" s="51">
        <v>44521.0</v>
      </c>
      <c r="B413" s="52">
        <v>44521.621041666665</v>
      </c>
      <c r="C413" s="53" t="s">
        <v>972</v>
      </c>
      <c r="D413" s="53" t="s">
        <v>1302</v>
      </c>
      <c r="E413" s="53" t="s">
        <v>84</v>
      </c>
      <c r="F413" s="53" t="s">
        <v>50</v>
      </c>
      <c r="G413" s="53" t="s">
        <v>1303</v>
      </c>
      <c r="H413" s="54" t="s">
        <v>1304</v>
      </c>
      <c r="I413" s="55">
        <v>1.0</v>
      </c>
      <c r="J413" s="55">
        <v>5988.0</v>
      </c>
      <c r="K413" s="55">
        <v>6579.0</v>
      </c>
      <c r="L413" s="55">
        <v>65.0</v>
      </c>
      <c r="M413" s="55">
        <v>395.0</v>
      </c>
      <c r="N413" s="55">
        <v>5988.0</v>
      </c>
      <c r="O413" s="56">
        <v>48.0</v>
      </c>
      <c r="P413" s="56">
        <v>14.0</v>
      </c>
      <c r="Q413" s="56">
        <v>0.0</v>
      </c>
      <c r="R413" s="57">
        <v>591.0</v>
      </c>
    </row>
    <row r="414" ht="22.5" customHeight="1">
      <c r="A414" s="51">
        <v>44521.0</v>
      </c>
      <c r="B414" s="52">
        <v>44521.65060185185</v>
      </c>
      <c r="C414" s="53" t="s">
        <v>972</v>
      </c>
      <c r="D414" s="53" t="s">
        <v>1305</v>
      </c>
      <c r="E414" s="53" t="s">
        <v>84</v>
      </c>
      <c r="F414" s="53" t="s">
        <v>47</v>
      </c>
      <c r="G414" s="53" t="s">
        <v>1306</v>
      </c>
      <c r="H414" s="54" t="s">
        <v>1307</v>
      </c>
      <c r="I414" s="55">
        <v>1.0</v>
      </c>
      <c r="J414" s="55">
        <v>1048.0</v>
      </c>
      <c r="K414" s="55">
        <v>1058.0</v>
      </c>
      <c r="L414" s="55">
        <v>17.0</v>
      </c>
      <c r="M414" s="55">
        <v>41.0</v>
      </c>
      <c r="N414" s="55">
        <v>1048.0</v>
      </c>
      <c r="O414" s="56">
        <v>48.0</v>
      </c>
      <c r="P414" s="56">
        <v>15.0</v>
      </c>
      <c r="Q414" s="56">
        <v>0.0</v>
      </c>
      <c r="R414" s="57">
        <v>10.0</v>
      </c>
    </row>
    <row r="415" ht="22.5" customHeight="1">
      <c r="A415" s="51">
        <v>44521.0</v>
      </c>
      <c r="B415" s="52">
        <v>44521.92974537037</v>
      </c>
      <c r="C415" s="53" t="s">
        <v>972</v>
      </c>
      <c r="D415" s="53" t="s">
        <v>1308</v>
      </c>
      <c r="E415" s="53" t="s">
        <v>84</v>
      </c>
      <c r="F415" s="53" t="s">
        <v>47</v>
      </c>
      <c r="G415" s="53" t="s">
        <v>1309</v>
      </c>
      <c r="H415" s="54" t="s">
        <v>1310</v>
      </c>
      <c r="I415" s="55">
        <v>1.0</v>
      </c>
      <c r="J415" s="55">
        <v>1407.0</v>
      </c>
      <c r="K415" s="55">
        <v>1465.0</v>
      </c>
      <c r="L415" s="55">
        <v>32.0</v>
      </c>
      <c r="M415" s="55">
        <v>77.0</v>
      </c>
      <c r="N415" s="55">
        <v>1407.0</v>
      </c>
      <c r="O415" s="56">
        <v>48.0</v>
      </c>
      <c r="P415" s="56">
        <v>22.0</v>
      </c>
      <c r="Q415" s="56">
        <v>0.0</v>
      </c>
      <c r="R415" s="57">
        <v>58.0</v>
      </c>
    </row>
    <row r="416" ht="22.5" customHeight="1">
      <c r="A416" s="51">
        <v>44522.0</v>
      </c>
      <c r="B416" s="52">
        <v>44522.48226851852</v>
      </c>
      <c r="C416" s="53" t="s">
        <v>972</v>
      </c>
      <c r="D416" s="53" t="s">
        <v>1311</v>
      </c>
      <c r="E416" s="53" t="s">
        <v>80</v>
      </c>
      <c r="F416" s="53" t="s">
        <v>55</v>
      </c>
      <c r="G416" s="53" t="s">
        <v>1312</v>
      </c>
      <c r="H416" s="54" t="s">
        <v>1313</v>
      </c>
      <c r="I416" s="55">
        <v>1.0</v>
      </c>
      <c r="J416" s="55">
        <v>426.0</v>
      </c>
      <c r="K416" s="55">
        <v>435.0</v>
      </c>
      <c r="L416" s="55">
        <v>0.0</v>
      </c>
      <c r="M416" s="55">
        <v>21.0</v>
      </c>
      <c r="N416" s="55">
        <v>426.0</v>
      </c>
      <c r="O416" s="56">
        <v>48.0</v>
      </c>
      <c r="P416" s="56">
        <v>11.0</v>
      </c>
      <c r="Q416" s="56">
        <v>0.0</v>
      </c>
      <c r="R416" s="57">
        <v>9.0</v>
      </c>
    </row>
    <row r="417" ht="22.5" customHeight="1">
      <c r="A417" s="51">
        <v>44522.0</v>
      </c>
      <c r="B417" s="52">
        <v>44522.59611111111</v>
      </c>
      <c r="C417" s="53" t="s">
        <v>972</v>
      </c>
      <c r="D417" s="53" t="s">
        <v>1314</v>
      </c>
      <c r="E417" s="53" t="s">
        <v>84</v>
      </c>
      <c r="F417" s="53" t="s">
        <v>50</v>
      </c>
      <c r="G417" s="53" t="s">
        <v>1315</v>
      </c>
      <c r="H417" s="54" t="s">
        <v>1316</v>
      </c>
      <c r="I417" s="55">
        <v>1.0</v>
      </c>
      <c r="J417" s="55">
        <v>1296.0</v>
      </c>
      <c r="K417" s="55">
        <v>1309.0</v>
      </c>
      <c r="L417" s="55">
        <v>4.0</v>
      </c>
      <c r="M417" s="55">
        <v>16.0</v>
      </c>
      <c r="N417" s="55">
        <v>1296.0</v>
      </c>
      <c r="O417" s="56">
        <v>48.0</v>
      </c>
      <c r="P417" s="56">
        <v>14.0</v>
      </c>
      <c r="Q417" s="56">
        <v>0.0</v>
      </c>
      <c r="R417" s="57">
        <v>13.0</v>
      </c>
    </row>
    <row r="418" ht="22.5" customHeight="1">
      <c r="A418" s="51">
        <v>44522.0</v>
      </c>
      <c r="B418" s="52">
        <v>44522.7215162037</v>
      </c>
      <c r="C418" s="53" t="s">
        <v>972</v>
      </c>
      <c r="D418" s="53" t="s">
        <v>1317</v>
      </c>
      <c r="E418" s="53" t="s">
        <v>84</v>
      </c>
      <c r="F418" s="53" t="s">
        <v>50</v>
      </c>
      <c r="G418" s="53" t="s">
        <v>1318</v>
      </c>
      <c r="H418" s="54" t="s">
        <v>1319</v>
      </c>
      <c r="I418" s="55">
        <v>1.0</v>
      </c>
      <c r="J418" s="55">
        <v>1870.0</v>
      </c>
      <c r="K418" s="55">
        <v>1912.0</v>
      </c>
      <c r="L418" s="55">
        <v>11.0</v>
      </c>
      <c r="M418" s="55">
        <v>62.0</v>
      </c>
      <c r="N418" s="55">
        <v>1870.0</v>
      </c>
      <c r="O418" s="56">
        <v>48.0</v>
      </c>
      <c r="P418" s="56">
        <v>17.0</v>
      </c>
      <c r="Q418" s="56">
        <v>0.0</v>
      </c>
      <c r="R418" s="57">
        <v>42.0</v>
      </c>
    </row>
    <row r="419" ht="22.5" customHeight="1">
      <c r="A419" s="51">
        <v>44522.0</v>
      </c>
      <c r="B419" s="52">
        <v>44522.75001157408</v>
      </c>
      <c r="C419" s="53" t="s">
        <v>972</v>
      </c>
      <c r="D419" s="53" t="s">
        <v>1320</v>
      </c>
      <c r="E419" s="53" t="s">
        <v>84</v>
      </c>
      <c r="F419" s="53" t="s">
        <v>50</v>
      </c>
      <c r="G419" s="53" t="s">
        <v>1321</v>
      </c>
      <c r="H419" s="54" t="s">
        <v>1322</v>
      </c>
      <c r="I419" s="55">
        <v>1.0</v>
      </c>
      <c r="J419" s="55">
        <v>85.0</v>
      </c>
      <c r="K419" s="55">
        <v>88.0</v>
      </c>
      <c r="L419" s="55">
        <v>0.0</v>
      </c>
      <c r="M419" s="55">
        <v>1.0</v>
      </c>
      <c r="N419" s="55">
        <v>85.0</v>
      </c>
      <c r="O419" s="56">
        <v>48.0</v>
      </c>
      <c r="P419" s="56">
        <v>18.0</v>
      </c>
      <c r="Q419" s="56">
        <v>0.0</v>
      </c>
      <c r="R419" s="57">
        <v>3.0</v>
      </c>
    </row>
    <row r="420" ht="22.5" customHeight="1">
      <c r="A420" s="51">
        <v>44522.0</v>
      </c>
      <c r="B420" s="52">
        <v>44522.842673611114</v>
      </c>
      <c r="C420" s="53" t="s">
        <v>972</v>
      </c>
      <c r="D420" s="53" t="s">
        <v>1323</v>
      </c>
      <c r="E420" s="53" t="s">
        <v>97</v>
      </c>
      <c r="F420" s="53" t="s">
        <v>52</v>
      </c>
      <c r="G420" s="53" t="s">
        <v>1324</v>
      </c>
      <c r="H420" s="54" t="s">
        <v>1325</v>
      </c>
      <c r="I420" s="55">
        <v>1.0</v>
      </c>
      <c r="J420" s="55">
        <v>224.0</v>
      </c>
      <c r="K420" s="55">
        <v>227.0</v>
      </c>
      <c r="L420" s="55">
        <v>1.0</v>
      </c>
      <c r="M420" s="55">
        <v>3.0</v>
      </c>
      <c r="N420" s="55">
        <v>224.0</v>
      </c>
      <c r="O420" s="56">
        <v>48.0</v>
      </c>
      <c r="P420" s="56">
        <v>20.0</v>
      </c>
      <c r="Q420" s="56">
        <v>0.0</v>
      </c>
      <c r="R420" s="57">
        <v>3.0</v>
      </c>
    </row>
    <row r="421" ht="22.5" customHeight="1">
      <c r="A421" s="51">
        <v>44523.0</v>
      </c>
      <c r="B421" s="52">
        <v>44523.55877314815</v>
      </c>
      <c r="C421" s="53" t="s">
        <v>972</v>
      </c>
      <c r="D421" s="53" t="s">
        <v>1326</v>
      </c>
      <c r="E421" s="53" t="s">
        <v>84</v>
      </c>
      <c r="F421" s="53" t="s">
        <v>50</v>
      </c>
      <c r="G421" s="53" t="s">
        <v>1327</v>
      </c>
      <c r="H421" s="54" t="s">
        <v>1328</v>
      </c>
      <c r="I421" s="55">
        <v>1.0</v>
      </c>
      <c r="J421" s="55">
        <v>1269.0</v>
      </c>
      <c r="K421" s="55">
        <v>1305.0</v>
      </c>
      <c r="L421" s="55">
        <v>24.0</v>
      </c>
      <c r="M421" s="55">
        <v>92.0</v>
      </c>
      <c r="N421" s="55">
        <v>1269.0</v>
      </c>
      <c r="O421" s="56">
        <v>48.0</v>
      </c>
      <c r="P421" s="56">
        <v>13.0</v>
      </c>
      <c r="Q421" s="56">
        <v>0.0</v>
      </c>
      <c r="R421" s="57">
        <v>36.0</v>
      </c>
    </row>
    <row r="422" ht="22.5" customHeight="1">
      <c r="A422" s="51">
        <v>44523.0</v>
      </c>
      <c r="B422" s="52">
        <v>44523.626296296294</v>
      </c>
      <c r="C422" s="53" t="s">
        <v>972</v>
      </c>
      <c r="D422" s="53" t="s">
        <v>1329</v>
      </c>
      <c r="E422" s="53" t="s">
        <v>84</v>
      </c>
      <c r="F422" s="53" t="s">
        <v>50</v>
      </c>
      <c r="G422" s="53" t="s">
        <v>1330</v>
      </c>
      <c r="H422" s="54" t="s">
        <v>1331</v>
      </c>
      <c r="I422" s="55">
        <v>1.0</v>
      </c>
      <c r="J422" s="55">
        <v>987.0</v>
      </c>
      <c r="K422" s="55">
        <v>1012.0</v>
      </c>
      <c r="L422" s="55">
        <v>4.0</v>
      </c>
      <c r="M422" s="55">
        <v>25.0</v>
      </c>
      <c r="N422" s="55">
        <v>987.0</v>
      </c>
      <c r="O422" s="56">
        <v>48.0</v>
      </c>
      <c r="P422" s="56">
        <v>15.0</v>
      </c>
      <c r="Q422" s="56">
        <v>0.0</v>
      </c>
      <c r="R422" s="57">
        <v>25.0</v>
      </c>
    </row>
    <row r="423" ht="22.5" customHeight="1">
      <c r="A423" s="51">
        <v>44523.0</v>
      </c>
      <c r="B423" s="52">
        <v>44523.67590277778</v>
      </c>
      <c r="C423" s="53" t="s">
        <v>972</v>
      </c>
      <c r="D423" s="53" t="s">
        <v>1332</v>
      </c>
      <c r="E423" s="53" t="s">
        <v>80</v>
      </c>
      <c r="F423" s="53" t="s">
        <v>55</v>
      </c>
      <c r="G423" s="53" t="s">
        <v>1333</v>
      </c>
      <c r="H423" s="54" t="s">
        <v>1334</v>
      </c>
      <c r="I423" s="55">
        <v>1.0</v>
      </c>
      <c r="J423" s="55">
        <v>229.0</v>
      </c>
      <c r="K423" s="55">
        <v>231.0</v>
      </c>
      <c r="L423" s="55">
        <v>0.0</v>
      </c>
      <c r="M423" s="55">
        <v>9.0</v>
      </c>
      <c r="N423" s="55">
        <v>229.0</v>
      </c>
      <c r="O423" s="56">
        <v>48.0</v>
      </c>
      <c r="P423" s="56">
        <v>16.0</v>
      </c>
      <c r="Q423" s="56">
        <v>0.0</v>
      </c>
      <c r="R423" s="57">
        <v>2.0</v>
      </c>
    </row>
    <row r="424" ht="22.5" customHeight="1">
      <c r="A424" s="51">
        <v>44523.0</v>
      </c>
      <c r="B424" s="52">
        <v>44523.89388888889</v>
      </c>
      <c r="C424" s="53" t="s">
        <v>972</v>
      </c>
      <c r="D424" s="53" t="s">
        <v>1335</v>
      </c>
      <c r="E424" s="53" t="s">
        <v>84</v>
      </c>
      <c r="F424" s="53" t="s">
        <v>50</v>
      </c>
      <c r="G424" s="53" t="s">
        <v>1336</v>
      </c>
      <c r="H424" s="54" t="s">
        <v>1337</v>
      </c>
      <c r="I424" s="55">
        <v>1.0</v>
      </c>
      <c r="J424" s="55">
        <v>1252.0</v>
      </c>
      <c r="K424" s="55">
        <v>1264.0</v>
      </c>
      <c r="L424" s="55">
        <v>16.0</v>
      </c>
      <c r="M424" s="55">
        <v>41.0</v>
      </c>
      <c r="N424" s="55">
        <v>1252.0</v>
      </c>
      <c r="O424" s="56">
        <v>48.0</v>
      </c>
      <c r="P424" s="56">
        <v>21.0</v>
      </c>
      <c r="Q424" s="56">
        <v>0.0</v>
      </c>
      <c r="R424" s="57">
        <v>12.0</v>
      </c>
    </row>
    <row r="425" ht="22.5" customHeight="1">
      <c r="A425" s="51">
        <v>44524.0</v>
      </c>
      <c r="B425" s="52">
        <v>44524.541666666664</v>
      </c>
      <c r="C425" s="53" t="s">
        <v>972</v>
      </c>
      <c r="D425" s="53" t="s">
        <v>1338</v>
      </c>
      <c r="E425" s="53" t="s">
        <v>84</v>
      </c>
      <c r="F425" s="53" t="s">
        <v>50</v>
      </c>
      <c r="G425" s="53" t="s">
        <v>1339</v>
      </c>
      <c r="H425" s="54" t="s">
        <v>1340</v>
      </c>
      <c r="I425" s="55">
        <v>1.0</v>
      </c>
      <c r="J425" s="55">
        <v>378.0</v>
      </c>
      <c r="K425" s="55">
        <v>381.0</v>
      </c>
      <c r="L425" s="55">
        <v>8.0</v>
      </c>
      <c r="M425" s="55">
        <v>22.0</v>
      </c>
      <c r="N425" s="55">
        <v>378.0</v>
      </c>
      <c r="O425" s="56">
        <v>48.0</v>
      </c>
      <c r="P425" s="56">
        <v>13.0</v>
      </c>
      <c r="Q425" s="56">
        <v>0.0</v>
      </c>
      <c r="R425" s="57">
        <v>3.0</v>
      </c>
    </row>
    <row r="426" ht="22.5" customHeight="1">
      <c r="A426" s="51">
        <v>44524.0</v>
      </c>
      <c r="B426" s="52">
        <v>44524.54859953704</v>
      </c>
      <c r="C426" s="53" t="s">
        <v>972</v>
      </c>
      <c r="D426" s="53" t="s">
        <v>1341</v>
      </c>
      <c r="E426" s="53" t="s">
        <v>84</v>
      </c>
      <c r="F426" s="53" t="s">
        <v>50</v>
      </c>
      <c r="G426" s="53" t="s">
        <v>1342</v>
      </c>
      <c r="H426" s="54" t="s">
        <v>1343</v>
      </c>
      <c r="I426" s="55">
        <v>1.0</v>
      </c>
      <c r="J426" s="55">
        <v>607.0</v>
      </c>
      <c r="K426" s="55">
        <v>633.0</v>
      </c>
      <c r="L426" s="55">
        <v>8.0</v>
      </c>
      <c r="M426" s="55">
        <v>25.0</v>
      </c>
      <c r="N426" s="55">
        <v>607.0</v>
      </c>
      <c r="O426" s="56">
        <v>48.0</v>
      </c>
      <c r="P426" s="56">
        <v>13.0</v>
      </c>
      <c r="Q426" s="56">
        <v>0.0</v>
      </c>
      <c r="R426" s="57">
        <v>26.0</v>
      </c>
    </row>
    <row r="427" ht="22.5" customHeight="1">
      <c r="A427" s="51">
        <v>44524.0</v>
      </c>
      <c r="B427" s="52">
        <v>44524.632314814815</v>
      </c>
      <c r="C427" s="53" t="s">
        <v>972</v>
      </c>
      <c r="D427" s="53" t="s">
        <v>1344</v>
      </c>
      <c r="E427" s="53" t="s">
        <v>84</v>
      </c>
      <c r="F427" s="53" t="s">
        <v>50</v>
      </c>
      <c r="G427" s="53" t="s">
        <v>1345</v>
      </c>
      <c r="H427" s="54" t="s">
        <v>1346</v>
      </c>
      <c r="I427" s="55">
        <v>1.0</v>
      </c>
      <c r="J427" s="55">
        <v>197.0</v>
      </c>
      <c r="K427" s="55">
        <v>199.0</v>
      </c>
      <c r="L427" s="55">
        <v>0.0</v>
      </c>
      <c r="M427" s="55">
        <v>14.0</v>
      </c>
      <c r="N427" s="55">
        <v>197.0</v>
      </c>
      <c r="O427" s="56">
        <v>48.0</v>
      </c>
      <c r="P427" s="56">
        <v>15.0</v>
      </c>
      <c r="Q427" s="56">
        <v>0.0</v>
      </c>
      <c r="R427" s="57">
        <v>2.0</v>
      </c>
    </row>
    <row r="428" ht="22.5" customHeight="1">
      <c r="A428" s="51">
        <v>44524.0</v>
      </c>
      <c r="B428" s="52">
        <v>44524.94188657407</v>
      </c>
      <c r="C428" s="53" t="s">
        <v>972</v>
      </c>
      <c r="D428" s="53" t="s">
        <v>1347</v>
      </c>
      <c r="E428" s="53" t="s">
        <v>84</v>
      </c>
      <c r="F428" s="53" t="s">
        <v>50</v>
      </c>
      <c r="G428" s="53" t="s">
        <v>1348</v>
      </c>
      <c r="H428" s="54" t="s">
        <v>1349</v>
      </c>
      <c r="I428" s="55">
        <v>1.0</v>
      </c>
      <c r="J428" s="55">
        <v>1181.0</v>
      </c>
      <c r="K428" s="55">
        <v>1199.0</v>
      </c>
      <c r="L428" s="55">
        <v>22.0</v>
      </c>
      <c r="M428" s="55">
        <v>26.0</v>
      </c>
      <c r="N428" s="55">
        <v>1181.0</v>
      </c>
      <c r="O428" s="56">
        <v>48.0</v>
      </c>
      <c r="P428" s="56">
        <v>22.0</v>
      </c>
      <c r="Q428" s="56">
        <v>0.0</v>
      </c>
      <c r="R428" s="57">
        <v>18.0</v>
      </c>
    </row>
    <row r="429" ht="22.5" customHeight="1">
      <c r="A429" s="51">
        <v>44524.0</v>
      </c>
      <c r="B429" s="52">
        <v>44524.96047453704</v>
      </c>
      <c r="C429" s="53" t="s">
        <v>972</v>
      </c>
      <c r="D429" s="53" t="s">
        <v>1350</v>
      </c>
      <c r="E429" s="53" t="s">
        <v>84</v>
      </c>
      <c r="F429" s="53" t="s">
        <v>50</v>
      </c>
      <c r="G429" s="53" t="s">
        <v>1351</v>
      </c>
      <c r="H429" s="54" t="s">
        <v>1352</v>
      </c>
      <c r="I429" s="55">
        <v>1.0</v>
      </c>
      <c r="J429" s="55">
        <v>1988.0</v>
      </c>
      <c r="K429" s="55">
        <v>2059.0</v>
      </c>
      <c r="L429" s="55">
        <v>24.0</v>
      </c>
      <c r="M429" s="55">
        <v>30.0</v>
      </c>
      <c r="N429" s="55">
        <v>1988.0</v>
      </c>
      <c r="O429" s="56">
        <v>48.0</v>
      </c>
      <c r="P429" s="56">
        <v>23.0</v>
      </c>
      <c r="Q429" s="56">
        <v>0.0</v>
      </c>
      <c r="R429" s="57">
        <v>71.0</v>
      </c>
    </row>
    <row r="430" ht="22.5" customHeight="1">
      <c r="A430" s="51">
        <v>44525.0</v>
      </c>
      <c r="B430" s="52">
        <v>44525.55311342593</v>
      </c>
      <c r="C430" s="53" t="s">
        <v>972</v>
      </c>
      <c r="D430" s="53" t="s">
        <v>1353</v>
      </c>
      <c r="E430" s="53" t="s">
        <v>84</v>
      </c>
      <c r="F430" s="53" t="s">
        <v>50</v>
      </c>
      <c r="G430" s="53" t="s">
        <v>1354</v>
      </c>
      <c r="H430" s="54" t="s">
        <v>1355</v>
      </c>
      <c r="I430" s="55">
        <v>1.0</v>
      </c>
      <c r="J430" s="55">
        <v>767.0</v>
      </c>
      <c r="K430" s="55">
        <v>788.0</v>
      </c>
      <c r="L430" s="55">
        <v>12.0</v>
      </c>
      <c r="M430" s="55">
        <v>24.0</v>
      </c>
      <c r="N430" s="55">
        <v>767.0</v>
      </c>
      <c r="O430" s="56">
        <v>48.0</v>
      </c>
      <c r="P430" s="56">
        <v>13.0</v>
      </c>
      <c r="Q430" s="56">
        <v>0.0</v>
      </c>
      <c r="R430" s="57">
        <v>21.0</v>
      </c>
    </row>
    <row r="431" ht="22.5" customHeight="1">
      <c r="A431" s="51">
        <v>44525.0</v>
      </c>
      <c r="B431" s="52">
        <v>44525.58337962963</v>
      </c>
      <c r="C431" s="53" t="s">
        <v>972</v>
      </c>
      <c r="D431" s="53" t="s">
        <v>1356</v>
      </c>
      <c r="E431" s="53" t="s">
        <v>84</v>
      </c>
      <c r="F431" s="53" t="s">
        <v>50</v>
      </c>
      <c r="G431" s="53" t="s">
        <v>1357</v>
      </c>
      <c r="H431" s="54" t="s">
        <v>1358</v>
      </c>
      <c r="I431" s="55">
        <v>1.0</v>
      </c>
      <c r="J431" s="55">
        <v>390.0</v>
      </c>
      <c r="K431" s="55">
        <v>393.0</v>
      </c>
      <c r="L431" s="55">
        <v>1.0</v>
      </c>
      <c r="M431" s="55">
        <v>10.0</v>
      </c>
      <c r="N431" s="55">
        <v>390.0</v>
      </c>
      <c r="O431" s="56">
        <v>48.0</v>
      </c>
      <c r="P431" s="56">
        <v>14.0</v>
      </c>
      <c r="Q431" s="56">
        <v>0.0</v>
      </c>
      <c r="R431" s="57">
        <v>3.0</v>
      </c>
    </row>
    <row r="432" ht="22.5" customHeight="1">
      <c r="A432" s="51">
        <v>44525.0</v>
      </c>
      <c r="B432" s="52">
        <v>44525.625023148146</v>
      </c>
      <c r="C432" s="53" t="s">
        <v>972</v>
      </c>
      <c r="D432" s="53" t="s">
        <v>1359</v>
      </c>
      <c r="E432" s="53" t="s">
        <v>80</v>
      </c>
      <c r="F432" s="53" t="s">
        <v>55</v>
      </c>
      <c r="G432" s="53" t="s">
        <v>1360</v>
      </c>
      <c r="H432" s="54" t="s">
        <v>1361</v>
      </c>
      <c r="I432" s="55">
        <v>1.0</v>
      </c>
      <c r="J432" s="55">
        <v>224.0</v>
      </c>
      <c r="K432" s="55">
        <v>228.0</v>
      </c>
      <c r="L432" s="55">
        <v>1.0</v>
      </c>
      <c r="M432" s="55">
        <v>5.0</v>
      </c>
      <c r="N432" s="55">
        <v>224.0</v>
      </c>
      <c r="O432" s="56">
        <v>48.0</v>
      </c>
      <c r="P432" s="56">
        <v>15.0</v>
      </c>
      <c r="Q432" s="56">
        <v>0.0</v>
      </c>
      <c r="R432" s="57">
        <v>4.0</v>
      </c>
    </row>
    <row r="433" ht="22.5" customHeight="1">
      <c r="A433" s="51">
        <v>44525.0</v>
      </c>
      <c r="B433" s="52">
        <v>44525.898206018515</v>
      </c>
      <c r="C433" s="53" t="s">
        <v>972</v>
      </c>
      <c r="D433" s="53" t="s">
        <v>1362</v>
      </c>
      <c r="E433" s="53" t="s">
        <v>84</v>
      </c>
      <c r="F433" s="53" t="s">
        <v>50</v>
      </c>
      <c r="G433" s="53" t="s">
        <v>1363</v>
      </c>
      <c r="H433" s="54" t="s">
        <v>1364</v>
      </c>
      <c r="I433" s="55">
        <v>1.0</v>
      </c>
      <c r="J433" s="55">
        <v>5051.0</v>
      </c>
      <c r="K433" s="55">
        <v>5893.0</v>
      </c>
      <c r="L433" s="55">
        <v>143.0</v>
      </c>
      <c r="M433" s="55">
        <v>1026.0</v>
      </c>
      <c r="N433" s="55">
        <v>5051.0</v>
      </c>
      <c r="O433" s="56">
        <v>48.0</v>
      </c>
      <c r="P433" s="56">
        <v>21.0</v>
      </c>
      <c r="Q433" s="56">
        <v>0.0</v>
      </c>
      <c r="R433" s="57">
        <v>842.0</v>
      </c>
    </row>
    <row r="434" ht="22.5" customHeight="1">
      <c r="A434" s="51">
        <v>44525.0</v>
      </c>
      <c r="B434" s="52">
        <v>44525.908101851855</v>
      </c>
      <c r="C434" s="53" t="s">
        <v>972</v>
      </c>
      <c r="D434" s="53" t="s">
        <v>1365</v>
      </c>
      <c r="E434" s="53" t="s">
        <v>84</v>
      </c>
      <c r="F434" s="53" t="s">
        <v>50</v>
      </c>
      <c r="G434" s="53" t="s">
        <v>1366</v>
      </c>
      <c r="H434" s="54" t="s">
        <v>1367</v>
      </c>
      <c r="I434" s="55">
        <v>1.0</v>
      </c>
      <c r="J434" s="55">
        <v>1904.0</v>
      </c>
      <c r="K434" s="55">
        <v>2053.0</v>
      </c>
      <c r="L434" s="55">
        <v>40.0</v>
      </c>
      <c r="M434" s="55">
        <v>79.0</v>
      </c>
      <c r="N434" s="55">
        <v>1904.0</v>
      </c>
      <c r="O434" s="56">
        <v>48.0</v>
      </c>
      <c r="P434" s="56">
        <v>21.0</v>
      </c>
      <c r="Q434" s="56">
        <v>0.0</v>
      </c>
      <c r="R434" s="57">
        <v>149.0</v>
      </c>
    </row>
    <row r="435" ht="22.5" customHeight="1">
      <c r="A435" s="51">
        <v>44526.0</v>
      </c>
      <c r="B435" s="52">
        <v>44526.45836805556</v>
      </c>
      <c r="C435" s="53" t="s">
        <v>972</v>
      </c>
      <c r="D435" s="53" t="s">
        <v>1368</v>
      </c>
      <c r="E435" s="53" t="s">
        <v>80</v>
      </c>
      <c r="F435" s="53" t="s">
        <v>55</v>
      </c>
      <c r="G435" s="53" t="s">
        <v>1369</v>
      </c>
      <c r="H435" s="54" t="s">
        <v>1370</v>
      </c>
      <c r="I435" s="55">
        <v>1.0</v>
      </c>
      <c r="J435" s="55">
        <v>438.0</v>
      </c>
      <c r="K435" s="55">
        <v>451.0</v>
      </c>
      <c r="L435" s="55">
        <v>3.0</v>
      </c>
      <c r="M435" s="55">
        <v>16.0</v>
      </c>
      <c r="N435" s="55">
        <v>438.0</v>
      </c>
      <c r="O435" s="56">
        <v>48.0</v>
      </c>
      <c r="P435" s="56">
        <v>11.0</v>
      </c>
      <c r="Q435" s="56">
        <v>0.0</v>
      </c>
      <c r="R435" s="57">
        <v>13.0</v>
      </c>
    </row>
    <row r="436" ht="22.5" customHeight="1">
      <c r="A436" s="51">
        <v>44526.0</v>
      </c>
      <c r="B436" s="52">
        <v>44526.57513888889</v>
      </c>
      <c r="C436" s="53" t="s">
        <v>972</v>
      </c>
      <c r="D436" s="53" t="s">
        <v>1371</v>
      </c>
      <c r="E436" s="53" t="s">
        <v>84</v>
      </c>
      <c r="F436" s="53" t="s">
        <v>50</v>
      </c>
      <c r="G436" s="53" t="s">
        <v>1372</v>
      </c>
      <c r="H436" s="54" t="s">
        <v>1373</v>
      </c>
      <c r="I436" s="55">
        <v>1.0</v>
      </c>
      <c r="J436" s="55">
        <v>918.0</v>
      </c>
      <c r="K436" s="55">
        <v>938.0</v>
      </c>
      <c r="L436" s="55">
        <v>42.0</v>
      </c>
      <c r="M436" s="55">
        <v>14.0</v>
      </c>
      <c r="N436" s="55">
        <v>918.0</v>
      </c>
      <c r="O436" s="56">
        <v>48.0</v>
      </c>
      <c r="P436" s="56">
        <v>13.0</v>
      </c>
      <c r="Q436" s="56">
        <v>0.0</v>
      </c>
      <c r="R436" s="57">
        <v>20.0</v>
      </c>
    </row>
    <row r="437" ht="22.5" customHeight="1">
      <c r="A437" s="51">
        <v>44526.0</v>
      </c>
      <c r="B437" s="52">
        <v>44526.625023148146</v>
      </c>
      <c r="C437" s="53" t="s">
        <v>972</v>
      </c>
      <c r="D437" s="53" t="s">
        <v>1374</v>
      </c>
      <c r="E437" s="53" t="s">
        <v>84</v>
      </c>
      <c r="F437" s="53" t="s">
        <v>47</v>
      </c>
      <c r="G437" s="53" t="s">
        <v>1375</v>
      </c>
      <c r="H437" s="54" t="s">
        <v>1376</v>
      </c>
      <c r="I437" s="55">
        <v>1.0</v>
      </c>
      <c r="J437" s="55">
        <v>95.0</v>
      </c>
      <c r="K437" s="55">
        <v>97.0</v>
      </c>
      <c r="L437" s="55">
        <v>0.0</v>
      </c>
      <c r="M437" s="55">
        <v>1.0</v>
      </c>
      <c r="N437" s="55">
        <v>95.0</v>
      </c>
      <c r="O437" s="56">
        <v>48.0</v>
      </c>
      <c r="P437" s="56">
        <v>15.0</v>
      </c>
      <c r="Q437" s="56">
        <v>0.0</v>
      </c>
      <c r="R437" s="57">
        <v>2.0</v>
      </c>
    </row>
    <row r="438" ht="22.5" customHeight="1">
      <c r="A438" s="51">
        <v>44526.0</v>
      </c>
      <c r="B438" s="52">
        <v>44526.691041666665</v>
      </c>
      <c r="C438" s="53" t="s">
        <v>972</v>
      </c>
      <c r="D438" s="53" t="s">
        <v>1377</v>
      </c>
      <c r="E438" s="53" t="s">
        <v>80</v>
      </c>
      <c r="F438" s="53" t="s">
        <v>55</v>
      </c>
      <c r="G438" s="53" t="s">
        <v>1378</v>
      </c>
      <c r="H438" s="54" t="s">
        <v>1379</v>
      </c>
      <c r="I438" s="55">
        <v>1.0</v>
      </c>
      <c r="J438" s="55">
        <v>840.0</v>
      </c>
      <c r="K438" s="55">
        <v>872.0</v>
      </c>
      <c r="L438" s="55">
        <v>6.0</v>
      </c>
      <c r="M438" s="55">
        <v>33.0</v>
      </c>
      <c r="N438" s="55">
        <v>840.0</v>
      </c>
      <c r="O438" s="56">
        <v>48.0</v>
      </c>
      <c r="P438" s="56">
        <v>16.0</v>
      </c>
      <c r="Q438" s="56">
        <v>0.0</v>
      </c>
      <c r="R438" s="57">
        <v>32.0</v>
      </c>
    </row>
    <row r="439" ht="22.5" customHeight="1">
      <c r="A439" s="51">
        <v>44526.0</v>
      </c>
      <c r="B439" s="52">
        <v>44526.83335648148</v>
      </c>
      <c r="C439" s="53" t="s">
        <v>972</v>
      </c>
      <c r="D439" s="53" t="s">
        <v>1380</v>
      </c>
      <c r="E439" s="53" t="s">
        <v>84</v>
      </c>
      <c r="F439" s="53" t="s">
        <v>50</v>
      </c>
      <c r="G439" s="53" t="s">
        <v>1381</v>
      </c>
      <c r="H439" s="54" t="s">
        <v>1382</v>
      </c>
      <c r="I439" s="55">
        <v>1.0</v>
      </c>
      <c r="J439" s="55">
        <v>1816.0</v>
      </c>
      <c r="K439" s="55">
        <v>1917.0</v>
      </c>
      <c r="L439" s="55">
        <v>12.0</v>
      </c>
      <c r="M439" s="55">
        <v>31.0</v>
      </c>
      <c r="N439" s="55">
        <v>1816.0</v>
      </c>
      <c r="O439" s="56">
        <v>48.0</v>
      </c>
      <c r="P439" s="56">
        <v>20.0</v>
      </c>
      <c r="Q439" s="56">
        <v>0.0</v>
      </c>
      <c r="R439" s="57">
        <v>101.0</v>
      </c>
    </row>
    <row r="440" ht="22.5" customHeight="1">
      <c r="A440" s="51">
        <v>44527.0</v>
      </c>
      <c r="B440" s="52">
        <v>44527.41667824074</v>
      </c>
      <c r="C440" s="53" t="s">
        <v>972</v>
      </c>
      <c r="D440" s="53" t="s">
        <v>1383</v>
      </c>
      <c r="E440" s="53" t="s">
        <v>109</v>
      </c>
      <c r="F440" s="53" t="s">
        <v>49</v>
      </c>
      <c r="G440" s="53" t="s">
        <v>1384</v>
      </c>
      <c r="H440" s="54" t="s">
        <v>1385</v>
      </c>
      <c r="I440" s="55">
        <v>1.0</v>
      </c>
      <c r="J440" s="55">
        <v>481.0</v>
      </c>
      <c r="K440" s="55">
        <v>494.0</v>
      </c>
      <c r="L440" s="55">
        <v>0.0</v>
      </c>
      <c r="M440" s="55">
        <v>13.0</v>
      </c>
      <c r="N440" s="55">
        <v>481.0</v>
      </c>
      <c r="O440" s="56">
        <v>48.0</v>
      </c>
      <c r="P440" s="56">
        <v>10.0</v>
      </c>
      <c r="Q440" s="56">
        <v>0.0</v>
      </c>
      <c r="R440" s="57">
        <v>13.0</v>
      </c>
    </row>
    <row r="441" ht="22.5" customHeight="1">
      <c r="A441" s="51">
        <v>44527.0</v>
      </c>
      <c r="B441" s="52">
        <v>44527.49930555555</v>
      </c>
      <c r="C441" s="53" t="s">
        <v>972</v>
      </c>
      <c r="D441" s="53" t="s">
        <v>1386</v>
      </c>
      <c r="E441" s="53" t="s">
        <v>84</v>
      </c>
      <c r="F441" s="53" t="s">
        <v>50</v>
      </c>
      <c r="G441" s="53" t="s">
        <v>1387</v>
      </c>
      <c r="H441" s="54" t="s">
        <v>1388</v>
      </c>
      <c r="I441" s="55">
        <v>1.0</v>
      </c>
      <c r="J441" s="55">
        <v>2017.0</v>
      </c>
      <c r="K441" s="55">
        <v>2067.0</v>
      </c>
      <c r="L441" s="55">
        <v>28.0</v>
      </c>
      <c r="M441" s="55">
        <v>95.0</v>
      </c>
      <c r="N441" s="55">
        <v>2017.0</v>
      </c>
      <c r="O441" s="56">
        <v>48.0</v>
      </c>
      <c r="P441" s="56">
        <v>11.0</v>
      </c>
      <c r="Q441" s="56">
        <v>0.0</v>
      </c>
      <c r="R441" s="57">
        <v>50.0</v>
      </c>
    </row>
    <row r="442" ht="22.5" customHeight="1">
      <c r="A442" s="51">
        <v>44527.0</v>
      </c>
      <c r="B442" s="52">
        <v>44527.54174768519</v>
      </c>
      <c r="C442" s="53" t="s">
        <v>972</v>
      </c>
      <c r="D442" s="53" t="s">
        <v>1389</v>
      </c>
      <c r="E442" s="53" t="s">
        <v>80</v>
      </c>
      <c r="F442" s="53" t="s">
        <v>55</v>
      </c>
      <c r="G442" s="53" t="s">
        <v>1390</v>
      </c>
      <c r="H442" s="54" t="s">
        <v>1391</v>
      </c>
      <c r="I442" s="55">
        <v>1.0</v>
      </c>
      <c r="J442" s="55">
        <v>169.0</v>
      </c>
      <c r="K442" s="55">
        <v>176.0</v>
      </c>
      <c r="L442" s="55">
        <v>0.0</v>
      </c>
      <c r="M442" s="55">
        <v>16.0</v>
      </c>
      <c r="N442" s="55">
        <v>169.0</v>
      </c>
      <c r="O442" s="56">
        <v>48.0</v>
      </c>
      <c r="P442" s="56">
        <v>13.0</v>
      </c>
      <c r="Q442" s="56">
        <v>0.0</v>
      </c>
      <c r="R442" s="57">
        <v>7.0</v>
      </c>
    </row>
    <row r="443" ht="22.5" customHeight="1">
      <c r="A443" s="51">
        <v>44527.0</v>
      </c>
      <c r="B443" s="52">
        <v>44527.583344907405</v>
      </c>
      <c r="C443" s="53" t="s">
        <v>972</v>
      </c>
      <c r="D443" s="53" t="s">
        <v>1392</v>
      </c>
      <c r="E443" s="53" t="s">
        <v>84</v>
      </c>
      <c r="F443" s="53" t="s">
        <v>50</v>
      </c>
      <c r="G443" s="53" t="s">
        <v>1393</v>
      </c>
      <c r="H443" s="54" t="s">
        <v>1394</v>
      </c>
      <c r="I443" s="55">
        <v>1.0</v>
      </c>
      <c r="J443" s="55">
        <v>201.0</v>
      </c>
      <c r="K443" s="55">
        <v>203.0</v>
      </c>
      <c r="L443" s="55">
        <v>5.0</v>
      </c>
      <c r="M443" s="55">
        <v>7.0</v>
      </c>
      <c r="N443" s="55">
        <v>201.0</v>
      </c>
      <c r="O443" s="56">
        <v>48.0</v>
      </c>
      <c r="P443" s="56">
        <v>14.0</v>
      </c>
      <c r="Q443" s="56">
        <v>1.0</v>
      </c>
      <c r="R443" s="57">
        <v>2.0</v>
      </c>
    </row>
    <row r="444" ht="22.5" customHeight="1">
      <c r="A444" s="51">
        <v>44527.0</v>
      </c>
      <c r="B444" s="52">
        <v>44527.87295138889</v>
      </c>
      <c r="C444" s="53" t="s">
        <v>972</v>
      </c>
      <c r="D444" s="53" t="s">
        <v>1395</v>
      </c>
      <c r="E444" s="53" t="s">
        <v>84</v>
      </c>
      <c r="F444" s="53" t="s">
        <v>50</v>
      </c>
      <c r="G444" s="53" t="s">
        <v>1396</v>
      </c>
      <c r="H444" s="54" t="s">
        <v>1397</v>
      </c>
      <c r="I444" s="55">
        <v>1.0</v>
      </c>
      <c r="J444" s="55">
        <v>797.0</v>
      </c>
      <c r="K444" s="55">
        <v>803.0</v>
      </c>
      <c r="L444" s="55">
        <v>10.0</v>
      </c>
      <c r="M444" s="55">
        <v>10.0</v>
      </c>
      <c r="N444" s="55">
        <v>797.0</v>
      </c>
      <c r="O444" s="56">
        <v>48.0</v>
      </c>
      <c r="P444" s="56">
        <v>20.0</v>
      </c>
      <c r="Q444" s="56">
        <v>0.0</v>
      </c>
      <c r="R444" s="57">
        <v>6.0</v>
      </c>
    </row>
    <row r="445" ht="22.5" customHeight="1">
      <c r="A445" s="51">
        <v>44527.0</v>
      </c>
      <c r="B445" s="52">
        <v>44527.88167824074</v>
      </c>
      <c r="C445" s="53" t="s">
        <v>972</v>
      </c>
      <c r="D445" s="53" t="s">
        <v>1398</v>
      </c>
      <c r="E445" s="53" t="s">
        <v>84</v>
      </c>
      <c r="F445" s="53" t="s">
        <v>50</v>
      </c>
      <c r="G445" s="53" t="s">
        <v>1399</v>
      </c>
      <c r="H445" s="54" t="s">
        <v>1400</v>
      </c>
      <c r="I445" s="55">
        <v>1.0</v>
      </c>
      <c r="J445" s="55">
        <v>169.0</v>
      </c>
      <c r="K445" s="55">
        <v>171.0</v>
      </c>
      <c r="L445" s="55">
        <v>0.0</v>
      </c>
      <c r="M445" s="55">
        <v>3.0</v>
      </c>
      <c r="N445" s="55">
        <v>169.0</v>
      </c>
      <c r="O445" s="56">
        <v>48.0</v>
      </c>
      <c r="P445" s="56">
        <v>21.0</v>
      </c>
      <c r="Q445" s="56">
        <v>0.0</v>
      </c>
      <c r="R445" s="57">
        <v>2.0</v>
      </c>
    </row>
    <row r="446" ht="22.5" customHeight="1">
      <c r="A446" s="51">
        <v>44528.0</v>
      </c>
      <c r="B446" s="52">
        <v>44528.49935185185</v>
      </c>
      <c r="C446" s="53" t="s">
        <v>972</v>
      </c>
      <c r="D446" s="53" t="s">
        <v>1401</v>
      </c>
      <c r="E446" s="53" t="s">
        <v>84</v>
      </c>
      <c r="F446" s="53" t="s">
        <v>50</v>
      </c>
      <c r="G446" s="53" t="s">
        <v>1402</v>
      </c>
      <c r="H446" s="54" t="s">
        <v>1403</v>
      </c>
      <c r="I446" s="55">
        <v>1.0</v>
      </c>
      <c r="J446" s="55">
        <v>958.0</v>
      </c>
      <c r="K446" s="55">
        <v>983.0</v>
      </c>
      <c r="L446" s="55">
        <v>11.0</v>
      </c>
      <c r="M446" s="55">
        <v>21.0</v>
      </c>
      <c r="N446" s="55">
        <v>958.0</v>
      </c>
      <c r="O446" s="56">
        <v>49.0</v>
      </c>
      <c r="P446" s="56">
        <v>11.0</v>
      </c>
      <c r="Q446" s="56">
        <v>0.0</v>
      </c>
      <c r="R446" s="57">
        <v>25.0</v>
      </c>
    </row>
    <row r="447" ht="22.5" customHeight="1">
      <c r="A447" s="51">
        <v>44528.0</v>
      </c>
      <c r="B447" s="52">
        <v>44528.86565972222</v>
      </c>
      <c r="C447" s="53" t="s">
        <v>972</v>
      </c>
      <c r="D447" s="53" t="s">
        <v>1404</v>
      </c>
      <c r="E447" s="53" t="s">
        <v>84</v>
      </c>
      <c r="F447" s="53" t="s">
        <v>50</v>
      </c>
      <c r="G447" s="53" t="s">
        <v>1405</v>
      </c>
      <c r="H447" s="54" t="s">
        <v>1406</v>
      </c>
      <c r="I447" s="55">
        <v>1.0</v>
      </c>
      <c r="J447" s="55">
        <v>926.0</v>
      </c>
      <c r="K447" s="55">
        <v>935.0</v>
      </c>
      <c r="L447" s="55">
        <v>34.0</v>
      </c>
      <c r="M447" s="55">
        <v>13.0</v>
      </c>
      <c r="N447" s="55">
        <v>926.0</v>
      </c>
      <c r="O447" s="56">
        <v>49.0</v>
      </c>
      <c r="P447" s="56">
        <v>20.0</v>
      </c>
      <c r="Q447" s="56">
        <v>0.0</v>
      </c>
      <c r="R447" s="57">
        <v>9.0</v>
      </c>
    </row>
    <row r="448" ht="22.5" customHeight="1">
      <c r="A448" s="51">
        <v>44529.0</v>
      </c>
      <c r="B448" s="52">
        <v>44529.54167824074</v>
      </c>
      <c r="C448" s="53" t="s">
        <v>972</v>
      </c>
      <c r="D448" s="53" t="s">
        <v>1407</v>
      </c>
      <c r="E448" s="53" t="s">
        <v>84</v>
      </c>
      <c r="F448" s="53" t="s">
        <v>50</v>
      </c>
      <c r="G448" s="53" t="s">
        <v>1408</v>
      </c>
      <c r="H448" s="54" t="s">
        <v>1409</v>
      </c>
      <c r="I448" s="55">
        <v>1.0</v>
      </c>
      <c r="J448" s="55">
        <v>1088.0</v>
      </c>
      <c r="K448" s="55">
        <v>1113.0</v>
      </c>
      <c r="L448" s="55">
        <v>20.0</v>
      </c>
      <c r="M448" s="55">
        <v>34.0</v>
      </c>
      <c r="N448" s="55">
        <v>1088.0</v>
      </c>
      <c r="O448" s="56">
        <v>49.0</v>
      </c>
      <c r="P448" s="56">
        <v>13.0</v>
      </c>
      <c r="Q448" s="56">
        <v>0.0</v>
      </c>
      <c r="R448" s="57">
        <v>25.0</v>
      </c>
    </row>
    <row r="449" ht="22.5" customHeight="1">
      <c r="A449" s="51">
        <v>44529.0</v>
      </c>
      <c r="B449" s="52">
        <v>44529.55570601852</v>
      </c>
      <c r="C449" s="53" t="s">
        <v>972</v>
      </c>
      <c r="D449" s="53" t="s">
        <v>1410</v>
      </c>
      <c r="E449" s="53" t="s">
        <v>80</v>
      </c>
      <c r="F449" s="53" t="s">
        <v>55</v>
      </c>
      <c r="G449" s="53" t="s">
        <v>1411</v>
      </c>
      <c r="H449" s="54" t="s">
        <v>1412</v>
      </c>
      <c r="I449" s="55">
        <v>1.0</v>
      </c>
      <c r="J449" s="55">
        <v>562.0</v>
      </c>
      <c r="K449" s="55">
        <v>572.0</v>
      </c>
      <c r="L449" s="55">
        <v>1.0</v>
      </c>
      <c r="M449" s="55">
        <v>31.0</v>
      </c>
      <c r="N449" s="55">
        <v>562.0</v>
      </c>
      <c r="O449" s="56">
        <v>49.0</v>
      </c>
      <c r="P449" s="56">
        <v>13.0</v>
      </c>
      <c r="Q449" s="56">
        <v>0.0</v>
      </c>
      <c r="R449" s="57">
        <v>10.0</v>
      </c>
    </row>
    <row r="450" ht="22.5" customHeight="1">
      <c r="A450" s="51">
        <v>44529.0</v>
      </c>
      <c r="B450" s="52">
        <v>44529.62556712963</v>
      </c>
      <c r="C450" s="53" t="s">
        <v>972</v>
      </c>
      <c r="D450" s="53" t="s">
        <v>1413</v>
      </c>
      <c r="E450" s="53" t="s">
        <v>80</v>
      </c>
      <c r="F450" s="53" t="s">
        <v>55</v>
      </c>
      <c r="G450" s="53" t="s">
        <v>1414</v>
      </c>
      <c r="H450" s="54" t="s">
        <v>1415</v>
      </c>
      <c r="I450" s="55">
        <v>1.0</v>
      </c>
      <c r="J450" s="55">
        <v>134.0</v>
      </c>
      <c r="K450" s="55">
        <v>145.0</v>
      </c>
      <c r="L450" s="55">
        <v>1.0</v>
      </c>
      <c r="M450" s="55">
        <v>25.0</v>
      </c>
      <c r="N450" s="55">
        <v>134.0</v>
      </c>
      <c r="O450" s="56">
        <v>49.0</v>
      </c>
      <c r="P450" s="56">
        <v>15.0</v>
      </c>
      <c r="Q450" s="56">
        <v>0.0</v>
      </c>
      <c r="R450" s="57">
        <v>11.0</v>
      </c>
    </row>
    <row r="451" ht="22.5" customHeight="1">
      <c r="A451" s="51">
        <v>44529.0</v>
      </c>
      <c r="B451" s="52">
        <v>44529.666712962964</v>
      </c>
      <c r="C451" s="53" t="s">
        <v>972</v>
      </c>
      <c r="D451" s="53" t="s">
        <v>1416</v>
      </c>
      <c r="E451" s="53" t="s">
        <v>84</v>
      </c>
      <c r="F451" s="53" t="s">
        <v>50</v>
      </c>
      <c r="G451" s="53" t="s">
        <v>1417</v>
      </c>
      <c r="H451" s="54" t="s">
        <v>1418</v>
      </c>
      <c r="I451" s="55">
        <v>1.0</v>
      </c>
      <c r="J451" s="55">
        <v>203.0</v>
      </c>
      <c r="K451" s="55">
        <v>203.0</v>
      </c>
      <c r="L451" s="55">
        <v>0.0</v>
      </c>
      <c r="M451" s="55">
        <v>2.0</v>
      </c>
      <c r="N451" s="55">
        <v>203.0</v>
      </c>
      <c r="O451" s="56">
        <v>49.0</v>
      </c>
      <c r="P451" s="56">
        <v>16.0</v>
      </c>
      <c r="Q451" s="56">
        <v>0.0</v>
      </c>
      <c r="R451" s="57">
        <v>0.0</v>
      </c>
    </row>
    <row r="452" ht="22.5" customHeight="1">
      <c r="A452" s="51">
        <v>44529.0</v>
      </c>
      <c r="B452" s="52">
        <v>44529.68659722222</v>
      </c>
      <c r="C452" s="53" t="s">
        <v>972</v>
      </c>
      <c r="D452" s="53" t="s">
        <v>1419</v>
      </c>
      <c r="E452" s="53" t="s">
        <v>80</v>
      </c>
      <c r="F452" s="53" t="s">
        <v>55</v>
      </c>
      <c r="G452" s="53" t="s">
        <v>1420</v>
      </c>
      <c r="H452" s="54" t="s">
        <v>1421</v>
      </c>
      <c r="I452" s="55">
        <v>1.0</v>
      </c>
      <c r="J452" s="55">
        <v>501.0</v>
      </c>
      <c r="K452" s="55">
        <v>686.0</v>
      </c>
      <c r="L452" s="55">
        <v>220.0</v>
      </c>
      <c r="M452" s="55">
        <v>110.0</v>
      </c>
      <c r="N452" s="55">
        <v>501.0</v>
      </c>
      <c r="O452" s="56">
        <v>49.0</v>
      </c>
      <c r="P452" s="56">
        <v>16.0</v>
      </c>
      <c r="Q452" s="56">
        <v>0.0</v>
      </c>
      <c r="R452" s="57">
        <v>185.0</v>
      </c>
    </row>
    <row r="453" ht="22.5" customHeight="1">
      <c r="A453" s="51">
        <v>44529.0</v>
      </c>
      <c r="B453" s="52">
        <v>44529.6875</v>
      </c>
      <c r="C453" s="53" t="s">
        <v>972</v>
      </c>
      <c r="D453" s="53" t="s">
        <v>1422</v>
      </c>
      <c r="E453" s="53" t="s">
        <v>109</v>
      </c>
      <c r="F453" s="53" t="s">
        <v>49</v>
      </c>
      <c r="G453" s="53" t="s">
        <v>1423</v>
      </c>
      <c r="H453" s="54" t="s">
        <v>1424</v>
      </c>
      <c r="I453" s="55">
        <v>1.0</v>
      </c>
      <c r="J453" s="55">
        <v>45.0</v>
      </c>
      <c r="K453" s="55">
        <v>46.0</v>
      </c>
      <c r="L453" s="55">
        <v>0.0</v>
      </c>
      <c r="M453" s="55">
        <v>2.0</v>
      </c>
      <c r="N453" s="55">
        <v>45.0</v>
      </c>
      <c r="O453" s="56">
        <v>49.0</v>
      </c>
      <c r="P453" s="56">
        <v>16.0</v>
      </c>
      <c r="Q453" s="56">
        <v>0.0</v>
      </c>
      <c r="R453" s="57">
        <v>1.0</v>
      </c>
    </row>
    <row r="454" ht="22.5" customHeight="1">
      <c r="A454" s="51">
        <v>44529.0</v>
      </c>
      <c r="B454" s="52">
        <v>44529.89931712963</v>
      </c>
      <c r="C454" s="53" t="s">
        <v>972</v>
      </c>
      <c r="D454" s="53" t="s">
        <v>1425</v>
      </c>
      <c r="E454" s="53" t="s">
        <v>84</v>
      </c>
      <c r="F454" s="53" t="s">
        <v>50</v>
      </c>
      <c r="G454" s="53" t="s">
        <v>1426</v>
      </c>
      <c r="H454" s="54" t="s">
        <v>1427</v>
      </c>
      <c r="I454" s="55">
        <v>1.0</v>
      </c>
      <c r="J454" s="55">
        <v>929.0</v>
      </c>
      <c r="K454" s="55">
        <v>937.0</v>
      </c>
      <c r="L454" s="55">
        <v>16.0</v>
      </c>
      <c r="M454" s="55">
        <v>9.0</v>
      </c>
      <c r="N454" s="55">
        <v>929.0</v>
      </c>
      <c r="O454" s="56">
        <v>49.0</v>
      </c>
      <c r="P454" s="56">
        <v>21.0</v>
      </c>
      <c r="Q454" s="56">
        <v>0.0</v>
      </c>
      <c r="R454" s="57">
        <v>8.0</v>
      </c>
    </row>
    <row r="455" ht="22.5" customHeight="1">
      <c r="A455" s="51">
        <v>44530.0</v>
      </c>
      <c r="B455" s="52">
        <v>44530.37509259259</v>
      </c>
      <c r="C455" s="53" t="s">
        <v>972</v>
      </c>
      <c r="D455" s="53" t="s">
        <v>1428</v>
      </c>
      <c r="E455" s="53" t="s">
        <v>80</v>
      </c>
      <c r="F455" s="53" t="s">
        <v>55</v>
      </c>
      <c r="G455" s="53" t="s">
        <v>1429</v>
      </c>
      <c r="H455" s="54" t="s">
        <v>1430</v>
      </c>
      <c r="I455" s="55">
        <v>1.0</v>
      </c>
      <c r="J455" s="55">
        <v>186.0</v>
      </c>
      <c r="K455" s="55">
        <v>190.0</v>
      </c>
      <c r="L455" s="55">
        <v>0.0</v>
      </c>
      <c r="M455" s="55">
        <v>10.0</v>
      </c>
      <c r="N455" s="55">
        <v>186.0</v>
      </c>
      <c r="O455" s="56">
        <v>49.0</v>
      </c>
      <c r="P455" s="56">
        <v>9.0</v>
      </c>
      <c r="Q455" s="56">
        <v>0.0</v>
      </c>
      <c r="R455" s="57">
        <v>4.0</v>
      </c>
    </row>
    <row r="456" ht="22.5" customHeight="1">
      <c r="A456" s="51">
        <v>44530.0</v>
      </c>
      <c r="B456" s="52">
        <v>44530.55221064815</v>
      </c>
      <c r="C456" s="53" t="s">
        <v>972</v>
      </c>
      <c r="D456" s="53" t="s">
        <v>1431</v>
      </c>
      <c r="E456" s="53" t="s">
        <v>84</v>
      </c>
      <c r="F456" s="53" t="s">
        <v>50</v>
      </c>
      <c r="G456" s="53" t="s">
        <v>1432</v>
      </c>
      <c r="H456" s="54" t="s">
        <v>1433</v>
      </c>
      <c r="I456" s="55">
        <v>1.0</v>
      </c>
      <c r="J456" s="55">
        <v>507.0</v>
      </c>
      <c r="K456" s="55">
        <v>512.0</v>
      </c>
      <c r="L456" s="55">
        <v>7.0</v>
      </c>
      <c r="M456" s="55">
        <v>17.0</v>
      </c>
      <c r="N456" s="55">
        <v>507.0</v>
      </c>
      <c r="O456" s="56">
        <v>49.0</v>
      </c>
      <c r="P456" s="56">
        <v>13.0</v>
      </c>
      <c r="Q456" s="56">
        <v>0.0</v>
      </c>
      <c r="R456" s="57">
        <v>5.0</v>
      </c>
    </row>
    <row r="457" ht="22.5" customHeight="1">
      <c r="A457" s="51">
        <v>44530.0</v>
      </c>
      <c r="B457" s="52">
        <v>44530.79803240741</v>
      </c>
      <c r="C457" s="53" t="s">
        <v>972</v>
      </c>
      <c r="D457" s="53" t="s">
        <v>1434</v>
      </c>
      <c r="E457" s="53" t="s">
        <v>84</v>
      </c>
      <c r="F457" s="53" t="s">
        <v>50</v>
      </c>
      <c r="G457" s="53" t="s">
        <v>1435</v>
      </c>
      <c r="H457" s="54" t="s">
        <v>1436</v>
      </c>
      <c r="I457" s="55">
        <v>1.0</v>
      </c>
      <c r="J457" s="55">
        <v>3924.0</v>
      </c>
      <c r="K457" s="55">
        <v>4396.0</v>
      </c>
      <c r="L457" s="55">
        <v>69.0</v>
      </c>
      <c r="M457" s="55">
        <v>532.0</v>
      </c>
      <c r="N457" s="55">
        <v>3924.0</v>
      </c>
      <c r="O457" s="56">
        <v>49.0</v>
      </c>
      <c r="P457" s="56">
        <v>19.0</v>
      </c>
      <c r="Q457" s="56">
        <v>0.0</v>
      </c>
      <c r="R457" s="57">
        <v>472.0</v>
      </c>
    </row>
    <row r="458" ht="22.5" customHeight="1">
      <c r="A458" s="51">
        <v>44530.0</v>
      </c>
      <c r="B458" s="52">
        <v>44530.86976851852</v>
      </c>
      <c r="C458" s="53" t="s">
        <v>972</v>
      </c>
      <c r="D458" s="53" t="s">
        <v>1437</v>
      </c>
      <c r="E458" s="53" t="s">
        <v>84</v>
      </c>
      <c r="F458" s="53" t="s">
        <v>50</v>
      </c>
      <c r="G458" s="53" t="s">
        <v>1438</v>
      </c>
      <c r="H458" s="54" t="s">
        <v>1439</v>
      </c>
      <c r="I458" s="55">
        <v>1.0</v>
      </c>
      <c r="J458" s="55">
        <v>1589.0</v>
      </c>
      <c r="K458" s="55">
        <v>1682.0</v>
      </c>
      <c r="L458" s="55">
        <v>19.0</v>
      </c>
      <c r="M458" s="55">
        <v>41.0</v>
      </c>
      <c r="N458" s="55">
        <v>1589.0</v>
      </c>
      <c r="O458" s="56">
        <v>49.0</v>
      </c>
      <c r="P458" s="56">
        <v>20.0</v>
      </c>
      <c r="Q458" s="56">
        <v>0.0</v>
      </c>
      <c r="R458" s="57">
        <v>93.0</v>
      </c>
    </row>
    <row r="459" ht="22.5" customHeight="1">
      <c r="A459" s="51">
        <v>44530.0</v>
      </c>
      <c r="B459" s="52">
        <v>44530.87503472222</v>
      </c>
      <c r="C459" s="53" t="s">
        <v>972</v>
      </c>
      <c r="D459" s="53" t="s">
        <v>1440</v>
      </c>
      <c r="E459" s="53" t="s">
        <v>84</v>
      </c>
      <c r="F459" s="53" t="s">
        <v>50</v>
      </c>
      <c r="G459" s="53" t="s">
        <v>1441</v>
      </c>
      <c r="H459" s="54" t="s">
        <v>1442</v>
      </c>
      <c r="I459" s="55">
        <v>1.0</v>
      </c>
      <c r="J459" s="55">
        <v>156.0</v>
      </c>
      <c r="K459" s="55">
        <v>161.0</v>
      </c>
      <c r="L459" s="55">
        <v>14.0</v>
      </c>
      <c r="M459" s="55">
        <v>9.0</v>
      </c>
      <c r="N459" s="55">
        <v>156.0</v>
      </c>
      <c r="O459" s="56">
        <v>49.0</v>
      </c>
      <c r="P459" s="56">
        <v>21.0</v>
      </c>
      <c r="Q459" s="56">
        <v>0.0</v>
      </c>
      <c r="R459" s="57">
        <v>5.0</v>
      </c>
    </row>
    <row r="460" ht="22.5" customHeight="1">
      <c r="A460" s="51">
        <v>44531.0</v>
      </c>
      <c r="B460" s="52">
        <v>44531.37503472222</v>
      </c>
      <c r="C460" s="53" t="s">
        <v>972</v>
      </c>
      <c r="D460" s="53" t="s">
        <v>1443</v>
      </c>
      <c r="E460" s="53" t="s">
        <v>80</v>
      </c>
      <c r="F460" s="53" t="s">
        <v>55</v>
      </c>
      <c r="G460" s="53" t="s">
        <v>1444</v>
      </c>
      <c r="H460" s="54" t="s">
        <v>1445</v>
      </c>
      <c r="I460" s="55">
        <v>1.0</v>
      </c>
      <c r="J460" s="55">
        <v>133.0</v>
      </c>
      <c r="K460" s="55">
        <v>135.0</v>
      </c>
      <c r="L460" s="55">
        <v>0.0</v>
      </c>
      <c r="M460" s="55">
        <v>7.0</v>
      </c>
      <c r="N460" s="55">
        <v>133.0</v>
      </c>
      <c r="O460" s="56">
        <v>49.0</v>
      </c>
      <c r="P460" s="56">
        <v>9.0</v>
      </c>
      <c r="Q460" s="56">
        <v>0.0</v>
      </c>
      <c r="R460" s="57">
        <v>2.0</v>
      </c>
    </row>
    <row r="461" ht="22.5" customHeight="1">
      <c r="A461" s="51">
        <v>44531.0</v>
      </c>
      <c r="B461" s="52">
        <v>44531.55252314815</v>
      </c>
      <c r="C461" s="53" t="s">
        <v>972</v>
      </c>
      <c r="D461" s="53" t="s">
        <v>1446</v>
      </c>
      <c r="E461" s="53" t="s">
        <v>84</v>
      </c>
      <c r="F461" s="53" t="s">
        <v>50</v>
      </c>
      <c r="G461" s="53" t="s">
        <v>1447</v>
      </c>
      <c r="H461" s="54" t="s">
        <v>1448</v>
      </c>
      <c r="I461" s="55">
        <v>1.0</v>
      </c>
      <c r="J461" s="55">
        <v>341.0</v>
      </c>
      <c r="K461" s="55">
        <v>342.0</v>
      </c>
      <c r="L461" s="55">
        <v>6.0</v>
      </c>
      <c r="M461" s="55">
        <v>3.0</v>
      </c>
      <c r="N461" s="55">
        <v>341.0</v>
      </c>
      <c r="O461" s="56">
        <v>49.0</v>
      </c>
      <c r="P461" s="56">
        <v>13.0</v>
      </c>
      <c r="Q461" s="56">
        <v>0.0</v>
      </c>
      <c r="R461" s="57">
        <v>1.0</v>
      </c>
    </row>
    <row r="462" ht="22.5" customHeight="1">
      <c r="A462" s="51">
        <v>44531.0</v>
      </c>
      <c r="B462" s="52">
        <v>44531.59082175926</v>
      </c>
      <c r="C462" s="53" t="s">
        <v>972</v>
      </c>
      <c r="D462" s="53" t="s">
        <v>1449</v>
      </c>
      <c r="E462" s="53" t="s">
        <v>80</v>
      </c>
      <c r="F462" s="53" t="s">
        <v>55</v>
      </c>
      <c r="G462" s="53" t="s">
        <v>1450</v>
      </c>
      <c r="H462" s="54" t="s">
        <v>1451</v>
      </c>
      <c r="I462" s="55">
        <v>1.0</v>
      </c>
      <c r="J462" s="55">
        <v>60.0</v>
      </c>
      <c r="K462" s="55">
        <v>60.0</v>
      </c>
      <c r="L462" s="55">
        <v>0.0</v>
      </c>
      <c r="M462" s="55">
        <v>6.0</v>
      </c>
      <c r="N462" s="55">
        <v>60.0</v>
      </c>
      <c r="O462" s="56">
        <v>49.0</v>
      </c>
      <c r="P462" s="56">
        <v>14.0</v>
      </c>
      <c r="Q462" s="56">
        <v>0.0</v>
      </c>
      <c r="R462" s="57">
        <v>0.0</v>
      </c>
    </row>
    <row r="463" ht="22.5" customHeight="1">
      <c r="A463" s="51">
        <v>44531.0</v>
      </c>
      <c r="B463" s="52">
        <v>44531.625023148146</v>
      </c>
      <c r="C463" s="53" t="s">
        <v>972</v>
      </c>
      <c r="D463" s="53" t="s">
        <v>1452</v>
      </c>
      <c r="E463" s="53" t="s">
        <v>80</v>
      </c>
      <c r="F463" s="53" t="s">
        <v>55</v>
      </c>
      <c r="G463" s="53" t="s">
        <v>1453</v>
      </c>
      <c r="H463" s="54" t="s">
        <v>1454</v>
      </c>
      <c r="I463" s="55">
        <v>1.0</v>
      </c>
      <c r="J463" s="55">
        <v>3457.0</v>
      </c>
      <c r="K463" s="55">
        <v>3520.0</v>
      </c>
      <c r="L463" s="55">
        <v>6.0</v>
      </c>
      <c r="M463" s="55">
        <v>84.0</v>
      </c>
      <c r="N463" s="55">
        <v>3457.0</v>
      </c>
      <c r="O463" s="56">
        <v>49.0</v>
      </c>
      <c r="P463" s="56">
        <v>15.0</v>
      </c>
      <c r="Q463" s="56">
        <v>0.0</v>
      </c>
      <c r="R463" s="57">
        <v>63.0</v>
      </c>
    </row>
    <row r="464" ht="22.5" customHeight="1">
      <c r="A464" s="51">
        <v>44531.0</v>
      </c>
      <c r="B464" s="52">
        <v>44531.64244212963</v>
      </c>
      <c r="C464" s="53" t="s">
        <v>972</v>
      </c>
      <c r="D464" s="53" t="s">
        <v>1455</v>
      </c>
      <c r="E464" s="53" t="s">
        <v>80</v>
      </c>
      <c r="F464" s="53" t="s">
        <v>55</v>
      </c>
      <c r="G464" s="53" t="s">
        <v>1456</v>
      </c>
      <c r="H464" s="54" t="s">
        <v>1457</v>
      </c>
      <c r="I464" s="55">
        <v>1.0</v>
      </c>
      <c r="J464" s="55">
        <v>991.0</v>
      </c>
      <c r="K464" s="55">
        <v>1025.0</v>
      </c>
      <c r="L464" s="55">
        <v>31.0</v>
      </c>
      <c r="M464" s="55">
        <v>108.0</v>
      </c>
      <c r="N464" s="55">
        <v>991.0</v>
      </c>
      <c r="O464" s="56">
        <v>49.0</v>
      </c>
      <c r="P464" s="56">
        <v>15.0</v>
      </c>
      <c r="Q464" s="56">
        <v>0.0</v>
      </c>
      <c r="R464" s="57">
        <v>34.0</v>
      </c>
    </row>
    <row r="465" ht="22.5" customHeight="1">
      <c r="A465" s="51">
        <v>44531.0</v>
      </c>
      <c r="B465" s="52">
        <v>44531.68759259259</v>
      </c>
      <c r="C465" s="53" t="s">
        <v>972</v>
      </c>
      <c r="D465" s="53" t="s">
        <v>1458</v>
      </c>
      <c r="E465" s="53" t="s">
        <v>84</v>
      </c>
      <c r="F465" s="53" t="s">
        <v>50</v>
      </c>
      <c r="G465" s="53" t="s">
        <v>1459</v>
      </c>
      <c r="H465" s="54" t="s">
        <v>1460</v>
      </c>
      <c r="I465" s="55">
        <v>1.0</v>
      </c>
      <c r="J465" s="55">
        <v>563.0</v>
      </c>
      <c r="K465" s="55">
        <v>587.0</v>
      </c>
      <c r="L465" s="55">
        <v>2.0</v>
      </c>
      <c r="M465" s="55">
        <v>10.0</v>
      </c>
      <c r="N465" s="55">
        <v>563.0</v>
      </c>
      <c r="O465" s="56">
        <v>49.0</v>
      </c>
      <c r="P465" s="56">
        <v>16.0</v>
      </c>
      <c r="Q465" s="56">
        <v>0.0</v>
      </c>
      <c r="R465" s="57">
        <v>24.0</v>
      </c>
    </row>
    <row r="466" ht="22.5" customHeight="1">
      <c r="A466" s="51">
        <v>44531.0</v>
      </c>
      <c r="B466" s="52">
        <v>44531.92496527778</v>
      </c>
      <c r="C466" s="53" t="s">
        <v>972</v>
      </c>
      <c r="D466" s="53" t="s">
        <v>1461</v>
      </c>
      <c r="E466" s="53" t="s">
        <v>84</v>
      </c>
      <c r="F466" s="53" t="s">
        <v>50</v>
      </c>
      <c r="G466" s="53" t="s">
        <v>1462</v>
      </c>
      <c r="H466" s="54" t="s">
        <v>1463</v>
      </c>
      <c r="I466" s="55">
        <v>1.0</v>
      </c>
      <c r="J466" s="55">
        <v>687.0</v>
      </c>
      <c r="K466" s="55">
        <v>696.0</v>
      </c>
      <c r="L466" s="55">
        <v>15.0</v>
      </c>
      <c r="M466" s="55">
        <v>10.0</v>
      </c>
      <c r="N466" s="55">
        <v>687.0</v>
      </c>
      <c r="O466" s="56">
        <v>49.0</v>
      </c>
      <c r="P466" s="56">
        <v>22.0</v>
      </c>
      <c r="Q466" s="56">
        <v>0.0</v>
      </c>
      <c r="R466" s="57">
        <v>9.0</v>
      </c>
    </row>
    <row r="467" ht="22.5" customHeight="1">
      <c r="A467" s="51">
        <v>44532.0</v>
      </c>
      <c r="B467" s="52">
        <v>44532.54226851852</v>
      </c>
      <c r="C467" s="53" t="s">
        <v>972</v>
      </c>
      <c r="D467" s="53" t="s">
        <v>1464</v>
      </c>
      <c r="E467" s="53" t="s">
        <v>97</v>
      </c>
      <c r="F467" s="53" t="s">
        <v>52</v>
      </c>
      <c r="G467" s="53" t="s">
        <v>1465</v>
      </c>
      <c r="H467" s="54" t="s">
        <v>1466</v>
      </c>
      <c r="I467" s="55">
        <v>1.0</v>
      </c>
      <c r="J467" s="55">
        <v>179.0</v>
      </c>
      <c r="K467" s="55">
        <v>182.0</v>
      </c>
      <c r="L467" s="55">
        <v>2.0</v>
      </c>
      <c r="M467" s="55">
        <v>2.0</v>
      </c>
      <c r="N467" s="55">
        <v>179.0</v>
      </c>
      <c r="O467" s="56">
        <v>49.0</v>
      </c>
      <c r="P467" s="56">
        <v>13.0</v>
      </c>
      <c r="Q467" s="56">
        <v>0.0</v>
      </c>
      <c r="R467" s="57">
        <v>3.0</v>
      </c>
    </row>
    <row r="468" ht="22.5" customHeight="1">
      <c r="A468" s="51">
        <v>44532.0</v>
      </c>
      <c r="B468" s="52">
        <v>44532.58899305556</v>
      </c>
      <c r="C468" s="53" t="s">
        <v>972</v>
      </c>
      <c r="D468" s="53" t="s">
        <v>1467</v>
      </c>
      <c r="E468" s="53" t="s">
        <v>84</v>
      </c>
      <c r="F468" s="53" t="s">
        <v>50</v>
      </c>
      <c r="G468" s="53" t="s">
        <v>1468</v>
      </c>
      <c r="H468" s="54" t="s">
        <v>1469</v>
      </c>
      <c r="I468" s="55">
        <v>1.0</v>
      </c>
      <c r="J468" s="55">
        <v>462.0</v>
      </c>
      <c r="K468" s="55">
        <v>468.0</v>
      </c>
      <c r="L468" s="55">
        <v>4.0</v>
      </c>
      <c r="M468" s="55">
        <v>9.0</v>
      </c>
      <c r="N468" s="55">
        <v>462.0</v>
      </c>
      <c r="O468" s="56">
        <v>49.0</v>
      </c>
      <c r="P468" s="56">
        <v>14.0</v>
      </c>
      <c r="Q468" s="56">
        <v>0.0</v>
      </c>
      <c r="R468" s="57">
        <v>6.0</v>
      </c>
    </row>
    <row r="469" ht="22.5" customHeight="1">
      <c r="A469" s="51">
        <v>44532.0</v>
      </c>
      <c r="B469" s="52">
        <v>44532.62547453704</v>
      </c>
      <c r="C469" s="53" t="s">
        <v>972</v>
      </c>
      <c r="D469" s="53" t="s">
        <v>1470</v>
      </c>
      <c r="E469" s="53" t="s">
        <v>84</v>
      </c>
      <c r="F469" s="53" t="s">
        <v>47</v>
      </c>
      <c r="G469" s="53" t="s">
        <v>1471</v>
      </c>
      <c r="H469" s="54" t="s">
        <v>1472</v>
      </c>
      <c r="I469" s="55">
        <v>1.0</v>
      </c>
      <c r="J469" s="55">
        <v>257.0</v>
      </c>
      <c r="K469" s="55">
        <v>262.0</v>
      </c>
      <c r="L469" s="55">
        <v>13.0</v>
      </c>
      <c r="M469" s="55">
        <v>20.0</v>
      </c>
      <c r="N469" s="55">
        <v>257.0</v>
      </c>
      <c r="O469" s="56">
        <v>49.0</v>
      </c>
      <c r="P469" s="56">
        <v>15.0</v>
      </c>
      <c r="Q469" s="56">
        <v>0.0</v>
      </c>
      <c r="R469" s="57">
        <v>5.0</v>
      </c>
    </row>
    <row r="470" ht="22.5" customHeight="1">
      <c r="A470" s="51">
        <v>44532.0</v>
      </c>
      <c r="B470" s="52">
        <v>44532.868101851855</v>
      </c>
      <c r="C470" s="53" t="s">
        <v>972</v>
      </c>
      <c r="D470" s="53" t="s">
        <v>1473</v>
      </c>
      <c r="E470" s="53" t="s">
        <v>84</v>
      </c>
      <c r="F470" s="53" t="s">
        <v>50</v>
      </c>
      <c r="G470" s="53" t="s">
        <v>1474</v>
      </c>
      <c r="H470" s="54" t="s">
        <v>1475</v>
      </c>
      <c r="I470" s="55">
        <v>1.0</v>
      </c>
      <c r="J470" s="55">
        <v>899.0</v>
      </c>
      <c r="K470" s="55">
        <v>905.0</v>
      </c>
      <c r="L470" s="55">
        <v>34.0</v>
      </c>
      <c r="M470" s="55">
        <v>28.0</v>
      </c>
      <c r="N470" s="55">
        <v>899.0</v>
      </c>
      <c r="O470" s="56">
        <v>49.0</v>
      </c>
      <c r="P470" s="56">
        <v>20.0</v>
      </c>
      <c r="Q470" s="56">
        <v>0.0</v>
      </c>
      <c r="R470" s="57">
        <v>6.0</v>
      </c>
    </row>
    <row r="471" ht="22.5" customHeight="1">
      <c r="A471" s="51">
        <v>44533.0</v>
      </c>
      <c r="B471" s="52">
        <v>44533.458333333336</v>
      </c>
      <c r="C471" s="53" t="s">
        <v>972</v>
      </c>
      <c r="D471" s="53" t="s">
        <v>1476</v>
      </c>
      <c r="E471" s="53" t="s">
        <v>80</v>
      </c>
      <c r="F471" s="53" t="s">
        <v>55</v>
      </c>
      <c r="G471" s="53" t="s">
        <v>1477</v>
      </c>
      <c r="H471" s="54" t="s">
        <v>1478</v>
      </c>
      <c r="I471" s="55">
        <v>1.0</v>
      </c>
      <c r="J471" s="55">
        <v>128.0</v>
      </c>
      <c r="K471" s="55">
        <v>129.0</v>
      </c>
      <c r="L471" s="55">
        <v>2.0</v>
      </c>
      <c r="M471" s="55">
        <v>3.0</v>
      </c>
      <c r="N471" s="55">
        <v>128.0</v>
      </c>
      <c r="O471" s="56">
        <v>49.0</v>
      </c>
      <c r="P471" s="56">
        <v>11.0</v>
      </c>
      <c r="Q471" s="56">
        <v>0.0</v>
      </c>
      <c r="R471" s="57">
        <v>1.0</v>
      </c>
    </row>
    <row r="472" ht="22.5" customHeight="1">
      <c r="A472" s="51">
        <v>44533.0</v>
      </c>
      <c r="B472" s="52">
        <v>44533.62510416667</v>
      </c>
      <c r="C472" s="53" t="s">
        <v>972</v>
      </c>
      <c r="D472" s="53" t="s">
        <v>1479</v>
      </c>
      <c r="E472" s="53" t="s">
        <v>80</v>
      </c>
      <c r="F472" s="53" t="s">
        <v>55</v>
      </c>
      <c r="G472" s="53" t="s">
        <v>1480</v>
      </c>
      <c r="H472" s="54" t="s">
        <v>1481</v>
      </c>
      <c r="I472" s="55">
        <v>1.0</v>
      </c>
      <c r="J472" s="55">
        <v>195.0</v>
      </c>
      <c r="K472" s="55">
        <v>199.0</v>
      </c>
      <c r="L472" s="55">
        <v>0.0</v>
      </c>
      <c r="M472" s="55">
        <v>16.0</v>
      </c>
      <c r="N472" s="55">
        <v>195.0</v>
      </c>
      <c r="O472" s="56">
        <v>49.0</v>
      </c>
      <c r="P472" s="56">
        <v>15.0</v>
      </c>
      <c r="Q472" s="56">
        <v>0.0</v>
      </c>
      <c r="R472" s="57">
        <v>4.0</v>
      </c>
    </row>
    <row r="473" ht="22.5" customHeight="1">
      <c r="A473" s="51">
        <v>44533.0</v>
      </c>
      <c r="B473" s="52">
        <v>44533.667037037034</v>
      </c>
      <c r="C473" s="53" t="s">
        <v>972</v>
      </c>
      <c r="D473" s="53" t="s">
        <v>1482</v>
      </c>
      <c r="E473" s="53" t="s">
        <v>109</v>
      </c>
      <c r="F473" s="53" t="s">
        <v>49</v>
      </c>
      <c r="G473" s="53" t="s">
        <v>1483</v>
      </c>
      <c r="H473" s="54" t="s">
        <v>1484</v>
      </c>
      <c r="I473" s="55">
        <v>1.0</v>
      </c>
      <c r="J473" s="55">
        <v>126.0</v>
      </c>
      <c r="K473" s="55">
        <v>129.0</v>
      </c>
      <c r="L473" s="55">
        <v>1.0</v>
      </c>
      <c r="M473" s="55">
        <v>6.0</v>
      </c>
      <c r="N473" s="55">
        <v>126.0</v>
      </c>
      <c r="O473" s="56">
        <v>49.0</v>
      </c>
      <c r="P473" s="56">
        <v>16.0</v>
      </c>
      <c r="Q473" s="56">
        <v>0.0</v>
      </c>
      <c r="R473" s="57">
        <v>3.0</v>
      </c>
    </row>
    <row r="474" ht="22.5" customHeight="1">
      <c r="A474" s="51">
        <v>44533.0</v>
      </c>
      <c r="B474" s="52">
        <v>44533.77092592593</v>
      </c>
      <c r="C474" s="53" t="s">
        <v>972</v>
      </c>
      <c r="D474" s="53" t="s">
        <v>1485</v>
      </c>
      <c r="E474" s="53" t="s">
        <v>80</v>
      </c>
      <c r="F474" s="53" t="s">
        <v>55</v>
      </c>
      <c r="G474" s="53" t="s">
        <v>1486</v>
      </c>
      <c r="H474" s="54" t="s">
        <v>1487</v>
      </c>
      <c r="I474" s="55">
        <v>1.0</v>
      </c>
      <c r="J474" s="55">
        <v>112.0</v>
      </c>
      <c r="K474" s="55">
        <v>115.0</v>
      </c>
      <c r="L474" s="55">
        <v>0.0</v>
      </c>
      <c r="M474" s="55">
        <v>6.0</v>
      </c>
      <c r="N474" s="55">
        <v>112.0</v>
      </c>
      <c r="O474" s="56">
        <v>49.0</v>
      </c>
      <c r="P474" s="56">
        <v>18.0</v>
      </c>
      <c r="Q474" s="56">
        <v>0.0</v>
      </c>
      <c r="R474" s="57">
        <v>3.0</v>
      </c>
    </row>
    <row r="475" ht="22.5" customHeight="1">
      <c r="A475" s="51">
        <v>44534.0</v>
      </c>
      <c r="B475" s="52">
        <v>44534.45836805556</v>
      </c>
      <c r="C475" s="53" t="s">
        <v>972</v>
      </c>
      <c r="D475" s="53" t="s">
        <v>1488</v>
      </c>
      <c r="E475" s="53" t="s">
        <v>80</v>
      </c>
      <c r="F475" s="53" t="s">
        <v>55</v>
      </c>
      <c r="G475" s="53" t="s">
        <v>1489</v>
      </c>
      <c r="H475" s="54" t="s">
        <v>1490</v>
      </c>
      <c r="I475" s="55">
        <v>1.0</v>
      </c>
      <c r="J475" s="55">
        <v>366.0</v>
      </c>
      <c r="K475" s="55">
        <v>381.0</v>
      </c>
      <c r="L475" s="55">
        <v>3.0</v>
      </c>
      <c r="M475" s="55">
        <v>9.0</v>
      </c>
      <c r="N475" s="55">
        <v>366.0</v>
      </c>
      <c r="O475" s="56">
        <v>49.0</v>
      </c>
      <c r="P475" s="56">
        <v>11.0</v>
      </c>
      <c r="Q475" s="56">
        <v>0.0</v>
      </c>
      <c r="R475" s="57">
        <v>15.0</v>
      </c>
    </row>
    <row r="476" ht="22.5" customHeight="1">
      <c r="A476" s="51">
        <v>44534.0</v>
      </c>
      <c r="B476" s="52">
        <v>44534.54167824074</v>
      </c>
      <c r="C476" s="53" t="s">
        <v>972</v>
      </c>
      <c r="D476" s="53" t="s">
        <v>1491</v>
      </c>
      <c r="E476" s="53" t="s">
        <v>84</v>
      </c>
      <c r="F476" s="53" t="s">
        <v>50</v>
      </c>
      <c r="G476" s="53" t="s">
        <v>1492</v>
      </c>
      <c r="H476" s="54" t="s">
        <v>1493</v>
      </c>
      <c r="I476" s="55">
        <v>1.0</v>
      </c>
      <c r="J476" s="55">
        <v>1323.0</v>
      </c>
      <c r="K476" s="55">
        <v>1355.0</v>
      </c>
      <c r="L476" s="55">
        <v>17.0</v>
      </c>
      <c r="M476" s="55">
        <v>57.0</v>
      </c>
      <c r="N476" s="55">
        <v>1323.0</v>
      </c>
      <c r="O476" s="56">
        <v>49.0</v>
      </c>
      <c r="P476" s="56">
        <v>13.0</v>
      </c>
      <c r="Q476" s="56">
        <v>0.0</v>
      </c>
      <c r="R476" s="57">
        <v>32.0</v>
      </c>
    </row>
    <row r="477" ht="22.5" customHeight="1">
      <c r="A477" s="51">
        <v>44534.0</v>
      </c>
      <c r="B477" s="52">
        <v>44534.58688657408</v>
      </c>
      <c r="C477" s="53" t="s">
        <v>972</v>
      </c>
      <c r="D477" s="53" t="s">
        <v>1494</v>
      </c>
      <c r="E477" s="53" t="s">
        <v>97</v>
      </c>
      <c r="F477" s="53" t="s">
        <v>52</v>
      </c>
      <c r="G477" s="53" t="s">
        <v>1495</v>
      </c>
      <c r="H477" s="54" t="s">
        <v>1496</v>
      </c>
      <c r="I477" s="55">
        <v>1.0</v>
      </c>
      <c r="J477" s="55">
        <v>70.0</v>
      </c>
      <c r="K477" s="55">
        <v>70.0</v>
      </c>
      <c r="L477" s="55">
        <v>0.0</v>
      </c>
      <c r="M477" s="53"/>
      <c r="N477" s="55">
        <v>70.0</v>
      </c>
      <c r="O477" s="56">
        <v>49.0</v>
      </c>
      <c r="P477" s="56">
        <v>14.0</v>
      </c>
      <c r="Q477" s="56">
        <v>0.0</v>
      </c>
      <c r="R477" s="57">
        <v>0.0</v>
      </c>
    </row>
    <row r="478" ht="22.5" customHeight="1">
      <c r="A478" s="51">
        <v>44534.0</v>
      </c>
      <c r="B478" s="52">
        <v>44534.87259259259</v>
      </c>
      <c r="C478" s="53" t="s">
        <v>972</v>
      </c>
      <c r="D478" s="53" t="s">
        <v>1497</v>
      </c>
      <c r="E478" s="53" t="s">
        <v>84</v>
      </c>
      <c r="F478" s="53" t="s">
        <v>50</v>
      </c>
      <c r="G478" s="53" t="s">
        <v>1498</v>
      </c>
      <c r="H478" s="54" t="s">
        <v>1499</v>
      </c>
      <c r="I478" s="55">
        <v>1.0</v>
      </c>
      <c r="J478" s="55">
        <v>691.0</v>
      </c>
      <c r="K478" s="55">
        <v>698.0</v>
      </c>
      <c r="L478" s="55">
        <v>18.0</v>
      </c>
      <c r="M478" s="55">
        <v>5.0</v>
      </c>
      <c r="N478" s="55">
        <v>691.0</v>
      </c>
      <c r="O478" s="56">
        <v>49.0</v>
      </c>
      <c r="P478" s="56">
        <v>20.0</v>
      </c>
      <c r="Q478" s="56">
        <v>0.0</v>
      </c>
      <c r="R478" s="57">
        <v>7.0</v>
      </c>
    </row>
    <row r="479" ht="22.5" customHeight="1">
      <c r="A479" s="51">
        <v>44535.0</v>
      </c>
      <c r="B479" s="52">
        <v>44535.54167824074</v>
      </c>
      <c r="C479" s="53" t="s">
        <v>972</v>
      </c>
      <c r="D479" s="53" t="s">
        <v>1500</v>
      </c>
      <c r="E479" s="53" t="s">
        <v>84</v>
      </c>
      <c r="F479" s="53" t="s">
        <v>50</v>
      </c>
      <c r="G479" s="53" t="s">
        <v>1501</v>
      </c>
      <c r="H479" s="54" t="s">
        <v>1502</v>
      </c>
      <c r="I479" s="55">
        <v>1.0</v>
      </c>
      <c r="J479" s="55">
        <v>491.0</v>
      </c>
      <c r="K479" s="55">
        <v>499.0</v>
      </c>
      <c r="L479" s="55">
        <v>0.0</v>
      </c>
      <c r="M479" s="55">
        <v>11.0</v>
      </c>
      <c r="N479" s="55">
        <v>491.0</v>
      </c>
      <c r="O479" s="56">
        <v>50.0</v>
      </c>
      <c r="P479" s="56">
        <v>13.0</v>
      </c>
      <c r="Q479" s="56">
        <v>0.0</v>
      </c>
      <c r="R479" s="57">
        <v>8.0</v>
      </c>
    </row>
    <row r="480" ht="22.5" customHeight="1">
      <c r="A480" s="51">
        <v>44535.0</v>
      </c>
      <c r="B480" s="52">
        <v>44535.66619212963</v>
      </c>
      <c r="C480" s="53" t="s">
        <v>972</v>
      </c>
      <c r="D480" s="53" t="s">
        <v>1503</v>
      </c>
      <c r="E480" s="53" t="s">
        <v>84</v>
      </c>
      <c r="F480" s="53" t="s">
        <v>50</v>
      </c>
      <c r="G480" s="53" t="s">
        <v>1504</v>
      </c>
      <c r="H480" s="54" t="s">
        <v>1505</v>
      </c>
      <c r="I480" s="55">
        <v>1.0</v>
      </c>
      <c r="J480" s="55">
        <v>56.0</v>
      </c>
      <c r="K480" s="55">
        <v>56.0</v>
      </c>
      <c r="L480" s="55">
        <v>0.0</v>
      </c>
      <c r="M480" s="53"/>
      <c r="N480" s="55">
        <v>56.0</v>
      </c>
      <c r="O480" s="56">
        <v>50.0</v>
      </c>
      <c r="P480" s="56">
        <v>15.0</v>
      </c>
      <c r="Q480" s="56">
        <v>0.0</v>
      </c>
      <c r="R480" s="57">
        <v>0.0</v>
      </c>
    </row>
    <row r="481" ht="22.5" customHeight="1">
      <c r="A481" s="51">
        <v>44535.0</v>
      </c>
      <c r="B481" s="52">
        <v>44535.863530092596</v>
      </c>
      <c r="C481" s="53" t="s">
        <v>972</v>
      </c>
      <c r="D481" s="53" t="s">
        <v>1506</v>
      </c>
      <c r="E481" s="53" t="s">
        <v>84</v>
      </c>
      <c r="F481" s="53" t="s">
        <v>50</v>
      </c>
      <c r="G481" s="53" t="s">
        <v>1507</v>
      </c>
      <c r="H481" s="54" t="s">
        <v>1508</v>
      </c>
      <c r="I481" s="55">
        <v>1.0</v>
      </c>
      <c r="J481" s="55">
        <v>1044.0</v>
      </c>
      <c r="K481" s="55">
        <v>1060.0</v>
      </c>
      <c r="L481" s="55">
        <v>21.0</v>
      </c>
      <c r="M481" s="55">
        <v>31.0</v>
      </c>
      <c r="N481" s="55">
        <v>1044.0</v>
      </c>
      <c r="O481" s="56">
        <v>50.0</v>
      </c>
      <c r="P481" s="56">
        <v>20.0</v>
      </c>
      <c r="Q481" s="56">
        <v>0.0</v>
      </c>
      <c r="R481" s="57">
        <v>16.0</v>
      </c>
    </row>
    <row r="482" ht="22.5" customHeight="1">
      <c r="A482" s="51">
        <v>44536.0</v>
      </c>
      <c r="B482" s="52">
        <v>44536.54168981482</v>
      </c>
      <c r="C482" s="53" t="s">
        <v>972</v>
      </c>
      <c r="D482" s="53" t="s">
        <v>1509</v>
      </c>
      <c r="E482" s="53" t="s">
        <v>84</v>
      </c>
      <c r="F482" s="53" t="s">
        <v>50</v>
      </c>
      <c r="G482" s="53" t="s">
        <v>1510</v>
      </c>
      <c r="H482" s="54" t="s">
        <v>1511</v>
      </c>
      <c r="I482" s="55">
        <v>1.0</v>
      </c>
      <c r="J482" s="55">
        <v>1237.0</v>
      </c>
      <c r="K482" s="55">
        <v>1257.0</v>
      </c>
      <c r="L482" s="55">
        <v>19.0</v>
      </c>
      <c r="M482" s="55">
        <v>27.0</v>
      </c>
      <c r="N482" s="55">
        <v>1237.0</v>
      </c>
      <c r="O482" s="56">
        <v>50.0</v>
      </c>
      <c r="P482" s="56">
        <v>13.0</v>
      </c>
      <c r="Q482" s="56">
        <v>0.0</v>
      </c>
      <c r="R482" s="57">
        <v>20.0</v>
      </c>
    </row>
    <row r="483" ht="22.5" customHeight="1">
      <c r="A483" s="51">
        <v>44536.0</v>
      </c>
      <c r="B483" s="52">
        <v>44536.89527777778</v>
      </c>
      <c r="C483" s="53" t="s">
        <v>972</v>
      </c>
      <c r="D483" s="53" t="s">
        <v>1512</v>
      </c>
      <c r="E483" s="53" t="s">
        <v>84</v>
      </c>
      <c r="F483" s="53" t="s">
        <v>50</v>
      </c>
      <c r="G483" s="53" t="s">
        <v>1513</v>
      </c>
      <c r="H483" s="54" t="s">
        <v>1514</v>
      </c>
      <c r="I483" s="55">
        <v>1.0</v>
      </c>
      <c r="J483" s="55">
        <v>943.0</v>
      </c>
      <c r="K483" s="55">
        <v>945.0</v>
      </c>
      <c r="L483" s="55">
        <v>20.0</v>
      </c>
      <c r="M483" s="55">
        <v>12.0</v>
      </c>
      <c r="N483" s="55">
        <v>943.0</v>
      </c>
      <c r="O483" s="56">
        <v>50.0</v>
      </c>
      <c r="P483" s="56">
        <v>21.0</v>
      </c>
      <c r="Q483" s="56">
        <v>0.0</v>
      </c>
      <c r="R483" s="57">
        <v>2.0</v>
      </c>
    </row>
    <row r="484" ht="22.5" customHeight="1">
      <c r="A484" s="51">
        <v>44537.0</v>
      </c>
      <c r="B484" s="52">
        <v>44537.47797453704</v>
      </c>
      <c r="C484" s="53" t="s">
        <v>972</v>
      </c>
      <c r="D484" s="53" t="s">
        <v>1515</v>
      </c>
      <c r="E484" s="53" t="s">
        <v>97</v>
      </c>
      <c r="F484" s="53" t="s">
        <v>52</v>
      </c>
      <c r="G484" s="53" t="s">
        <v>1516</v>
      </c>
      <c r="H484" s="54" t="s">
        <v>1517</v>
      </c>
      <c r="I484" s="55">
        <v>1.0</v>
      </c>
      <c r="J484" s="55">
        <v>59.0</v>
      </c>
      <c r="K484" s="55">
        <v>59.0</v>
      </c>
      <c r="L484" s="55">
        <v>0.0</v>
      </c>
      <c r="M484" s="53"/>
      <c r="N484" s="55">
        <v>59.0</v>
      </c>
      <c r="O484" s="56">
        <v>50.0</v>
      </c>
      <c r="P484" s="56">
        <v>11.0</v>
      </c>
      <c r="Q484" s="56">
        <v>0.0</v>
      </c>
      <c r="R484" s="57">
        <v>0.0</v>
      </c>
    </row>
    <row r="485" ht="22.5" customHeight="1">
      <c r="A485" s="51">
        <v>44537.0</v>
      </c>
      <c r="B485" s="52">
        <v>44537.54167824074</v>
      </c>
      <c r="C485" s="53" t="s">
        <v>972</v>
      </c>
      <c r="D485" s="53" t="s">
        <v>1518</v>
      </c>
      <c r="E485" s="53" t="s">
        <v>84</v>
      </c>
      <c r="F485" s="53" t="s">
        <v>50</v>
      </c>
      <c r="G485" s="53" t="s">
        <v>1519</v>
      </c>
      <c r="H485" s="54" t="s">
        <v>1520</v>
      </c>
      <c r="I485" s="55">
        <v>1.0</v>
      </c>
      <c r="J485" s="55">
        <v>404.0</v>
      </c>
      <c r="K485" s="55">
        <v>409.0</v>
      </c>
      <c r="L485" s="55">
        <v>4.0</v>
      </c>
      <c r="M485" s="55">
        <v>16.0</v>
      </c>
      <c r="N485" s="55">
        <v>404.0</v>
      </c>
      <c r="O485" s="56">
        <v>50.0</v>
      </c>
      <c r="P485" s="56">
        <v>13.0</v>
      </c>
      <c r="Q485" s="56">
        <v>0.0</v>
      </c>
      <c r="R485" s="57">
        <v>5.0</v>
      </c>
    </row>
    <row r="486" ht="22.5" customHeight="1">
      <c r="A486" s="51">
        <v>44537.0</v>
      </c>
      <c r="B486" s="52">
        <v>44537.58341435185</v>
      </c>
      <c r="C486" s="53" t="s">
        <v>972</v>
      </c>
      <c r="D486" s="53" t="s">
        <v>1521</v>
      </c>
      <c r="E486" s="53" t="s">
        <v>80</v>
      </c>
      <c r="F486" s="53" t="s">
        <v>55</v>
      </c>
      <c r="G486" s="53" t="s">
        <v>1522</v>
      </c>
      <c r="H486" s="54" t="s">
        <v>1523</v>
      </c>
      <c r="I486" s="55">
        <v>1.0</v>
      </c>
      <c r="J486" s="55">
        <v>106.0</v>
      </c>
      <c r="K486" s="55">
        <v>107.0</v>
      </c>
      <c r="L486" s="55">
        <v>8.0</v>
      </c>
      <c r="M486" s="55">
        <v>6.0</v>
      </c>
      <c r="N486" s="55">
        <v>106.0</v>
      </c>
      <c r="O486" s="56">
        <v>50.0</v>
      </c>
      <c r="P486" s="56">
        <v>14.0</v>
      </c>
      <c r="Q486" s="56">
        <v>0.0</v>
      </c>
      <c r="R486" s="57">
        <v>1.0</v>
      </c>
    </row>
    <row r="487" ht="22.5" customHeight="1">
      <c r="A487" s="51">
        <v>44537.0</v>
      </c>
      <c r="B487" s="52">
        <v>44537.645844907405</v>
      </c>
      <c r="C487" s="53" t="s">
        <v>972</v>
      </c>
      <c r="D487" s="53" t="s">
        <v>1524</v>
      </c>
      <c r="E487" s="53" t="s">
        <v>80</v>
      </c>
      <c r="F487" s="53" t="s">
        <v>55</v>
      </c>
      <c r="G487" s="53" t="s">
        <v>1525</v>
      </c>
      <c r="H487" s="54" t="s">
        <v>1526</v>
      </c>
      <c r="I487" s="55">
        <v>1.0</v>
      </c>
      <c r="J487" s="55">
        <v>76.0</v>
      </c>
      <c r="K487" s="55">
        <v>77.0</v>
      </c>
      <c r="L487" s="55">
        <v>0.0</v>
      </c>
      <c r="M487" s="55">
        <v>2.0</v>
      </c>
      <c r="N487" s="55">
        <v>76.0</v>
      </c>
      <c r="O487" s="56">
        <v>50.0</v>
      </c>
      <c r="P487" s="56">
        <v>15.0</v>
      </c>
      <c r="Q487" s="56">
        <v>0.0</v>
      </c>
      <c r="R487" s="57">
        <v>1.0</v>
      </c>
    </row>
    <row r="488" ht="22.5" customHeight="1">
      <c r="A488" s="51">
        <v>44537.0</v>
      </c>
      <c r="B488" s="52">
        <v>44537.88527777778</v>
      </c>
      <c r="C488" s="53" t="s">
        <v>972</v>
      </c>
      <c r="D488" s="53" t="s">
        <v>1527</v>
      </c>
      <c r="E488" s="53" t="s">
        <v>84</v>
      </c>
      <c r="F488" s="53" t="s">
        <v>50</v>
      </c>
      <c r="G488" s="53" t="s">
        <v>1528</v>
      </c>
      <c r="H488" s="54" t="s">
        <v>1529</v>
      </c>
      <c r="I488" s="55">
        <v>1.0</v>
      </c>
      <c r="J488" s="55">
        <v>668.0</v>
      </c>
      <c r="K488" s="55">
        <v>669.0</v>
      </c>
      <c r="L488" s="55">
        <v>8.0</v>
      </c>
      <c r="M488" s="55">
        <v>7.0</v>
      </c>
      <c r="N488" s="55">
        <v>668.0</v>
      </c>
      <c r="O488" s="56">
        <v>50.0</v>
      </c>
      <c r="P488" s="56">
        <v>21.0</v>
      </c>
      <c r="Q488" s="56">
        <v>0.0</v>
      </c>
      <c r="R488" s="57">
        <v>1.0</v>
      </c>
    </row>
    <row r="489" ht="22.5" customHeight="1">
      <c r="A489" s="51">
        <v>44538.0</v>
      </c>
      <c r="B489" s="52">
        <v>44538.48168981481</v>
      </c>
      <c r="C489" s="53" t="s">
        <v>972</v>
      </c>
      <c r="D489" s="53" t="s">
        <v>1530</v>
      </c>
      <c r="E489" s="53" t="s">
        <v>97</v>
      </c>
      <c r="F489" s="53" t="s">
        <v>52</v>
      </c>
      <c r="G489" s="53" t="s">
        <v>1531</v>
      </c>
      <c r="H489" s="54" t="s">
        <v>1532</v>
      </c>
      <c r="I489" s="55">
        <v>1.0</v>
      </c>
      <c r="J489" s="55">
        <v>76.0</v>
      </c>
      <c r="K489" s="55">
        <v>76.0</v>
      </c>
      <c r="L489" s="55">
        <v>0.0</v>
      </c>
      <c r="M489" s="55">
        <v>1.0</v>
      </c>
      <c r="N489" s="55">
        <v>76.0</v>
      </c>
      <c r="O489" s="56">
        <v>50.0</v>
      </c>
      <c r="P489" s="56">
        <v>11.0</v>
      </c>
      <c r="Q489" s="56">
        <v>0.0</v>
      </c>
      <c r="R489" s="57">
        <v>0.0</v>
      </c>
    </row>
    <row r="490" ht="22.5" customHeight="1">
      <c r="A490" s="51">
        <v>44538.0</v>
      </c>
      <c r="B490" s="52">
        <v>44538.52340277778</v>
      </c>
      <c r="C490" s="53" t="s">
        <v>972</v>
      </c>
      <c r="D490" s="53" t="s">
        <v>1533</v>
      </c>
      <c r="E490" s="53" t="s">
        <v>80</v>
      </c>
      <c r="F490" s="53" t="s">
        <v>55</v>
      </c>
      <c r="G490" s="53" t="s">
        <v>1534</v>
      </c>
      <c r="H490" s="54" t="s">
        <v>1535</v>
      </c>
      <c r="I490" s="55">
        <v>1.0</v>
      </c>
      <c r="J490" s="55">
        <v>301.0</v>
      </c>
      <c r="K490" s="55">
        <v>363.0</v>
      </c>
      <c r="L490" s="55">
        <v>1.0</v>
      </c>
      <c r="M490" s="55">
        <v>23.0</v>
      </c>
      <c r="N490" s="55">
        <v>301.0</v>
      </c>
      <c r="O490" s="56">
        <v>50.0</v>
      </c>
      <c r="P490" s="56">
        <v>12.0</v>
      </c>
      <c r="Q490" s="56">
        <v>0.0</v>
      </c>
      <c r="R490" s="57">
        <v>62.0</v>
      </c>
    </row>
    <row r="491" ht="22.5" customHeight="1">
      <c r="A491" s="51">
        <v>44538.0</v>
      </c>
      <c r="B491" s="52">
        <v>44538.55017361111</v>
      </c>
      <c r="C491" s="53" t="s">
        <v>972</v>
      </c>
      <c r="D491" s="53" t="s">
        <v>1536</v>
      </c>
      <c r="E491" s="53" t="s">
        <v>84</v>
      </c>
      <c r="F491" s="53" t="s">
        <v>50</v>
      </c>
      <c r="G491" s="53" t="s">
        <v>1537</v>
      </c>
      <c r="H491" s="54" t="s">
        <v>1538</v>
      </c>
      <c r="I491" s="55">
        <v>1.0</v>
      </c>
      <c r="J491" s="55">
        <v>295.0</v>
      </c>
      <c r="K491" s="55">
        <v>298.0</v>
      </c>
      <c r="L491" s="55">
        <v>1.0</v>
      </c>
      <c r="M491" s="55">
        <v>3.0</v>
      </c>
      <c r="N491" s="55">
        <v>295.0</v>
      </c>
      <c r="O491" s="56">
        <v>50.0</v>
      </c>
      <c r="P491" s="56">
        <v>13.0</v>
      </c>
      <c r="Q491" s="56">
        <v>0.0</v>
      </c>
      <c r="R491" s="57">
        <v>3.0</v>
      </c>
    </row>
    <row r="492" ht="22.5" customHeight="1">
      <c r="A492" s="51">
        <v>44538.0</v>
      </c>
      <c r="B492" s="52">
        <v>44538.625127314815</v>
      </c>
      <c r="C492" s="53" t="s">
        <v>972</v>
      </c>
      <c r="D492" s="53" t="s">
        <v>1539</v>
      </c>
      <c r="E492" s="53" t="s">
        <v>84</v>
      </c>
      <c r="F492" s="53" t="s">
        <v>47</v>
      </c>
      <c r="G492" s="53" t="s">
        <v>1540</v>
      </c>
      <c r="H492" s="54" t="s">
        <v>1541</v>
      </c>
      <c r="I492" s="55">
        <v>1.0</v>
      </c>
      <c r="J492" s="55">
        <v>218.0</v>
      </c>
      <c r="K492" s="55">
        <v>224.0</v>
      </c>
      <c r="L492" s="55">
        <v>3.0</v>
      </c>
      <c r="M492" s="55">
        <v>33.0</v>
      </c>
      <c r="N492" s="55">
        <v>218.0</v>
      </c>
      <c r="O492" s="56">
        <v>50.0</v>
      </c>
      <c r="P492" s="56">
        <v>15.0</v>
      </c>
      <c r="Q492" s="56">
        <v>1.0</v>
      </c>
      <c r="R492" s="57">
        <v>6.0</v>
      </c>
    </row>
    <row r="493" ht="22.5" customHeight="1">
      <c r="A493" s="51">
        <v>44538.0</v>
      </c>
      <c r="B493" s="52">
        <v>44538.90555555555</v>
      </c>
      <c r="C493" s="53" t="s">
        <v>972</v>
      </c>
      <c r="D493" s="53" t="s">
        <v>1542</v>
      </c>
      <c r="E493" s="53" t="s">
        <v>84</v>
      </c>
      <c r="F493" s="53" t="s">
        <v>50</v>
      </c>
      <c r="G493" s="53" t="s">
        <v>1543</v>
      </c>
      <c r="H493" s="54" t="s">
        <v>1544</v>
      </c>
      <c r="I493" s="55">
        <v>1.0</v>
      </c>
      <c r="J493" s="55">
        <v>706.0</v>
      </c>
      <c r="K493" s="55">
        <v>713.0</v>
      </c>
      <c r="L493" s="55">
        <v>14.0</v>
      </c>
      <c r="M493" s="55">
        <v>6.0</v>
      </c>
      <c r="N493" s="55">
        <v>706.0</v>
      </c>
      <c r="O493" s="56">
        <v>50.0</v>
      </c>
      <c r="P493" s="56">
        <v>21.0</v>
      </c>
      <c r="Q493" s="56">
        <v>0.0</v>
      </c>
      <c r="R493" s="57">
        <v>7.0</v>
      </c>
    </row>
    <row r="494" ht="22.5" customHeight="1">
      <c r="A494" s="51">
        <v>44539.0</v>
      </c>
      <c r="B494" s="52">
        <v>44539.39586805556</v>
      </c>
      <c r="C494" s="53" t="s">
        <v>972</v>
      </c>
      <c r="D494" s="53" t="s">
        <v>1545</v>
      </c>
      <c r="E494" s="53" t="s">
        <v>84</v>
      </c>
      <c r="F494" s="53" t="s">
        <v>50</v>
      </c>
      <c r="G494" s="53" t="s">
        <v>1546</v>
      </c>
      <c r="H494" s="54" t="s">
        <v>1547</v>
      </c>
      <c r="I494" s="55">
        <v>1.0</v>
      </c>
      <c r="J494" s="55">
        <v>569.0</v>
      </c>
      <c r="K494" s="55">
        <v>573.0</v>
      </c>
      <c r="L494" s="55">
        <v>14.0</v>
      </c>
      <c r="M494" s="55">
        <v>41.0</v>
      </c>
      <c r="N494" s="55">
        <v>569.0</v>
      </c>
      <c r="O494" s="56">
        <v>50.0</v>
      </c>
      <c r="P494" s="56">
        <v>9.0</v>
      </c>
      <c r="Q494" s="56">
        <v>0.0</v>
      </c>
      <c r="R494" s="57">
        <v>4.0</v>
      </c>
    </row>
    <row r="495" ht="22.5" customHeight="1">
      <c r="A495" s="51">
        <v>44539.0</v>
      </c>
      <c r="B495" s="52">
        <v>44539.55001157407</v>
      </c>
      <c r="C495" s="53" t="s">
        <v>972</v>
      </c>
      <c r="D495" s="53" t="s">
        <v>1548</v>
      </c>
      <c r="E495" s="53" t="s">
        <v>84</v>
      </c>
      <c r="F495" s="53" t="s">
        <v>50</v>
      </c>
      <c r="G495" s="53" t="s">
        <v>1549</v>
      </c>
      <c r="H495" s="54" t="s">
        <v>1550</v>
      </c>
      <c r="I495" s="55">
        <v>1.0</v>
      </c>
      <c r="J495" s="55">
        <v>630.0</v>
      </c>
      <c r="K495" s="55">
        <v>647.0</v>
      </c>
      <c r="L495" s="55">
        <v>10.0</v>
      </c>
      <c r="M495" s="55">
        <v>19.0</v>
      </c>
      <c r="N495" s="55">
        <v>630.0</v>
      </c>
      <c r="O495" s="56">
        <v>50.0</v>
      </c>
      <c r="P495" s="56">
        <v>13.0</v>
      </c>
      <c r="Q495" s="56">
        <v>0.0</v>
      </c>
      <c r="R495" s="57">
        <v>17.0</v>
      </c>
    </row>
    <row r="496" ht="22.5" customHeight="1">
      <c r="A496" s="51">
        <v>44539.0</v>
      </c>
      <c r="B496" s="52">
        <v>44539.584027777775</v>
      </c>
      <c r="C496" s="53" t="s">
        <v>972</v>
      </c>
      <c r="D496" s="53" t="s">
        <v>1551</v>
      </c>
      <c r="E496" s="53" t="s">
        <v>80</v>
      </c>
      <c r="F496" s="53" t="s">
        <v>55</v>
      </c>
      <c r="G496" s="53" t="s">
        <v>1552</v>
      </c>
      <c r="H496" s="54" t="s">
        <v>1553</v>
      </c>
      <c r="I496" s="55">
        <v>1.0</v>
      </c>
      <c r="J496" s="55">
        <v>163.0</v>
      </c>
      <c r="K496" s="55">
        <v>170.0</v>
      </c>
      <c r="L496" s="55">
        <v>3.0</v>
      </c>
      <c r="M496" s="55">
        <v>9.0</v>
      </c>
      <c r="N496" s="55">
        <v>163.0</v>
      </c>
      <c r="O496" s="56">
        <v>50.0</v>
      </c>
      <c r="P496" s="56">
        <v>14.0</v>
      </c>
      <c r="Q496" s="56">
        <v>0.0</v>
      </c>
      <c r="R496" s="57">
        <v>7.0</v>
      </c>
    </row>
    <row r="497" ht="22.5" customHeight="1">
      <c r="A497" s="51">
        <v>44539.0</v>
      </c>
      <c r="B497" s="52">
        <v>44539.62525462963</v>
      </c>
      <c r="C497" s="53" t="s">
        <v>972</v>
      </c>
      <c r="D497" s="53" t="s">
        <v>1554</v>
      </c>
      <c r="E497" s="53" t="s">
        <v>84</v>
      </c>
      <c r="F497" s="53" t="s">
        <v>50</v>
      </c>
      <c r="G497" s="53" t="s">
        <v>1555</v>
      </c>
      <c r="H497" s="54" t="s">
        <v>1556</v>
      </c>
      <c r="I497" s="55">
        <v>1.0</v>
      </c>
      <c r="J497" s="55">
        <v>1340.0</v>
      </c>
      <c r="K497" s="55">
        <v>1443.0</v>
      </c>
      <c r="L497" s="55">
        <v>57.0</v>
      </c>
      <c r="M497" s="55">
        <v>33.0</v>
      </c>
      <c r="N497" s="55">
        <v>1340.0</v>
      </c>
      <c r="O497" s="56">
        <v>50.0</v>
      </c>
      <c r="P497" s="56">
        <v>15.0</v>
      </c>
      <c r="Q497" s="56">
        <v>0.0</v>
      </c>
      <c r="R497" s="57">
        <v>103.0</v>
      </c>
    </row>
    <row r="498" ht="22.5" customHeight="1">
      <c r="A498" s="51">
        <v>44539.0</v>
      </c>
      <c r="B498" s="52">
        <v>44539.80310185185</v>
      </c>
      <c r="C498" s="53" t="s">
        <v>972</v>
      </c>
      <c r="D498" s="53" t="s">
        <v>1557</v>
      </c>
      <c r="E498" s="53" t="s">
        <v>84</v>
      </c>
      <c r="F498" s="53" t="s">
        <v>50</v>
      </c>
      <c r="G498" s="53" t="s">
        <v>1558</v>
      </c>
      <c r="H498" s="54" t="s">
        <v>1559</v>
      </c>
      <c r="I498" s="55">
        <v>1.0</v>
      </c>
      <c r="J498" s="55">
        <v>3700.0</v>
      </c>
      <c r="K498" s="55">
        <v>4145.0</v>
      </c>
      <c r="L498" s="55">
        <v>49.0</v>
      </c>
      <c r="M498" s="55">
        <v>294.0</v>
      </c>
      <c r="N498" s="55">
        <v>3700.0</v>
      </c>
      <c r="O498" s="56">
        <v>50.0</v>
      </c>
      <c r="P498" s="56">
        <v>19.0</v>
      </c>
      <c r="Q498" s="56">
        <v>0.0</v>
      </c>
      <c r="R498" s="57">
        <v>445.0</v>
      </c>
    </row>
    <row r="499" ht="22.5" customHeight="1">
      <c r="A499" s="51">
        <v>44539.0</v>
      </c>
      <c r="B499" s="52">
        <v>44539.87940972222</v>
      </c>
      <c r="C499" s="53" t="s">
        <v>972</v>
      </c>
      <c r="D499" s="53" t="s">
        <v>1560</v>
      </c>
      <c r="E499" s="53" t="s">
        <v>84</v>
      </c>
      <c r="F499" s="53" t="s">
        <v>50</v>
      </c>
      <c r="G499" s="53" t="s">
        <v>1561</v>
      </c>
      <c r="H499" s="54" t="s">
        <v>1562</v>
      </c>
      <c r="I499" s="55">
        <v>1.0</v>
      </c>
      <c r="J499" s="55">
        <v>1509.0</v>
      </c>
      <c r="K499" s="55">
        <v>1560.0</v>
      </c>
      <c r="L499" s="55">
        <v>28.0</v>
      </c>
      <c r="M499" s="55">
        <v>38.0</v>
      </c>
      <c r="N499" s="55">
        <v>1509.0</v>
      </c>
      <c r="O499" s="56">
        <v>50.0</v>
      </c>
      <c r="P499" s="56">
        <v>21.0</v>
      </c>
      <c r="Q499" s="56">
        <v>0.0</v>
      </c>
      <c r="R499" s="57">
        <v>51.0</v>
      </c>
    </row>
    <row r="500" ht="22.5" customHeight="1">
      <c r="A500" s="51">
        <v>44540.0</v>
      </c>
      <c r="B500" s="52">
        <v>44540.40662037037</v>
      </c>
      <c r="C500" s="53" t="s">
        <v>972</v>
      </c>
      <c r="D500" s="53" t="s">
        <v>1563</v>
      </c>
      <c r="E500" s="53" t="s">
        <v>80</v>
      </c>
      <c r="F500" s="53" t="s">
        <v>54</v>
      </c>
      <c r="G500" s="53" t="s">
        <v>1564</v>
      </c>
      <c r="H500" s="54" t="s">
        <v>1565</v>
      </c>
      <c r="I500" s="55">
        <v>1.0</v>
      </c>
      <c r="J500" s="55">
        <v>733.0</v>
      </c>
      <c r="K500" s="55">
        <v>890.0</v>
      </c>
      <c r="L500" s="55">
        <v>159.0</v>
      </c>
      <c r="M500" s="55">
        <v>306.0</v>
      </c>
      <c r="N500" s="55">
        <v>733.0</v>
      </c>
      <c r="O500" s="56">
        <v>50.0</v>
      </c>
      <c r="P500" s="56">
        <v>9.0</v>
      </c>
      <c r="Q500" s="56">
        <v>0.0</v>
      </c>
      <c r="R500" s="57">
        <v>157.0</v>
      </c>
    </row>
    <row r="501" ht="22.5" customHeight="1">
      <c r="A501" s="51">
        <v>44540.0</v>
      </c>
      <c r="B501" s="52">
        <v>44540.4103125</v>
      </c>
      <c r="C501" s="53" t="s">
        <v>972</v>
      </c>
      <c r="D501" s="53" t="s">
        <v>1566</v>
      </c>
      <c r="E501" s="53" t="s">
        <v>84</v>
      </c>
      <c r="F501" s="53" t="s">
        <v>48</v>
      </c>
      <c r="G501" s="53"/>
      <c r="H501" s="54" t="s">
        <v>1567</v>
      </c>
      <c r="I501" s="55">
        <v>1.0</v>
      </c>
      <c r="J501" s="55">
        <v>105.0</v>
      </c>
      <c r="K501" s="55">
        <v>107.0</v>
      </c>
      <c r="L501" s="55">
        <v>0.0</v>
      </c>
      <c r="M501" s="53"/>
      <c r="N501" s="55">
        <v>105.0</v>
      </c>
      <c r="O501" s="56">
        <v>50.0</v>
      </c>
      <c r="P501" s="56">
        <v>9.0</v>
      </c>
      <c r="Q501" s="56">
        <v>0.0</v>
      </c>
      <c r="R501" s="57">
        <v>2.0</v>
      </c>
    </row>
    <row r="502" ht="22.5" customHeight="1">
      <c r="A502" s="51">
        <v>44540.0</v>
      </c>
      <c r="B502" s="52">
        <v>44540.42261574074</v>
      </c>
      <c r="C502" s="53" t="s">
        <v>972</v>
      </c>
      <c r="D502" s="53" t="s">
        <v>1568</v>
      </c>
      <c r="E502" s="53" t="s">
        <v>109</v>
      </c>
      <c r="F502" s="53" t="s">
        <v>52</v>
      </c>
      <c r="G502" s="53"/>
      <c r="H502" s="54" t="s">
        <v>1569</v>
      </c>
      <c r="I502" s="55">
        <v>1.0</v>
      </c>
      <c r="J502" s="55">
        <v>32.0</v>
      </c>
      <c r="K502" s="55">
        <v>33.0</v>
      </c>
      <c r="L502" s="55">
        <v>0.0</v>
      </c>
      <c r="M502" s="53"/>
      <c r="N502" s="55">
        <v>32.0</v>
      </c>
      <c r="O502" s="56">
        <v>50.0</v>
      </c>
      <c r="P502" s="56">
        <v>10.0</v>
      </c>
      <c r="Q502" s="56">
        <v>0.0</v>
      </c>
      <c r="R502" s="57">
        <v>1.0</v>
      </c>
    </row>
    <row r="503" ht="22.5" customHeight="1">
      <c r="A503" s="51">
        <v>44540.0</v>
      </c>
      <c r="B503" s="52">
        <v>44540.50366898148</v>
      </c>
      <c r="C503" s="53" t="s">
        <v>972</v>
      </c>
      <c r="D503" s="53" t="s">
        <v>1570</v>
      </c>
      <c r="E503" s="53" t="s">
        <v>84</v>
      </c>
      <c r="F503" s="53" t="s">
        <v>50</v>
      </c>
      <c r="G503" s="53" t="s">
        <v>1571</v>
      </c>
      <c r="H503" s="54" t="s">
        <v>1572</v>
      </c>
      <c r="I503" s="55">
        <v>1.0</v>
      </c>
      <c r="J503" s="55">
        <v>876.0</v>
      </c>
      <c r="K503" s="55">
        <v>906.0</v>
      </c>
      <c r="L503" s="55">
        <v>54.0</v>
      </c>
      <c r="M503" s="55">
        <v>187.0</v>
      </c>
      <c r="N503" s="55">
        <v>876.0</v>
      </c>
      <c r="O503" s="56">
        <v>50.0</v>
      </c>
      <c r="P503" s="56">
        <v>12.0</v>
      </c>
      <c r="Q503" s="56">
        <v>0.0</v>
      </c>
      <c r="R503" s="57">
        <v>30.0</v>
      </c>
    </row>
    <row r="504" ht="22.5" customHeight="1">
      <c r="A504" s="51">
        <v>44540.0</v>
      </c>
      <c r="B504" s="52">
        <v>44540.583402777775</v>
      </c>
      <c r="C504" s="53" t="s">
        <v>972</v>
      </c>
      <c r="D504" s="53" t="s">
        <v>1573</v>
      </c>
      <c r="E504" s="53" t="s">
        <v>84</v>
      </c>
      <c r="F504" s="53" t="s">
        <v>50</v>
      </c>
      <c r="G504" s="53" t="s">
        <v>1574</v>
      </c>
      <c r="H504" s="54" t="s">
        <v>1575</v>
      </c>
      <c r="I504" s="55">
        <v>1.0</v>
      </c>
      <c r="J504" s="55">
        <v>1058.0</v>
      </c>
      <c r="K504" s="55">
        <v>1080.0</v>
      </c>
      <c r="L504" s="55">
        <v>0.0</v>
      </c>
      <c r="M504" s="55">
        <v>15.0</v>
      </c>
      <c r="N504" s="55">
        <v>1058.0</v>
      </c>
      <c r="O504" s="56">
        <v>50.0</v>
      </c>
      <c r="P504" s="56">
        <v>14.0</v>
      </c>
      <c r="Q504" s="56">
        <v>0.0</v>
      </c>
      <c r="R504" s="57">
        <v>22.0</v>
      </c>
    </row>
    <row r="505" ht="22.5" customHeight="1">
      <c r="A505" s="51">
        <v>44540.0</v>
      </c>
      <c r="B505" s="52">
        <v>44540.708344907405</v>
      </c>
      <c r="C505" s="53" t="s">
        <v>972</v>
      </c>
      <c r="D505" s="53" t="s">
        <v>1576</v>
      </c>
      <c r="E505" s="53" t="s">
        <v>80</v>
      </c>
      <c r="F505" s="53" t="s">
        <v>55</v>
      </c>
      <c r="G505" s="53" t="s">
        <v>1577</v>
      </c>
      <c r="H505" s="54" t="s">
        <v>1578</v>
      </c>
      <c r="I505" s="55">
        <v>1.0</v>
      </c>
      <c r="J505" s="55">
        <v>1720.0</v>
      </c>
      <c r="K505" s="55">
        <v>1749.0</v>
      </c>
      <c r="L505" s="55">
        <v>1.0</v>
      </c>
      <c r="M505" s="55">
        <v>28.0</v>
      </c>
      <c r="N505" s="55">
        <v>1720.0</v>
      </c>
      <c r="O505" s="56">
        <v>50.0</v>
      </c>
      <c r="P505" s="56">
        <v>17.0</v>
      </c>
      <c r="Q505" s="56">
        <v>0.0</v>
      </c>
      <c r="R505" s="57">
        <v>29.0</v>
      </c>
    </row>
    <row r="506" ht="22.5" customHeight="1">
      <c r="A506" s="51">
        <v>44540.0</v>
      </c>
      <c r="B506" s="52">
        <v>44540.75015046296</v>
      </c>
      <c r="C506" s="53" t="s">
        <v>972</v>
      </c>
      <c r="D506" s="53" t="s">
        <v>1579</v>
      </c>
      <c r="E506" s="53" t="s">
        <v>80</v>
      </c>
      <c r="F506" s="53" t="s">
        <v>55</v>
      </c>
      <c r="G506" s="53" t="s">
        <v>1580</v>
      </c>
      <c r="H506" s="54" t="s">
        <v>1581</v>
      </c>
      <c r="I506" s="55">
        <v>1.0</v>
      </c>
      <c r="J506" s="55">
        <v>341.0</v>
      </c>
      <c r="K506" s="55">
        <v>350.0</v>
      </c>
      <c r="L506" s="55">
        <v>10.0</v>
      </c>
      <c r="M506" s="55">
        <v>28.0</v>
      </c>
      <c r="N506" s="55">
        <v>341.0</v>
      </c>
      <c r="O506" s="56">
        <v>50.0</v>
      </c>
      <c r="P506" s="56">
        <v>18.0</v>
      </c>
      <c r="Q506" s="56">
        <v>0.0</v>
      </c>
      <c r="R506" s="57">
        <v>9.0</v>
      </c>
    </row>
    <row r="507" ht="22.5" customHeight="1">
      <c r="A507" s="51">
        <v>44541.0</v>
      </c>
      <c r="B507" s="52">
        <v>44541.54167824074</v>
      </c>
      <c r="C507" s="53" t="s">
        <v>972</v>
      </c>
      <c r="D507" s="53" t="s">
        <v>1582</v>
      </c>
      <c r="E507" s="53" t="s">
        <v>84</v>
      </c>
      <c r="F507" s="53" t="s">
        <v>50</v>
      </c>
      <c r="G507" s="53" t="s">
        <v>1583</v>
      </c>
      <c r="H507" s="54" t="s">
        <v>1584</v>
      </c>
      <c r="I507" s="55">
        <v>1.0</v>
      </c>
      <c r="J507" s="55">
        <v>1115.0</v>
      </c>
      <c r="K507" s="55">
        <v>1142.0</v>
      </c>
      <c r="L507" s="55">
        <v>13.0</v>
      </c>
      <c r="M507" s="55">
        <v>40.0</v>
      </c>
      <c r="N507" s="55">
        <v>1115.0</v>
      </c>
      <c r="O507" s="56">
        <v>50.0</v>
      </c>
      <c r="P507" s="56">
        <v>13.0</v>
      </c>
      <c r="Q507" s="56">
        <v>0.0</v>
      </c>
      <c r="R507" s="57">
        <v>27.0</v>
      </c>
    </row>
    <row r="508" ht="22.5" customHeight="1">
      <c r="A508" s="51">
        <v>44541.0</v>
      </c>
      <c r="B508" s="52">
        <v>44541.62501157408</v>
      </c>
      <c r="C508" s="53" t="s">
        <v>972</v>
      </c>
      <c r="D508" s="53" t="s">
        <v>1585</v>
      </c>
      <c r="E508" s="53" t="s">
        <v>80</v>
      </c>
      <c r="F508" s="53" t="s">
        <v>55</v>
      </c>
      <c r="G508" s="53" t="s">
        <v>1586</v>
      </c>
      <c r="H508" s="54" t="s">
        <v>1587</v>
      </c>
      <c r="I508" s="55">
        <v>1.0</v>
      </c>
      <c r="J508" s="55">
        <v>566.0</v>
      </c>
      <c r="K508" s="55">
        <v>583.0</v>
      </c>
      <c r="L508" s="55">
        <v>0.0</v>
      </c>
      <c r="M508" s="55">
        <v>8.0</v>
      </c>
      <c r="N508" s="55">
        <v>566.0</v>
      </c>
      <c r="O508" s="56">
        <v>50.0</v>
      </c>
      <c r="P508" s="56">
        <v>15.0</v>
      </c>
      <c r="Q508" s="56">
        <v>0.0</v>
      </c>
      <c r="R508" s="57">
        <v>17.0</v>
      </c>
    </row>
    <row r="509" ht="22.5" customHeight="1">
      <c r="A509" s="51">
        <v>44541.0</v>
      </c>
      <c r="B509" s="52">
        <v>44541.89613425926</v>
      </c>
      <c r="C509" s="53" t="s">
        <v>972</v>
      </c>
      <c r="D509" s="53" t="s">
        <v>1588</v>
      </c>
      <c r="E509" s="53" t="s">
        <v>84</v>
      </c>
      <c r="F509" s="53" t="s">
        <v>50</v>
      </c>
      <c r="G509" s="53" t="s">
        <v>1589</v>
      </c>
      <c r="H509" s="54" t="s">
        <v>1590</v>
      </c>
      <c r="I509" s="55">
        <v>1.0</v>
      </c>
      <c r="J509" s="55">
        <v>646.0</v>
      </c>
      <c r="K509" s="55">
        <v>648.0</v>
      </c>
      <c r="L509" s="55">
        <v>3.0</v>
      </c>
      <c r="M509" s="55">
        <v>10.0</v>
      </c>
      <c r="N509" s="55">
        <v>646.0</v>
      </c>
      <c r="O509" s="56">
        <v>50.0</v>
      </c>
      <c r="P509" s="56">
        <v>21.0</v>
      </c>
      <c r="Q509" s="56">
        <v>0.0</v>
      </c>
      <c r="R509" s="57">
        <v>2.0</v>
      </c>
    </row>
    <row r="510" ht="22.5" customHeight="1">
      <c r="A510" s="51">
        <v>44542.0</v>
      </c>
      <c r="B510" s="52">
        <v>44542.54168981482</v>
      </c>
      <c r="C510" s="53" t="s">
        <v>972</v>
      </c>
      <c r="D510" s="53" t="s">
        <v>1591</v>
      </c>
      <c r="E510" s="53" t="s">
        <v>84</v>
      </c>
      <c r="F510" s="53" t="s">
        <v>50</v>
      </c>
      <c r="G510" s="53" t="s">
        <v>1592</v>
      </c>
      <c r="H510" s="54" t="s">
        <v>1593</v>
      </c>
      <c r="I510" s="55">
        <v>1.0</v>
      </c>
      <c r="J510" s="55">
        <v>589.0</v>
      </c>
      <c r="K510" s="55">
        <v>598.0</v>
      </c>
      <c r="L510" s="55">
        <v>6.0</v>
      </c>
      <c r="M510" s="55">
        <v>9.0</v>
      </c>
      <c r="N510" s="55">
        <v>589.0</v>
      </c>
      <c r="O510" s="56">
        <v>51.0</v>
      </c>
      <c r="P510" s="56">
        <v>13.0</v>
      </c>
      <c r="Q510" s="56">
        <v>0.0</v>
      </c>
      <c r="R510" s="57">
        <v>9.0</v>
      </c>
    </row>
    <row r="511" ht="22.5" customHeight="1">
      <c r="A511" s="51">
        <v>44542.0</v>
      </c>
      <c r="B511" s="52">
        <v>44542.646527777775</v>
      </c>
      <c r="C511" s="53" t="s">
        <v>972</v>
      </c>
      <c r="D511" s="53" t="s">
        <v>1594</v>
      </c>
      <c r="E511" s="53" t="s">
        <v>80</v>
      </c>
      <c r="F511" s="53" t="s">
        <v>55</v>
      </c>
      <c r="G511" s="53" t="s">
        <v>1595</v>
      </c>
      <c r="H511" s="54" t="s">
        <v>1596</v>
      </c>
      <c r="I511" s="55">
        <v>1.0</v>
      </c>
      <c r="J511" s="55">
        <v>962.0</v>
      </c>
      <c r="K511" s="55">
        <v>1054.0</v>
      </c>
      <c r="L511" s="55">
        <v>10.0</v>
      </c>
      <c r="M511" s="55">
        <v>76.0</v>
      </c>
      <c r="N511" s="55">
        <v>962.0</v>
      </c>
      <c r="O511" s="56">
        <v>51.0</v>
      </c>
      <c r="P511" s="56">
        <v>15.0</v>
      </c>
      <c r="Q511" s="56">
        <v>0.0</v>
      </c>
      <c r="R511" s="57">
        <v>92.0</v>
      </c>
    </row>
    <row r="512" ht="22.5" customHeight="1">
      <c r="A512" s="51">
        <v>44542.0</v>
      </c>
      <c r="B512" s="52">
        <v>44542.67710648148</v>
      </c>
      <c r="C512" s="53" t="s">
        <v>972</v>
      </c>
      <c r="D512" s="53" t="s">
        <v>1597</v>
      </c>
      <c r="E512" s="53" t="s">
        <v>84</v>
      </c>
      <c r="F512" s="53" t="s">
        <v>50</v>
      </c>
      <c r="G512" s="53" t="s">
        <v>1598</v>
      </c>
      <c r="H512" s="54" t="s">
        <v>1599</v>
      </c>
      <c r="I512" s="55">
        <v>1.0</v>
      </c>
      <c r="J512" s="55">
        <v>175.0</v>
      </c>
      <c r="K512" s="55">
        <v>176.0</v>
      </c>
      <c r="L512" s="55">
        <v>0.0</v>
      </c>
      <c r="M512" s="55">
        <v>3.0</v>
      </c>
      <c r="N512" s="55">
        <v>175.0</v>
      </c>
      <c r="O512" s="56">
        <v>51.0</v>
      </c>
      <c r="P512" s="56">
        <v>16.0</v>
      </c>
      <c r="Q512" s="56">
        <v>0.0</v>
      </c>
      <c r="R512" s="57">
        <v>1.0</v>
      </c>
    </row>
    <row r="513" ht="22.5" customHeight="1">
      <c r="A513" s="51">
        <v>44542.0</v>
      </c>
      <c r="B513" s="52">
        <v>44542.85474537037</v>
      </c>
      <c r="C513" s="53" t="s">
        <v>972</v>
      </c>
      <c r="D513" s="53" t="s">
        <v>1600</v>
      </c>
      <c r="E513" s="53" t="s">
        <v>84</v>
      </c>
      <c r="F513" s="53" t="s">
        <v>50</v>
      </c>
      <c r="G513" s="53" t="s">
        <v>1601</v>
      </c>
      <c r="H513" s="54" t="s">
        <v>1602</v>
      </c>
      <c r="I513" s="55">
        <v>1.0</v>
      </c>
      <c r="J513" s="55">
        <v>1111.0</v>
      </c>
      <c r="K513" s="55">
        <v>1132.0</v>
      </c>
      <c r="L513" s="55">
        <v>14.0</v>
      </c>
      <c r="M513" s="55">
        <v>33.0</v>
      </c>
      <c r="N513" s="55">
        <v>1111.0</v>
      </c>
      <c r="O513" s="56">
        <v>51.0</v>
      </c>
      <c r="P513" s="56">
        <v>20.0</v>
      </c>
      <c r="Q513" s="56">
        <v>0.0</v>
      </c>
      <c r="R513" s="57">
        <v>21.0</v>
      </c>
    </row>
    <row r="514" ht="22.5" customHeight="1">
      <c r="A514" s="51">
        <v>44543.0</v>
      </c>
      <c r="B514" s="52">
        <v>44543.417916666665</v>
      </c>
      <c r="C514" s="53" t="s">
        <v>972</v>
      </c>
      <c r="D514" s="53" t="s">
        <v>1603</v>
      </c>
      <c r="E514" s="53" t="s">
        <v>84</v>
      </c>
      <c r="F514" s="53" t="s">
        <v>50</v>
      </c>
      <c r="G514" s="53" t="s">
        <v>1604</v>
      </c>
      <c r="H514" s="54" t="s">
        <v>1605</v>
      </c>
      <c r="I514" s="55">
        <v>1.0</v>
      </c>
      <c r="J514" s="55">
        <v>1449.0</v>
      </c>
      <c r="K514" s="55">
        <v>1459.0</v>
      </c>
      <c r="L514" s="55">
        <v>28.0</v>
      </c>
      <c r="M514" s="55">
        <v>41.0</v>
      </c>
      <c r="N514" s="55">
        <v>1449.0</v>
      </c>
      <c r="O514" s="56">
        <v>51.0</v>
      </c>
      <c r="P514" s="56">
        <v>10.0</v>
      </c>
      <c r="Q514" s="56">
        <v>0.0</v>
      </c>
      <c r="R514" s="57">
        <v>10.0</v>
      </c>
    </row>
    <row r="515" ht="22.5" customHeight="1">
      <c r="A515" s="51">
        <v>44543.0</v>
      </c>
      <c r="B515" s="52">
        <v>44543.64550925926</v>
      </c>
      <c r="C515" s="53" t="s">
        <v>972</v>
      </c>
      <c r="D515" s="53" t="s">
        <v>1606</v>
      </c>
      <c r="E515" s="53" t="s">
        <v>80</v>
      </c>
      <c r="F515" s="53" t="s">
        <v>55</v>
      </c>
      <c r="G515" s="53" t="s">
        <v>1607</v>
      </c>
      <c r="H515" s="54" t="s">
        <v>1608</v>
      </c>
      <c r="I515" s="55">
        <v>1.0</v>
      </c>
      <c r="J515" s="55">
        <v>1663.0</v>
      </c>
      <c r="K515" s="55">
        <v>2001.0</v>
      </c>
      <c r="L515" s="55">
        <v>72.0</v>
      </c>
      <c r="M515" s="55">
        <v>455.0</v>
      </c>
      <c r="N515" s="55">
        <v>1663.0</v>
      </c>
      <c r="O515" s="56">
        <v>51.0</v>
      </c>
      <c r="P515" s="56">
        <v>15.0</v>
      </c>
      <c r="Q515" s="56">
        <v>0.0</v>
      </c>
      <c r="R515" s="57">
        <v>338.0</v>
      </c>
    </row>
    <row r="516" ht="22.5" customHeight="1">
      <c r="A516" s="51">
        <v>44543.0</v>
      </c>
      <c r="B516" s="52">
        <v>44543.840266203704</v>
      </c>
      <c r="C516" s="53" t="s">
        <v>972</v>
      </c>
      <c r="D516" s="53" t="s">
        <v>1609</v>
      </c>
      <c r="E516" s="53" t="s">
        <v>97</v>
      </c>
      <c r="F516" s="53" t="s">
        <v>52</v>
      </c>
      <c r="G516" s="53" t="s">
        <v>1610</v>
      </c>
      <c r="H516" s="54" t="s">
        <v>1611</v>
      </c>
      <c r="I516" s="55">
        <v>1.0</v>
      </c>
      <c r="J516" s="55">
        <v>61.0</v>
      </c>
      <c r="K516" s="55">
        <v>61.0</v>
      </c>
      <c r="L516" s="55">
        <v>0.0</v>
      </c>
      <c r="M516" s="53"/>
      <c r="N516" s="55">
        <v>61.0</v>
      </c>
      <c r="O516" s="56">
        <v>51.0</v>
      </c>
      <c r="P516" s="56">
        <v>20.0</v>
      </c>
      <c r="Q516" s="56">
        <v>0.0</v>
      </c>
      <c r="R516" s="57">
        <v>0.0</v>
      </c>
    </row>
    <row r="517" ht="22.5" customHeight="1">
      <c r="A517" s="51">
        <v>44544.0</v>
      </c>
      <c r="B517" s="52">
        <v>44544.64586805556</v>
      </c>
      <c r="C517" s="53" t="s">
        <v>972</v>
      </c>
      <c r="D517" s="53" t="s">
        <v>1612</v>
      </c>
      <c r="E517" s="53" t="s">
        <v>80</v>
      </c>
      <c r="F517" s="53" t="s">
        <v>55</v>
      </c>
      <c r="G517" s="53" t="s">
        <v>1613</v>
      </c>
      <c r="H517" s="54" t="s">
        <v>1614</v>
      </c>
      <c r="I517" s="55">
        <v>1.0</v>
      </c>
      <c r="J517" s="55">
        <v>233.0</v>
      </c>
      <c r="K517" s="55">
        <v>238.0</v>
      </c>
      <c r="L517" s="55">
        <v>0.0</v>
      </c>
      <c r="M517" s="55">
        <v>8.0</v>
      </c>
      <c r="N517" s="55">
        <v>233.0</v>
      </c>
      <c r="O517" s="56">
        <v>51.0</v>
      </c>
      <c r="P517" s="56">
        <v>15.0</v>
      </c>
      <c r="Q517" s="56">
        <v>0.0</v>
      </c>
      <c r="R517" s="57">
        <v>5.0</v>
      </c>
    </row>
    <row r="518" ht="22.5" customHeight="1">
      <c r="A518" s="51">
        <v>44544.0</v>
      </c>
      <c r="B518" s="52">
        <v>44544.74623842593</v>
      </c>
      <c r="C518" s="53" t="s">
        <v>972</v>
      </c>
      <c r="D518" s="53" t="s">
        <v>1615</v>
      </c>
      <c r="E518" s="53" t="s">
        <v>80</v>
      </c>
      <c r="F518" s="53" t="s">
        <v>55</v>
      </c>
      <c r="G518" s="53" t="s">
        <v>1616</v>
      </c>
      <c r="H518" s="54" t="s">
        <v>1617</v>
      </c>
      <c r="I518" s="55">
        <v>1.0</v>
      </c>
      <c r="J518" s="55">
        <v>134.0</v>
      </c>
      <c r="K518" s="55">
        <v>137.0</v>
      </c>
      <c r="L518" s="55">
        <v>0.0</v>
      </c>
      <c r="M518" s="55">
        <v>3.0</v>
      </c>
      <c r="N518" s="55">
        <v>134.0</v>
      </c>
      <c r="O518" s="56">
        <v>51.0</v>
      </c>
      <c r="P518" s="56">
        <v>17.0</v>
      </c>
      <c r="Q518" s="56">
        <v>0.0</v>
      </c>
      <c r="R518" s="57">
        <v>3.0</v>
      </c>
    </row>
    <row r="519" ht="22.5" customHeight="1">
      <c r="A519" s="51">
        <v>44544.0</v>
      </c>
      <c r="B519" s="52">
        <v>44544.875</v>
      </c>
      <c r="C519" s="53" t="s">
        <v>972</v>
      </c>
      <c r="D519" s="53" t="s">
        <v>1618</v>
      </c>
      <c r="E519" s="53" t="s">
        <v>84</v>
      </c>
      <c r="F519" s="53" t="s">
        <v>50</v>
      </c>
      <c r="G519" s="53" t="s">
        <v>1619</v>
      </c>
      <c r="H519" s="54" t="s">
        <v>1620</v>
      </c>
      <c r="I519" s="55">
        <v>1.0</v>
      </c>
      <c r="J519" s="55">
        <v>90.0</v>
      </c>
      <c r="K519" s="55">
        <v>93.0</v>
      </c>
      <c r="L519" s="55">
        <v>7.0</v>
      </c>
      <c r="M519" s="55">
        <v>3.0</v>
      </c>
      <c r="N519" s="55">
        <v>90.0</v>
      </c>
      <c r="O519" s="56">
        <v>51.0</v>
      </c>
      <c r="P519" s="56">
        <v>21.0</v>
      </c>
      <c r="Q519" s="56">
        <v>0.0</v>
      </c>
      <c r="R519" s="57">
        <v>3.0</v>
      </c>
    </row>
    <row r="520" ht="22.5" customHeight="1">
      <c r="A520" s="51">
        <v>44545.0</v>
      </c>
      <c r="B520" s="52">
        <v>44545.413449074076</v>
      </c>
      <c r="C520" s="53" t="s">
        <v>972</v>
      </c>
      <c r="D520" s="53" t="s">
        <v>1621</v>
      </c>
      <c r="E520" s="53" t="s">
        <v>84</v>
      </c>
      <c r="F520" s="53" t="s">
        <v>50</v>
      </c>
      <c r="G520" s="53" t="s">
        <v>1622</v>
      </c>
      <c r="H520" s="54" t="s">
        <v>1623</v>
      </c>
      <c r="I520" s="55">
        <v>1.0</v>
      </c>
      <c r="J520" s="55">
        <v>96.0</v>
      </c>
      <c r="K520" s="55">
        <v>99.0</v>
      </c>
      <c r="L520" s="55">
        <v>0.0</v>
      </c>
      <c r="M520" s="55">
        <v>19.0</v>
      </c>
      <c r="N520" s="55">
        <v>96.0</v>
      </c>
      <c r="O520" s="56">
        <v>51.0</v>
      </c>
      <c r="P520" s="56">
        <v>9.0</v>
      </c>
      <c r="Q520" s="56">
        <v>0.0</v>
      </c>
      <c r="R520" s="57">
        <v>3.0</v>
      </c>
    </row>
    <row r="521" ht="22.5" customHeight="1">
      <c r="A521" s="51">
        <v>44545.0</v>
      </c>
      <c r="B521" s="52">
        <v>44545.542129629626</v>
      </c>
      <c r="C521" s="53" t="s">
        <v>972</v>
      </c>
      <c r="D521" s="53" t="s">
        <v>1624</v>
      </c>
      <c r="E521" s="53" t="s">
        <v>84</v>
      </c>
      <c r="F521" s="53" t="s">
        <v>47</v>
      </c>
      <c r="G521" s="53" t="s">
        <v>1625</v>
      </c>
      <c r="H521" s="54" t="s">
        <v>1626</v>
      </c>
      <c r="I521" s="55">
        <v>1.0</v>
      </c>
      <c r="J521" s="55">
        <v>169.0</v>
      </c>
      <c r="K521" s="55">
        <v>173.0</v>
      </c>
      <c r="L521" s="55">
        <v>10.0</v>
      </c>
      <c r="M521" s="55">
        <v>16.0</v>
      </c>
      <c r="N521" s="55">
        <v>169.0</v>
      </c>
      <c r="O521" s="56">
        <v>51.0</v>
      </c>
      <c r="P521" s="56">
        <v>13.0</v>
      </c>
      <c r="Q521" s="56">
        <v>0.0</v>
      </c>
      <c r="R521" s="57">
        <v>4.0</v>
      </c>
    </row>
    <row r="522" ht="22.5" customHeight="1">
      <c r="A522" s="51">
        <v>44545.0</v>
      </c>
      <c r="B522" s="52">
        <v>44545.62568287037</v>
      </c>
      <c r="C522" s="53" t="s">
        <v>972</v>
      </c>
      <c r="D522" s="53" t="s">
        <v>1627</v>
      </c>
      <c r="E522" s="53" t="s">
        <v>84</v>
      </c>
      <c r="F522" s="53" t="s">
        <v>47</v>
      </c>
      <c r="G522" s="53" t="s">
        <v>1628</v>
      </c>
      <c r="H522" s="54" t="s">
        <v>1629</v>
      </c>
      <c r="I522" s="55">
        <v>1.0</v>
      </c>
      <c r="J522" s="55">
        <v>139.0</v>
      </c>
      <c r="K522" s="55">
        <v>142.0</v>
      </c>
      <c r="L522" s="55">
        <v>0.0</v>
      </c>
      <c r="M522" s="55">
        <v>10.0</v>
      </c>
      <c r="N522" s="55">
        <v>139.0</v>
      </c>
      <c r="O522" s="56">
        <v>51.0</v>
      </c>
      <c r="P522" s="56">
        <v>15.0</v>
      </c>
      <c r="Q522" s="56">
        <v>0.0</v>
      </c>
      <c r="R522" s="57">
        <v>3.0</v>
      </c>
    </row>
    <row r="523" ht="22.5" customHeight="1">
      <c r="A523" s="51">
        <v>44545.0</v>
      </c>
      <c r="B523" s="52">
        <v>44545.708344907405</v>
      </c>
      <c r="C523" s="53" t="s">
        <v>972</v>
      </c>
      <c r="D523" s="53" t="s">
        <v>1630</v>
      </c>
      <c r="E523" s="53" t="s">
        <v>80</v>
      </c>
      <c r="F523" s="53" t="s">
        <v>55</v>
      </c>
      <c r="G523" s="53" t="s">
        <v>1631</v>
      </c>
      <c r="H523" s="54" t="s">
        <v>1632</v>
      </c>
      <c r="I523" s="55">
        <v>1.0</v>
      </c>
      <c r="J523" s="55">
        <v>2992.0</v>
      </c>
      <c r="K523" s="55">
        <v>3112.0</v>
      </c>
      <c r="L523" s="55">
        <v>10.0</v>
      </c>
      <c r="M523" s="55">
        <v>123.0</v>
      </c>
      <c r="N523" s="55">
        <v>2992.0</v>
      </c>
      <c r="O523" s="56">
        <v>51.0</v>
      </c>
      <c r="P523" s="56">
        <v>17.0</v>
      </c>
      <c r="Q523" s="56">
        <v>0.0</v>
      </c>
      <c r="R523" s="57">
        <v>120.0</v>
      </c>
    </row>
    <row r="524" ht="22.5" customHeight="1">
      <c r="A524" s="51">
        <v>44546.0</v>
      </c>
      <c r="B524" s="52">
        <v>44546.395844907405</v>
      </c>
      <c r="C524" s="53" t="s">
        <v>972</v>
      </c>
      <c r="D524" s="53" t="s">
        <v>1633</v>
      </c>
      <c r="E524" s="53" t="s">
        <v>80</v>
      </c>
      <c r="F524" s="53" t="s">
        <v>55</v>
      </c>
      <c r="G524" s="53" t="s">
        <v>1634</v>
      </c>
      <c r="H524" s="54" t="s">
        <v>1635</v>
      </c>
      <c r="I524" s="55">
        <v>1.0</v>
      </c>
      <c r="J524" s="55">
        <v>2495.0</v>
      </c>
      <c r="K524" s="55">
        <v>2552.0</v>
      </c>
      <c r="L524" s="55">
        <v>3.0</v>
      </c>
      <c r="M524" s="55">
        <v>45.0</v>
      </c>
      <c r="N524" s="55">
        <v>2495.0</v>
      </c>
      <c r="O524" s="56">
        <v>51.0</v>
      </c>
      <c r="P524" s="56">
        <v>9.0</v>
      </c>
      <c r="Q524" s="56">
        <v>0.0</v>
      </c>
      <c r="R524" s="57">
        <v>57.0</v>
      </c>
    </row>
    <row r="525" ht="22.5" customHeight="1">
      <c r="A525" s="51">
        <v>44546.0</v>
      </c>
      <c r="B525" s="52">
        <v>44546.565474537034</v>
      </c>
      <c r="C525" s="53" t="s">
        <v>972</v>
      </c>
      <c r="D525" s="53" t="s">
        <v>1636</v>
      </c>
      <c r="E525" s="53" t="s">
        <v>84</v>
      </c>
      <c r="F525" s="53" t="s">
        <v>50</v>
      </c>
      <c r="G525" s="53" t="s">
        <v>1637</v>
      </c>
      <c r="H525" s="54" t="s">
        <v>1638</v>
      </c>
      <c r="I525" s="55">
        <v>1.0</v>
      </c>
      <c r="J525" s="55">
        <v>1247.0</v>
      </c>
      <c r="K525" s="55">
        <v>1275.0</v>
      </c>
      <c r="L525" s="55">
        <v>30.0</v>
      </c>
      <c r="M525" s="55">
        <v>71.0</v>
      </c>
      <c r="N525" s="55">
        <v>1247.0</v>
      </c>
      <c r="O525" s="56">
        <v>51.0</v>
      </c>
      <c r="P525" s="56">
        <v>13.0</v>
      </c>
      <c r="Q525" s="56">
        <v>0.0</v>
      </c>
      <c r="R525" s="57">
        <v>28.0</v>
      </c>
    </row>
    <row r="526" ht="22.5" customHeight="1">
      <c r="A526" s="51">
        <v>44546.0</v>
      </c>
      <c r="B526" s="52">
        <v>44546.856782407405</v>
      </c>
      <c r="C526" s="53" t="s">
        <v>972</v>
      </c>
      <c r="D526" s="53" t="s">
        <v>1639</v>
      </c>
      <c r="E526" s="53" t="s">
        <v>84</v>
      </c>
      <c r="F526" s="53" t="s">
        <v>50</v>
      </c>
      <c r="G526" s="53" t="s">
        <v>1640</v>
      </c>
      <c r="H526" s="54" t="s">
        <v>1641</v>
      </c>
      <c r="I526" s="55">
        <v>1.0</v>
      </c>
      <c r="J526" s="55">
        <v>1483.0</v>
      </c>
      <c r="K526" s="55">
        <v>1504.0</v>
      </c>
      <c r="L526" s="55">
        <v>29.0</v>
      </c>
      <c r="M526" s="55">
        <v>35.0</v>
      </c>
      <c r="N526" s="55">
        <v>1483.0</v>
      </c>
      <c r="O526" s="56">
        <v>51.0</v>
      </c>
      <c r="P526" s="56">
        <v>20.0</v>
      </c>
      <c r="Q526" s="56">
        <v>0.0</v>
      </c>
      <c r="R526" s="57">
        <v>21.0</v>
      </c>
    </row>
    <row r="527" ht="22.5" customHeight="1">
      <c r="A527" s="51">
        <v>44547.0</v>
      </c>
      <c r="B527" s="52">
        <v>44547.41673611111</v>
      </c>
      <c r="C527" s="53" t="s">
        <v>972</v>
      </c>
      <c r="D527" s="53" t="s">
        <v>1642</v>
      </c>
      <c r="E527" s="53" t="s">
        <v>97</v>
      </c>
      <c r="F527" s="53" t="s">
        <v>52</v>
      </c>
      <c r="G527" s="53" t="s">
        <v>1643</v>
      </c>
      <c r="H527" s="54" t="s">
        <v>1644</v>
      </c>
      <c r="I527" s="55">
        <v>1.0</v>
      </c>
      <c r="J527" s="55">
        <v>81.0</v>
      </c>
      <c r="K527" s="55">
        <v>81.0</v>
      </c>
      <c r="L527" s="55">
        <v>0.0</v>
      </c>
      <c r="M527" s="53"/>
      <c r="N527" s="55">
        <v>81.0</v>
      </c>
      <c r="O527" s="56">
        <v>51.0</v>
      </c>
      <c r="P527" s="56">
        <v>10.0</v>
      </c>
      <c r="Q527" s="56">
        <v>0.0</v>
      </c>
      <c r="R527" s="57">
        <v>0.0</v>
      </c>
    </row>
    <row r="528" ht="22.5" customHeight="1">
      <c r="A528" s="51">
        <v>44547.0</v>
      </c>
      <c r="B528" s="52">
        <v>44547.5562037037</v>
      </c>
      <c r="C528" s="53" t="s">
        <v>972</v>
      </c>
      <c r="D528" s="53" t="s">
        <v>1645</v>
      </c>
      <c r="E528" s="53" t="s">
        <v>84</v>
      </c>
      <c r="F528" s="53" t="s">
        <v>50</v>
      </c>
      <c r="G528" s="53" t="s">
        <v>1646</v>
      </c>
      <c r="H528" s="54" t="s">
        <v>1647</v>
      </c>
      <c r="I528" s="55">
        <v>1.0</v>
      </c>
      <c r="J528" s="55">
        <v>963.0</v>
      </c>
      <c r="K528" s="55">
        <v>979.0</v>
      </c>
      <c r="L528" s="55">
        <v>53.0</v>
      </c>
      <c r="M528" s="55">
        <v>65.0</v>
      </c>
      <c r="N528" s="55">
        <v>963.0</v>
      </c>
      <c r="O528" s="56">
        <v>51.0</v>
      </c>
      <c r="P528" s="56">
        <v>13.0</v>
      </c>
      <c r="Q528" s="56">
        <v>0.0</v>
      </c>
      <c r="R528" s="57">
        <v>16.0</v>
      </c>
    </row>
    <row r="529" ht="22.5" customHeight="1">
      <c r="A529" s="51">
        <v>44547.0</v>
      </c>
      <c r="B529" s="52">
        <v>44547.583333333336</v>
      </c>
      <c r="C529" s="53" t="s">
        <v>972</v>
      </c>
      <c r="D529" s="53" t="s">
        <v>1648</v>
      </c>
      <c r="E529" s="53" t="s">
        <v>84</v>
      </c>
      <c r="F529" s="53" t="s">
        <v>47</v>
      </c>
      <c r="G529" s="53" t="s">
        <v>1649</v>
      </c>
      <c r="H529" s="54" t="s">
        <v>1650</v>
      </c>
      <c r="I529" s="55">
        <v>1.0</v>
      </c>
      <c r="J529" s="55">
        <v>112.0</v>
      </c>
      <c r="K529" s="55">
        <v>115.0</v>
      </c>
      <c r="L529" s="55">
        <v>2.0</v>
      </c>
      <c r="M529" s="55">
        <v>3.0</v>
      </c>
      <c r="N529" s="55">
        <v>112.0</v>
      </c>
      <c r="O529" s="56">
        <v>51.0</v>
      </c>
      <c r="P529" s="56">
        <v>14.0</v>
      </c>
      <c r="Q529" s="56">
        <v>0.0</v>
      </c>
      <c r="R529" s="57">
        <v>3.0</v>
      </c>
    </row>
    <row r="530" ht="22.5" customHeight="1">
      <c r="A530" s="51">
        <v>44547.0</v>
      </c>
      <c r="B530" s="52">
        <v>44547.64616898148</v>
      </c>
      <c r="C530" s="53" t="s">
        <v>972</v>
      </c>
      <c r="D530" s="53" t="s">
        <v>1651</v>
      </c>
      <c r="E530" s="53" t="s">
        <v>84</v>
      </c>
      <c r="F530" s="53" t="s">
        <v>50</v>
      </c>
      <c r="G530" s="53" t="s">
        <v>1652</v>
      </c>
      <c r="H530" s="54" t="s">
        <v>1653</v>
      </c>
      <c r="I530" s="55">
        <v>1.0</v>
      </c>
      <c r="J530" s="55">
        <v>2460.0</v>
      </c>
      <c r="K530" s="55">
        <v>2600.0</v>
      </c>
      <c r="L530" s="55">
        <v>20.0</v>
      </c>
      <c r="M530" s="55">
        <v>112.0</v>
      </c>
      <c r="N530" s="55">
        <v>2460.0</v>
      </c>
      <c r="O530" s="56">
        <v>51.0</v>
      </c>
      <c r="P530" s="56">
        <v>15.0</v>
      </c>
      <c r="Q530" s="56">
        <v>0.0</v>
      </c>
      <c r="R530" s="57">
        <v>140.0</v>
      </c>
    </row>
    <row r="531" ht="22.5" customHeight="1">
      <c r="A531" s="51">
        <v>44547.0</v>
      </c>
      <c r="B531" s="52">
        <v>44547.686527777776</v>
      </c>
      <c r="C531" s="53" t="s">
        <v>972</v>
      </c>
      <c r="D531" s="53" t="s">
        <v>1654</v>
      </c>
      <c r="E531" s="53" t="s">
        <v>84</v>
      </c>
      <c r="F531" s="53" t="s">
        <v>50</v>
      </c>
      <c r="G531" s="53" t="s">
        <v>1655</v>
      </c>
      <c r="H531" s="54" t="s">
        <v>1656</v>
      </c>
      <c r="I531" s="55">
        <v>1.0</v>
      </c>
      <c r="J531" s="55">
        <v>218.0</v>
      </c>
      <c r="K531" s="55">
        <v>218.0</v>
      </c>
      <c r="L531" s="55">
        <v>0.0</v>
      </c>
      <c r="M531" s="55">
        <v>5.0</v>
      </c>
      <c r="N531" s="55">
        <v>218.0</v>
      </c>
      <c r="O531" s="56">
        <v>51.0</v>
      </c>
      <c r="P531" s="56">
        <v>16.0</v>
      </c>
      <c r="Q531" s="56">
        <v>0.0</v>
      </c>
      <c r="R531" s="57">
        <v>0.0</v>
      </c>
    </row>
    <row r="532" ht="22.5" customHeight="1">
      <c r="A532" s="51">
        <v>44547.0</v>
      </c>
      <c r="B532" s="52">
        <v>44547.87383101852</v>
      </c>
      <c r="C532" s="53" t="s">
        <v>972</v>
      </c>
      <c r="D532" s="53" t="s">
        <v>1657</v>
      </c>
      <c r="E532" s="53" t="s">
        <v>84</v>
      </c>
      <c r="F532" s="53" t="s">
        <v>50</v>
      </c>
      <c r="G532" s="53" t="s">
        <v>1658</v>
      </c>
      <c r="H532" s="54" t="s">
        <v>1659</v>
      </c>
      <c r="I532" s="55">
        <v>1.0</v>
      </c>
      <c r="J532" s="55">
        <v>956.0</v>
      </c>
      <c r="K532" s="55">
        <v>961.0</v>
      </c>
      <c r="L532" s="55">
        <v>14.0</v>
      </c>
      <c r="M532" s="55">
        <v>10.0</v>
      </c>
      <c r="N532" s="55">
        <v>956.0</v>
      </c>
      <c r="O532" s="56">
        <v>51.0</v>
      </c>
      <c r="P532" s="56">
        <v>20.0</v>
      </c>
      <c r="Q532" s="56">
        <v>0.0</v>
      </c>
      <c r="R532" s="57">
        <v>5.0</v>
      </c>
    </row>
    <row r="533" ht="22.5" customHeight="1">
      <c r="A533" s="51">
        <v>44548.0</v>
      </c>
      <c r="B533" s="52">
        <v>44548.55069444444</v>
      </c>
      <c r="C533" s="53" t="s">
        <v>972</v>
      </c>
      <c r="D533" s="53" t="s">
        <v>1660</v>
      </c>
      <c r="E533" s="53" t="s">
        <v>84</v>
      </c>
      <c r="F533" s="53" t="s">
        <v>50</v>
      </c>
      <c r="G533" s="53" t="s">
        <v>1661</v>
      </c>
      <c r="H533" s="54" t="s">
        <v>1662</v>
      </c>
      <c r="I533" s="55">
        <v>1.0</v>
      </c>
      <c r="J533" s="55">
        <v>262.0</v>
      </c>
      <c r="K533" s="55">
        <v>262.0</v>
      </c>
      <c r="L533" s="55">
        <v>5.0</v>
      </c>
      <c r="M533" s="55">
        <v>7.0</v>
      </c>
      <c r="N533" s="55">
        <v>262.0</v>
      </c>
      <c r="O533" s="56">
        <v>51.0</v>
      </c>
      <c r="P533" s="56">
        <v>13.0</v>
      </c>
      <c r="Q533" s="56">
        <v>0.0</v>
      </c>
      <c r="R533" s="57">
        <v>0.0</v>
      </c>
    </row>
    <row r="534" ht="22.5" customHeight="1">
      <c r="A534" s="51">
        <v>44548.0</v>
      </c>
      <c r="B534" s="52">
        <v>44548.86114583333</v>
      </c>
      <c r="C534" s="53" t="s">
        <v>972</v>
      </c>
      <c r="D534" s="53" t="s">
        <v>1663</v>
      </c>
      <c r="E534" s="53" t="s">
        <v>84</v>
      </c>
      <c r="F534" s="53" t="s">
        <v>50</v>
      </c>
      <c r="G534" s="53" t="s">
        <v>1664</v>
      </c>
      <c r="H534" s="54" t="s">
        <v>1665</v>
      </c>
      <c r="I534" s="55">
        <v>1.0</v>
      </c>
      <c r="J534" s="55">
        <v>893.0</v>
      </c>
      <c r="K534" s="55">
        <v>895.0</v>
      </c>
      <c r="L534" s="55">
        <v>12.0</v>
      </c>
      <c r="M534" s="55">
        <v>14.0</v>
      </c>
      <c r="N534" s="55">
        <v>893.0</v>
      </c>
      <c r="O534" s="56">
        <v>51.0</v>
      </c>
      <c r="P534" s="56">
        <v>20.0</v>
      </c>
      <c r="Q534" s="56">
        <v>0.0</v>
      </c>
      <c r="R534" s="57">
        <v>2.0</v>
      </c>
    </row>
    <row r="535" ht="22.5" customHeight="1">
      <c r="A535" s="51">
        <v>44549.0</v>
      </c>
      <c r="B535" s="52">
        <v>44549.54613425926</v>
      </c>
      <c r="C535" s="53" t="s">
        <v>972</v>
      </c>
      <c r="D535" s="53" t="s">
        <v>1666</v>
      </c>
      <c r="E535" s="53" t="s">
        <v>84</v>
      </c>
      <c r="F535" s="53" t="s">
        <v>50</v>
      </c>
      <c r="G535" s="53" t="s">
        <v>1667</v>
      </c>
      <c r="H535" s="54" t="s">
        <v>1668</v>
      </c>
      <c r="I535" s="55">
        <v>1.0</v>
      </c>
      <c r="J535" s="55">
        <v>353.0</v>
      </c>
      <c r="K535" s="55">
        <v>355.0</v>
      </c>
      <c r="L535" s="55">
        <v>3.0</v>
      </c>
      <c r="M535" s="55">
        <v>11.0</v>
      </c>
      <c r="N535" s="55">
        <v>353.0</v>
      </c>
      <c r="O535" s="56">
        <v>52.0</v>
      </c>
      <c r="P535" s="56">
        <v>13.0</v>
      </c>
      <c r="Q535" s="56">
        <v>0.0</v>
      </c>
      <c r="R535" s="57">
        <v>2.0</v>
      </c>
    </row>
    <row r="536" ht="22.5" customHeight="1">
      <c r="A536" s="51">
        <v>44549.0</v>
      </c>
      <c r="B536" s="52">
        <v>44549.626863425925</v>
      </c>
      <c r="C536" s="53" t="s">
        <v>972</v>
      </c>
      <c r="D536" s="53" t="s">
        <v>1669</v>
      </c>
      <c r="E536" s="53" t="s">
        <v>97</v>
      </c>
      <c r="F536" s="53" t="s">
        <v>52</v>
      </c>
      <c r="G536" s="53" t="s">
        <v>1670</v>
      </c>
      <c r="H536" s="54" t="s">
        <v>1671</v>
      </c>
      <c r="I536" s="55">
        <v>1.0</v>
      </c>
      <c r="J536" s="55">
        <v>59.0</v>
      </c>
      <c r="K536" s="55">
        <v>60.0</v>
      </c>
      <c r="L536" s="55">
        <v>1.0</v>
      </c>
      <c r="M536" s="55">
        <v>1.0</v>
      </c>
      <c r="N536" s="55">
        <v>59.0</v>
      </c>
      <c r="O536" s="56">
        <v>52.0</v>
      </c>
      <c r="P536" s="56">
        <v>15.0</v>
      </c>
      <c r="Q536" s="56">
        <v>0.0</v>
      </c>
      <c r="R536" s="57">
        <v>1.0</v>
      </c>
    </row>
    <row r="537" ht="22.5" customHeight="1">
      <c r="A537" s="51">
        <v>44549.0</v>
      </c>
      <c r="B537" s="52">
        <v>44549.721655092595</v>
      </c>
      <c r="C537" s="53" t="s">
        <v>972</v>
      </c>
      <c r="D537" s="53" t="s">
        <v>1672</v>
      </c>
      <c r="E537" s="53" t="s">
        <v>84</v>
      </c>
      <c r="F537" s="53" t="s">
        <v>50</v>
      </c>
      <c r="G537" s="53" t="s">
        <v>1673</v>
      </c>
      <c r="H537" s="54" t="s">
        <v>1674</v>
      </c>
      <c r="I537" s="55">
        <v>1.0</v>
      </c>
      <c r="J537" s="55">
        <v>1050.0</v>
      </c>
      <c r="K537" s="55">
        <v>1091.0</v>
      </c>
      <c r="L537" s="55">
        <v>18.0</v>
      </c>
      <c r="M537" s="55">
        <v>189.0</v>
      </c>
      <c r="N537" s="55">
        <v>1050.0</v>
      </c>
      <c r="O537" s="56">
        <v>52.0</v>
      </c>
      <c r="P537" s="56">
        <v>17.0</v>
      </c>
      <c r="Q537" s="56">
        <v>0.0</v>
      </c>
      <c r="R537" s="57">
        <v>41.0</v>
      </c>
    </row>
    <row r="538" ht="22.5" customHeight="1">
      <c r="A538" s="51">
        <v>44549.0</v>
      </c>
      <c r="B538" s="52">
        <v>44549.86306712963</v>
      </c>
      <c r="C538" s="53" t="s">
        <v>972</v>
      </c>
      <c r="D538" s="53" t="s">
        <v>1675</v>
      </c>
      <c r="E538" s="53" t="s">
        <v>84</v>
      </c>
      <c r="F538" s="53" t="s">
        <v>50</v>
      </c>
      <c r="G538" s="53" t="s">
        <v>1676</v>
      </c>
      <c r="H538" s="54" t="s">
        <v>1677</v>
      </c>
      <c r="I538" s="55">
        <v>1.0</v>
      </c>
      <c r="J538" s="55">
        <v>28705.0</v>
      </c>
      <c r="K538" s="55">
        <v>28953.0</v>
      </c>
      <c r="L538" s="55">
        <v>61.0</v>
      </c>
      <c r="M538" s="55">
        <v>437.0</v>
      </c>
      <c r="N538" s="55">
        <v>28705.0</v>
      </c>
      <c r="O538" s="56">
        <v>52.0</v>
      </c>
      <c r="P538" s="56">
        <v>20.0</v>
      </c>
      <c r="Q538" s="56">
        <v>0.0</v>
      </c>
      <c r="R538" s="57">
        <v>248.0</v>
      </c>
    </row>
    <row r="539" ht="22.5" customHeight="1">
      <c r="A539" s="51">
        <v>44549.0</v>
      </c>
      <c r="B539" s="52">
        <v>44549.870046296295</v>
      </c>
      <c r="C539" s="53" t="s">
        <v>972</v>
      </c>
      <c r="D539" s="53" t="s">
        <v>1678</v>
      </c>
      <c r="E539" s="53" t="s">
        <v>84</v>
      </c>
      <c r="F539" s="53" t="s">
        <v>47</v>
      </c>
      <c r="G539" s="53" t="s">
        <v>1679</v>
      </c>
      <c r="H539" s="54" t="s">
        <v>1680</v>
      </c>
      <c r="I539" s="55">
        <v>1.0</v>
      </c>
      <c r="J539" s="55">
        <v>1052.0</v>
      </c>
      <c r="K539" s="55">
        <v>1066.0</v>
      </c>
      <c r="L539" s="55">
        <v>15.0</v>
      </c>
      <c r="M539" s="55">
        <v>58.0</v>
      </c>
      <c r="N539" s="55">
        <v>1052.0</v>
      </c>
      <c r="O539" s="56">
        <v>52.0</v>
      </c>
      <c r="P539" s="56">
        <v>20.0</v>
      </c>
      <c r="Q539" s="56">
        <v>0.0</v>
      </c>
      <c r="R539" s="57">
        <v>14.0</v>
      </c>
    </row>
    <row r="540" ht="22.5" customHeight="1">
      <c r="A540" s="51">
        <v>44550.0</v>
      </c>
      <c r="B540" s="52">
        <v>44550.520833333336</v>
      </c>
      <c r="C540" s="53" t="s">
        <v>972</v>
      </c>
      <c r="D540" s="53" t="s">
        <v>1681</v>
      </c>
      <c r="E540" s="53" t="s">
        <v>84</v>
      </c>
      <c r="F540" s="53" t="s">
        <v>50</v>
      </c>
      <c r="G540" s="53" t="s">
        <v>1682</v>
      </c>
      <c r="H540" s="54" t="s">
        <v>1683</v>
      </c>
      <c r="I540" s="55">
        <v>1.0</v>
      </c>
      <c r="J540" s="55">
        <v>2934.0</v>
      </c>
      <c r="K540" s="55">
        <v>2992.0</v>
      </c>
      <c r="L540" s="55">
        <v>21.0</v>
      </c>
      <c r="M540" s="55">
        <v>56.0</v>
      </c>
      <c r="N540" s="55">
        <v>2934.0</v>
      </c>
      <c r="O540" s="56">
        <v>52.0</v>
      </c>
      <c r="P540" s="56">
        <v>12.0</v>
      </c>
      <c r="Q540" s="56">
        <v>0.0</v>
      </c>
      <c r="R540" s="57">
        <v>58.0</v>
      </c>
    </row>
    <row r="541" ht="22.5" customHeight="1">
      <c r="A541" s="51">
        <v>44550.0</v>
      </c>
      <c r="B541" s="52">
        <v>44550.62511574074</v>
      </c>
      <c r="C541" s="53" t="s">
        <v>972</v>
      </c>
      <c r="D541" s="53" t="s">
        <v>1684</v>
      </c>
      <c r="E541" s="53" t="s">
        <v>80</v>
      </c>
      <c r="F541" s="53" t="s">
        <v>55</v>
      </c>
      <c r="G541" s="53" t="s">
        <v>1685</v>
      </c>
      <c r="H541" s="54" t="s">
        <v>1686</v>
      </c>
      <c r="I541" s="55">
        <v>1.0</v>
      </c>
      <c r="J541" s="55">
        <v>180.0</v>
      </c>
      <c r="K541" s="55">
        <v>187.0</v>
      </c>
      <c r="L541" s="55">
        <v>6.0</v>
      </c>
      <c r="M541" s="55">
        <v>17.0</v>
      </c>
      <c r="N541" s="55">
        <v>180.0</v>
      </c>
      <c r="O541" s="56">
        <v>52.0</v>
      </c>
      <c r="P541" s="56">
        <v>15.0</v>
      </c>
      <c r="Q541" s="56">
        <v>0.0</v>
      </c>
      <c r="R541" s="57">
        <v>7.0</v>
      </c>
    </row>
    <row r="542" ht="22.5" customHeight="1">
      <c r="A542" s="51">
        <v>44550.0</v>
      </c>
      <c r="B542" s="52">
        <v>44550.75</v>
      </c>
      <c r="C542" s="53" t="s">
        <v>972</v>
      </c>
      <c r="D542" s="53" t="s">
        <v>1687</v>
      </c>
      <c r="E542" s="53" t="s">
        <v>80</v>
      </c>
      <c r="F542" s="53" t="s">
        <v>55</v>
      </c>
      <c r="G542" s="53" t="s">
        <v>1688</v>
      </c>
      <c r="H542" s="54" t="s">
        <v>1689</v>
      </c>
      <c r="I542" s="55">
        <v>1.0</v>
      </c>
      <c r="J542" s="55">
        <v>105.0</v>
      </c>
      <c r="K542" s="55">
        <v>107.0</v>
      </c>
      <c r="L542" s="55">
        <v>1.0</v>
      </c>
      <c r="M542" s="55">
        <v>9.0</v>
      </c>
      <c r="N542" s="55">
        <v>105.0</v>
      </c>
      <c r="O542" s="56">
        <v>52.0</v>
      </c>
      <c r="P542" s="56">
        <v>18.0</v>
      </c>
      <c r="Q542" s="56">
        <v>0.0</v>
      </c>
      <c r="R542" s="57">
        <v>2.0</v>
      </c>
    </row>
    <row r="543" ht="22.5" customHeight="1">
      <c r="A543" s="51">
        <v>44550.0</v>
      </c>
      <c r="B543" s="52">
        <v>44550.83336805556</v>
      </c>
      <c r="C543" s="53" t="s">
        <v>972</v>
      </c>
      <c r="D543" s="53" t="s">
        <v>1690</v>
      </c>
      <c r="E543" s="53" t="s">
        <v>84</v>
      </c>
      <c r="F543" s="53" t="s">
        <v>50</v>
      </c>
      <c r="G543" s="53" t="s">
        <v>1691</v>
      </c>
      <c r="H543" s="54" t="s">
        <v>1692</v>
      </c>
      <c r="I543" s="55">
        <v>1.0</v>
      </c>
      <c r="J543" s="55">
        <v>75.0</v>
      </c>
      <c r="K543" s="55">
        <v>76.0</v>
      </c>
      <c r="L543" s="55">
        <v>0.0</v>
      </c>
      <c r="M543" s="55">
        <v>2.0</v>
      </c>
      <c r="N543" s="55">
        <v>75.0</v>
      </c>
      <c r="O543" s="56">
        <v>52.0</v>
      </c>
      <c r="P543" s="56">
        <v>20.0</v>
      </c>
      <c r="Q543" s="56">
        <v>0.0</v>
      </c>
      <c r="R543" s="57">
        <v>1.0</v>
      </c>
    </row>
    <row r="544" ht="22.5" customHeight="1">
      <c r="A544" s="51">
        <v>44551.0</v>
      </c>
      <c r="B544" s="52">
        <v>44551.676099537035</v>
      </c>
      <c r="C544" s="53" t="s">
        <v>972</v>
      </c>
      <c r="D544" s="53" t="s">
        <v>1693</v>
      </c>
      <c r="E544" s="53" t="s">
        <v>97</v>
      </c>
      <c r="F544" s="53" t="s">
        <v>52</v>
      </c>
      <c r="G544" s="53" t="s">
        <v>1694</v>
      </c>
      <c r="H544" s="54" t="s">
        <v>1695</v>
      </c>
      <c r="I544" s="55">
        <v>1.0</v>
      </c>
      <c r="J544" s="55">
        <v>135.0</v>
      </c>
      <c r="K544" s="55">
        <v>137.0</v>
      </c>
      <c r="L544" s="55">
        <v>0.0</v>
      </c>
      <c r="M544" s="55">
        <v>1.0</v>
      </c>
      <c r="N544" s="55">
        <v>135.0</v>
      </c>
      <c r="O544" s="56">
        <v>52.0</v>
      </c>
      <c r="P544" s="56">
        <v>16.0</v>
      </c>
      <c r="Q544" s="56">
        <v>0.0</v>
      </c>
      <c r="R544" s="57">
        <v>2.0</v>
      </c>
    </row>
    <row r="545" ht="22.5" customHeight="1">
      <c r="A545" s="51">
        <v>44552.0</v>
      </c>
      <c r="B545" s="52">
        <v>44552.7053125</v>
      </c>
      <c r="C545" s="53" t="s">
        <v>972</v>
      </c>
      <c r="D545" s="53" t="s">
        <v>1696</v>
      </c>
      <c r="E545" s="53" t="s">
        <v>97</v>
      </c>
      <c r="F545" s="53" t="s">
        <v>52</v>
      </c>
      <c r="G545" s="53" t="s">
        <v>1697</v>
      </c>
      <c r="H545" s="54" t="s">
        <v>1698</v>
      </c>
      <c r="I545" s="55">
        <v>1.0</v>
      </c>
      <c r="J545" s="55">
        <v>40.0</v>
      </c>
      <c r="K545" s="55">
        <v>41.0</v>
      </c>
      <c r="L545" s="55">
        <v>0.0</v>
      </c>
      <c r="M545" s="53"/>
      <c r="N545" s="55">
        <v>40.0</v>
      </c>
      <c r="O545" s="56">
        <v>52.0</v>
      </c>
      <c r="P545" s="56">
        <v>16.0</v>
      </c>
      <c r="Q545" s="56">
        <v>0.0</v>
      </c>
      <c r="R545" s="57">
        <v>1.0</v>
      </c>
    </row>
    <row r="546" ht="22.5" customHeight="1">
      <c r="A546" s="51">
        <v>44555.0</v>
      </c>
      <c r="B546" s="52">
        <v>44555.62501157408</v>
      </c>
      <c r="C546" s="53" t="s">
        <v>972</v>
      </c>
      <c r="D546" s="53" t="s">
        <v>1699</v>
      </c>
      <c r="E546" s="53" t="s">
        <v>84</v>
      </c>
      <c r="F546" s="53" t="s">
        <v>50</v>
      </c>
      <c r="G546" s="53" t="s">
        <v>1700</v>
      </c>
      <c r="H546" s="54" t="s">
        <v>1701</v>
      </c>
      <c r="I546" s="55">
        <v>1.0</v>
      </c>
      <c r="J546" s="55">
        <v>239.0</v>
      </c>
      <c r="K546" s="55">
        <v>249.0</v>
      </c>
      <c r="L546" s="55">
        <v>4.0</v>
      </c>
      <c r="M546" s="55">
        <v>6.0</v>
      </c>
      <c r="N546" s="55">
        <v>239.0</v>
      </c>
      <c r="O546" s="56">
        <v>52.0</v>
      </c>
      <c r="P546" s="56">
        <v>15.0</v>
      </c>
      <c r="Q546" s="56">
        <v>0.0</v>
      </c>
      <c r="R546" s="57">
        <v>10.0</v>
      </c>
    </row>
    <row r="547" ht="22.5" customHeight="1">
      <c r="A547" s="51">
        <v>44555.0</v>
      </c>
      <c r="B547" s="52">
        <v>44555.687685185185</v>
      </c>
      <c r="C547" s="53" t="s">
        <v>972</v>
      </c>
      <c r="D547" s="53" t="s">
        <v>1702</v>
      </c>
      <c r="E547" s="53" t="s">
        <v>84</v>
      </c>
      <c r="F547" s="53" t="s">
        <v>47</v>
      </c>
      <c r="G547" s="53" t="s">
        <v>1703</v>
      </c>
      <c r="H547" s="54" t="s">
        <v>1704</v>
      </c>
      <c r="I547" s="55">
        <v>1.0</v>
      </c>
      <c r="J547" s="55">
        <v>261.0</v>
      </c>
      <c r="K547" s="55">
        <v>263.0</v>
      </c>
      <c r="L547" s="55">
        <v>1.0</v>
      </c>
      <c r="M547" s="55">
        <v>2.0</v>
      </c>
      <c r="N547" s="55">
        <v>261.0</v>
      </c>
      <c r="O547" s="56">
        <v>52.0</v>
      </c>
      <c r="P547" s="56">
        <v>16.0</v>
      </c>
      <c r="Q547" s="56">
        <v>0.0</v>
      </c>
      <c r="R547" s="57">
        <v>2.0</v>
      </c>
    </row>
    <row r="548" ht="22.5" customHeight="1">
      <c r="A548" s="51">
        <v>44555.0</v>
      </c>
      <c r="B548" s="52">
        <v>44555.87501157408</v>
      </c>
      <c r="C548" s="53" t="s">
        <v>972</v>
      </c>
      <c r="D548" s="53" t="s">
        <v>1705</v>
      </c>
      <c r="E548" s="53" t="s">
        <v>80</v>
      </c>
      <c r="F548" s="53" t="s">
        <v>55</v>
      </c>
      <c r="G548" s="53" t="s">
        <v>1706</v>
      </c>
      <c r="H548" s="54" t="s">
        <v>1707</v>
      </c>
      <c r="I548" s="55">
        <v>1.0</v>
      </c>
      <c r="J548" s="55">
        <v>121.0</v>
      </c>
      <c r="K548" s="55">
        <v>129.0</v>
      </c>
      <c r="L548" s="55">
        <v>1.0</v>
      </c>
      <c r="M548" s="55">
        <v>6.0</v>
      </c>
      <c r="N548" s="55">
        <v>121.0</v>
      </c>
      <c r="O548" s="56">
        <v>52.0</v>
      </c>
      <c r="P548" s="56">
        <v>21.0</v>
      </c>
      <c r="Q548" s="56">
        <v>0.0</v>
      </c>
      <c r="R548" s="57">
        <v>8.0</v>
      </c>
    </row>
    <row r="549" ht="22.5" customHeight="1">
      <c r="O549" s="46"/>
      <c r="P549" s="46"/>
      <c r="Q549" s="59"/>
      <c r="R549" s="60"/>
    </row>
    <row r="550" ht="22.5" customHeight="1">
      <c r="O550" s="46"/>
      <c r="P550" s="46"/>
      <c r="Q550" s="59"/>
      <c r="R550" s="60"/>
    </row>
    <row r="551" ht="22.5" customHeight="1">
      <c r="O551" s="46"/>
      <c r="P551" s="46"/>
      <c r="Q551" s="59"/>
      <c r="R551" s="60"/>
    </row>
    <row r="552" ht="22.5" customHeight="1">
      <c r="O552" s="46"/>
      <c r="P552" s="46"/>
      <c r="Q552" s="59"/>
      <c r="R552" s="60"/>
    </row>
    <row r="553" ht="22.5" customHeight="1">
      <c r="O553" s="46"/>
      <c r="P553" s="46"/>
      <c r="Q553" s="59"/>
      <c r="R553" s="60"/>
    </row>
    <row r="554" ht="22.5" customHeight="1">
      <c r="O554" s="46"/>
      <c r="P554" s="46"/>
      <c r="Q554" s="59"/>
      <c r="R554" s="60"/>
    </row>
    <row r="555" ht="22.5" customHeight="1">
      <c r="O555" s="46"/>
      <c r="P555" s="46"/>
      <c r="Q555" s="59"/>
      <c r="R555" s="60"/>
    </row>
    <row r="556" ht="22.5" customHeight="1">
      <c r="O556" s="46"/>
      <c r="P556" s="46"/>
      <c r="Q556" s="59"/>
      <c r="R556" s="60"/>
    </row>
    <row r="557" ht="22.5" customHeight="1">
      <c r="O557" s="46"/>
      <c r="P557" s="46"/>
      <c r="Q557" s="59"/>
      <c r="R557" s="60"/>
    </row>
    <row r="558" ht="22.5" customHeight="1">
      <c r="O558" s="46"/>
      <c r="P558" s="46"/>
      <c r="Q558" s="59"/>
      <c r="R558" s="60"/>
    </row>
    <row r="559" ht="22.5" customHeight="1">
      <c r="O559" s="46"/>
      <c r="P559" s="46"/>
      <c r="Q559" s="59"/>
      <c r="R559" s="60"/>
    </row>
    <row r="560" ht="22.5" customHeight="1">
      <c r="O560" s="46"/>
      <c r="P560" s="46"/>
      <c r="Q560" s="59"/>
      <c r="R560" s="60"/>
    </row>
    <row r="561" ht="22.5" customHeight="1">
      <c r="O561" s="46"/>
      <c r="P561" s="46"/>
      <c r="Q561" s="59"/>
      <c r="R561" s="60"/>
    </row>
    <row r="562" ht="22.5" customHeight="1">
      <c r="O562" s="46"/>
      <c r="P562" s="46"/>
      <c r="Q562" s="59"/>
      <c r="R562" s="60"/>
    </row>
    <row r="563" ht="22.5" customHeight="1">
      <c r="O563" s="46"/>
      <c r="P563" s="46"/>
      <c r="Q563" s="59"/>
      <c r="R563" s="60"/>
    </row>
    <row r="564" ht="22.5" customHeight="1">
      <c r="O564" s="46"/>
      <c r="P564" s="46"/>
      <c r="Q564" s="59"/>
      <c r="R564" s="60"/>
    </row>
    <row r="565" ht="22.5" customHeight="1">
      <c r="O565" s="46"/>
      <c r="P565" s="46"/>
      <c r="Q565" s="59"/>
      <c r="R565" s="60"/>
    </row>
    <row r="566" ht="22.5" customHeight="1">
      <c r="O566" s="46"/>
      <c r="P566" s="46"/>
      <c r="Q566" s="59"/>
      <c r="R566" s="60"/>
    </row>
    <row r="567" ht="22.5" customHeight="1">
      <c r="O567" s="46"/>
      <c r="P567" s="46"/>
      <c r="Q567" s="59"/>
      <c r="R567" s="60"/>
    </row>
    <row r="568" ht="22.5" customHeight="1">
      <c r="O568" s="46"/>
      <c r="P568" s="46"/>
      <c r="Q568" s="59"/>
      <c r="R568" s="60"/>
    </row>
    <row r="569" ht="22.5" customHeight="1">
      <c r="O569" s="46"/>
      <c r="P569" s="46"/>
      <c r="Q569" s="59"/>
      <c r="R569" s="60"/>
    </row>
    <row r="570" ht="22.5" customHeight="1">
      <c r="O570" s="46"/>
      <c r="P570" s="46"/>
      <c r="Q570" s="59"/>
      <c r="R570" s="60"/>
    </row>
    <row r="571" ht="22.5" customHeight="1">
      <c r="O571" s="46"/>
      <c r="P571" s="46"/>
      <c r="Q571" s="59"/>
      <c r="R571" s="60"/>
    </row>
    <row r="572" ht="22.5" customHeight="1">
      <c r="O572" s="46"/>
      <c r="P572" s="46"/>
      <c r="Q572" s="59"/>
      <c r="R572" s="60"/>
    </row>
    <row r="573" ht="22.5" customHeight="1">
      <c r="O573" s="46"/>
      <c r="P573" s="46"/>
      <c r="Q573" s="59"/>
      <c r="R573" s="60"/>
    </row>
    <row r="574" ht="22.5" customHeight="1">
      <c r="O574" s="46"/>
      <c r="P574" s="46"/>
      <c r="Q574" s="59"/>
      <c r="R574" s="60"/>
    </row>
    <row r="575" ht="22.5" customHeight="1">
      <c r="O575" s="46"/>
      <c r="P575" s="46"/>
      <c r="Q575" s="59"/>
      <c r="R575" s="60"/>
    </row>
    <row r="576" ht="22.5" customHeight="1">
      <c r="O576" s="46"/>
      <c r="P576" s="46"/>
      <c r="Q576" s="59"/>
      <c r="R576" s="60"/>
    </row>
    <row r="577" ht="22.5" customHeight="1">
      <c r="O577" s="46"/>
      <c r="P577" s="46"/>
      <c r="Q577" s="59"/>
      <c r="R577" s="60"/>
    </row>
    <row r="578" ht="22.5" customHeight="1">
      <c r="O578" s="46"/>
      <c r="P578" s="46"/>
      <c r="Q578" s="59"/>
      <c r="R578" s="60"/>
    </row>
    <row r="579" ht="22.5" customHeight="1">
      <c r="O579" s="46"/>
      <c r="P579" s="46"/>
      <c r="Q579" s="59"/>
      <c r="R579" s="60"/>
    </row>
    <row r="580" ht="22.5" customHeight="1">
      <c r="O580" s="46"/>
      <c r="P580" s="46"/>
      <c r="Q580" s="59"/>
      <c r="R580" s="60"/>
    </row>
    <row r="581" ht="22.5" customHeight="1">
      <c r="O581" s="46"/>
      <c r="P581" s="46"/>
      <c r="Q581" s="59"/>
      <c r="R581" s="60"/>
    </row>
    <row r="582" ht="22.5" customHeight="1">
      <c r="O582" s="46"/>
      <c r="P582" s="46"/>
      <c r="Q582" s="59"/>
      <c r="R582" s="60"/>
    </row>
    <row r="583" ht="22.5" customHeight="1">
      <c r="O583" s="46"/>
      <c r="P583" s="46"/>
      <c r="Q583" s="59"/>
      <c r="R583" s="60"/>
    </row>
    <row r="584" ht="22.5" customHeight="1">
      <c r="O584" s="46"/>
      <c r="P584" s="46"/>
      <c r="Q584" s="59"/>
      <c r="R584" s="60"/>
    </row>
    <row r="585" ht="22.5" customHeight="1">
      <c r="O585" s="46"/>
      <c r="P585" s="46"/>
      <c r="Q585" s="59"/>
      <c r="R585" s="60"/>
    </row>
    <row r="586" ht="22.5" customHeight="1">
      <c r="O586" s="46"/>
      <c r="P586" s="46"/>
      <c r="Q586" s="59"/>
      <c r="R586" s="60"/>
    </row>
    <row r="587" ht="22.5" customHeight="1">
      <c r="O587" s="46"/>
      <c r="P587" s="46"/>
      <c r="Q587" s="59"/>
      <c r="R587" s="60"/>
    </row>
    <row r="588" ht="22.5" customHeight="1">
      <c r="O588" s="46"/>
      <c r="P588" s="46"/>
      <c r="Q588" s="59"/>
      <c r="R588" s="60"/>
    </row>
    <row r="589" ht="22.5" customHeight="1">
      <c r="O589" s="46"/>
      <c r="P589" s="46"/>
      <c r="Q589" s="59"/>
      <c r="R589" s="60"/>
    </row>
    <row r="590" ht="22.5" customHeight="1">
      <c r="O590" s="46"/>
      <c r="P590" s="46"/>
      <c r="Q590" s="59"/>
      <c r="R590" s="60"/>
    </row>
    <row r="591" ht="22.5" customHeight="1">
      <c r="O591" s="46"/>
      <c r="P591" s="46"/>
      <c r="Q591" s="59"/>
      <c r="R591" s="60"/>
    </row>
    <row r="592" ht="22.5" customHeight="1">
      <c r="O592" s="46"/>
      <c r="P592" s="46"/>
      <c r="Q592" s="59"/>
      <c r="R592" s="60"/>
    </row>
    <row r="593" ht="22.5" customHeight="1">
      <c r="O593" s="46"/>
      <c r="P593" s="46"/>
      <c r="Q593" s="59"/>
      <c r="R593" s="60"/>
    </row>
    <row r="594" ht="22.5" customHeight="1">
      <c r="O594" s="46"/>
      <c r="P594" s="46"/>
      <c r="Q594" s="59"/>
      <c r="R594" s="60"/>
    </row>
    <row r="595" ht="22.5" customHeight="1">
      <c r="O595" s="46"/>
      <c r="P595" s="46"/>
      <c r="Q595" s="59"/>
      <c r="R595" s="60"/>
    </row>
    <row r="596" ht="22.5" customHeight="1">
      <c r="O596" s="46"/>
      <c r="P596" s="46"/>
      <c r="Q596" s="59"/>
      <c r="R596" s="60"/>
    </row>
    <row r="597" ht="22.5" customHeight="1">
      <c r="O597" s="46"/>
      <c r="P597" s="46"/>
      <c r="Q597" s="59"/>
      <c r="R597" s="60"/>
    </row>
    <row r="598" ht="22.5" customHeight="1">
      <c r="O598" s="46"/>
      <c r="P598" s="46"/>
      <c r="Q598" s="59"/>
      <c r="R598" s="60"/>
    </row>
    <row r="599" ht="22.5" customHeight="1">
      <c r="O599" s="46"/>
      <c r="P599" s="46"/>
      <c r="Q599" s="59"/>
      <c r="R599" s="60"/>
    </row>
    <row r="600" ht="22.5" customHeight="1">
      <c r="O600" s="46"/>
      <c r="P600" s="46"/>
      <c r="Q600" s="59"/>
      <c r="R600" s="60"/>
    </row>
    <row r="601" ht="22.5" customHeight="1">
      <c r="O601" s="46"/>
      <c r="P601" s="46"/>
      <c r="Q601" s="59"/>
      <c r="R601" s="60"/>
    </row>
    <row r="602" ht="22.5" customHeight="1">
      <c r="O602" s="46"/>
      <c r="P602" s="46"/>
      <c r="Q602" s="59"/>
      <c r="R602" s="60"/>
    </row>
    <row r="603" ht="22.5" customHeight="1">
      <c r="O603" s="46"/>
      <c r="P603" s="46"/>
      <c r="Q603" s="59"/>
      <c r="R603" s="60"/>
    </row>
    <row r="604" ht="22.5" customHeight="1">
      <c r="O604" s="46"/>
      <c r="P604" s="46"/>
      <c r="Q604" s="59"/>
      <c r="R604" s="60"/>
    </row>
    <row r="605" ht="22.5" customHeight="1">
      <c r="O605" s="46"/>
      <c r="P605" s="46"/>
      <c r="Q605" s="59"/>
      <c r="R605" s="60"/>
    </row>
    <row r="606" ht="22.5" customHeight="1">
      <c r="O606" s="46"/>
      <c r="P606" s="46"/>
      <c r="Q606" s="59"/>
      <c r="R606" s="60"/>
    </row>
    <row r="607" ht="22.5" customHeight="1">
      <c r="O607" s="46"/>
      <c r="P607" s="46"/>
      <c r="Q607" s="59"/>
      <c r="R607" s="60"/>
    </row>
    <row r="608" ht="22.5" customHeight="1">
      <c r="O608" s="46"/>
      <c r="P608" s="46"/>
      <c r="Q608" s="59"/>
      <c r="R608" s="60"/>
    </row>
    <row r="609" ht="22.5" customHeight="1">
      <c r="O609" s="46"/>
      <c r="P609" s="46"/>
      <c r="Q609" s="59"/>
      <c r="R609" s="60"/>
    </row>
    <row r="610" ht="22.5" customHeight="1">
      <c r="O610" s="46"/>
      <c r="P610" s="46"/>
      <c r="Q610" s="59"/>
      <c r="R610" s="60"/>
    </row>
    <row r="611" ht="22.5" customHeight="1">
      <c r="O611" s="46"/>
      <c r="P611" s="46"/>
      <c r="Q611" s="59"/>
      <c r="R611" s="60"/>
    </row>
    <row r="612" ht="22.5" customHeight="1">
      <c r="O612" s="46"/>
      <c r="P612" s="46"/>
      <c r="Q612" s="59"/>
      <c r="R612" s="60"/>
    </row>
    <row r="613" ht="22.5" customHeight="1">
      <c r="O613" s="46"/>
      <c r="P613" s="46"/>
      <c r="Q613" s="59"/>
      <c r="R613" s="60"/>
    </row>
    <row r="614" ht="22.5" customHeight="1">
      <c r="O614" s="46"/>
      <c r="P614" s="46"/>
      <c r="Q614" s="59"/>
      <c r="R614" s="60"/>
    </row>
    <row r="615" ht="22.5" customHeight="1">
      <c r="O615" s="46"/>
      <c r="P615" s="46"/>
      <c r="Q615" s="59"/>
      <c r="R615" s="60"/>
    </row>
    <row r="616" ht="22.5" customHeight="1">
      <c r="O616" s="46"/>
      <c r="P616" s="46"/>
      <c r="Q616" s="59"/>
      <c r="R616" s="60"/>
    </row>
    <row r="617" ht="22.5" customHeight="1">
      <c r="O617" s="46"/>
      <c r="P617" s="46"/>
      <c r="Q617" s="59"/>
      <c r="R617" s="60"/>
    </row>
    <row r="618" ht="22.5" customHeight="1">
      <c r="O618" s="46"/>
      <c r="P618" s="46"/>
      <c r="Q618" s="59"/>
      <c r="R618" s="60"/>
    </row>
    <row r="619" ht="22.5" customHeight="1">
      <c r="O619" s="46"/>
      <c r="P619" s="46"/>
      <c r="Q619" s="59"/>
      <c r="R619" s="60"/>
    </row>
    <row r="620" ht="22.5" customHeight="1">
      <c r="O620" s="46"/>
      <c r="P620" s="46"/>
      <c r="Q620" s="59"/>
      <c r="R620" s="60"/>
    </row>
    <row r="621" ht="22.5" customHeight="1">
      <c r="O621" s="46"/>
      <c r="P621" s="46"/>
      <c r="Q621" s="59"/>
      <c r="R621" s="60"/>
    </row>
    <row r="622" ht="22.5" customHeight="1">
      <c r="O622" s="46"/>
      <c r="P622" s="46"/>
      <c r="Q622" s="59"/>
      <c r="R622" s="60"/>
    </row>
    <row r="623" ht="22.5" customHeight="1">
      <c r="O623" s="46"/>
      <c r="P623" s="46"/>
      <c r="Q623" s="59"/>
      <c r="R623" s="60"/>
    </row>
    <row r="624" ht="22.5" customHeight="1">
      <c r="O624" s="46"/>
      <c r="P624" s="46"/>
      <c r="Q624" s="59"/>
      <c r="R624" s="60"/>
    </row>
    <row r="625" ht="22.5" customHeight="1">
      <c r="O625" s="46"/>
      <c r="P625" s="46"/>
      <c r="Q625" s="59"/>
      <c r="R625" s="60"/>
    </row>
    <row r="626" ht="22.5" customHeight="1">
      <c r="O626" s="46"/>
      <c r="P626" s="46"/>
      <c r="Q626" s="59"/>
      <c r="R626" s="60"/>
    </row>
    <row r="627" ht="22.5" customHeight="1">
      <c r="O627" s="46"/>
      <c r="P627" s="46"/>
      <c r="Q627" s="59"/>
      <c r="R627" s="60"/>
    </row>
    <row r="628" ht="22.5" customHeight="1">
      <c r="O628" s="46"/>
      <c r="P628" s="46"/>
      <c r="Q628" s="59"/>
      <c r="R628" s="60"/>
    </row>
    <row r="629" ht="22.5" customHeight="1">
      <c r="O629" s="46"/>
      <c r="P629" s="46"/>
      <c r="Q629" s="59"/>
      <c r="R629" s="60"/>
    </row>
    <row r="630" ht="22.5" customHeight="1">
      <c r="O630" s="46"/>
      <c r="P630" s="46"/>
      <c r="Q630" s="59"/>
      <c r="R630" s="60"/>
    </row>
    <row r="631" ht="22.5" customHeight="1">
      <c r="O631" s="46"/>
      <c r="P631" s="46"/>
      <c r="Q631" s="59"/>
      <c r="R631" s="60"/>
    </row>
    <row r="632" ht="22.5" customHeight="1">
      <c r="O632" s="46"/>
      <c r="P632" s="46"/>
      <c r="Q632" s="59"/>
      <c r="R632" s="60"/>
    </row>
    <row r="633" ht="22.5" customHeight="1">
      <c r="O633" s="46"/>
      <c r="P633" s="46"/>
      <c r="Q633" s="59"/>
      <c r="R633" s="60"/>
    </row>
    <row r="634" ht="22.5" customHeight="1">
      <c r="O634" s="46"/>
      <c r="P634" s="46"/>
      <c r="Q634" s="59"/>
      <c r="R634" s="60"/>
    </row>
    <row r="635" ht="22.5" customHeight="1">
      <c r="O635" s="46"/>
      <c r="P635" s="46"/>
      <c r="Q635" s="59"/>
      <c r="R635" s="60"/>
    </row>
    <row r="636" ht="22.5" customHeight="1">
      <c r="O636" s="46"/>
      <c r="P636" s="46"/>
      <c r="Q636" s="59"/>
      <c r="R636" s="60"/>
    </row>
    <row r="637" ht="22.5" customHeight="1">
      <c r="O637" s="46"/>
      <c r="P637" s="46"/>
      <c r="Q637" s="59"/>
      <c r="R637" s="60"/>
    </row>
    <row r="638" ht="22.5" customHeight="1">
      <c r="O638" s="46"/>
      <c r="P638" s="46"/>
      <c r="Q638" s="59"/>
      <c r="R638" s="60"/>
    </row>
    <row r="639" ht="22.5" customHeight="1">
      <c r="O639" s="46"/>
      <c r="P639" s="46"/>
      <c r="Q639" s="59"/>
      <c r="R639" s="60"/>
    </row>
    <row r="640" ht="22.5" customHeight="1">
      <c r="O640" s="46"/>
      <c r="P640" s="46"/>
      <c r="Q640" s="59"/>
      <c r="R640" s="60"/>
    </row>
    <row r="641" ht="22.5" customHeight="1">
      <c r="O641" s="46"/>
      <c r="P641" s="46"/>
      <c r="Q641" s="59"/>
      <c r="R641" s="60"/>
    </row>
    <row r="642" ht="22.5" customHeight="1">
      <c r="O642" s="46"/>
      <c r="P642" s="46"/>
      <c r="Q642" s="59"/>
      <c r="R642" s="60"/>
    </row>
    <row r="643" ht="22.5" customHeight="1">
      <c r="O643" s="46"/>
      <c r="P643" s="46"/>
      <c r="Q643" s="59"/>
      <c r="R643" s="60"/>
    </row>
    <row r="644" ht="22.5" customHeight="1">
      <c r="O644" s="46"/>
      <c r="P644" s="46"/>
      <c r="Q644" s="59"/>
      <c r="R644" s="60"/>
    </row>
    <row r="645" ht="22.5" customHeight="1">
      <c r="O645" s="46"/>
      <c r="P645" s="46"/>
      <c r="Q645" s="59"/>
      <c r="R645" s="60"/>
    </row>
    <row r="646" ht="22.5" customHeight="1">
      <c r="O646" s="46"/>
      <c r="P646" s="46"/>
      <c r="Q646" s="59"/>
      <c r="R646" s="60"/>
    </row>
    <row r="647" ht="22.5" customHeight="1">
      <c r="O647" s="46"/>
      <c r="P647" s="46"/>
      <c r="Q647" s="59"/>
      <c r="R647" s="60"/>
    </row>
    <row r="648" ht="22.5" customHeight="1">
      <c r="O648" s="46"/>
      <c r="P648" s="46"/>
      <c r="Q648" s="59"/>
      <c r="R648" s="60"/>
    </row>
    <row r="649" ht="22.5" customHeight="1">
      <c r="O649" s="46"/>
      <c r="P649" s="46"/>
      <c r="Q649" s="59"/>
      <c r="R649" s="60"/>
    </row>
    <row r="650" ht="22.5" customHeight="1">
      <c r="O650" s="46"/>
      <c r="P650" s="46"/>
      <c r="Q650" s="59"/>
      <c r="R650" s="60"/>
    </row>
    <row r="651" ht="22.5" customHeight="1">
      <c r="O651" s="46"/>
      <c r="P651" s="46"/>
      <c r="Q651" s="59"/>
      <c r="R651" s="60"/>
    </row>
    <row r="652" ht="22.5" customHeight="1">
      <c r="O652" s="46"/>
      <c r="P652" s="46"/>
      <c r="Q652" s="59"/>
      <c r="R652" s="60"/>
    </row>
    <row r="653" ht="22.5" customHeight="1">
      <c r="O653" s="46"/>
      <c r="P653" s="46"/>
      <c r="Q653" s="59"/>
      <c r="R653" s="60"/>
    </row>
    <row r="654" ht="22.5" customHeight="1">
      <c r="O654" s="46"/>
      <c r="P654" s="46"/>
      <c r="Q654" s="59"/>
      <c r="R654" s="60"/>
    </row>
    <row r="655" ht="22.5" customHeight="1">
      <c r="O655" s="46"/>
      <c r="P655" s="46"/>
      <c r="Q655" s="59"/>
      <c r="R655" s="60"/>
    </row>
    <row r="656" ht="22.5" customHeight="1">
      <c r="O656" s="46"/>
      <c r="P656" s="46"/>
      <c r="Q656" s="59"/>
      <c r="R656" s="60"/>
    </row>
    <row r="657" ht="22.5" customHeight="1">
      <c r="O657" s="46"/>
      <c r="P657" s="46"/>
      <c r="Q657" s="59"/>
      <c r="R657" s="60"/>
    </row>
    <row r="658" ht="22.5" customHeight="1">
      <c r="O658" s="46"/>
      <c r="P658" s="46"/>
      <c r="Q658" s="59"/>
      <c r="R658" s="60"/>
    </row>
    <row r="659" ht="22.5" customHeight="1">
      <c r="O659" s="46"/>
      <c r="P659" s="46"/>
      <c r="Q659" s="59"/>
      <c r="R659" s="60"/>
    </row>
    <row r="660" ht="22.5" customHeight="1">
      <c r="O660" s="46"/>
      <c r="P660" s="46"/>
      <c r="Q660" s="59"/>
      <c r="R660" s="60"/>
    </row>
    <row r="661" ht="22.5" customHeight="1">
      <c r="O661" s="46"/>
      <c r="P661" s="46"/>
      <c r="Q661" s="59"/>
      <c r="R661" s="60"/>
    </row>
    <row r="662" ht="22.5" customHeight="1">
      <c r="O662" s="46"/>
      <c r="P662" s="46"/>
      <c r="Q662" s="59"/>
      <c r="R662" s="60"/>
    </row>
    <row r="663" ht="22.5" customHeight="1">
      <c r="O663" s="46"/>
      <c r="P663" s="46"/>
      <c r="Q663" s="59"/>
      <c r="R663" s="60"/>
    </row>
    <row r="664" ht="22.5" customHeight="1">
      <c r="O664" s="46"/>
      <c r="P664" s="46"/>
      <c r="Q664" s="59"/>
      <c r="R664" s="60"/>
    </row>
    <row r="665" ht="22.5" customHeight="1">
      <c r="O665" s="46"/>
      <c r="P665" s="46"/>
      <c r="Q665" s="59"/>
      <c r="R665" s="60"/>
    </row>
    <row r="666" ht="22.5" customHeight="1">
      <c r="O666" s="46"/>
      <c r="P666" s="46"/>
      <c r="Q666" s="59"/>
      <c r="R666" s="60"/>
    </row>
    <row r="667" ht="22.5" customHeight="1">
      <c r="O667" s="46"/>
      <c r="P667" s="46"/>
      <c r="Q667" s="59"/>
      <c r="R667" s="60"/>
    </row>
    <row r="668" ht="22.5" customHeight="1">
      <c r="O668" s="46"/>
      <c r="P668" s="46"/>
      <c r="Q668" s="59"/>
      <c r="R668" s="60"/>
    </row>
    <row r="669" ht="22.5" customHeight="1">
      <c r="O669" s="46"/>
      <c r="P669" s="46"/>
      <c r="Q669" s="59"/>
      <c r="R669" s="60"/>
    </row>
    <row r="670" ht="22.5" customHeight="1">
      <c r="O670" s="46"/>
      <c r="P670" s="46"/>
      <c r="Q670" s="59"/>
      <c r="R670" s="60"/>
    </row>
    <row r="671" ht="22.5" customHeight="1">
      <c r="O671" s="46"/>
      <c r="P671" s="46"/>
      <c r="Q671" s="59"/>
      <c r="R671" s="60"/>
    </row>
    <row r="672" ht="22.5" customHeight="1">
      <c r="O672" s="46"/>
      <c r="P672" s="46"/>
      <c r="Q672" s="59"/>
      <c r="R672" s="60"/>
    </row>
    <row r="673" ht="22.5" customHeight="1">
      <c r="O673" s="46"/>
      <c r="P673" s="46"/>
      <c r="Q673" s="59"/>
      <c r="R673" s="60"/>
    </row>
    <row r="674" ht="22.5" customHeight="1">
      <c r="O674" s="46"/>
      <c r="P674" s="46"/>
      <c r="Q674" s="59"/>
      <c r="R674" s="60"/>
    </row>
    <row r="675" ht="22.5" customHeight="1">
      <c r="O675" s="46"/>
      <c r="P675" s="46"/>
      <c r="Q675" s="59"/>
      <c r="R675" s="60"/>
    </row>
    <row r="676" ht="22.5" customHeight="1">
      <c r="O676" s="46"/>
      <c r="P676" s="46"/>
      <c r="Q676" s="59"/>
      <c r="R676" s="60"/>
    </row>
    <row r="677" ht="22.5" customHeight="1">
      <c r="O677" s="46"/>
      <c r="P677" s="46"/>
      <c r="Q677" s="59"/>
      <c r="R677" s="60"/>
    </row>
    <row r="678" ht="22.5" customHeight="1">
      <c r="O678" s="46"/>
      <c r="P678" s="46"/>
      <c r="Q678" s="59"/>
      <c r="R678" s="60"/>
    </row>
    <row r="679" ht="22.5" customHeight="1">
      <c r="O679" s="46"/>
      <c r="P679" s="46"/>
      <c r="Q679" s="59"/>
      <c r="R679" s="60"/>
    </row>
    <row r="680" ht="22.5" customHeight="1">
      <c r="O680" s="46"/>
      <c r="P680" s="46"/>
      <c r="Q680" s="59"/>
      <c r="R680" s="60"/>
    </row>
    <row r="681" ht="22.5" customHeight="1">
      <c r="O681" s="46"/>
      <c r="P681" s="46"/>
      <c r="Q681" s="59"/>
      <c r="R681" s="60"/>
    </row>
    <row r="682" ht="22.5" customHeight="1">
      <c r="O682" s="46"/>
      <c r="P682" s="46"/>
      <c r="Q682" s="59"/>
      <c r="R682" s="60"/>
    </row>
    <row r="683" ht="22.5" customHeight="1">
      <c r="O683" s="46"/>
      <c r="P683" s="46"/>
      <c r="Q683" s="59"/>
      <c r="R683" s="60"/>
    </row>
    <row r="684" ht="22.5" customHeight="1">
      <c r="O684" s="46"/>
      <c r="P684" s="46"/>
      <c r="Q684" s="59"/>
      <c r="R684" s="60"/>
    </row>
    <row r="685" ht="22.5" customHeight="1">
      <c r="O685" s="46"/>
      <c r="P685" s="46"/>
      <c r="Q685" s="59"/>
      <c r="R685" s="60"/>
    </row>
    <row r="686" ht="22.5" customHeight="1">
      <c r="O686" s="46"/>
      <c r="P686" s="46"/>
      <c r="Q686" s="59"/>
      <c r="R686" s="60"/>
    </row>
    <row r="687" ht="22.5" customHeight="1">
      <c r="O687" s="46"/>
      <c r="P687" s="46"/>
      <c r="Q687" s="59"/>
      <c r="R687" s="60"/>
    </row>
    <row r="688" ht="22.5" customHeight="1">
      <c r="O688" s="46"/>
      <c r="P688" s="46"/>
      <c r="Q688" s="59"/>
      <c r="R688" s="60"/>
    </row>
    <row r="689" ht="22.5" customHeight="1">
      <c r="O689" s="46"/>
      <c r="P689" s="46"/>
      <c r="Q689" s="59"/>
      <c r="R689" s="60"/>
    </row>
    <row r="690" ht="22.5" customHeight="1">
      <c r="O690" s="46"/>
      <c r="P690" s="46"/>
      <c r="Q690" s="59"/>
      <c r="R690" s="60"/>
    </row>
    <row r="691" ht="22.5" customHeight="1">
      <c r="O691" s="46"/>
      <c r="P691" s="46"/>
      <c r="Q691" s="59"/>
      <c r="R691" s="60"/>
    </row>
    <row r="692" ht="22.5" customHeight="1">
      <c r="O692" s="46"/>
      <c r="P692" s="46"/>
      <c r="Q692" s="59"/>
      <c r="R692" s="60"/>
    </row>
    <row r="693" ht="22.5" customHeight="1">
      <c r="O693" s="46"/>
      <c r="P693" s="46"/>
      <c r="Q693" s="59"/>
      <c r="R693" s="60"/>
    </row>
    <row r="694" ht="22.5" customHeight="1">
      <c r="O694" s="46"/>
      <c r="P694" s="46"/>
      <c r="Q694" s="59"/>
      <c r="R694" s="60"/>
    </row>
    <row r="695" ht="22.5" customHeight="1">
      <c r="O695" s="46"/>
      <c r="P695" s="46"/>
      <c r="Q695" s="59"/>
      <c r="R695" s="60"/>
    </row>
    <row r="696" ht="22.5" customHeight="1">
      <c r="O696" s="46"/>
      <c r="P696" s="46"/>
      <c r="Q696" s="59"/>
      <c r="R696" s="60"/>
    </row>
    <row r="697" ht="22.5" customHeight="1">
      <c r="O697" s="46"/>
      <c r="P697" s="46"/>
      <c r="Q697" s="59"/>
      <c r="R697" s="60"/>
    </row>
    <row r="698" ht="22.5" customHeight="1">
      <c r="O698" s="46"/>
      <c r="P698" s="46"/>
      <c r="Q698" s="59"/>
      <c r="R698" s="60"/>
    </row>
    <row r="699" ht="22.5" customHeight="1">
      <c r="O699" s="46"/>
      <c r="P699" s="46"/>
      <c r="Q699" s="59"/>
      <c r="R699" s="60"/>
    </row>
    <row r="700" ht="22.5" customHeight="1">
      <c r="O700" s="46"/>
      <c r="P700" s="46"/>
      <c r="Q700" s="59"/>
      <c r="R700" s="60"/>
    </row>
    <row r="701" ht="22.5" customHeight="1">
      <c r="O701" s="46"/>
      <c r="P701" s="46"/>
      <c r="Q701" s="59"/>
      <c r="R701" s="60"/>
    </row>
    <row r="702" ht="22.5" customHeight="1">
      <c r="O702" s="46"/>
      <c r="P702" s="46"/>
      <c r="Q702" s="59"/>
      <c r="R702" s="60"/>
    </row>
    <row r="703" ht="22.5" customHeight="1">
      <c r="O703" s="46"/>
      <c r="P703" s="46"/>
      <c r="Q703" s="59"/>
      <c r="R703" s="60"/>
    </row>
    <row r="704" ht="22.5" customHeight="1">
      <c r="O704" s="46"/>
      <c r="P704" s="46"/>
      <c r="Q704" s="59"/>
      <c r="R704" s="60"/>
    </row>
    <row r="705" ht="22.5" customHeight="1">
      <c r="O705" s="46"/>
      <c r="P705" s="46"/>
      <c r="Q705" s="59"/>
      <c r="R705" s="60"/>
    </row>
    <row r="706" ht="22.5" customHeight="1">
      <c r="O706" s="46"/>
      <c r="P706" s="46"/>
      <c r="Q706" s="59"/>
      <c r="R706" s="60"/>
    </row>
    <row r="707" ht="22.5" customHeight="1">
      <c r="O707" s="46"/>
      <c r="P707" s="46"/>
      <c r="Q707" s="59"/>
      <c r="R707" s="60"/>
    </row>
    <row r="708" ht="22.5" customHeight="1">
      <c r="O708" s="46"/>
      <c r="P708" s="46"/>
      <c r="Q708" s="59"/>
      <c r="R708" s="60"/>
    </row>
    <row r="709" ht="22.5" customHeight="1">
      <c r="O709" s="46"/>
      <c r="P709" s="46"/>
      <c r="Q709" s="59"/>
      <c r="R709" s="60"/>
    </row>
    <row r="710" ht="22.5" customHeight="1">
      <c r="O710" s="46"/>
      <c r="P710" s="46"/>
      <c r="Q710" s="59"/>
      <c r="R710" s="60"/>
    </row>
    <row r="711" ht="22.5" customHeight="1">
      <c r="O711" s="46"/>
      <c r="P711" s="46"/>
      <c r="Q711" s="59"/>
      <c r="R711" s="60"/>
    </row>
    <row r="712" ht="22.5" customHeight="1">
      <c r="O712" s="46"/>
      <c r="P712" s="46"/>
      <c r="Q712" s="59"/>
      <c r="R712" s="60"/>
    </row>
    <row r="713" ht="22.5" customHeight="1">
      <c r="O713" s="46"/>
      <c r="P713" s="46"/>
      <c r="Q713" s="59"/>
      <c r="R713" s="60"/>
    </row>
    <row r="714" ht="22.5" customHeight="1">
      <c r="O714" s="46"/>
      <c r="P714" s="46"/>
      <c r="Q714" s="59"/>
      <c r="R714" s="60"/>
    </row>
    <row r="715" ht="22.5" customHeight="1">
      <c r="O715" s="46"/>
      <c r="P715" s="46"/>
      <c r="Q715" s="59"/>
      <c r="R715" s="60"/>
    </row>
    <row r="716" ht="22.5" customHeight="1">
      <c r="O716" s="46"/>
      <c r="P716" s="46"/>
      <c r="Q716" s="59"/>
      <c r="R716" s="60"/>
    </row>
    <row r="717" ht="22.5" customHeight="1">
      <c r="O717" s="46"/>
      <c r="P717" s="46"/>
      <c r="Q717" s="59"/>
      <c r="R717" s="60"/>
    </row>
    <row r="718" ht="22.5" customHeight="1">
      <c r="O718" s="46"/>
      <c r="P718" s="46"/>
      <c r="Q718" s="59"/>
      <c r="R718" s="60"/>
    </row>
    <row r="719" ht="22.5" customHeight="1">
      <c r="O719" s="46"/>
      <c r="P719" s="46"/>
      <c r="Q719" s="59"/>
      <c r="R719" s="60"/>
    </row>
    <row r="720" ht="22.5" customHeight="1">
      <c r="O720" s="46"/>
      <c r="P720" s="46"/>
      <c r="Q720" s="59"/>
      <c r="R720" s="60"/>
    </row>
    <row r="721" ht="22.5" customHeight="1">
      <c r="O721" s="46"/>
      <c r="P721" s="46"/>
      <c r="Q721" s="59"/>
      <c r="R721" s="60"/>
    </row>
    <row r="722" ht="22.5" customHeight="1">
      <c r="O722" s="46"/>
      <c r="P722" s="46"/>
      <c r="Q722" s="59"/>
      <c r="R722" s="60"/>
    </row>
    <row r="723" ht="22.5" customHeight="1">
      <c r="O723" s="46"/>
      <c r="P723" s="46"/>
      <c r="Q723" s="59"/>
      <c r="R723" s="60"/>
    </row>
    <row r="724" ht="22.5" customHeight="1">
      <c r="O724" s="46"/>
      <c r="P724" s="46"/>
      <c r="Q724" s="59"/>
      <c r="R724" s="60"/>
    </row>
    <row r="725" ht="22.5" customHeight="1">
      <c r="O725" s="46"/>
      <c r="P725" s="46"/>
      <c r="Q725" s="59"/>
      <c r="R725" s="60"/>
    </row>
    <row r="726" ht="22.5" customHeight="1">
      <c r="O726" s="46"/>
      <c r="P726" s="46"/>
      <c r="Q726" s="59"/>
      <c r="R726" s="60"/>
    </row>
    <row r="727" ht="22.5" customHeight="1">
      <c r="O727" s="46"/>
      <c r="P727" s="46"/>
      <c r="Q727" s="59"/>
      <c r="R727" s="60"/>
    </row>
    <row r="728" ht="22.5" customHeight="1">
      <c r="O728" s="46"/>
      <c r="P728" s="46"/>
      <c r="Q728" s="59"/>
      <c r="R728" s="60"/>
    </row>
    <row r="729" ht="22.5" customHeight="1">
      <c r="O729" s="46"/>
      <c r="P729" s="46"/>
      <c r="Q729" s="59"/>
      <c r="R729" s="60"/>
    </row>
    <row r="730" ht="22.5" customHeight="1">
      <c r="O730" s="46"/>
      <c r="P730" s="46"/>
      <c r="Q730" s="59"/>
      <c r="R730" s="60"/>
    </row>
    <row r="731" ht="22.5" customHeight="1">
      <c r="O731" s="46"/>
      <c r="P731" s="46"/>
      <c r="Q731" s="59"/>
      <c r="R731" s="60"/>
    </row>
    <row r="732" ht="22.5" customHeight="1">
      <c r="O732" s="46"/>
      <c r="P732" s="46"/>
      <c r="Q732" s="59"/>
      <c r="R732" s="60"/>
    </row>
    <row r="733" ht="22.5" customHeight="1">
      <c r="O733" s="46"/>
      <c r="P733" s="46"/>
      <c r="Q733" s="59"/>
      <c r="R733" s="60"/>
    </row>
    <row r="734" ht="22.5" customHeight="1">
      <c r="O734" s="46"/>
      <c r="P734" s="46"/>
      <c r="Q734" s="59"/>
      <c r="R734" s="60"/>
    </row>
    <row r="735" ht="22.5" customHeight="1">
      <c r="O735" s="46"/>
      <c r="P735" s="46"/>
      <c r="Q735" s="59"/>
      <c r="R735" s="60"/>
    </row>
    <row r="736" ht="22.5" customHeight="1">
      <c r="O736" s="46"/>
      <c r="P736" s="46"/>
      <c r="Q736" s="59"/>
      <c r="R736" s="60"/>
    </row>
    <row r="737" ht="22.5" customHeight="1">
      <c r="O737" s="46"/>
      <c r="P737" s="46"/>
      <c r="Q737" s="59"/>
      <c r="R737" s="60"/>
    </row>
    <row r="738" ht="22.5" customHeight="1">
      <c r="O738" s="46"/>
      <c r="P738" s="46"/>
      <c r="Q738" s="59"/>
      <c r="R738" s="60"/>
    </row>
    <row r="739" ht="22.5" customHeight="1">
      <c r="O739" s="46"/>
      <c r="P739" s="46"/>
      <c r="Q739" s="59"/>
      <c r="R739" s="60"/>
    </row>
    <row r="740" ht="22.5" customHeight="1">
      <c r="O740" s="46"/>
      <c r="P740" s="46"/>
      <c r="Q740" s="59"/>
      <c r="R740" s="60"/>
    </row>
    <row r="741" ht="22.5" customHeight="1">
      <c r="O741" s="46"/>
      <c r="P741" s="46"/>
      <c r="Q741" s="59"/>
      <c r="R741" s="60"/>
    </row>
    <row r="742" ht="22.5" customHeight="1">
      <c r="O742" s="46"/>
      <c r="P742" s="46"/>
      <c r="Q742" s="59"/>
      <c r="R742" s="60"/>
    </row>
    <row r="743" ht="22.5" customHeight="1">
      <c r="O743" s="46"/>
      <c r="P743" s="46"/>
      <c r="Q743" s="59"/>
      <c r="R743" s="60"/>
    </row>
    <row r="744" ht="22.5" customHeight="1">
      <c r="O744" s="46"/>
      <c r="P744" s="46"/>
      <c r="Q744" s="59"/>
      <c r="R744" s="60"/>
    </row>
    <row r="745" ht="22.5" customHeight="1">
      <c r="O745" s="46"/>
      <c r="P745" s="46"/>
      <c r="Q745" s="59"/>
      <c r="R745" s="60"/>
    </row>
    <row r="746" ht="22.5" customHeight="1">
      <c r="O746" s="46"/>
      <c r="P746" s="46"/>
      <c r="Q746" s="59"/>
      <c r="R746" s="60"/>
    </row>
    <row r="747" ht="22.5" customHeight="1">
      <c r="O747" s="46"/>
      <c r="P747" s="46"/>
      <c r="Q747" s="59"/>
      <c r="R747" s="60"/>
    </row>
    <row r="748" ht="22.5" customHeight="1">
      <c r="O748" s="46"/>
      <c r="P748" s="46"/>
      <c r="Q748" s="59"/>
      <c r="R748" s="60"/>
    </row>
    <row r="749" ht="22.5" customHeight="1">
      <c r="O749" s="46"/>
      <c r="P749" s="46"/>
      <c r="Q749" s="59"/>
      <c r="R749" s="60"/>
    </row>
    <row r="750" ht="22.5" customHeight="1">
      <c r="O750" s="46"/>
      <c r="P750" s="46"/>
      <c r="Q750" s="59"/>
      <c r="R750" s="60"/>
    </row>
    <row r="751" ht="22.5" customHeight="1">
      <c r="O751" s="46"/>
      <c r="P751" s="46"/>
      <c r="Q751" s="59"/>
      <c r="R751" s="60"/>
    </row>
    <row r="752" ht="22.5" customHeight="1">
      <c r="O752" s="46"/>
      <c r="P752" s="46"/>
      <c r="Q752" s="59"/>
      <c r="R752" s="60"/>
    </row>
    <row r="753" ht="22.5" customHeight="1">
      <c r="O753" s="46"/>
      <c r="P753" s="46"/>
      <c r="Q753" s="59"/>
      <c r="R753" s="60"/>
    </row>
    <row r="754" ht="22.5" customHeight="1">
      <c r="O754" s="46"/>
      <c r="P754" s="46"/>
      <c r="Q754" s="59"/>
      <c r="R754" s="60"/>
    </row>
    <row r="755" ht="22.5" customHeight="1">
      <c r="O755" s="46"/>
      <c r="P755" s="46"/>
      <c r="Q755" s="59"/>
      <c r="R755" s="60"/>
    </row>
    <row r="756" ht="22.5" customHeight="1">
      <c r="O756" s="46"/>
      <c r="P756" s="46"/>
      <c r="Q756" s="59"/>
      <c r="R756" s="60"/>
    </row>
    <row r="757" ht="22.5" customHeight="1">
      <c r="O757" s="46"/>
      <c r="P757" s="46"/>
      <c r="Q757" s="59"/>
      <c r="R757" s="60"/>
    </row>
    <row r="758" ht="22.5" customHeight="1">
      <c r="O758" s="46"/>
      <c r="P758" s="46"/>
      <c r="Q758" s="59"/>
      <c r="R758" s="60"/>
    </row>
    <row r="759" ht="22.5" customHeight="1">
      <c r="O759" s="46"/>
      <c r="P759" s="46"/>
      <c r="Q759" s="59"/>
      <c r="R759" s="60"/>
    </row>
    <row r="760" ht="22.5" customHeight="1">
      <c r="O760" s="46"/>
      <c r="P760" s="46"/>
      <c r="Q760" s="59"/>
      <c r="R760" s="60"/>
    </row>
    <row r="761" ht="22.5" customHeight="1">
      <c r="O761" s="46"/>
      <c r="P761" s="46"/>
      <c r="Q761" s="59"/>
      <c r="R761" s="60"/>
    </row>
    <row r="762" ht="22.5" customHeight="1">
      <c r="O762" s="46"/>
      <c r="P762" s="46"/>
      <c r="Q762" s="59"/>
      <c r="R762" s="60"/>
    </row>
    <row r="763" ht="22.5" customHeight="1">
      <c r="O763" s="46"/>
      <c r="P763" s="46"/>
      <c r="Q763" s="59"/>
      <c r="R763" s="60"/>
    </row>
    <row r="764" ht="22.5" customHeight="1">
      <c r="O764" s="46"/>
      <c r="P764" s="46"/>
      <c r="Q764" s="59"/>
      <c r="R764" s="60"/>
    </row>
    <row r="765" ht="22.5" customHeight="1">
      <c r="O765" s="46"/>
      <c r="P765" s="46"/>
      <c r="Q765" s="59"/>
      <c r="R765" s="60"/>
    </row>
    <row r="766" ht="22.5" customHeight="1">
      <c r="O766" s="46"/>
      <c r="P766" s="46"/>
      <c r="Q766" s="59"/>
      <c r="R766" s="60"/>
    </row>
    <row r="767" ht="22.5" customHeight="1">
      <c r="O767" s="46"/>
      <c r="P767" s="46"/>
      <c r="Q767" s="59"/>
      <c r="R767" s="60"/>
    </row>
    <row r="768" ht="22.5" customHeight="1">
      <c r="O768" s="46"/>
      <c r="P768" s="46"/>
      <c r="Q768" s="59"/>
      <c r="R768" s="60"/>
    </row>
    <row r="769" ht="22.5" customHeight="1">
      <c r="O769" s="46"/>
      <c r="P769" s="46"/>
      <c r="Q769" s="59"/>
      <c r="R769" s="60"/>
    </row>
    <row r="770" ht="22.5" customHeight="1">
      <c r="O770" s="46"/>
      <c r="P770" s="46"/>
      <c r="Q770" s="59"/>
      <c r="R770" s="60"/>
    </row>
    <row r="771" ht="22.5" customHeight="1">
      <c r="O771" s="46"/>
      <c r="P771" s="46"/>
      <c r="Q771" s="59"/>
      <c r="R771" s="60"/>
    </row>
    <row r="772" ht="22.5" customHeight="1">
      <c r="O772" s="46"/>
      <c r="P772" s="46"/>
      <c r="Q772" s="59"/>
      <c r="R772" s="60"/>
    </row>
    <row r="773" ht="22.5" customHeight="1">
      <c r="O773" s="46"/>
      <c r="P773" s="46"/>
      <c r="Q773" s="59"/>
      <c r="R773" s="60"/>
    </row>
    <row r="774" ht="22.5" customHeight="1">
      <c r="O774" s="46"/>
      <c r="P774" s="46"/>
      <c r="Q774" s="59"/>
      <c r="R774" s="60"/>
    </row>
    <row r="775" ht="22.5" customHeight="1">
      <c r="O775" s="46"/>
      <c r="P775" s="46"/>
      <c r="Q775" s="59"/>
      <c r="R775" s="60"/>
    </row>
    <row r="776" ht="22.5" customHeight="1">
      <c r="O776" s="46"/>
      <c r="P776" s="46"/>
      <c r="Q776" s="59"/>
      <c r="R776" s="60"/>
    </row>
    <row r="777" ht="22.5" customHeight="1">
      <c r="O777" s="46"/>
      <c r="P777" s="46"/>
      <c r="Q777" s="59"/>
      <c r="R777" s="60"/>
    </row>
    <row r="778" ht="22.5" customHeight="1">
      <c r="O778" s="46"/>
      <c r="P778" s="46"/>
      <c r="Q778" s="59"/>
      <c r="R778" s="60"/>
    </row>
    <row r="779" ht="22.5" customHeight="1">
      <c r="O779" s="46"/>
      <c r="P779" s="46"/>
      <c r="Q779" s="59"/>
      <c r="R779" s="60"/>
    </row>
    <row r="780" ht="22.5" customHeight="1">
      <c r="O780" s="46"/>
      <c r="P780" s="46"/>
      <c r="Q780" s="59"/>
      <c r="R780" s="60"/>
    </row>
    <row r="781" ht="22.5" customHeight="1">
      <c r="O781" s="46"/>
      <c r="P781" s="46"/>
      <c r="Q781" s="59"/>
      <c r="R781" s="60"/>
    </row>
    <row r="782" ht="22.5" customHeight="1">
      <c r="O782" s="46"/>
      <c r="P782" s="46"/>
      <c r="Q782" s="59"/>
      <c r="R782" s="60"/>
    </row>
    <row r="783" ht="22.5" customHeight="1">
      <c r="O783" s="46"/>
      <c r="P783" s="46"/>
      <c r="Q783" s="59"/>
      <c r="R783" s="60"/>
    </row>
    <row r="784" ht="22.5" customHeight="1">
      <c r="O784" s="46"/>
      <c r="P784" s="46"/>
      <c r="Q784" s="59"/>
      <c r="R784" s="60"/>
    </row>
    <row r="785" ht="22.5" customHeight="1">
      <c r="O785" s="46"/>
      <c r="P785" s="46"/>
      <c r="Q785" s="59"/>
      <c r="R785" s="60"/>
    </row>
    <row r="786" ht="22.5" customHeight="1">
      <c r="O786" s="46"/>
      <c r="P786" s="46"/>
      <c r="Q786" s="59"/>
      <c r="R786" s="60"/>
    </row>
    <row r="787" ht="22.5" customHeight="1">
      <c r="O787" s="46"/>
      <c r="P787" s="46"/>
      <c r="Q787" s="59"/>
      <c r="R787" s="60"/>
    </row>
    <row r="788" ht="22.5" customHeight="1">
      <c r="O788" s="46"/>
      <c r="P788" s="46"/>
      <c r="Q788" s="59"/>
      <c r="R788" s="60"/>
    </row>
    <row r="789" ht="22.5" customHeight="1">
      <c r="O789" s="46"/>
      <c r="P789" s="46"/>
      <c r="Q789" s="59"/>
      <c r="R789" s="60"/>
    </row>
    <row r="790" ht="22.5" customHeight="1">
      <c r="O790" s="46"/>
      <c r="P790" s="46"/>
      <c r="Q790" s="59"/>
      <c r="R790" s="60"/>
    </row>
    <row r="791" ht="22.5" customHeight="1">
      <c r="O791" s="46"/>
      <c r="P791" s="46"/>
      <c r="Q791" s="59"/>
      <c r="R791" s="60"/>
    </row>
    <row r="792" ht="22.5" customHeight="1">
      <c r="O792" s="46"/>
      <c r="P792" s="46"/>
      <c r="Q792" s="59"/>
      <c r="R792" s="60"/>
    </row>
    <row r="793" ht="22.5" customHeight="1">
      <c r="O793" s="46"/>
      <c r="P793" s="46"/>
      <c r="Q793" s="59"/>
      <c r="R793" s="60"/>
    </row>
    <row r="794" ht="22.5" customHeight="1">
      <c r="O794" s="46"/>
      <c r="P794" s="46"/>
      <c r="Q794" s="59"/>
      <c r="R794" s="60"/>
    </row>
    <row r="795" ht="22.5" customHeight="1">
      <c r="O795" s="46"/>
      <c r="P795" s="46"/>
      <c r="Q795" s="59"/>
      <c r="R795" s="60"/>
    </row>
    <row r="796" ht="22.5" customHeight="1">
      <c r="O796" s="46"/>
      <c r="P796" s="46"/>
      <c r="Q796" s="59"/>
      <c r="R796" s="60"/>
    </row>
    <row r="797" ht="22.5" customHeight="1">
      <c r="O797" s="46"/>
      <c r="P797" s="46"/>
      <c r="Q797" s="59"/>
      <c r="R797" s="60"/>
    </row>
    <row r="798" ht="22.5" customHeight="1">
      <c r="O798" s="46"/>
      <c r="P798" s="46"/>
      <c r="Q798" s="59"/>
      <c r="R798" s="60"/>
    </row>
    <row r="799" ht="22.5" customHeight="1">
      <c r="O799" s="46"/>
      <c r="P799" s="46"/>
      <c r="Q799" s="59"/>
      <c r="R799" s="60"/>
    </row>
    <row r="800" ht="22.5" customHeight="1">
      <c r="O800" s="46"/>
      <c r="P800" s="46"/>
      <c r="Q800" s="59"/>
      <c r="R800" s="60"/>
    </row>
    <row r="801" ht="22.5" customHeight="1">
      <c r="O801" s="46"/>
      <c r="P801" s="46"/>
      <c r="Q801" s="59"/>
      <c r="R801" s="60"/>
    </row>
    <row r="802" ht="22.5" customHeight="1">
      <c r="O802" s="46"/>
      <c r="P802" s="46"/>
      <c r="Q802" s="59"/>
      <c r="R802" s="60"/>
    </row>
    <row r="803" ht="22.5" customHeight="1">
      <c r="O803" s="46"/>
      <c r="P803" s="46"/>
      <c r="Q803" s="59"/>
      <c r="R803" s="60"/>
    </row>
    <row r="804" ht="22.5" customHeight="1">
      <c r="O804" s="46"/>
      <c r="P804" s="46"/>
      <c r="Q804" s="59"/>
      <c r="R804" s="60"/>
    </row>
    <row r="805" ht="22.5" customHeight="1">
      <c r="O805" s="46"/>
      <c r="P805" s="46"/>
      <c r="Q805" s="59"/>
      <c r="R805" s="60"/>
    </row>
    <row r="806" ht="22.5" customHeight="1">
      <c r="O806" s="46"/>
      <c r="P806" s="46"/>
      <c r="Q806" s="59"/>
      <c r="R806" s="60"/>
    </row>
    <row r="807" ht="22.5" customHeight="1">
      <c r="O807" s="46"/>
      <c r="P807" s="46"/>
      <c r="Q807" s="59"/>
      <c r="R807" s="60"/>
    </row>
    <row r="808" ht="22.5" customHeight="1">
      <c r="O808" s="46"/>
      <c r="P808" s="46"/>
      <c r="Q808" s="59"/>
      <c r="R808" s="60"/>
    </row>
    <row r="809" ht="22.5" customHeight="1">
      <c r="O809" s="46"/>
      <c r="P809" s="46"/>
      <c r="Q809" s="59"/>
      <c r="R809" s="60"/>
    </row>
    <row r="810" ht="22.5" customHeight="1">
      <c r="O810" s="46"/>
      <c r="P810" s="46"/>
      <c r="Q810" s="59"/>
      <c r="R810" s="60"/>
    </row>
    <row r="811" ht="22.5" customHeight="1">
      <c r="O811" s="46"/>
      <c r="P811" s="46"/>
      <c r="Q811" s="59"/>
      <c r="R811" s="60"/>
    </row>
    <row r="812" ht="22.5" customHeight="1">
      <c r="O812" s="46"/>
      <c r="P812" s="46"/>
      <c r="Q812" s="59"/>
      <c r="R812" s="60"/>
    </row>
    <row r="813" ht="22.5" customHeight="1">
      <c r="O813" s="46"/>
      <c r="P813" s="46"/>
      <c r="Q813" s="59"/>
      <c r="R813" s="60"/>
    </row>
    <row r="814" ht="22.5" customHeight="1">
      <c r="O814" s="46"/>
      <c r="P814" s="46"/>
      <c r="Q814" s="59"/>
      <c r="R814" s="60"/>
    </row>
    <row r="815" ht="22.5" customHeight="1">
      <c r="O815" s="46"/>
      <c r="P815" s="46"/>
      <c r="Q815" s="59"/>
      <c r="R815" s="60"/>
    </row>
    <row r="816" ht="22.5" customHeight="1">
      <c r="O816" s="46"/>
      <c r="P816" s="46"/>
      <c r="Q816" s="59"/>
      <c r="R816" s="60"/>
    </row>
    <row r="817" ht="22.5" customHeight="1">
      <c r="O817" s="46"/>
      <c r="P817" s="46"/>
      <c r="Q817" s="59"/>
      <c r="R817" s="60"/>
    </row>
    <row r="818" ht="22.5" customHeight="1">
      <c r="O818" s="46"/>
      <c r="P818" s="46"/>
      <c r="Q818" s="59"/>
      <c r="R818" s="60"/>
    </row>
    <row r="819" ht="22.5" customHeight="1">
      <c r="O819" s="46"/>
      <c r="P819" s="46"/>
      <c r="Q819" s="59"/>
      <c r="R819" s="60"/>
    </row>
    <row r="820" ht="22.5" customHeight="1">
      <c r="O820" s="46"/>
      <c r="P820" s="46"/>
      <c r="Q820" s="59"/>
      <c r="R820" s="60"/>
    </row>
    <row r="821" ht="22.5" customHeight="1">
      <c r="O821" s="46"/>
      <c r="P821" s="46"/>
      <c r="Q821" s="59"/>
      <c r="R821" s="60"/>
    </row>
    <row r="822" ht="22.5" customHeight="1">
      <c r="O822" s="46"/>
      <c r="P822" s="46"/>
      <c r="Q822" s="59"/>
      <c r="R822" s="60"/>
    </row>
    <row r="823" ht="22.5" customHeight="1">
      <c r="O823" s="46"/>
      <c r="P823" s="46"/>
      <c r="Q823" s="59"/>
      <c r="R823" s="60"/>
    </row>
    <row r="824" ht="22.5" customHeight="1">
      <c r="O824" s="46"/>
      <c r="P824" s="46"/>
      <c r="Q824" s="59"/>
      <c r="R824" s="60"/>
    </row>
    <row r="825" ht="22.5" customHeight="1">
      <c r="O825" s="46"/>
      <c r="P825" s="46"/>
      <c r="Q825" s="59"/>
      <c r="R825" s="60"/>
    </row>
    <row r="826" ht="22.5" customHeight="1">
      <c r="O826" s="46"/>
      <c r="P826" s="46"/>
      <c r="Q826" s="59"/>
      <c r="R826" s="60"/>
    </row>
    <row r="827" ht="22.5" customHeight="1">
      <c r="O827" s="46"/>
      <c r="P827" s="46"/>
      <c r="Q827" s="59"/>
      <c r="R827" s="60"/>
    </row>
    <row r="828" ht="22.5" customHeight="1">
      <c r="O828" s="46"/>
      <c r="P828" s="46"/>
      <c r="Q828" s="59"/>
      <c r="R828" s="60"/>
    </row>
    <row r="829" ht="22.5" customHeight="1">
      <c r="O829" s="46"/>
      <c r="P829" s="46"/>
      <c r="Q829" s="59"/>
      <c r="R829" s="60"/>
    </row>
    <row r="830" ht="22.5" customHeight="1">
      <c r="O830" s="46"/>
      <c r="P830" s="46"/>
      <c r="Q830" s="59"/>
      <c r="R830" s="60"/>
    </row>
    <row r="831" ht="22.5" customHeight="1">
      <c r="O831" s="46"/>
      <c r="P831" s="46"/>
      <c r="Q831" s="59"/>
      <c r="R831" s="60"/>
    </row>
    <row r="832" ht="22.5" customHeight="1">
      <c r="O832" s="46"/>
      <c r="P832" s="46"/>
      <c r="Q832" s="59"/>
      <c r="R832" s="60"/>
    </row>
    <row r="833" ht="22.5" customHeight="1">
      <c r="O833" s="46"/>
      <c r="P833" s="46"/>
      <c r="Q833" s="59"/>
      <c r="R833" s="60"/>
    </row>
    <row r="834" ht="22.5" customHeight="1">
      <c r="O834" s="46"/>
      <c r="P834" s="46"/>
      <c r="Q834" s="59"/>
      <c r="R834" s="60"/>
    </row>
    <row r="835" ht="22.5" customHeight="1">
      <c r="O835" s="46"/>
      <c r="P835" s="46"/>
      <c r="Q835" s="59"/>
      <c r="R835" s="60"/>
    </row>
    <row r="836" ht="22.5" customHeight="1">
      <c r="O836" s="46"/>
      <c r="P836" s="46"/>
      <c r="Q836" s="59"/>
      <c r="R836" s="60"/>
    </row>
    <row r="837" ht="22.5" customHeight="1">
      <c r="O837" s="46"/>
      <c r="P837" s="46"/>
      <c r="Q837" s="59"/>
      <c r="R837" s="60"/>
    </row>
    <row r="838" ht="22.5" customHeight="1">
      <c r="O838" s="46"/>
      <c r="P838" s="46"/>
      <c r="Q838" s="59"/>
      <c r="R838" s="60"/>
    </row>
    <row r="839" ht="22.5" customHeight="1">
      <c r="O839" s="46"/>
      <c r="P839" s="46"/>
      <c r="Q839" s="59"/>
      <c r="R839" s="60"/>
    </row>
    <row r="840" ht="22.5" customHeight="1">
      <c r="O840" s="46"/>
      <c r="P840" s="46"/>
      <c r="Q840" s="59"/>
      <c r="R840" s="60"/>
    </row>
    <row r="841" ht="22.5" customHeight="1">
      <c r="O841" s="46"/>
      <c r="P841" s="46"/>
      <c r="Q841" s="59"/>
      <c r="R841" s="60"/>
    </row>
    <row r="842" ht="22.5" customHeight="1">
      <c r="O842" s="46"/>
      <c r="P842" s="46"/>
      <c r="Q842" s="59"/>
      <c r="R842" s="60"/>
    </row>
    <row r="843" ht="22.5" customHeight="1">
      <c r="O843" s="46"/>
      <c r="P843" s="46"/>
      <c r="Q843" s="59"/>
      <c r="R843" s="60"/>
    </row>
    <row r="844" ht="22.5" customHeight="1">
      <c r="O844" s="46"/>
      <c r="P844" s="46"/>
      <c r="Q844" s="59"/>
      <c r="R844" s="60"/>
    </row>
    <row r="845" ht="22.5" customHeight="1">
      <c r="O845" s="46"/>
      <c r="P845" s="46"/>
      <c r="Q845" s="59"/>
      <c r="R845" s="60"/>
    </row>
    <row r="846" ht="22.5" customHeight="1">
      <c r="O846" s="46"/>
      <c r="P846" s="46"/>
      <c r="Q846" s="59"/>
      <c r="R846" s="60"/>
    </row>
    <row r="847" ht="22.5" customHeight="1">
      <c r="O847" s="46"/>
      <c r="P847" s="46"/>
      <c r="Q847" s="59"/>
      <c r="R847" s="60"/>
    </row>
    <row r="848" ht="22.5" customHeight="1">
      <c r="O848" s="46"/>
      <c r="P848" s="46"/>
      <c r="Q848" s="59"/>
      <c r="R848" s="60"/>
    </row>
    <row r="849" ht="22.5" customHeight="1">
      <c r="O849" s="46"/>
      <c r="P849" s="46"/>
      <c r="Q849" s="59"/>
      <c r="R849" s="60"/>
    </row>
    <row r="850" ht="22.5" customHeight="1">
      <c r="O850" s="46"/>
      <c r="P850" s="46"/>
      <c r="Q850" s="59"/>
      <c r="R850" s="60"/>
    </row>
    <row r="851" ht="22.5" customHeight="1">
      <c r="O851" s="46"/>
      <c r="P851" s="46"/>
      <c r="Q851" s="59"/>
      <c r="R851" s="60"/>
    </row>
    <row r="852" ht="22.5" customHeight="1">
      <c r="O852" s="46"/>
      <c r="P852" s="46"/>
      <c r="Q852" s="59"/>
      <c r="R852" s="60"/>
    </row>
    <row r="853" ht="22.5" customHeight="1">
      <c r="O853" s="46"/>
      <c r="P853" s="46"/>
      <c r="Q853" s="59"/>
      <c r="R853" s="60"/>
    </row>
    <row r="854" ht="22.5" customHeight="1">
      <c r="O854" s="46"/>
      <c r="P854" s="46"/>
      <c r="Q854" s="59"/>
      <c r="R854" s="60"/>
    </row>
    <row r="855" ht="22.5" customHeight="1">
      <c r="O855" s="46"/>
      <c r="P855" s="46"/>
      <c r="Q855" s="59"/>
      <c r="R855" s="60"/>
    </row>
    <row r="856" ht="22.5" customHeight="1">
      <c r="O856" s="46"/>
      <c r="P856" s="46"/>
      <c r="Q856" s="59"/>
      <c r="R856" s="60"/>
    </row>
    <row r="857" ht="22.5" customHeight="1">
      <c r="O857" s="46"/>
      <c r="P857" s="46"/>
      <c r="Q857" s="59"/>
      <c r="R857" s="60"/>
    </row>
    <row r="858" ht="22.5" customHeight="1">
      <c r="O858" s="46"/>
      <c r="P858" s="46"/>
      <c r="Q858" s="59"/>
      <c r="R858" s="60"/>
    </row>
    <row r="859" ht="22.5" customHeight="1">
      <c r="O859" s="46"/>
      <c r="P859" s="46"/>
      <c r="Q859" s="59"/>
      <c r="R859" s="60"/>
    </row>
    <row r="860" ht="22.5" customHeight="1">
      <c r="O860" s="46"/>
      <c r="P860" s="46"/>
      <c r="Q860" s="59"/>
      <c r="R860" s="60"/>
    </row>
    <row r="861" ht="22.5" customHeight="1">
      <c r="O861" s="46"/>
      <c r="P861" s="46"/>
      <c r="Q861" s="59"/>
      <c r="R861" s="60"/>
    </row>
    <row r="862" ht="22.5" customHeight="1">
      <c r="O862" s="46"/>
      <c r="P862" s="46"/>
      <c r="Q862" s="59"/>
      <c r="R862" s="60"/>
    </row>
    <row r="863" ht="22.5" customHeight="1">
      <c r="O863" s="46"/>
      <c r="P863" s="46"/>
      <c r="Q863" s="59"/>
      <c r="R863" s="60"/>
    </row>
    <row r="864" ht="22.5" customHeight="1">
      <c r="O864" s="46"/>
      <c r="P864" s="46"/>
      <c r="Q864" s="59"/>
      <c r="R864" s="60"/>
    </row>
    <row r="865" ht="22.5" customHeight="1">
      <c r="O865" s="46"/>
      <c r="P865" s="46"/>
      <c r="Q865" s="59"/>
      <c r="R865" s="60"/>
    </row>
    <row r="866" ht="22.5" customHeight="1">
      <c r="O866" s="46"/>
      <c r="P866" s="46"/>
      <c r="Q866" s="59"/>
      <c r="R866" s="60"/>
    </row>
    <row r="867" ht="22.5" customHeight="1">
      <c r="O867" s="46"/>
      <c r="P867" s="46"/>
      <c r="Q867" s="59"/>
      <c r="R867" s="60"/>
    </row>
    <row r="868" ht="22.5" customHeight="1">
      <c r="O868" s="46"/>
      <c r="P868" s="46"/>
      <c r="Q868" s="59"/>
      <c r="R868" s="60"/>
    </row>
    <row r="869" ht="22.5" customHeight="1">
      <c r="O869" s="46"/>
      <c r="P869" s="46"/>
      <c r="Q869" s="59"/>
      <c r="R869" s="60"/>
    </row>
    <row r="870" ht="22.5" customHeight="1">
      <c r="O870" s="46"/>
      <c r="P870" s="46"/>
      <c r="Q870" s="59"/>
      <c r="R870" s="60"/>
    </row>
    <row r="871" ht="22.5" customHeight="1">
      <c r="O871" s="46"/>
      <c r="P871" s="46"/>
      <c r="Q871" s="59"/>
      <c r="R871" s="60"/>
    </row>
    <row r="872" ht="22.5" customHeight="1">
      <c r="O872" s="46"/>
      <c r="P872" s="46"/>
      <c r="Q872" s="59"/>
      <c r="R872" s="60"/>
    </row>
    <row r="873" ht="22.5" customHeight="1">
      <c r="O873" s="46"/>
      <c r="P873" s="46"/>
      <c r="Q873" s="59"/>
      <c r="R873" s="60"/>
    </row>
    <row r="874" ht="22.5" customHeight="1">
      <c r="O874" s="46"/>
      <c r="P874" s="46"/>
      <c r="Q874" s="59"/>
      <c r="R874" s="60"/>
    </row>
    <row r="875" ht="22.5" customHeight="1">
      <c r="O875" s="46"/>
      <c r="P875" s="46"/>
      <c r="Q875" s="59"/>
      <c r="R875" s="60"/>
    </row>
    <row r="876" ht="22.5" customHeight="1">
      <c r="O876" s="46"/>
      <c r="P876" s="46"/>
      <c r="Q876" s="59"/>
      <c r="R876" s="60"/>
    </row>
    <row r="877" ht="22.5" customHeight="1">
      <c r="O877" s="46"/>
      <c r="P877" s="46"/>
      <c r="Q877" s="59"/>
      <c r="R877" s="60"/>
    </row>
    <row r="878" ht="22.5" customHeight="1">
      <c r="O878" s="46"/>
      <c r="P878" s="46"/>
      <c r="Q878" s="59"/>
      <c r="R878" s="60"/>
    </row>
    <row r="879" ht="22.5" customHeight="1">
      <c r="O879" s="46"/>
      <c r="P879" s="46"/>
      <c r="Q879" s="59"/>
      <c r="R879" s="60"/>
    </row>
    <row r="880" ht="22.5" customHeight="1">
      <c r="O880" s="46"/>
      <c r="P880" s="46"/>
      <c r="Q880" s="59"/>
      <c r="R880" s="60"/>
    </row>
    <row r="881" ht="22.5" customHeight="1">
      <c r="O881" s="46"/>
      <c r="P881" s="46"/>
      <c r="Q881" s="59"/>
      <c r="R881" s="60"/>
    </row>
    <row r="882" ht="22.5" customHeight="1">
      <c r="O882" s="46"/>
      <c r="P882" s="46"/>
      <c r="Q882" s="59"/>
      <c r="R882" s="60"/>
    </row>
    <row r="883" ht="22.5" customHeight="1">
      <c r="O883" s="46"/>
      <c r="P883" s="46"/>
      <c r="Q883" s="59"/>
      <c r="R883" s="60"/>
    </row>
    <row r="884" ht="22.5" customHeight="1">
      <c r="O884" s="46"/>
      <c r="P884" s="46"/>
      <c r="Q884" s="59"/>
      <c r="R884" s="60"/>
    </row>
    <row r="885" ht="22.5" customHeight="1">
      <c r="O885" s="46"/>
      <c r="P885" s="46"/>
      <c r="Q885" s="59"/>
      <c r="R885" s="60"/>
    </row>
    <row r="886" ht="22.5" customHeight="1">
      <c r="O886" s="46"/>
      <c r="P886" s="46"/>
      <c r="Q886" s="59"/>
      <c r="R886" s="60"/>
    </row>
    <row r="887" ht="22.5" customHeight="1">
      <c r="O887" s="46"/>
      <c r="P887" s="46"/>
      <c r="Q887" s="59"/>
      <c r="R887" s="60"/>
    </row>
    <row r="888" ht="22.5" customHeight="1">
      <c r="O888" s="46"/>
      <c r="P888" s="46"/>
      <c r="Q888" s="59"/>
      <c r="R888" s="60"/>
    </row>
    <row r="889" ht="22.5" customHeight="1">
      <c r="O889" s="46"/>
      <c r="P889" s="46"/>
      <c r="Q889" s="59"/>
      <c r="R889" s="60"/>
    </row>
    <row r="890" ht="22.5" customHeight="1">
      <c r="O890" s="46"/>
      <c r="P890" s="46"/>
      <c r="Q890" s="59"/>
      <c r="R890" s="60"/>
    </row>
    <row r="891" ht="22.5" customHeight="1">
      <c r="O891" s="46"/>
      <c r="P891" s="46"/>
      <c r="Q891" s="59"/>
      <c r="R891" s="60"/>
    </row>
    <row r="892" ht="22.5" customHeight="1">
      <c r="O892" s="46"/>
      <c r="P892" s="46"/>
      <c r="Q892" s="59"/>
      <c r="R892" s="60"/>
    </row>
    <row r="893" ht="22.5" customHeight="1">
      <c r="O893" s="46"/>
      <c r="P893" s="46"/>
      <c r="Q893" s="59"/>
      <c r="R893" s="60"/>
    </row>
    <row r="894" ht="22.5" customHeight="1">
      <c r="O894" s="46"/>
      <c r="P894" s="46"/>
      <c r="Q894" s="59"/>
      <c r="R894" s="60"/>
    </row>
    <row r="895" ht="22.5" customHeight="1">
      <c r="O895" s="46"/>
      <c r="P895" s="46"/>
      <c r="Q895" s="59"/>
      <c r="R895" s="60"/>
    </row>
    <row r="896" ht="22.5" customHeight="1">
      <c r="O896" s="46"/>
      <c r="P896" s="46"/>
      <c r="Q896" s="59"/>
      <c r="R896" s="60"/>
    </row>
    <row r="897" ht="22.5" customHeight="1">
      <c r="O897" s="46"/>
      <c r="P897" s="46"/>
      <c r="Q897" s="59"/>
      <c r="R897" s="60"/>
    </row>
    <row r="898" ht="22.5" customHeight="1">
      <c r="O898" s="46"/>
      <c r="P898" s="46"/>
      <c r="Q898" s="59"/>
      <c r="R898" s="60"/>
    </row>
    <row r="899" ht="22.5" customHeight="1">
      <c r="O899" s="46"/>
      <c r="P899" s="46"/>
      <c r="Q899" s="59"/>
      <c r="R899" s="60"/>
    </row>
    <row r="900" ht="22.5" customHeight="1">
      <c r="O900" s="46"/>
      <c r="P900" s="46"/>
      <c r="Q900" s="59"/>
      <c r="R900" s="60"/>
    </row>
    <row r="901" ht="22.5" customHeight="1">
      <c r="O901" s="46"/>
      <c r="P901" s="46"/>
      <c r="Q901" s="59"/>
      <c r="R901" s="60"/>
    </row>
    <row r="902" ht="22.5" customHeight="1">
      <c r="O902" s="46"/>
      <c r="P902" s="46"/>
      <c r="Q902" s="59"/>
      <c r="R902" s="60"/>
    </row>
    <row r="903" ht="22.5" customHeight="1">
      <c r="O903" s="46"/>
      <c r="P903" s="46"/>
      <c r="Q903" s="59"/>
      <c r="R903" s="60"/>
    </row>
    <row r="904" ht="22.5" customHeight="1">
      <c r="O904" s="46"/>
      <c r="P904" s="46"/>
      <c r="Q904" s="59"/>
      <c r="R904" s="60"/>
    </row>
    <row r="905" ht="22.5" customHeight="1">
      <c r="O905" s="46"/>
      <c r="P905" s="46"/>
      <c r="Q905" s="59"/>
      <c r="R905" s="60"/>
    </row>
    <row r="906" ht="22.5" customHeight="1">
      <c r="O906" s="46"/>
      <c r="P906" s="46"/>
      <c r="Q906" s="59"/>
      <c r="R906" s="60"/>
    </row>
    <row r="907" ht="22.5" customHeight="1">
      <c r="O907" s="46"/>
      <c r="P907" s="46"/>
      <c r="Q907" s="59"/>
      <c r="R907" s="60"/>
    </row>
    <row r="908" ht="22.5" customHeight="1">
      <c r="O908" s="46"/>
      <c r="P908" s="46"/>
      <c r="Q908" s="59"/>
      <c r="R908" s="60"/>
    </row>
    <row r="909" ht="22.5" customHeight="1">
      <c r="O909" s="46"/>
      <c r="P909" s="46"/>
      <c r="Q909" s="59"/>
      <c r="R909" s="60"/>
    </row>
    <row r="910" ht="22.5" customHeight="1">
      <c r="O910" s="46"/>
      <c r="P910" s="46"/>
      <c r="Q910" s="59"/>
      <c r="R910" s="60"/>
    </row>
    <row r="911" ht="22.5" customHeight="1">
      <c r="O911" s="46"/>
      <c r="P911" s="46"/>
      <c r="Q911" s="59"/>
      <c r="R911" s="60"/>
    </row>
    <row r="912" ht="22.5" customHeight="1">
      <c r="O912" s="46"/>
      <c r="P912" s="46"/>
      <c r="Q912" s="59"/>
      <c r="R912" s="60"/>
    </row>
    <row r="913" ht="22.5" customHeight="1">
      <c r="O913" s="46"/>
      <c r="P913" s="46"/>
      <c r="Q913" s="59"/>
      <c r="R913" s="60"/>
    </row>
    <row r="914" ht="22.5" customHeight="1">
      <c r="O914" s="46"/>
      <c r="P914" s="46"/>
      <c r="Q914" s="59"/>
      <c r="R914" s="60"/>
    </row>
    <row r="915" ht="22.5" customHeight="1">
      <c r="O915" s="46"/>
      <c r="P915" s="46"/>
      <c r="Q915" s="59"/>
      <c r="R915" s="60"/>
    </row>
    <row r="916" ht="22.5" customHeight="1">
      <c r="O916" s="46"/>
      <c r="P916" s="46"/>
      <c r="Q916" s="59"/>
      <c r="R916" s="60"/>
    </row>
    <row r="917" ht="22.5" customHeight="1">
      <c r="O917" s="46"/>
      <c r="P917" s="46"/>
      <c r="Q917" s="59"/>
      <c r="R917" s="60"/>
    </row>
    <row r="918" ht="22.5" customHeight="1">
      <c r="O918" s="46"/>
      <c r="P918" s="46"/>
      <c r="Q918" s="59"/>
      <c r="R918" s="60"/>
    </row>
    <row r="919" ht="22.5" customHeight="1">
      <c r="O919" s="46"/>
      <c r="P919" s="46"/>
      <c r="Q919" s="59"/>
      <c r="R919" s="60"/>
    </row>
    <row r="920" ht="22.5" customHeight="1">
      <c r="O920" s="46"/>
      <c r="P920" s="46"/>
      <c r="Q920" s="59"/>
      <c r="R920" s="60"/>
    </row>
    <row r="921" ht="22.5" customHeight="1">
      <c r="O921" s="46"/>
      <c r="P921" s="46"/>
      <c r="Q921" s="59"/>
      <c r="R921" s="60"/>
    </row>
    <row r="922" ht="22.5" customHeight="1">
      <c r="O922" s="46"/>
      <c r="P922" s="46"/>
      <c r="Q922" s="59"/>
      <c r="R922" s="60"/>
    </row>
    <row r="923" ht="22.5" customHeight="1">
      <c r="O923" s="46"/>
      <c r="P923" s="46"/>
      <c r="Q923" s="59"/>
      <c r="R923" s="60"/>
    </row>
    <row r="924" ht="22.5" customHeight="1">
      <c r="O924" s="46"/>
      <c r="P924" s="46"/>
      <c r="Q924" s="59"/>
      <c r="R924" s="60"/>
    </row>
    <row r="925" ht="22.5" customHeight="1">
      <c r="O925" s="46"/>
      <c r="P925" s="46"/>
      <c r="Q925" s="59"/>
      <c r="R925" s="60"/>
    </row>
    <row r="926" ht="22.5" customHeight="1">
      <c r="O926" s="46"/>
      <c r="P926" s="46"/>
      <c r="Q926" s="59"/>
      <c r="R926" s="60"/>
    </row>
    <row r="927" ht="22.5" customHeight="1">
      <c r="O927" s="46"/>
      <c r="P927" s="46"/>
      <c r="Q927" s="59"/>
      <c r="R927" s="60"/>
    </row>
    <row r="928" ht="22.5" customHeight="1">
      <c r="O928" s="46"/>
      <c r="P928" s="46"/>
      <c r="Q928" s="59"/>
      <c r="R928" s="60"/>
    </row>
    <row r="929" ht="22.5" customHeight="1">
      <c r="O929" s="46"/>
      <c r="P929" s="46"/>
      <c r="Q929" s="59"/>
      <c r="R929" s="60"/>
    </row>
    <row r="930" ht="22.5" customHeight="1">
      <c r="O930" s="46"/>
      <c r="P930" s="46"/>
      <c r="Q930" s="59"/>
      <c r="R930" s="60"/>
    </row>
    <row r="931" ht="22.5" customHeight="1">
      <c r="O931" s="46"/>
      <c r="P931" s="46"/>
      <c r="Q931" s="59"/>
      <c r="R931" s="60"/>
    </row>
    <row r="932" ht="22.5" customHeight="1">
      <c r="O932" s="46"/>
      <c r="P932" s="46"/>
      <c r="Q932" s="59"/>
      <c r="R932" s="60"/>
    </row>
    <row r="933" ht="22.5" customHeight="1">
      <c r="O933" s="46"/>
      <c r="P933" s="46"/>
      <c r="Q933" s="59"/>
      <c r="R933" s="60"/>
    </row>
    <row r="934" ht="22.5" customHeight="1">
      <c r="O934" s="46"/>
      <c r="P934" s="46"/>
      <c r="Q934" s="59"/>
      <c r="R934" s="60"/>
    </row>
    <row r="935" ht="22.5" customHeight="1">
      <c r="O935" s="46"/>
      <c r="P935" s="46"/>
      <c r="Q935" s="59"/>
      <c r="R935" s="60"/>
    </row>
    <row r="936" ht="22.5" customHeight="1">
      <c r="O936" s="46"/>
      <c r="P936" s="46"/>
      <c r="Q936" s="59"/>
      <c r="R936" s="60"/>
    </row>
    <row r="937" ht="22.5" customHeight="1">
      <c r="O937" s="46"/>
      <c r="P937" s="46"/>
      <c r="Q937" s="59"/>
      <c r="R937" s="60"/>
    </row>
    <row r="938" ht="22.5" customHeight="1">
      <c r="O938" s="46"/>
      <c r="P938" s="46"/>
      <c r="Q938" s="59"/>
      <c r="R938" s="60"/>
    </row>
    <row r="939" ht="22.5" customHeight="1">
      <c r="O939" s="46"/>
      <c r="P939" s="46"/>
      <c r="Q939" s="59"/>
      <c r="R939" s="60"/>
    </row>
    <row r="940" ht="22.5" customHeight="1">
      <c r="O940" s="46"/>
      <c r="P940" s="46"/>
      <c r="Q940" s="59"/>
      <c r="R940" s="60"/>
    </row>
    <row r="941" ht="22.5" customHeight="1">
      <c r="O941" s="46"/>
      <c r="P941" s="46"/>
      <c r="Q941" s="59"/>
      <c r="R941" s="60"/>
    </row>
    <row r="942" ht="22.5" customHeight="1">
      <c r="O942" s="46"/>
      <c r="P942" s="46"/>
      <c r="Q942" s="59"/>
      <c r="R942" s="60"/>
    </row>
    <row r="943" ht="22.5" customHeight="1">
      <c r="O943" s="46"/>
      <c r="P943" s="46"/>
      <c r="Q943" s="59"/>
      <c r="R943" s="60"/>
    </row>
    <row r="944" ht="22.5" customHeight="1">
      <c r="O944" s="46"/>
      <c r="P944" s="46"/>
      <c r="Q944" s="59"/>
      <c r="R944" s="60"/>
    </row>
    <row r="945" ht="22.5" customHeight="1">
      <c r="O945" s="46"/>
      <c r="P945" s="46"/>
      <c r="Q945" s="59"/>
      <c r="R945" s="60"/>
    </row>
    <row r="946" ht="22.5" customHeight="1">
      <c r="O946" s="46"/>
      <c r="P946" s="46"/>
      <c r="Q946" s="59"/>
      <c r="R946" s="60"/>
    </row>
    <row r="947" ht="22.5" customHeight="1">
      <c r="O947" s="46"/>
      <c r="P947" s="46"/>
      <c r="Q947" s="59"/>
      <c r="R947" s="60"/>
    </row>
    <row r="948" ht="22.5" customHeight="1">
      <c r="O948" s="46"/>
      <c r="P948" s="46"/>
      <c r="Q948" s="59"/>
      <c r="R948" s="60"/>
    </row>
    <row r="949" ht="22.5" customHeight="1">
      <c r="O949" s="46"/>
      <c r="P949" s="46"/>
      <c r="Q949" s="59"/>
      <c r="R949" s="60"/>
    </row>
    <row r="950" ht="22.5" customHeight="1">
      <c r="O950" s="46"/>
      <c r="P950" s="46"/>
      <c r="Q950" s="59"/>
      <c r="R950" s="60"/>
    </row>
    <row r="951" ht="22.5" customHeight="1">
      <c r="O951" s="46"/>
      <c r="P951" s="46"/>
      <c r="Q951" s="59"/>
      <c r="R951" s="60"/>
    </row>
    <row r="952" ht="22.5" customHeight="1">
      <c r="O952" s="46"/>
      <c r="P952" s="46"/>
      <c r="Q952" s="59"/>
      <c r="R952" s="60"/>
    </row>
    <row r="953" ht="22.5" customHeight="1">
      <c r="O953" s="46"/>
      <c r="P953" s="46"/>
      <c r="Q953" s="59"/>
      <c r="R953" s="60"/>
    </row>
    <row r="954" ht="22.5" customHeight="1">
      <c r="O954" s="46"/>
      <c r="P954" s="46"/>
      <c r="Q954" s="59"/>
      <c r="R954" s="60"/>
    </row>
    <row r="955" ht="22.5" customHeight="1">
      <c r="O955" s="46"/>
      <c r="P955" s="46"/>
      <c r="Q955" s="59"/>
      <c r="R955" s="60"/>
    </row>
    <row r="956" ht="22.5" customHeight="1">
      <c r="O956" s="46"/>
      <c r="P956" s="46"/>
      <c r="Q956" s="59"/>
      <c r="R956" s="60"/>
    </row>
    <row r="957" ht="22.5" customHeight="1">
      <c r="O957" s="46"/>
      <c r="P957" s="46"/>
      <c r="Q957" s="59"/>
      <c r="R957" s="60"/>
    </row>
    <row r="958" ht="22.5" customHeight="1">
      <c r="O958" s="46"/>
      <c r="P958" s="46"/>
      <c r="Q958" s="59"/>
      <c r="R958" s="60"/>
    </row>
    <row r="959" ht="22.5" customHeight="1">
      <c r="O959" s="46"/>
      <c r="P959" s="46"/>
      <c r="Q959" s="59"/>
      <c r="R959" s="60"/>
    </row>
    <row r="960" ht="22.5" customHeight="1">
      <c r="O960" s="46"/>
      <c r="P960" s="46"/>
      <c r="Q960" s="59"/>
      <c r="R960" s="60"/>
    </row>
    <row r="961" ht="22.5" customHeight="1">
      <c r="O961" s="46"/>
      <c r="P961" s="46"/>
      <c r="Q961" s="59"/>
      <c r="R961" s="60"/>
    </row>
    <row r="962" ht="22.5" customHeight="1">
      <c r="O962" s="46"/>
      <c r="P962" s="46"/>
      <c r="Q962" s="59"/>
      <c r="R962" s="60"/>
    </row>
    <row r="963" ht="22.5" customHeight="1">
      <c r="O963" s="46"/>
      <c r="P963" s="46"/>
      <c r="Q963" s="59"/>
      <c r="R963" s="60"/>
    </row>
    <row r="964" ht="22.5" customHeight="1">
      <c r="O964" s="46"/>
      <c r="P964" s="46"/>
      <c r="Q964" s="59"/>
      <c r="R964" s="60"/>
    </row>
    <row r="965" ht="22.5" customHeight="1">
      <c r="O965" s="46"/>
      <c r="P965" s="46"/>
      <c r="Q965" s="59"/>
      <c r="R965" s="60"/>
    </row>
    <row r="966" ht="22.5" customHeight="1">
      <c r="O966" s="46"/>
      <c r="P966" s="46"/>
      <c r="Q966" s="59"/>
      <c r="R966" s="60"/>
    </row>
    <row r="967" ht="22.5" customHeight="1">
      <c r="O967" s="46"/>
      <c r="P967" s="46"/>
      <c r="Q967" s="59"/>
      <c r="R967" s="60"/>
    </row>
    <row r="968" ht="22.5" customHeight="1">
      <c r="O968" s="46"/>
      <c r="P968" s="46"/>
      <c r="Q968" s="59"/>
      <c r="R968" s="60"/>
    </row>
    <row r="969" ht="22.5" customHeight="1">
      <c r="O969" s="46"/>
      <c r="P969" s="46"/>
      <c r="Q969" s="59"/>
      <c r="R969" s="60"/>
    </row>
    <row r="970" ht="22.5" customHeight="1">
      <c r="O970" s="46"/>
      <c r="P970" s="46"/>
      <c r="Q970" s="59"/>
      <c r="R970" s="60"/>
    </row>
    <row r="971" ht="22.5" customHeight="1">
      <c r="O971" s="46"/>
      <c r="P971" s="46"/>
      <c r="Q971" s="59"/>
      <c r="R971" s="60"/>
    </row>
    <row r="972" ht="22.5" customHeight="1">
      <c r="O972" s="46"/>
      <c r="P972" s="46"/>
      <c r="Q972" s="59"/>
      <c r="R972" s="60"/>
    </row>
    <row r="973" ht="22.5" customHeight="1">
      <c r="O973" s="46"/>
      <c r="P973" s="46"/>
      <c r="Q973" s="59"/>
      <c r="R973" s="60"/>
    </row>
    <row r="974" ht="22.5" customHeight="1">
      <c r="O974" s="46"/>
      <c r="P974" s="46"/>
      <c r="Q974" s="59"/>
      <c r="R974" s="60"/>
    </row>
    <row r="975" ht="22.5" customHeight="1">
      <c r="O975" s="46"/>
      <c r="P975" s="46"/>
      <c r="Q975" s="59"/>
      <c r="R975" s="60"/>
    </row>
    <row r="976" ht="22.5" customHeight="1">
      <c r="O976" s="46"/>
      <c r="P976" s="46"/>
      <c r="Q976" s="59"/>
      <c r="R976" s="60"/>
    </row>
    <row r="977" ht="22.5" customHeight="1">
      <c r="O977" s="46"/>
      <c r="P977" s="46"/>
      <c r="Q977" s="59"/>
      <c r="R977" s="60"/>
    </row>
    <row r="978" ht="22.5" customHeight="1">
      <c r="O978" s="46"/>
      <c r="P978" s="46"/>
      <c r="Q978" s="59"/>
      <c r="R978" s="60"/>
    </row>
    <row r="979" ht="22.5" customHeight="1">
      <c r="O979" s="46"/>
      <c r="P979" s="46"/>
      <c r="Q979" s="59"/>
      <c r="R979" s="60"/>
    </row>
    <row r="980" ht="22.5" customHeight="1">
      <c r="O980" s="46"/>
      <c r="P980" s="46"/>
      <c r="Q980" s="59"/>
      <c r="R980" s="60"/>
    </row>
    <row r="981" ht="22.5" customHeight="1">
      <c r="O981" s="46"/>
      <c r="P981" s="46"/>
      <c r="Q981" s="59"/>
      <c r="R981" s="60"/>
    </row>
    <row r="982" ht="22.5" customHeight="1">
      <c r="O982" s="46"/>
      <c r="P982" s="46"/>
      <c r="Q982" s="59"/>
      <c r="R982" s="60"/>
    </row>
    <row r="983" ht="22.5" customHeight="1">
      <c r="O983" s="46"/>
      <c r="P983" s="46"/>
      <c r="Q983" s="59"/>
      <c r="R983" s="60"/>
    </row>
    <row r="984" ht="22.5" customHeight="1">
      <c r="O984" s="46"/>
      <c r="P984" s="46"/>
      <c r="Q984" s="59"/>
      <c r="R984" s="60"/>
    </row>
    <row r="985" ht="22.5" customHeight="1">
      <c r="O985" s="46"/>
      <c r="P985" s="46"/>
      <c r="Q985" s="59"/>
      <c r="R985" s="60"/>
    </row>
    <row r="986" ht="22.5" customHeight="1">
      <c r="O986" s="46"/>
      <c r="P986" s="46"/>
      <c r="Q986" s="59"/>
      <c r="R986" s="60"/>
    </row>
    <row r="987" ht="22.5" customHeight="1">
      <c r="O987" s="46"/>
      <c r="P987" s="46"/>
      <c r="Q987" s="59"/>
      <c r="R987" s="60"/>
    </row>
    <row r="988" ht="22.5" customHeight="1">
      <c r="O988" s="46"/>
      <c r="P988" s="46"/>
      <c r="Q988" s="59"/>
      <c r="R988" s="60"/>
    </row>
    <row r="989" ht="22.5" customHeight="1">
      <c r="O989" s="46"/>
      <c r="P989" s="46"/>
      <c r="Q989" s="59"/>
      <c r="R989" s="60"/>
    </row>
    <row r="990" ht="22.5" customHeight="1">
      <c r="O990" s="46"/>
      <c r="P990" s="46"/>
      <c r="Q990" s="59"/>
      <c r="R990" s="60"/>
    </row>
    <row r="991" ht="22.5" customHeight="1">
      <c r="O991" s="46"/>
      <c r="P991" s="46"/>
      <c r="Q991" s="59"/>
      <c r="R991" s="60"/>
    </row>
    <row r="992" ht="22.5" customHeight="1">
      <c r="O992" s="46"/>
      <c r="P992" s="46"/>
      <c r="Q992" s="59"/>
      <c r="R992" s="60"/>
    </row>
    <row r="993" ht="22.5" customHeight="1">
      <c r="O993" s="46"/>
      <c r="P993" s="46"/>
      <c r="Q993" s="59"/>
      <c r="R993" s="60"/>
    </row>
    <row r="994" ht="22.5" customHeight="1">
      <c r="O994" s="46"/>
      <c r="P994" s="46"/>
      <c r="Q994" s="59"/>
      <c r="R994" s="60"/>
    </row>
    <row r="995" ht="22.5" customHeight="1">
      <c r="O995" s="46"/>
      <c r="P995" s="46"/>
      <c r="Q995" s="59"/>
      <c r="R995" s="60"/>
    </row>
    <row r="996" ht="22.5" customHeight="1">
      <c r="O996" s="46"/>
      <c r="P996" s="46"/>
      <c r="Q996" s="59"/>
      <c r="R996" s="60"/>
    </row>
    <row r="997" ht="22.5" customHeight="1">
      <c r="O997" s="46"/>
      <c r="P997" s="46"/>
      <c r="Q997" s="59"/>
      <c r="R997" s="60"/>
    </row>
    <row r="998" ht="22.5" customHeight="1">
      <c r="O998" s="46"/>
      <c r="P998" s="46"/>
      <c r="Q998" s="59"/>
      <c r="R998" s="60"/>
    </row>
    <row r="999" ht="22.5" customHeight="1">
      <c r="O999" s="46"/>
      <c r="P999" s="46"/>
      <c r="Q999" s="59"/>
      <c r="R999" s="60"/>
    </row>
    <row r="1000" ht="22.5" customHeight="1">
      <c r="O1000" s="46"/>
      <c r="P1000" s="46"/>
      <c r="Q1000" s="59"/>
      <c r="R1000" s="60"/>
    </row>
  </sheetData>
  <customSheetViews>
    <customSheetView guid="{8F2E7E27-8319-4556-9AB2-7C5468732A3B}" filter="1" showAutoFilter="1">
      <autoFilter ref="$A$1:$T$548"/>
    </customSheetView>
    <customSheetView guid="{2471E5BC-227B-4113-9152-7208BCB4F7EA}" filter="1" showAutoFilter="1">
      <autoFilter ref="$A$1:$T$548"/>
    </customSheetView>
    <customSheetView guid="{17F674D5-477E-48E7-9CA1-527B2B084300}" filter="1" showAutoFilter="1">
      <autoFilter ref="$A$1:$T$548"/>
    </customSheetView>
  </customSheetViews>
  <hyperlinks>
    <hyperlink r:id="rId1" ref="H2"/>
    <hyperlink r:id="rId2" ref="AA2"/>
    <hyperlink r:id="rId3" ref="H3"/>
    <hyperlink r:id="rId4" ref="AA3"/>
    <hyperlink r:id="rId5" ref="H4"/>
    <hyperlink r:id="rId6" ref="AA4"/>
    <hyperlink r:id="rId7" ref="H5"/>
    <hyperlink r:id="rId8" ref="AA5"/>
    <hyperlink r:id="rId9" ref="H6"/>
    <hyperlink r:id="rId10" ref="AA6"/>
    <hyperlink r:id="rId11" ref="H7"/>
    <hyperlink r:id="rId12" ref="AA7"/>
    <hyperlink r:id="rId13" ref="H8"/>
    <hyperlink r:id="rId14" ref="AA8"/>
    <hyperlink r:id="rId15" ref="H9"/>
    <hyperlink r:id="rId16" ref="AA9"/>
    <hyperlink r:id="rId17" ref="H10"/>
    <hyperlink r:id="rId18" ref="AA10"/>
    <hyperlink r:id="rId19" ref="H11"/>
    <hyperlink r:id="rId20" ref="AA11"/>
    <hyperlink r:id="rId21" ref="H12"/>
    <hyperlink r:id="rId22" ref="AA12"/>
    <hyperlink r:id="rId23" ref="H13"/>
    <hyperlink r:id="rId24" ref="AA13"/>
    <hyperlink r:id="rId25" ref="H14"/>
    <hyperlink r:id="rId26" ref="AA14"/>
    <hyperlink r:id="rId27" ref="H15"/>
    <hyperlink r:id="rId28" ref="AA15"/>
    <hyperlink r:id="rId29" ref="H16"/>
    <hyperlink r:id="rId30" ref="AA16"/>
    <hyperlink r:id="rId31" ref="H17"/>
    <hyperlink r:id="rId32" ref="AA17"/>
    <hyperlink r:id="rId33" ref="H18"/>
    <hyperlink r:id="rId34" ref="AA18"/>
    <hyperlink r:id="rId35" ref="H19"/>
    <hyperlink r:id="rId36" ref="AA19"/>
    <hyperlink r:id="rId37" ref="H20"/>
    <hyperlink r:id="rId38" ref="AA20"/>
    <hyperlink r:id="rId39" ref="H21"/>
    <hyperlink r:id="rId40" ref="AA21"/>
    <hyperlink r:id="rId41" ref="H22"/>
    <hyperlink r:id="rId42" ref="AA22"/>
    <hyperlink r:id="rId43" ref="H23"/>
    <hyperlink r:id="rId44" ref="AA23"/>
    <hyperlink r:id="rId45" ref="H24"/>
    <hyperlink r:id="rId46" ref="AA24"/>
    <hyperlink r:id="rId47" ref="H25"/>
    <hyperlink r:id="rId48" ref="H26"/>
    <hyperlink r:id="rId49" ref="H27"/>
    <hyperlink r:id="rId50" ref="H28"/>
    <hyperlink r:id="rId51" ref="H29"/>
    <hyperlink r:id="rId52" ref="H30"/>
    <hyperlink r:id="rId53" ref="H31"/>
    <hyperlink r:id="rId54" ref="H32"/>
    <hyperlink r:id="rId55" ref="H33"/>
    <hyperlink r:id="rId56" ref="H34"/>
    <hyperlink r:id="rId57" ref="H35"/>
    <hyperlink r:id="rId58" ref="H36"/>
    <hyperlink r:id="rId59" ref="H37"/>
    <hyperlink r:id="rId60" ref="H38"/>
    <hyperlink r:id="rId61" ref="H39"/>
    <hyperlink r:id="rId62" ref="H40"/>
    <hyperlink r:id="rId63" ref="H41"/>
    <hyperlink r:id="rId64" ref="H42"/>
    <hyperlink r:id="rId65" ref="H43"/>
    <hyperlink r:id="rId66" ref="H44"/>
    <hyperlink r:id="rId67" ref="H45"/>
    <hyperlink r:id="rId68" ref="H46"/>
    <hyperlink r:id="rId69" ref="H47"/>
    <hyperlink r:id="rId70" ref="H48"/>
    <hyperlink r:id="rId71" ref="H49"/>
    <hyperlink r:id="rId72" ref="H50"/>
    <hyperlink r:id="rId73" ref="H51"/>
    <hyperlink r:id="rId74" ref="H52"/>
    <hyperlink r:id="rId75" ref="H53"/>
    <hyperlink r:id="rId76" ref="H54"/>
    <hyperlink r:id="rId77" ref="H55"/>
    <hyperlink r:id="rId78" ref="H56"/>
    <hyperlink r:id="rId79" ref="H57"/>
    <hyperlink r:id="rId80" ref="H58"/>
    <hyperlink r:id="rId81" ref="H59"/>
    <hyperlink r:id="rId82" ref="H60"/>
    <hyperlink r:id="rId83" ref="H61"/>
    <hyperlink r:id="rId84" ref="H62"/>
    <hyperlink r:id="rId85" ref="H63"/>
    <hyperlink r:id="rId86" ref="H64"/>
    <hyperlink r:id="rId87" ref="H65"/>
    <hyperlink r:id="rId88" ref="H66"/>
    <hyperlink r:id="rId89" ref="H67"/>
    <hyperlink r:id="rId90" ref="H68"/>
    <hyperlink r:id="rId91" ref="H69"/>
    <hyperlink r:id="rId92" ref="H70"/>
    <hyperlink r:id="rId93" ref="H71"/>
    <hyperlink r:id="rId94" ref="H72"/>
    <hyperlink r:id="rId95" ref="H73"/>
    <hyperlink r:id="rId96" ref="H74"/>
    <hyperlink r:id="rId97" ref="H75"/>
    <hyperlink r:id="rId98" ref="H76"/>
    <hyperlink r:id="rId99" ref="H77"/>
    <hyperlink r:id="rId100" ref="H78"/>
    <hyperlink r:id="rId101" ref="H79"/>
    <hyperlink r:id="rId102" ref="H80"/>
    <hyperlink r:id="rId103" ref="H81"/>
    <hyperlink r:id="rId104" ref="H82"/>
    <hyperlink r:id="rId105" ref="H83"/>
    <hyperlink r:id="rId106" ref="H84"/>
    <hyperlink r:id="rId107" ref="H85"/>
    <hyperlink r:id="rId108" ref="H86"/>
    <hyperlink r:id="rId109" ref="H87"/>
    <hyperlink r:id="rId110" ref="H88"/>
    <hyperlink r:id="rId111" ref="H89"/>
    <hyperlink r:id="rId112" ref="H90"/>
    <hyperlink r:id="rId113" ref="H91"/>
    <hyperlink r:id="rId114" ref="H92"/>
    <hyperlink r:id="rId115" ref="H93"/>
    <hyperlink r:id="rId116" ref="H94"/>
    <hyperlink r:id="rId117" ref="H95"/>
    <hyperlink r:id="rId118" ref="H96"/>
    <hyperlink r:id="rId119" ref="H97"/>
    <hyperlink r:id="rId120" ref="H98"/>
    <hyperlink r:id="rId121" ref="H99"/>
    <hyperlink r:id="rId122" ref="H100"/>
    <hyperlink r:id="rId123" ref="H101"/>
    <hyperlink r:id="rId124" ref="H102"/>
    <hyperlink r:id="rId125" ref="H103"/>
    <hyperlink r:id="rId126" ref="H104"/>
    <hyperlink r:id="rId127" ref="H105"/>
    <hyperlink r:id="rId128" ref="H106"/>
    <hyperlink r:id="rId129" ref="H107"/>
    <hyperlink r:id="rId130" ref="H108"/>
    <hyperlink r:id="rId131" ref="H109"/>
    <hyperlink r:id="rId132" ref="H110"/>
    <hyperlink r:id="rId133" ref="H111"/>
    <hyperlink r:id="rId134" ref="H112"/>
    <hyperlink r:id="rId135" ref="H113"/>
    <hyperlink r:id="rId136" ref="H114"/>
    <hyperlink r:id="rId137" ref="H115"/>
    <hyperlink r:id="rId138" ref="H116"/>
    <hyperlink r:id="rId139" ref="H117"/>
    <hyperlink r:id="rId140" ref="H118"/>
    <hyperlink r:id="rId141" ref="H119"/>
    <hyperlink r:id="rId142" ref="H120"/>
    <hyperlink r:id="rId143" ref="H121"/>
    <hyperlink r:id="rId144" ref="H122"/>
    <hyperlink r:id="rId145" ref="H123"/>
    <hyperlink r:id="rId146" ref="H124"/>
    <hyperlink r:id="rId147" ref="H125"/>
    <hyperlink r:id="rId148" ref="H126"/>
    <hyperlink r:id="rId149" ref="H127"/>
    <hyperlink r:id="rId150" ref="H128"/>
    <hyperlink r:id="rId151" ref="H129"/>
    <hyperlink r:id="rId152" ref="H130"/>
    <hyperlink r:id="rId153" ref="H131"/>
    <hyperlink r:id="rId154" ref="H132"/>
    <hyperlink r:id="rId155" ref="H133"/>
    <hyperlink r:id="rId156" ref="H134"/>
    <hyperlink r:id="rId157" ref="H135"/>
    <hyperlink r:id="rId158" ref="H136"/>
    <hyperlink r:id="rId159" ref="H137"/>
    <hyperlink r:id="rId160" ref="H138"/>
    <hyperlink r:id="rId161" ref="H139"/>
    <hyperlink r:id="rId162" ref="H140"/>
    <hyperlink r:id="rId163" ref="H141"/>
    <hyperlink r:id="rId164" ref="H142"/>
    <hyperlink r:id="rId165" ref="H143"/>
    <hyperlink r:id="rId166" ref="H144"/>
    <hyperlink r:id="rId167" ref="H145"/>
    <hyperlink r:id="rId168" ref="H146"/>
    <hyperlink r:id="rId169" ref="H147"/>
    <hyperlink r:id="rId170" ref="H148"/>
    <hyperlink r:id="rId171" ref="H149"/>
    <hyperlink r:id="rId172" ref="H150"/>
    <hyperlink r:id="rId173" ref="H151"/>
    <hyperlink r:id="rId174" ref="H152"/>
    <hyperlink r:id="rId175" ref="H153"/>
    <hyperlink r:id="rId176" ref="H154"/>
    <hyperlink r:id="rId177" ref="H155"/>
    <hyperlink r:id="rId178" ref="H156"/>
    <hyperlink r:id="rId179" ref="H157"/>
    <hyperlink r:id="rId180" ref="H158"/>
    <hyperlink r:id="rId181" ref="H159"/>
    <hyperlink r:id="rId182" ref="H160"/>
    <hyperlink r:id="rId183" ref="H161"/>
    <hyperlink r:id="rId184" ref="H162"/>
    <hyperlink r:id="rId185" ref="H163"/>
    <hyperlink r:id="rId186" ref="H164"/>
    <hyperlink r:id="rId187" ref="H165"/>
    <hyperlink r:id="rId188" ref="H166"/>
    <hyperlink r:id="rId189" ref="H167"/>
    <hyperlink r:id="rId190" ref="H168"/>
    <hyperlink r:id="rId191" ref="H169"/>
    <hyperlink r:id="rId192" ref="H170"/>
    <hyperlink r:id="rId193" ref="H171"/>
    <hyperlink r:id="rId194" ref="H172"/>
    <hyperlink r:id="rId195" ref="H173"/>
    <hyperlink r:id="rId196" ref="H174"/>
    <hyperlink r:id="rId197" ref="H175"/>
    <hyperlink r:id="rId198" ref="H176"/>
    <hyperlink r:id="rId199" ref="H177"/>
    <hyperlink r:id="rId200" ref="H178"/>
    <hyperlink r:id="rId201" ref="H179"/>
    <hyperlink r:id="rId202" ref="H180"/>
    <hyperlink r:id="rId203" ref="H181"/>
    <hyperlink r:id="rId204" ref="H182"/>
    <hyperlink r:id="rId205" ref="H183"/>
    <hyperlink r:id="rId206" ref="H184"/>
    <hyperlink r:id="rId207" ref="H185"/>
    <hyperlink r:id="rId208" ref="H186"/>
    <hyperlink r:id="rId209" ref="H187"/>
    <hyperlink r:id="rId210" ref="H188"/>
    <hyperlink r:id="rId211" ref="H189"/>
    <hyperlink r:id="rId212" ref="H190"/>
    <hyperlink r:id="rId213" ref="H191"/>
    <hyperlink r:id="rId214" ref="H192"/>
    <hyperlink r:id="rId215" ref="H193"/>
    <hyperlink r:id="rId216" ref="H194"/>
    <hyperlink r:id="rId217" ref="H195"/>
    <hyperlink r:id="rId218" ref="H196"/>
    <hyperlink r:id="rId219" ref="H197"/>
    <hyperlink r:id="rId220" ref="H198"/>
    <hyperlink r:id="rId221" ref="H199"/>
    <hyperlink r:id="rId222" ref="H200"/>
    <hyperlink r:id="rId223" ref="H201"/>
    <hyperlink r:id="rId224" ref="H202"/>
    <hyperlink r:id="rId225" ref="H203"/>
    <hyperlink r:id="rId226" ref="H204"/>
    <hyperlink r:id="rId227" ref="H205"/>
    <hyperlink r:id="rId228" ref="H206"/>
    <hyperlink r:id="rId229" ref="H207"/>
    <hyperlink r:id="rId230" ref="H208"/>
    <hyperlink r:id="rId231" ref="H209"/>
    <hyperlink r:id="rId232" ref="H210"/>
    <hyperlink r:id="rId233" ref="H211"/>
    <hyperlink r:id="rId234" ref="H212"/>
    <hyperlink r:id="rId235" ref="H213"/>
    <hyperlink r:id="rId236" ref="H214"/>
    <hyperlink r:id="rId237" ref="H215"/>
    <hyperlink r:id="rId238" ref="H216"/>
    <hyperlink r:id="rId239" ref="H217"/>
    <hyperlink r:id="rId240" ref="H218"/>
    <hyperlink r:id="rId241" ref="H219"/>
    <hyperlink r:id="rId242" ref="H220"/>
    <hyperlink r:id="rId243" ref="H221"/>
    <hyperlink r:id="rId244" ref="H222"/>
    <hyperlink r:id="rId245" ref="H223"/>
    <hyperlink r:id="rId246" ref="H224"/>
    <hyperlink r:id="rId247" ref="H225"/>
    <hyperlink r:id="rId248" ref="H226"/>
    <hyperlink r:id="rId249" ref="H227"/>
    <hyperlink r:id="rId250" ref="H228"/>
    <hyperlink r:id="rId251" ref="H229"/>
    <hyperlink r:id="rId252" ref="H230"/>
    <hyperlink r:id="rId253" ref="H231"/>
    <hyperlink r:id="rId254" ref="H232"/>
    <hyperlink r:id="rId255" ref="H233"/>
    <hyperlink r:id="rId256" ref="H234"/>
    <hyperlink r:id="rId257" ref="H235"/>
    <hyperlink r:id="rId258" ref="H236"/>
    <hyperlink r:id="rId259" ref="H237"/>
    <hyperlink r:id="rId260" ref="H238"/>
    <hyperlink r:id="rId261" ref="H239"/>
    <hyperlink r:id="rId262" ref="H240"/>
    <hyperlink r:id="rId263" ref="H241"/>
    <hyperlink r:id="rId264" ref="H242"/>
    <hyperlink r:id="rId265" ref="H243"/>
    <hyperlink r:id="rId266" ref="H244"/>
    <hyperlink r:id="rId267" ref="H245"/>
    <hyperlink r:id="rId268" ref="H246"/>
    <hyperlink r:id="rId269" ref="H247"/>
    <hyperlink r:id="rId270" ref="H248"/>
    <hyperlink r:id="rId271" ref="H249"/>
    <hyperlink r:id="rId272" ref="H250"/>
    <hyperlink r:id="rId273" ref="H251"/>
    <hyperlink r:id="rId274" ref="H252"/>
    <hyperlink r:id="rId275" ref="H253"/>
    <hyperlink r:id="rId276" ref="H254"/>
    <hyperlink r:id="rId277" ref="H255"/>
    <hyperlink r:id="rId278" ref="H256"/>
    <hyperlink r:id="rId279" ref="H257"/>
    <hyperlink r:id="rId280" ref="H258"/>
    <hyperlink r:id="rId281" ref="H259"/>
    <hyperlink r:id="rId282" ref="H260"/>
    <hyperlink r:id="rId283" ref="H261"/>
    <hyperlink r:id="rId284" ref="H262"/>
    <hyperlink r:id="rId285" ref="H263"/>
    <hyperlink r:id="rId286" ref="H264"/>
    <hyperlink r:id="rId287" ref="H265"/>
    <hyperlink r:id="rId288" ref="H266"/>
    <hyperlink r:id="rId289" ref="H267"/>
    <hyperlink r:id="rId290" ref="H268"/>
    <hyperlink r:id="rId291" ref="H269"/>
    <hyperlink r:id="rId292" ref="H270"/>
    <hyperlink r:id="rId293" ref="H271"/>
    <hyperlink r:id="rId294" ref="H272"/>
    <hyperlink r:id="rId295" ref="H273"/>
    <hyperlink r:id="rId296" ref="H274"/>
    <hyperlink r:id="rId297" ref="H275"/>
    <hyperlink r:id="rId298" ref="H276"/>
    <hyperlink r:id="rId299" ref="H277"/>
    <hyperlink r:id="rId300" ref="H278"/>
    <hyperlink r:id="rId301" ref="H279"/>
    <hyperlink r:id="rId302" ref="H280"/>
    <hyperlink r:id="rId303" ref="H281"/>
    <hyperlink r:id="rId304" ref="H282"/>
    <hyperlink r:id="rId305" ref="H283"/>
    <hyperlink r:id="rId306" ref="H284"/>
    <hyperlink r:id="rId307" ref="H285"/>
    <hyperlink r:id="rId308" ref="H286"/>
    <hyperlink r:id="rId309" ref="H287"/>
    <hyperlink r:id="rId310" ref="H288"/>
    <hyperlink r:id="rId311" ref="H289"/>
    <hyperlink r:id="rId312" ref="H290"/>
    <hyperlink r:id="rId313" ref="H291"/>
    <hyperlink r:id="rId314" ref="H292"/>
    <hyperlink r:id="rId315" ref="H293"/>
    <hyperlink r:id="rId316" ref="H294"/>
    <hyperlink r:id="rId317" ref="H295"/>
    <hyperlink r:id="rId318" ref="H296"/>
    <hyperlink r:id="rId319" ref="H297"/>
    <hyperlink r:id="rId320" ref="H298"/>
    <hyperlink r:id="rId321" ref="H299"/>
    <hyperlink r:id="rId322" ref="H300"/>
    <hyperlink r:id="rId323" ref="H301"/>
  </hyperlinks>
  <drawing r:id="rId324"/>
  <tableParts count="1">
    <tablePart r:id="rId326"/>
  </tableParts>
  <extLst>
    <ext uri="{3A4CF648-6AED-40f4-86FF-DC5316D8AED3}">
      <x14:slicerList>
        <x14:slicer r:id="rId327"/>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21.25"/>
    <col customWidth="1" min="7" max="7" width="47.25"/>
    <col customWidth="1" min="18" max="18" width="16.38"/>
    <col customWidth="1" min="19" max="19" width="22.5"/>
    <col customWidth="1" min="20" max="20" width="15.5"/>
    <col customWidth="1" min="26" max="26" width="49.25"/>
  </cols>
  <sheetData>
    <row r="1" ht="22.5" customHeight="1">
      <c r="A1" s="17" t="s">
        <v>60</v>
      </c>
      <c r="B1" s="17" t="s">
        <v>61</v>
      </c>
      <c r="C1" s="17" t="s">
        <v>62</v>
      </c>
      <c r="D1" s="17" t="s">
        <v>63</v>
      </c>
      <c r="E1" s="17" t="s">
        <v>64</v>
      </c>
      <c r="F1" s="17" t="s">
        <v>42</v>
      </c>
      <c r="G1" s="17" t="s">
        <v>65</v>
      </c>
      <c r="H1" s="17" t="s">
        <v>66</v>
      </c>
      <c r="I1" s="17" t="s">
        <v>67</v>
      </c>
      <c r="J1" s="17" t="s">
        <v>68</v>
      </c>
      <c r="K1" s="17" t="s">
        <v>69</v>
      </c>
      <c r="L1" s="17" t="s">
        <v>70</v>
      </c>
      <c r="M1" s="17" t="s">
        <v>71</v>
      </c>
      <c r="N1" s="17" t="s">
        <v>72</v>
      </c>
      <c r="O1" s="37" t="s">
        <v>73</v>
      </c>
      <c r="P1" s="37" t="s">
        <v>74</v>
      </c>
      <c r="Q1" s="38" t="s">
        <v>75</v>
      </c>
      <c r="R1" s="39" t="s">
        <v>76</v>
      </c>
      <c r="S1" s="40" t="str">
        <f>FORMULATEXT(T2)</f>
        <v>=FILTER(A1:Q301,Q1:Q301)</v>
      </c>
      <c r="T1" s="41" t="s">
        <v>77</v>
      </c>
      <c r="U1" s="19" t="s">
        <v>1708</v>
      </c>
      <c r="V1" s="19" t="s">
        <v>1708</v>
      </c>
      <c r="W1" s="19" t="s">
        <v>1708</v>
      </c>
      <c r="X1" s="19" t="s">
        <v>1708</v>
      </c>
      <c r="Y1" s="19" t="s">
        <v>1708</v>
      </c>
      <c r="Z1" s="19" t="s">
        <v>1708</v>
      </c>
      <c r="AA1" s="19" t="s">
        <v>1708</v>
      </c>
      <c r="AB1" s="19" t="s">
        <v>1708</v>
      </c>
      <c r="AC1" s="19" t="s">
        <v>1708</v>
      </c>
      <c r="AD1" s="19" t="s">
        <v>1708</v>
      </c>
      <c r="AE1" s="19" t="s">
        <v>1708</v>
      </c>
      <c r="AF1" s="19" t="s">
        <v>1708</v>
      </c>
      <c r="AG1" s="19" t="s">
        <v>1708</v>
      </c>
      <c r="AH1" s="19" t="s">
        <v>1708</v>
      </c>
      <c r="AI1" s="19" t="s">
        <v>1708</v>
      </c>
      <c r="AJ1" s="19" t="s">
        <v>1708</v>
      </c>
    </row>
    <row r="2" ht="22.5" customHeight="1">
      <c r="A2" s="42">
        <v>44470.0</v>
      </c>
      <c r="B2" s="43">
        <v>44470.541712962964</v>
      </c>
      <c r="C2" s="17" t="s">
        <v>78</v>
      </c>
      <c r="D2" s="17" t="s">
        <v>79</v>
      </c>
      <c r="E2" s="17" t="s">
        <v>80</v>
      </c>
      <c r="F2" s="17" t="s">
        <v>55</v>
      </c>
      <c r="G2" s="17" t="s">
        <v>81</v>
      </c>
      <c r="H2" s="44" t="s">
        <v>82</v>
      </c>
      <c r="I2" s="45">
        <v>1.0</v>
      </c>
      <c r="J2" s="45">
        <v>1218.0</v>
      </c>
      <c r="K2" s="45">
        <v>1390.0</v>
      </c>
      <c r="L2" s="45">
        <v>137.0</v>
      </c>
      <c r="M2" s="45">
        <v>56.0</v>
      </c>
      <c r="N2" s="45">
        <v>1218.0</v>
      </c>
      <c r="O2" s="46">
        <f t="array" ref="O2:O301">WEEKNUM(A2:A301)</f>
        <v>40</v>
      </c>
      <c r="P2" s="46">
        <f t="array" ref="P2:P301">HOUR(B2:B301)</f>
        <v>13</v>
      </c>
      <c r="Q2" s="46">
        <f>IFERROR(__xludf.DUMMYFUNCTION("ArrayFormula(IF(REGEXMATCH(G2:G301,""โปรโม|ส่วนลด|จ่าย|คุ้ม""),1,0))"),0.0)</f>
        <v>0</v>
      </c>
      <c r="R2" s="47">
        <f t="array" ref="R2:R301">(K2:K301)-(J2:J301)</f>
        <v>172</v>
      </c>
      <c r="T2" s="48">
        <f>IFERROR(__xludf.DUMMYFUNCTION("FILTER(A1:Q301,Q1:Q301)"),44472.0)</f>
        <v>44472</v>
      </c>
      <c r="U2" s="49">
        <f>IFERROR(__xludf.DUMMYFUNCTION("""COMPUTED_VALUE"""),44472.333344907405)</f>
        <v>44472.33334</v>
      </c>
      <c r="V2" s="19" t="str">
        <f>IFERROR(__xludf.DUMMYFUNCTION("""COMPUTED_VALUE"""),"Garena Free Fire")</f>
        <v>Garena Free Fire</v>
      </c>
      <c r="W2" s="19" t="str">
        <f>IFERROR(__xludf.DUMMYFUNCTION("""COMPUTED_VALUE"""),"740460599475760_1905939169594558")</f>
        <v>740460599475760_1905939169594558</v>
      </c>
      <c r="X2" s="19" t="str">
        <f>IFERROR(__xludf.DUMMYFUNCTION("""COMPUTED_VALUE"""),"added_photos")</f>
        <v>added_photos</v>
      </c>
      <c r="Y2" s="19" t="str">
        <f>IFERROR(__xludf.DUMMYFUNCTION("""COMPUTED_VALUE"""),"photo")</f>
        <v>photo</v>
      </c>
      <c r="Z2" s="19" t="str">
        <f>IFERROR(__xludf.DUMMYFUNCTION("""COMPUTED_VALUE"""),"TOP-UP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f>
        <v>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v>
      </c>
      <c r="AA2" s="50" t="str">
        <f>IFERROR(__xludf.DUMMYFUNCTION("""COMPUTED_VALUE"""),"https://www.facebook.com/740460599475760/posts/1905939169594558/")</f>
        <v>https://www.facebook.com/740460599475760/posts/1905939169594558/</v>
      </c>
      <c r="AB2" s="19">
        <f>IFERROR(__xludf.DUMMYFUNCTION("""COMPUTED_VALUE"""),1.0)</f>
        <v>1</v>
      </c>
      <c r="AC2" s="19">
        <f>IFERROR(__xludf.DUMMYFUNCTION("""COMPUTED_VALUE"""),1552.0)</f>
        <v>1552</v>
      </c>
      <c r="AD2" s="19">
        <f>IFERROR(__xludf.DUMMYFUNCTION("""COMPUTED_VALUE"""),1630.0)</f>
        <v>1630</v>
      </c>
      <c r="AE2" s="19">
        <f>IFERROR(__xludf.DUMMYFUNCTION("""COMPUTED_VALUE"""),331.0)</f>
        <v>331</v>
      </c>
      <c r="AF2" s="19">
        <f>IFERROR(__xludf.DUMMYFUNCTION("""COMPUTED_VALUE"""),54.0)</f>
        <v>54</v>
      </c>
      <c r="AG2" s="19">
        <f>IFERROR(__xludf.DUMMYFUNCTION("""COMPUTED_VALUE"""),1552.0)</f>
        <v>1552</v>
      </c>
      <c r="AH2" s="19">
        <f>IFERROR(__xludf.DUMMYFUNCTION("""COMPUTED_VALUE"""),41.0)</f>
        <v>41</v>
      </c>
      <c r="AI2" s="19">
        <f>IFERROR(__xludf.DUMMYFUNCTION("""COMPUTED_VALUE"""),8.0)</f>
        <v>8</v>
      </c>
      <c r="AJ2" s="19">
        <f>IFERROR(__xludf.DUMMYFUNCTION("""COMPUTED_VALUE"""),1.0)</f>
        <v>1</v>
      </c>
    </row>
    <row r="3" ht="22.5" customHeight="1">
      <c r="A3" s="42">
        <v>44470.0</v>
      </c>
      <c r="B3" s="43">
        <v>44470.62548611111</v>
      </c>
      <c r="C3" s="17" t="s">
        <v>78</v>
      </c>
      <c r="D3" s="17" t="s">
        <v>83</v>
      </c>
      <c r="E3" s="17" t="s">
        <v>84</v>
      </c>
      <c r="F3" s="17" t="s">
        <v>50</v>
      </c>
      <c r="G3" s="17" t="s">
        <v>85</v>
      </c>
      <c r="H3" s="44" t="s">
        <v>86</v>
      </c>
      <c r="I3" s="45">
        <v>1.0</v>
      </c>
      <c r="J3" s="45">
        <v>284.0</v>
      </c>
      <c r="K3" s="45">
        <v>291.0</v>
      </c>
      <c r="L3" s="45">
        <v>14.0</v>
      </c>
      <c r="M3" s="45">
        <v>14.0</v>
      </c>
      <c r="N3" s="45">
        <v>284.0</v>
      </c>
      <c r="O3" s="46">
        <v>40.0</v>
      </c>
      <c r="P3" s="46">
        <v>15.0</v>
      </c>
      <c r="Q3" s="46">
        <f>IFERROR(__xludf.DUMMYFUNCTION("""COMPUTED_VALUE"""),0.0)</f>
        <v>0</v>
      </c>
      <c r="R3" s="47">
        <v>7.0</v>
      </c>
      <c r="T3" s="48">
        <f>IFERROR(__xludf.DUMMYFUNCTION("""COMPUTED_VALUE"""),44473.0)</f>
        <v>44473</v>
      </c>
      <c r="U3" s="49">
        <f>IFERROR(__xludf.DUMMYFUNCTION("""COMPUTED_VALUE"""),44473.458344907405)</f>
        <v>44473.45834</v>
      </c>
      <c r="V3" s="19" t="str">
        <f>IFERROR(__xludf.DUMMYFUNCTION("""COMPUTED_VALUE"""),"Garena Free Fire")</f>
        <v>Garena Free Fire</v>
      </c>
      <c r="W3" s="19" t="str">
        <f>IFERROR(__xludf.DUMMYFUNCTION("""COMPUTED_VALUE"""),"740460599475760_1905162739672201")</f>
        <v>740460599475760_1905162739672201</v>
      </c>
      <c r="X3" s="19" t="str">
        <f>IFERROR(__xludf.DUMMYFUNCTION("""COMPUTED_VALUE"""),"added_photos")</f>
        <v>added_photos</v>
      </c>
      <c r="Y3" s="19" t="str">
        <f>IFERROR(__xludf.DUMMYFUNCTION("""COMPUTED_VALUE"""),"photo")</f>
        <v>photo</v>
      </c>
      <c r="Z3" s="19" t="str">
        <f>IFERROR(__xludf.DUMMYFUNCTION("""COMPUTED_VALUE"""),"⏳วันสุดท้าย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2.หลังจากนั้นเข้าเกม"&amp;"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3" s="50" t="str">
        <f>IFERROR(__xludf.DUMMYFUNCTION("""COMPUTED_VALUE"""),"https://www.facebook.com/740460599475760/posts/1905162739672201/")</f>
        <v>https://www.facebook.com/740460599475760/posts/1905162739672201/</v>
      </c>
      <c r="AB3" s="19">
        <f>IFERROR(__xludf.DUMMYFUNCTION("""COMPUTED_VALUE"""),1.0)</f>
        <v>1</v>
      </c>
      <c r="AC3" s="19">
        <f>IFERROR(__xludf.DUMMYFUNCTION("""COMPUTED_VALUE"""),307.0)</f>
        <v>307</v>
      </c>
      <c r="AD3" s="19">
        <f>IFERROR(__xludf.DUMMYFUNCTION("""COMPUTED_VALUE"""),316.0)</f>
        <v>316</v>
      </c>
      <c r="AE3" s="19">
        <f>IFERROR(__xludf.DUMMYFUNCTION("""COMPUTED_VALUE"""),56.0)</f>
        <v>56</v>
      </c>
      <c r="AF3" s="19">
        <f>IFERROR(__xludf.DUMMYFUNCTION("""COMPUTED_VALUE"""),7.0)</f>
        <v>7</v>
      </c>
      <c r="AG3" s="19">
        <f>IFERROR(__xludf.DUMMYFUNCTION("""COMPUTED_VALUE"""),307.0)</f>
        <v>307</v>
      </c>
      <c r="AH3" s="19">
        <f>IFERROR(__xludf.DUMMYFUNCTION("""COMPUTED_VALUE"""),41.0)</f>
        <v>41</v>
      </c>
      <c r="AI3" s="19">
        <f>IFERROR(__xludf.DUMMYFUNCTION("""COMPUTED_VALUE"""),11.0)</f>
        <v>11</v>
      </c>
      <c r="AJ3" s="19">
        <f>IFERROR(__xludf.DUMMYFUNCTION("""COMPUTED_VALUE"""),1.0)</f>
        <v>1</v>
      </c>
    </row>
    <row r="4" ht="22.5" customHeight="1">
      <c r="A4" s="42">
        <v>44470.0</v>
      </c>
      <c r="B4" s="43">
        <v>44470.83337962963</v>
      </c>
      <c r="C4" s="17" t="s">
        <v>78</v>
      </c>
      <c r="D4" s="17" t="s">
        <v>87</v>
      </c>
      <c r="E4" s="17" t="s">
        <v>84</v>
      </c>
      <c r="F4" s="17" t="s">
        <v>50</v>
      </c>
      <c r="G4" s="17" t="s">
        <v>88</v>
      </c>
      <c r="H4" s="44" t="s">
        <v>89</v>
      </c>
      <c r="I4" s="45">
        <v>1.0</v>
      </c>
      <c r="J4" s="45">
        <v>1345.0</v>
      </c>
      <c r="K4" s="45">
        <v>1368.0</v>
      </c>
      <c r="L4" s="45">
        <v>87.0</v>
      </c>
      <c r="M4" s="45">
        <v>21.0</v>
      </c>
      <c r="N4" s="45">
        <v>1345.0</v>
      </c>
      <c r="O4" s="46">
        <v>40.0</v>
      </c>
      <c r="P4" s="46">
        <v>20.0</v>
      </c>
      <c r="Q4" s="46">
        <f>IFERROR(__xludf.DUMMYFUNCTION("""COMPUTED_VALUE"""),0.0)</f>
        <v>0</v>
      </c>
      <c r="R4" s="47">
        <v>23.0</v>
      </c>
      <c r="T4" s="48">
        <f>IFERROR(__xludf.DUMMYFUNCTION("""COMPUTED_VALUE"""),44482.0)</f>
        <v>44482</v>
      </c>
      <c r="U4" s="49">
        <f>IFERROR(__xludf.DUMMYFUNCTION("""COMPUTED_VALUE"""),44482.50001157408)</f>
        <v>44482.50001</v>
      </c>
      <c r="V4" s="19" t="str">
        <f>IFERROR(__xludf.DUMMYFUNCTION("""COMPUTED_VALUE"""),"Garena Free Fire")</f>
        <v>Garena Free Fire</v>
      </c>
      <c r="W4" s="19" t="str">
        <f>IFERROR(__xludf.DUMMYFUNCTION("""COMPUTED_VALUE"""),"740460599475760_1914639852057823")</f>
        <v>740460599475760_1914639852057823</v>
      </c>
      <c r="X4" s="19" t="str">
        <f>IFERROR(__xludf.DUMMYFUNCTION("""COMPUTED_VALUE"""),"added_photos")</f>
        <v>added_photos</v>
      </c>
      <c r="Y4" s="19" t="str">
        <f>IFERROR(__xludf.DUMMYFUNCTION("""COMPUTED_VALUE"""),"photo")</f>
        <v>photo</v>
      </c>
      <c r="Z4" s="19" t="str">
        <f>IFERROR(__xludf.DUMMYFUNCTION("""COMPUTED_VALUE"""),"⏳แฟชั่นเซ็ตใหม่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หากยังไม่มีแอปฯจะพาไปหน้าด"&amp;"าวน์โหลดก่อน)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2.หลังจากนั้นเข้าเกม"&amp;"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4" s="50" t="str">
        <f>IFERROR(__xludf.DUMMYFUNCTION("""COMPUTED_VALUE"""),"https://www.facebook.com/740460599475760/posts/1914639852057823/")</f>
        <v>https://www.facebook.com/740460599475760/posts/1914639852057823/</v>
      </c>
      <c r="AB4" s="19">
        <f>IFERROR(__xludf.DUMMYFUNCTION("""COMPUTED_VALUE"""),1.0)</f>
        <v>1</v>
      </c>
      <c r="AC4" s="19">
        <f>IFERROR(__xludf.DUMMYFUNCTION("""COMPUTED_VALUE"""),226.0)</f>
        <v>226</v>
      </c>
      <c r="AD4" s="19">
        <f>IFERROR(__xludf.DUMMYFUNCTION("""COMPUTED_VALUE"""),234.0)</f>
        <v>234</v>
      </c>
      <c r="AE4" s="19">
        <f>IFERROR(__xludf.DUMMYFUNCTION("""COMPUTED_VALUE"""),32.0)</f>
        <v>32</v>
      </c>
      <c r="AF4" s="19">
        <f>IFERROR(__xludf.DUMMYFUNCTION("""COMPUTED_VALUE"""),9.0)</f>
        <v>9</v>
      </c>
      <c r="AG4" s="19">
        <f>IFERROR(__xludf.DUMMYFUNCTION("""COMPUTED_VALUE"""),226.0)</f>
        <v>226</v>
      </c>
      <c r="AH4" s="19">
        <f>IFERROR(__xludf.DUMMYFUNCTION("""COMPUTED_VALUE"""),42.0)</f>
        <v>42</v>
      </c>
      <c r="AI4" s="19">
        <f>IFERROR(__xludf.DUMMYFUNCTION("""COMPUTED_VALUE"""),12.0)</f>
        <v>12</v>
      </c>
      <c r="AJ4" s="19">
        <f>IFERROR(__xludf.DUMMYFUNCTION("""COMPUTED_VALUE"""),1.0)</f>
        <v>1</v>
      </c>
    </row>
    <row r="5" ht="22.5" customHeight="1">
      <c r="A5" s="42">
        <v>44471.0</v>
      </c>
      <c r="B5" s="43">
        <v>44471.625497685185</v>
      </c>
      <c r="C5" s="17" t="s">
        <v>78</v>
      </c>
      <c r="D5" s="17" t="s">
        <v>90</v>
      </c>
      <c r="E5" s="17" t="s">
        <v>84</v>
      </c>
      <c r="F5" s="17" t="s">
        <v>50</v>
      </c>
      <c r="G5" s="17" t="s">
        <v>91</v>
      </c>
      <c r="H5" s="44" t="s">
        <v>92</v>
      </c>
      <c r="I5" s="45">
        <v>1.0</v>
      </c>
      <c r="J5" s="45">
        <v>256.0</v>
      </c>
      <c r="K5" s="45">
        <v>271.0</v>
      </c>
      <c r="L5" s="45">
        <v>41.0</v>
      </c>
      <c r="M5" s="45">
        <v>10.0</v>
      </c>
      <c r="N5" s="45">
        <v>256.0</v>
      </c>
      <c r="O5" s="46">
        <v>40.0</v>
      </c>
      <c r="P5" s="46">
        <v>15.0</v>
      </c>
      <c r="Q5" s="46">
        <f>IFERROR(__xludf.DUMMYFUNCTION("""COMPUTED_VALUE"""),0.0)</f>
        <v>0</v>
      </c>
      <c r="R5" s="47">
        <v>15.0</v>
      </c>
      <c r="T5" s="48">
        <f>IFERROR(__xludf.DUMMYFUNCTION("""COMPUTED_VALUE"""),44486.0)</f>
        <v>44486</v>
      </c>
      <c r="U5" s="49">
        <f>IFERROR(__xludf.DUMMYFUNCTION("""COMPUTED_VALUE"""),44486.458333333336)</f>
        <v>44486.45833</v>
      </c>
      <c r="V5" s="19" t="str">
        <f>IFERROR(__xludf.DUMMYFUNCTION("""COMPUTED_VALUE"""),"Garena Free Fire")</f>
        <v>Garena Free Fire</v>
      </c>
      <c r="W5" s="19" t="str">
        <f>IFERROR(__xludf.DUMMYFUNCTION("""COMPUTED_VALUE"""),"740460599475760_1917094281812380")</f>
        <v>740460599475760_1917094281812380</v>
      </c>
      <c r="X5" s="19" t="str">
        <f>IFERROR(__xludf.DUMMYFUNCTION("""COMPUTED_VALUE"""),"added_photos")</f>
        <v>added_photos</v>
      </c>
      <c r="Y5" s="19" t="str">
        <f>IFERROR(__xludf.DUMMYFUNCTION("""COMPUTED_VALUE"""),"photo")</f>
        <v>photo</v>
      </c>
      <c r="Z5" s="19" t="str">
        <f>IFERROR(__xludf.DUMMYFUNCTION("""COMPUTED_VALUE"""),"⏳โปรสุดคุ้ม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2.หลังจากนั้นเข้าเก"&amp;"ม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5" s="50" t="str">
        <f>IFERROR(__xludf.DUMMYFUNCTION("""COMPUTED_VALUE"""),"https://www.facebook.com/740460599475760/posts/1917094281812380/")</f>
        <v>https://www.facebook.com/740460599475760/posts/1917094281812380/</v>
      </c>
      <c r="AB5" s="19">
        <f>IFERROR(__xludf.DUMMYFUNCTION("""COMPUTED_VALUE"""),1.0)</f>
        <v>1</v>
      </c>
      <c r="AC5" s="19">
        <f>IFERROR(__xludf.DUMMYFUNCTION("""COMPUTED_VALUE"""),158.0)</f>
        <v>158</v>
      </c>
      <c r="AD5" s="19">
        <f>IFERROR(__xludf.DUMMYFUNCTION("""COMPUTED_VALUE"""),162.0)</f>
        <v>162</v>
      </c>
      <c r="AE5" s="19">
        <f>IFERROR(__xludf.DUMMYFUNCTION("""COMPUTED_VALUE"""),14.0)</f>
        <v>14</v>
      </c>
      <c r="AF5" s="19">
        <f>IFERROR(__xludf.DUMMYFUNCTION("""COMPUTED_VALUE"""),1.0)</f>
        <v>1</v>
      </c>
      <c r="AG5" s="19">
        <f>IFERROR(__xludf.DUMMYFUNCTION("""COMPUTED_VALUE"""),158.0)</f>
        <v>158</v>
      </c>
      <c r="AH5" s="19">
        <f>IFERROR(__xludf.DUMMYFUNCTION("""COMPUTED_VALUE"""),43.0)</f>
        <v>43</v>
      </c>
      <c r="AI5" s="19">
        <f>IFERROR(__xludf.DUMMYFUNCTION("""COMPUTED_VALUE"""),11.0)</f>
        <v>11</v>
      </c>
      <c r="AJ5" s="19">
        <f>IFERROR(__xludf.DUMMYFUNCTION("""COMPUTED_VALUE"""),1.0)</f>
        <v>1</v>
      </c>
    </row>
    <row r="6" ht="22.5" customHeight="1">
      <c r="A6" s="42">
        <v>44472.0</v>
      </c>
      <c r="B6" s="43">
        <v>44472.333344907405</v>
      </c>
      <c r="C6" s="17" t="s">
        <v>78</v>
      </c>
      <c r="D6" s="17" t="s">
        <v>93</v>
      </c>
      <c r="E6" s="17" t="s">
        <v>84</v>
      </c>
      <c r="F6" s="17" t="s">
        <v>50</v>
      </c>
      <c r="G6" s="17" t="s">
        <v>94</v>
      </c>
      <c r="H6" s="44" t="s">
        <v>95</v>
      </c>
      <c r="I6" s="45">
        <v>1.0</v>
      </c>
      <c r="J6" s="45">
        <v>1552.0</v>
      </c>
      <c r="K6" s="45">
        <v>1630.0</v>
      </c>
      <c r="L6" s="45">
        <v>331.0</v>
      </c>
      <c r="M6" s="45">
        <v>54.0</v>
      </c>
      <c r="N6" s="45">
        <v>1552.0</v>
      </c>
      <c r="O6" s="46">
        <v>41.0</v>
      </c>
      <c r="P6" s="46">
        <v>8.0</v>
      </c>
      <c r="Q6" s="46">
        <f>IFERROR(__xludf.DUMMYFUNCTION("""COMPUTED_VALUE"""),1.0)</f>
        <v>1</v>
      </c>
      <c r="R6" s="47">
        <v>78.0</v>
      </c>
      <c r="T6" s="48">
        <f>IFERROR(__xludf.DUMMYFUNCTION("""COMPUTED_VALUE"""),44490.0)</f>
        <v>44490</v>
      </c>
      <c r="U6" s="49">
        <f>IFERROR(__xludf.DUMMYFUNCTION("""COMPUTED_VALUE"""),44490.45836805556)</f>
        <v>44490.45837</v>
      </c>
      <c r="V6" s="19" t="str">
        <f>IFERROR(__xludf.DUMMYFUNCTION("""COMPUTED_VALUE"""),"Garena Free Fire")</f>
        <v>Garena Free Fire</v>
      </c>
      <c r="W6" s="19" t="str">
        <f>IFERROR(__xludf.DUMMYFUNCTION("""COMPUTED_VALUE"""),"740460599475760_1920381241483684")</f>
        <v>740460599475760_1920381241483684</v>
      </c>
      <c r="X6" s="19" t="str">
        <f>IFERROR(__xludf.DUMMYFUNCTION("""COMPUTED_VALUE"""),"added_photos")</f>
        <v>added_photos</v>
      </c>
      <c r="Y6" s="19" t="str">
        <f>IFERROR(__xludf.DUMMYFUNCTION("""COMPUTED_VALUE"""),"photo")</f>
        <v>photo</v>
      </c>
      <c r="Z6" s="19" t="str">
        <f>IFERROR(__xludf.DUMMYFUNCTION("""COMPUTED_VALUE"""),"⏳คุ้มจัดๆแบบนี้ต้องจัดแล้วว⏳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หากยังไม่มีแอปฯจะพาไปหน"&amp;"้าดาวน์โหลดก่อน)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2.หลังจากนั้นเ"&amp;"ข้าเกม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(2"&amp;"3:59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6" s="50" t="str">
        <f>IFERROR(__xludf.DUMMYFUNCTION("""COMPUTED_VALUE"""),"https://www.facebook.com/740460599475760/posts/1920381241483684/")</f>
        <v>https://www.facebook.com/740460599475760/posts/1920381241483684/</v>
      </c>
      <c r="AB6" s="19">
        <f>IFERROR(__xludf.DUMMYFUNCTION("""COMPUTED_VALUE"""),1.0)</f>
        <v>1</v>
      </c>
      <c r="AC6" s="19">
        <f>IFERROR(__xludf.DUMMYFUNCTION("""COMPUTED_VALUE"""),186.0)</f>
        <v>186</v>
      </c>
      <c r="AD6" s="19">
        <f>IFERROR(__xludf.DUMMYFUNCTION("""COMPUTED_VALUE"""),191.0)</f>
        <v>191</v>
      </c>
      <c r="AE6" s="19">
        <f>IFERROR(__xludf.DUMMYFUNCTION("""COMPUTED_VALUE"""),30.0)</f>
        <v>30</v>
      </c>
      <c r="AF6" s="19">
        <f>IFERROR(__xludf.DUMMYFUNCTION("""COMPUTED_VALUE"""),5.0)</f>
        <v>5</v>
      </c>
      <c r="AG6" s="19">
        <f>IFERROR(__xludf.DUMMYFUNCTION("""COMPUTED_VALUE"""),186.0)</f>
        <v>186</v>
      </c>
      <c r="AH6" s="19">
        <f>IFERROR(__xludf.DUMMYFUNCTION("""COMPUTED_VALUE"""),43.0)</f>
        <v>43</v>
      </c>
      <c r="AI6" s="19">
        <f>IFERROR(__xludf.DUMMYFUNCTION("""COMPUTED_VALUE"""),11.0)</f>
        <v>11</v>
      </c>
      <c r="AJ6" s="19">
        <f>IFERROR(__xludf.DUMMYFUNCTION("""COMPUTED_VALUE"""),1.0)</f>
        <v>1</v>
      </c>
    </row>
    <row r="7" ht="22.5" customHeight="1">
      <c r="A7" s="42">
        <v>44472.0</v>
      </c>
      <c r="B7" s="43">
        <v>44472.37532407408</v>
      </c>
      <c r="C7" s="17" t="s">
        <v>78</v>
      </c>
      <c r="D7" s="17" t="s">
        <v>96</v>
      </c>
      <c r="E7" s="17" t="s">
        <v>97</v>
      </c>
      <c r="F7" s="17" t="s">
        <v>52</v>
      </c>
      <c r="G7" s="17" t="s">
        <v>98</v>
      </c>
      <c r="H7" s="44" t="s">
        <v>99</v>
      </c>
      <c r="I7" s="45">
        <v>1.0</v>
      </c>
      <c r="J7" s="45">
        <v>68.0</v>
      </c>
      <c r="K7" s="45">
        <v>73.0</v>
      </c>
      <c r="L7" s="45">
        <v>2.0</v>
      </c>
      <c r="M7" s="45"/>
      <c r="N7" s="45">
        <v>68.0</v>
      </c>
      <c r="O7" s="46">
        <v>41.0</v>
      </c>
      <c r="P7" s="46">
        <v>9.0</v>
      </c>
      <c r="Q7" s="46">
        <f>IFERROR(__xludf.DUMMYFUNCTION("""COMPUTED_VALUE"""),0.0)</f>
        <v>0</v>
      </c>
      <c r="R7" s="47">
        <v>5.0</v>
      </c>
      <c r="T7" s="48">
        <f>IFERROR(__xludf.DUMMYFUNCTION("""COMPUTED_VALUE"""),44498.0)</f>
        <v>44498</v>
      </c>
      <c r="U7" s="49">
        <f>IFERROR(__xludf.DUMMYFUNCTION("""COMPUTED_VALUE"""),44498.45837962963)</f>
        <v>44498.45838</v>
      </c>
      <c r="V7" s="19" t="str">
        <f>IFERROR(__xludf.DUMMYFUNCTION("""COMPUTED_VALUE"""),"Garena Free Fire")</f>
        <v>Garena Free Fire</v>
      </c>
      <c r="W7" s="19" t="str">
        <f>IFERROR(__xludf.DUMMYFUNCTION("""COMPUTED_VALUE"""),"740460599475760_1925663274288814")</f>
        <v>740460599475760_1925663274288814</v>
      </c>
      <c r="X7" s="19" t="str">
        <f>IFERROR(__xludf.DUMMYFUNCTION("""COMPUTED_VALUE"""),"added_photos")</f>
        <v>added_photos</v>
      </c>
      <c r="Y7" s="19" t="str">
        <f>IFERROR(__xludf.DUMMYFUNCTION("""COMPUTED_VALUE"""),"photo")</f>
        <v>photo</v>
      </c>
      <c r="Z7" s="19" t="str">
        <f>IFERROR(__xludf.DUMMYFUNCTION("""COMPUTED_VALUE"""),"⏳โปรสุดโหด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2.หลังจากนั้นเข้าเก"&amp;"ม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7" s="50" t="str">
        <f>IFERROR(__xludf.DUMMYFUNCTION("""COMPUTED_VALUE"""),"https://www.facebook.com/740460599475760/posts/1925663274288814/")</f>
        <v>https://www.facebook.com/740460599475760/posts/1925663274288814/</v>
      </c>
      <c r="AB7" s="19">
        <f>IFERROR(__xludf.DUMMYFUNCTION("""COMPUTED_VALUE"""),1.0)</f>
        <v>1</v>
      </c>
      <c r="AC7" s="19">
        <f>IFERROR(__xludf.DUMMYFUNCTION("""COMPUTED_VALUE"""),172.0)</f>
        <v>172</v>
      </c>
      <c r="AD7" s="19">
        <f>IFERROR(__xludf.DUMMYFUNCTION("""COMPUTED_VALUE"""),178.0)</f>
        <v>178</v>
      </c>
      <c r="AE7" s="19">
        <f>IFERROR(__xludf.DUMMYFUNCTION("""COMPUTED_VALUE"""),33.0)</f>
        <v>33</v>
      </c>
      <c r="AF7" s="19">
        <f>IFERROR(__xludf.DUMMYFUNCTION("""COMPUTED_VALUE"""),1.0)</f>
        <v>1</v>
      </c>
      <c r="AG7" s="19">
        <f>IFERROR(__xludf.DUMMYFUNCTION("""COMPUTED_VALUE"""),172.0)</f>
        <v>172</v>
      </c>
      <c r="AH7" s="19">
        <f>IFERROR(__xludf.DUMMYFUNCTION("""COMPUTED_VALUE"""),44.0)</f>
        <v>44</v>
      </c>
      <c r="AI7" s="19">
        <f>IFERROR(__xludf.DUMMYFUNCTION("""COMPUTED_VALUE"""),11.0)</f>
        <v>11</v>
      </c>
      <c r="AJ7" s="19">
        <f>IFERROR(__xludf.DUMMYFUNCTION("""COMPUTED_VALUE"""),1.0)</f>
        <v>1</v>
      </c>
    </row>
    <row r="8" ht="22.5" customHeight="1">
      <c r="A8" s="42">
        <v>44472.0</v>
      </c>
      <c r="B8" s="43">
        <v>44472.37568287037</v>
      </c>
      <c r="C8" s="17" t="s">
        <v>78</v>
      </c>
      <c r="D8" s="17" t="s">
        <v>100</v>
      </c>
      <c r="E8" s="17" t="s">
        <v>97</v>
      </c>
      <c r="F8" s="17" t="s">
        <v>52</v>
      </c>
      <c r="G8" s="17" t="s">
        <v>98</v>
      </c>
      <c r="H8" s="44" t="s">
        <v>101</v>
      </c>
      <c r="I8" s="45">
        <v>1.0</v>
      </c>
      <c r="J8" s="45">
        <v>163.0</v>
      </c>
      <c r="K8" s="45">
        <v>167.0</v>
      </c>
      <c r="L8" s="45">
        <v>9.0</v>
      </c>
      <c r="M8" s="45">
        <v>6.0</v>
      </c>
      <c r="N8" s="45">
        <v>163.0</v>
      </c>
      <c r="O8" s="46">
        <v>41.0</v>
      </c>
      <c r="P8" s="46">
        <v>9.0</v>
      </c>
      <c r="Q8" s="46">
        <f>IFERROR(__xludf.DUMMYFUNCTION("""COMPUTED_VALUE"""),0.0)</f>
        <v>0</v>
      </c>
      <c r="R8" s="47">
        <v>4.0</v>
      </c>
      <c r="T8" s="48">
        <f>IFERROR(__xludf.DUMMYFUNCTION("""COMPUTED_VALUE"""),44499.0)</f>
        <v>44499</v>
      </c>
      <c r="U8" s="49">
        <f>IFERROR(__xludf.DUMMYFUNCTION("""COMPUTED_VALUE"""),44499.29168981482)</f>
        <v>44499.29169</v>
      </c>
      <c r="V8" s="19" t="str">
        <f>IFERROR(__xludf.DUMMYFUNCTION("""COMPUTED_VALUE"""),"Garena Free Fire")</f>
        <v>Garena Free Fire</v>
      </c>
      <c r="W8" s="19" t="str">
        <f>IFERROR(__xludf.DUMMYFUNCTION("""COMPUTED_VALUE"""),"740460599475760_1928423800679428")</f>
        <v>740460599475760_1928423800679428</v>
      </c>
      <c r="X8" s="19" t="str">
        <f>IFERROR(__xludf.DUMMYFUNCTION("""COMPUTED_VALUE"""),"added_photos")</f>
        <v>added_photos</v>
      </c>
      <c r="Y8" s="19" t="str">
        <f>IFERROR(__xludf.DUMMYFUNCTION("""COMPUTED_VALUE"""),"photo")</f>
        <v>photo</v>
      </c>
      <c r="Z8" s="19" t="str">
        <f>IFERROR(__xludf.DUMMYFUNCTION("""COMPUTED_VALUE"""),"ก่อนที่จะจากลาเดือนตุลาคมนี้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f>
        <v>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v>
      </c>
      <c r="AA8" s="50" t="str">
        <f>IFERROR(__xludf.DUMMYFUNCTION("""COMPUTED_VALUE"""),"https://www.facebook.com/740460599475760/posts/1928423800679428/")</f>
        <v>https://www.facebook.com/740460599475760/posts/1928423800679428/</v>
      </c>
      <c r="AB8" s="19">
        <f>IFERROR(__xludf.DUMMYFUNCTION("""COMPUTED_VALUE"""),1.0)</f>
        <v>1</v>
      </c>
      <c r="AC8" s="19">
        <f>IFERROR(__xludf.DUMMYFUNCTION("""COMPUTED_VALUE"""),1185.0)</f>
        <v>1185</v>
      </c>
      <c r="AD8" s="19">
        <f>IFERROR(__xludf.DUMMYFUNCTION("""COMPUTED_VALUE"""),1232.0)</f>
        <v>1232</v>
      </c>
      <c r="AE8" s="19">
        <f>IFERROR(__xludf.DUMMYFUNCTION("""COMPUTED_VALUE"""),161.0)</f>
        <v>161</v>
      </c>
      <c r="AF8" s="19">
        <f>IFERROR(__xludf.DUMMYFUNCTION("""COMPUTED_VALUE"""),41.0)</f>
        <v>41</v>
      </c>
      <c r="AG8" s="19">
        <f>IFERROR(__xludf.DUMMYFUNCTION("""COMPUTED_VALUE"""),1185.0)</f>
        <v>1185</v>
      </c>
      <c r="AH8" s="19">
        <f>IFERROR(__xludf.DUMMYFUNCTION("""COMPUTED_VALUE"""),44.0)</f>
        <v>44</v>
      </c>
      <c r="AI8" s="19">
        <f>IFERROR(__xludf.DUMMYFUNCTION("""COMPUTED_VALUE"""),7.0)</f>
        <v>7</v>
      </c>
      <c r="AJ8" s="19">
        <f>IFERROR(__xludf.DUMMYFUNCTION("""COMPUTED_VALUE"""),1.0)</f>
        <v>1</v>
      </c>
    </row>
    <row r="9" ht="22.5" customHeight="1">
      <c r="A9" s="42">
        <v>44472.0</v>
      </c>
      <c r="B9" s="43">
        <v>44472.541712962964</v>
      </c>
      <c r="C9" s="17" t="s">
        <v>78</v>
      </c>
      <c r="D9" s="17" t="s">
        <v>102</v>
      </c>
      <c r="E9" s="17" t="s">
        <v>80</v>
      </c>
      <c r="F9" s="17" t="s">
        <v>53</v>
      </c>
      <c r="G9" s="17" t="s">
        <v>103</v>
      </c>
      <c r="H9" s="44" t="s">
        <v>104</v>
      </c>
      <c r="I9" s="45">
        <v>1.0</v>
      </c>
      <c r="J9" s="45">
        <v>1969.0</v>
      </c>
      <c r="K9" s="45">
        <v>2168.0</v>
      </c>
      <c r="L9" s="45">
        <v>158.0</v>
      </c>
      <c r="M9" s="45">
        <v>90.0</v>
      </c>
      <c r="N9" s="45">
        <v>1969.0</v>
      </c>
      <c r="O9" s="46">
        <v>41.0</v>
      </c>
      <c r="P9" s="46">
        <v>13.0</v>
      </c>
      <c r="Q9" s="46">
        <f>IFERROR(__xludf.DUMMYFUNCTION("""COMPUTED_VALUE"""),0.0)</f>
        <v>0</v>
      </c>
      <c r="R9" s="47">
        <v>199.0</v>
      </c>
      <c r="T9" s="48">
        <f>IFERROR(__xludf.DUMMYFUNCTION("""COMPUTED_VALUE"""),44500.0)</f>
        <v>44500</v>
      </c>
      <c r="U9" s="49">
        <f>IFERROR(__xludf.DUMMYFUNCTION("""COMPUTED_VALUE"""),44500.45837962963)</f>
        <v>44500.45838</v>
      </c>
      <c r="V9" s="19" t="str">
        <f>IFERROR(__xludf.DUMMYFUNCTION("""COMPUTED_VALUE"""),"Garena Free Fire")</f>
        <v>Garena Free Fire</v>
      </c>
      <c r="W9" s="19" t="str">
        <f>IFERROR(__xludf.DUMMYFUNCTION("""COMPUTED_VALUE"""),"740460599475760_1925661867622288")</f>
        <v>740460599475760_1925661867622288</v>
      </c>
      <c r="X9" s="19" t="str">
        <f>IFERROR(__xludf.DUMMYFUNCTION("""COMPUTED_VALUE"""),"added_photos")</f>
        <v>added_photos</v>
      </c>
      <c r="Y9" s="19" t="str">
        <f>IFERROR(__xludf.DUMMYFUNCTION("""COMPUTED_VALUE"""),"photo")</f>
        <v>photo</v>
      </c>
      <c r="Z9" s="19" t="str">
        <f>IFERROR(__xludf.DUMMYFUNCTION("""COMPUTED_VALUE"""),"⏳เงินคืนกระจุย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หากยังไม่มีแอปฯจะพา"&amp;"ไปหน้าดาวน์โหลดก่อน)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2.หลังจากน"&amp;"ั้นเข้าเกม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6"&amp;"4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9" s="50" t="str">
        <f>IFERROR(__xludf.DUMMYFUNCTION("""COMPUTED_VALUE"""),"https://www.facebook.com/740460599475760/posts/1925661867622288/")</f>
        <v>https://www.facebook.com/740460599475760/posts/1925661867622288/</v>
      </c>
      <c r="AB9" s="19">
        <f>IFERROR(__xludf.DUMMYFUNCTION("""COMPUTED_VALUE"""),1.0)</f>
        <v>1</v>
      </c>
      <c r="AC9" s="19">
        <f>IFERROR(__xludf.DUMMYFUNCTION("""COMPUTED_VALUE"""),157.0)</f>
        <v>157</v>
      </c>
      <c r="AD9" s="19">
        <f>IFERROR(__xludf.DUMMYFUNCTION("""COMPUTED_VALUE"""),163.0)</f>
        <v>163</v>
      </c>
      <c r="AE9" s="19">
        <f>IFERROR(__xludf.DUMMYFUNCTION("""COMPUTED_VALUE"""),30.0)</f>
        <v>30</v>
      </c>
      <c r="AF9" s="19">
        <f>IFERROR(__xludf.DUMMYFUNCTION("""COMPUTED_VALUE"""),3.0)</f>
        <v>3</v>
      </c>
      <c r="AG9" s="19">
        <f>IFERROR(__xludf.DUMMYFUNCTION("""COMPUTED_VALUE"""),157.0)</f>
        <v>157</v>
      </c>
      <c r="AH9" s="19">
        <f>IFERROR(__xludf.DUMMYFUNCTION("""COMPUTED_VALUE"""),45.0)</f>
        <v>45</v>
      </c>
      <c r="AI9" s="19">
        <f>IFERROR(__xludf.DUMMYFUNCTION("""COMPUTED_VALUE"""),11.0)</f>
        <v>11</v>
      </c>
      <c r="AJ9" s="19">
        <f>IFERROR(__xludf.DUMMYFUNCTION("""COMPUTED_VALUE"""),1.0)</f>
        <v>1</v>
      </c>
    </row>
    <row r="10" ht="36.75" customHeight="1">
      <c r="A10" s="42">
        <v>44473.0</v>
      </c>
      <c r="B10" s="43">
        <v>44473.458344907405</v>
      </c>
      <c r="C10" s="17" t="s">
        <v>78</v>
      </c>
      <c r="D10" s="17" t="s">
        <v>105</v>
      </c>
      <c r="E10" s="17" t="s">
        <v>84</v>
      </c>
      <c r="F10" s="17" t="s">
        <v>50</v>
      </c>
      <c r="G10" s="17" t="s">
        <v>106</v>
      </c>
      <c r="H10" s="44" t="s">
        <v>107</v>
      </c>
      <c r="I10" s="45">
        <v>1.0</v>
      </c>
      <c r="J10" s="45">
        <v>307.0</v>
      </c>
      <c r="K10" s="45">
        <v>316.0</v>
      </c>
      <c r="L10" s="45">
        <v>56.0</v>
      </c>
      <c r="M10" s="45">
        <v>7.0</v>
      </c>
      <c r="N10" s="45">
        <v>307.0</v>
      </c>
      <c r="O10" s="46">
        <v>41.0</v>
      </c>
      <c r="P10" s="46">
        <v>11.0</v>
      </c>
      <c r="Q10" s="46">
        <f>IFERROR(__xludf.DUMMYFUNCTION("""COMPUTED_VALUE"""),1.0)</f>
        <v>1</v>
      </c>
      <c r="R10" s="47">
        <v>9.0</v>
      </c>
      <c r="T10" s="48">
        <f>IFERROR(__xludf.DUMMYFUNCTION("""COMPUTED_VALUE"""),44503.0)</f>
        <v>44503</v>
      </c>
      <c r="U10" s="49">
        <f>IFERROR(__xludf.DUMMYFUNCTION("""COMPUTED_VALUE"""),44503.45835648148)</f>
        <v>44503.45836</v>
      </c>
      <c r="V10" s="19" t="str">
        <f>IFERROR(__xludf.DUMMYFUNCTION("""COMPUTED_VALUE"""),"Garena Free Fire")</f>
        <v>Garena Free Fire</v>
      </c>
      <c r="W10" s="19" t="str">
        <f>IFERROR(__xludf.DUMMYFUNCTION("""COMPUTED_VALUE"""),"740460599475760_1931154987072976")</f>
        <v>740460599475760_1931154987072976</v>
      </c>
      <c r="X10" s="19" t="str">
        <f>IFERROR(__xludf.DUMMYFUNCTION("""COMPUTED_VALUE"""),"added_photos")</f>
        <v>added_photos</v>
      </c>
      <c r="Y10" s="19" t="str">
        <f>IFERROR(__xludf.DUMMYFUNCTION("""COMPUTED_VALUE"""),"photo")</f>
        <v>photo</v>
      </c>
      <c r="Z10" s="1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0" s="50" t="str">
        <f>IFERROR(__xludf.DUMMYFUNCTION("""COMPUTED_VALUE"""),"https://www.facebook.com/740460599475760/posts/1931154987072976/")</f>
        <v>https://www.facebook.com/740460599475760/posts/1931154987072976/</v>
      </c>
      <c r="AB10" s="19">
        <f>IFERROR(__xludf.DUMMYFUNCTION("""COMPUTED_VALUE"""),1.0)</f>
        <v>1</v>
      </c>
      <c r="AC10" s="19">
        <f>IFERROR(__xludf.DUMMYFUNCTION("""COMPUTED_VALUE"""),257.0)</f>
        <v>257</v>
      </c>
      <c r="AD10" s="19">
        <f>IFERROR(__xludf.DUMMYFUNCTION("""COMPUTED_VALUE"""),261.0)</f>
        <v>261</v>
      </c>
      <c r="AE10" s="19">
        <f>IFERROR(__xludf.DUMMYFUNCTION("""COMPUTED_VALUE"""),28.0)</f>
        <v>28</v>
      </c>
      <c r="AF10" s="19">
        <f>IFERROR(__xludf.DUMMYFUNCTION("""COMPUTED_VALUE"""),12.0)</f>
        <v>12</v>
      </c>
      <c r="AG10" s="19">
        <f>IFERROR(__xludf.DUMMYFUNCTION("""COMPUTED_VALUE"""),257.0)</f>
        <v>257</v>
      </c>
      <c r="AH10" s="19">
        <f>IFERROR(__xludf.DUMMYFUNCTION("""COMPUTED_VALUE"""),45.0)</f>
        <v>45</v>
      </c>
      <c r="AI10" s="19">
        <f>IFERROR(__xludf.DUMMYFUNCTION("""COMPUTED_VALUE"""),11.0)</f>
        <v>11</v>
      </c>
      <c r="AJ10" s="19">
        <f>IFERROR(__xludf.DUMMYFUNCTION("""COMPUTED_VALUE"""),1.0)</f>
        <v>1</v>
      </c>
    </row>
    <row r="11" ht="22.5" customHeight="1">
      <c r="A11" s="42">
        <v>44473.0</v>
      </c>
      <c r="B11" s="43">
        <v>44473.541712962964</v>
      </c>
      <c r="C11" s="17" t="s">
        <v>78</v>
      </c>
      <c r="D11" s="17" t="s">
        <v>108</v>
      </c>
      <c r="E11" s="17" t="s">
        <v>109</v>
      </c>
      <c r="F11" s="17" t="s">
        <v>49</v>
      </c>
      <c r="G11" s="17" t="s">
        <v>110</v>
      </c>
      <c r="H11" s="44" t="s">
        <v>111</v>
      </c>
      <c r="I11" s="45">
        <v>1.0</v>
      </c>
      <c r="J11" s="45">
        <v>496.0</v>
      </c>
      <c r="K11" s="45">
        <v>519.0</v>
      </c>
      <c r="L11" s="45">
        <v>55.0</v>
      </c>
      <c r="M11" s="45">
        <v>17.0</v>
      </c>
      <c r="N11" s="45">
        <v>496.0</v>
      </c>
      <c r="O11" s="46">
        <v>41.0</v>
      </c>
      <c r="P11" s="46">
        <v>13.0</v>
      </c>
      <c r="Q11" s="46">
        <f>IFERROR(__xludf.DUMMYFUNCTION("""COMPUTED_VALUE"""),0.0)</f>
        <v>0</v>
      </c>
      <c r="R11" s="47">
        <v>23.0</v>
      </c>
      <c r="T11" s="48">
        <f>IFERROR(__xludf.DUMMYFUNCTION("""COMPUTED_VALUE"""),44506.0)</f>
        <v>44506</v>
      </c>
      <c r="U11" s="49">
        <f>IFERROR(__xludf.DUMMYFUNCTION("""COMPUTED_VALUE"""),44506.62501157408)</f>
        <v>44506.62501</v>
      </c>
      <c r="V11" s="19" t="str">
        <f>IFERROR(__xludf.DUMMYFUNCTION("""COMPUTED_VALUE"""),"Garena Free Fire")</f>
        <v>Garena Free Fire</v>
      </c>
      <c r="W11" s="19" t="str">
        <f>IFERROR(__xludf.DUMMYFUNCTION("""COMPUTED_VALUE"""),"740460599475760_1932661716922303")</f>
        <v>740460599475760_1932661716922303</v>
      </c>
      <c r="X11" s="19" t="str">
        <f>IFERROR(__xludf.DUMMYFUNCTION("""COMPUTED_VALUE"""),"added_photos")</f>
        <v>added_photos</v>
      </c>
      <c r="Y11" s="19" t="str">
        <f>IFERROR(__xludf.DUMMYFUNCTION("""COMPUTED_VALUE"""),"photo")</f>
        <v>photo</v>
      </c>
      <c r="Z11" s="1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1" s="50" t="str">
        <f>IFERROR(__xludf.DUMMYFUNCTION("""COMPUTED_VALUE"""),"https://www.facebook.com/740460599475760/posts/1932661716922303/")</f>
        <v>https://www.facebook.com/740460599475760/posts/1932661716922303/</v>
      </c>
      <c r="AB11" s="19">
        <f>IFERROR(__xludf.DUMMYFUNCTION("""COMPUTED_VALUE"""),1.0)</f>
        <v>1</v>
      </c>
      <c r="AC11" s="19">
        <f>IFERROR(__xludf.DUMMYFUNCTION("""COMPUTED_VALUE"""),210.0)</f>
        <v>210</v>
      </c>
      <c r="AD11" s="19">
        <f>IFERROR(__xludf.DUMMYFUNCTION("""COMPUTED_VALUE"""),224.0)</f>
        <v>224</v>
      </c>
      <c r="AE11" s="19">
        <f>IFERROR(__xludf.DUMMYFUNCTION("""COMPUTED_VALUE"""),25.0)</f>
        <v>25</v>
      </c>
      <c r="AF11" s="19">
        <f>IFERROR(__xludf.DUMMYFUNCTION("""COMPUTED_VALUE"""),2.0)</f>
        <v>2</v>
      </c>
      <c r="AG11" s="19">
        <f>IFERROR(__xludf.DUMMYFUNCTION("""COMPUTED_VALUE"""),210.0)</f>
        <v>210</v>
      </c>
      <c r="AH11" s="19">
        <f>IFERROR(__xludf.DUMMYFUNCTION("""COMPUTED_VALUE"""),45.0)</f>
        <v>45</v>
      </c>
      <c r="AI11" s="19">
        <f>IFERROR(__xludf.DUMMYFUNCTION("""COMPUTED_VALUE"""),15.0)</f>
        <v>15</v>
      </c>
      <c r="AJ11" s="19">
        <f>IFERROR(__xludf.DUMMYFUNCTION("""COMPUTED_VALUE"""),1.0)</f>
        <v>1</v>
      </c>
    </row>
    <row r="12" ht="22.5" customHeight="1">
      <c r="A12" s="42">
        <v>44473.0</v>
      </c>
      <c r="B12" s="43">
        <v>44473.666666666664</v>
      </c>
      <c r="C12" s="17" t="s">
        <v>78</v>
      </c>
      <c r="D12" s="17" t="s">
        <v>112</v>
      </c>
      <c r="E12" s="17" t="s">
        <v>84</v>
      </c>
      <c r="F12" s="17" t="s">
        <v>50</v>
      </c>
      <c r="G12" s="17" t="s">
        <v>113</v>
      </c>
      <c r="H12" s="44" t="s">
        <v>114</v>
      </c>
      <c r="I12" s="45">
        <v>1.0</v>
      </c>
      <c r="J12" s="45">
        <v>1575.0</v>
      </c>
      <c r="K12" s="45">
        <v>1638.0</v>
      </c>
      <c r="L12" s="45">
        <v>261.0</v>
      </c>
      <c r="M12" s="45">
        <v>28.0</v>
      </c>
      <c r="N12" s="45">
        <v>1575.0</v>
      </c>
      <c r="O12" s="46">
        <v>41.0</v>
      </c>
      <c r="P12" s="46">
        <v>16.0</v>
      </c>
      <c r="Q12" s="46">
        <f>IFERROR(__xludf.DUMMYFUNCTION("""COMPUTED_VALUE"""),0.0)</f>
        <v>0</v>
      </c>
      <c r="R12" s="47">
        <v>63.0</v>
      </c>
      <c r="T12" s="48">
        <f>IFERROR(__xludf.DUMMYFUNCTION("""COMPUTED_VALUE"""),44517.0)</f>
        <v>44517</v>
      </c>
      <c r="U12" s="49">
        <f>IFERROR(__xludf.DUMMYFUNCTION("""COMPUTED_VALUE"""),44517.541666666664)</f>
        <v>44517.54167</v>
      </c>
      <c r="V12" s="19" t="str">
        <f>IFERROR(__xludf.DUMMYFUNCTION("""COMPUTED_VALUE"""),"Garena Free Fire")</f>
        <v>Garena Free Fire</v>
      </c>
      <c r="W12" s="19" t="str">
        <f>IFERROR(__xludf.DUMMYFUNCTION("""COMPUTED_VALUE"""),"740460599475760_1940979659423842")</f>
        <v>740460599475760_1940979659423842</v>
      </c>
      <c r="X12" s="19" t="str">
        <f>IFERROR(__xludf.DUMMYFUNCTION("""COMPUTED_VALUE"""),"added_photos")</f>
        <v>added_photos</v>
      </c>
      <c r="Y12" s="19" t="str">
        <f>IFERROR(__xludf.DUMMYFUNCTION("""COMPUTED_VALUE"""),"photo")</f>
        <v>photo</v>
      </c>
      <c r="Z12" s="19" t="str">
        <f>IFERROR(__xludf.DUMMYFUNCTION("""COMPUTED_VALUE"""),"🔥🔥ลดเดือด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(เปิดได้เฉพาะบนโทรศัพท์แอนดรอย"&amp;"ด์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1.เก็บคูปองในส่วนของโปรโมชั"&amp;"นพิเศษ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📅ระยะเวลากา"&amp;"รกดเก็บและกดรับคูปอง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2" s="50" t="str">
        <f>IFERROR(__xludf.DUMMYFUNCTION("""COMPUTED_VALUE"""),"https://www.facebook.com/740460599475760/posts/1940979659423842/")</f>
        <v>https://www.facebook.com/740460599475760/posts/1940979659423842/</v>
      </c>
      <c r="AB12" s="19">
        <f>IFERROR(__xludf.DUMMYFUNCTION("""COMPUTED_VALUE"""),1.0)</f>
        <v>1</v>
      </c>
      <c r="AC12" s="19">
        <f>IFERROR(__xludf.DUMMYFUNCTION("""COMPUTED_VALUE"""),219.0)</f>
        <v>219</v>
      </c>
      <c r="AD12" s="19">
        <f>IFERROR(__xludf.DUMMYFUNCTION("""COMPUTED_VALUE"""),228.0)</f>
        <v>228</v>
      </c>
      <c r="AE12" s="19">
        <f>IFERROR(__xludf.DUMMYFUNCTION("""COMPUTED_VALUE"""),33.0)</f>
        <v>33</v>
      </c>
      <c r="AF12" s="19">
        <f>IFERROR(__xludf.DUMMYFUNCTION("""COMPUTED_VALUE"""),5.0)</f>
        <v>5</v>
      </c>
      <c r="AG12" s="19">
        <f>IFERROR(__xludf.DUMMYFUNCTION("""COMPUTED_VALUE"""),219.0)</f>
        <v>219</v>
      </c>
      <c r="AH12" s="19">
        <f>IFERROR(__xludf.DUMMYFUNCTION("""COMPUTED_VALUE"""),47.0)</f>
        <v>47</v>
      </c>
      <c r="AI12" s="19">
        <f>IFERROR(__xludf.DUMMYFUNCTION("""COMPUTED_VALUE"""),13.0)</f>
        <v>13</v>
      </c>
      <c r="AJ12" s="19">
        <f>IFERROR(__xludf.DUMMYFUNCTION("""COMPUTED_VALUE"""),1.0)</f>
        <v>1</v>
      </c>
    </row>
    <row r="13" ht="22.5" customHeight="1">
      <c r="A13" s="42">
        <v>44473.0</v>
      </c>
      <c r="B13" s="43">
        <v>44473.750185185185</v>
      </c>
      <c r="C13" s="17" t="s">
        <v>78</v>
      </c>
      <c r="D13" s="17" t="s">
        <v>115</v>
      </c>
      <c r="E13" s="17" t="s">
        <v>84</v>
      </c>
      <c r="F13" s="17" t="s">
        <v>50</v>
      </c>
      <c r="G13" s="17" t="s">
        <v>116</v>
      </c>
      <c r="H13" s="44" t="s">
        <v>117</v>
      </c>
      <c r="I13" s="45">
        <v>1.0</v>
      </c>
      <c r="J13" s="45">
        <v>1651.0</v>
      </c>
      <c r="K13" s="45">
        <v>1703.0</v>
      </c>
      <c r="L13" s="45">
        <v>152.0</v>
      </c>
      <c r="M13" s="45">
        <v>11.0</v>
      </c>
      <c r="N13" s="45">
        <v>1651.0</v>
      </c>
      <c r="O13" s="46">
        <v>41.0</v>
      </c>
      <c r="P13" s="46">
        <v>18.0</v>
      </c>
      <c r="Q13" s="46">
        <f>IFERROR(__xludf.DUMMYFUNCTION("""COMPUTED_VALUE"""),0.0)</f>
        <v>0</v>
      </c>
      <c r="R13" s="47">
        <v>52.0</v>
      </c>
      <c r="T13" s="48">
        <f>IFERROR(__xludf.DUMMYFUNCTION("""COMPUTED_VALUE"""),44520.0)</f>
        <v>44520</v>
      </c>
      <c r="U13" s="49">
        <f>IFERROR(__xludf.DUMMYFUNCTION("""COMPUTED_VALUE"""),44520.62501157408)</f>
        <v>44520.62501</v>
      </c>
      <c r="V13" s="19" t="str">
        <f>IFERROR(__xludf.DUMMYFUNCTION("""COMPUTED_VALUE"""),"Garena Free Fire")</f>
        <v>Garena Free Fire</v>
      </c>
      <c r="W13" s="19" t="str">
        <f>IFERROR(__xludf.DUMMYFUNCTION("""COMPUTED_VALUE"""),"740460599475760_1943970059124802")</f>
        <v>740460599475760_1943970059124802</v>
      </c>
      <c r="X13" s="19" t="str">
        <f>IFERROR(__xludf.DUMMYFUNCTION("""COMPUTED_VALUE"""),"added_photos")</f>
        <v>added_photos</v>
      </c>
      <c r="Y13" s="19" t="str">
        <f>IFERROR(__xludf.DUMMYFUNCTION("""COMPUTED_VALUE"""),"photo")</f>
        <v>photo</v>
      </c>
      <c r="Z13" s="19" t="str">
        <f>IFERROR(__xludf.DUMMYFUNCTION("""COMPUTED_VALUE"""),"หาตี้มาลงสมรภูมิและ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f>
        <v>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v>
      </c>
      <c r="AA13" s="50" t="str">
        <f>IFERROR(__xludf.DUMMYFUNCTION("""COMPUTED_VALUE"""),"https://www.facebook.com/740460599475760/posts/1943970059124802/")</f>
        <v>https://www.facebook.com/740460599475760/posts/1943970059124802/</v>
      </c>
      <c r="AB13" s="19">
        <f>IFERROR(__xludf.DUMMYFUNCTION("""COMPUTED_VALUE"""),1.0)</f>
        <v>1</v>
      </c>
      <c r="AC13" s="19">
        <f>IFERROR(__xludf.DUMMYFUNCTION("""COMPUTED_VALUE"""),1519.0)</f>
        <v>1519</v>
      </c>
      <c r="AD13" s="19">
        <f>IFERROR(__xludf.DUMMYFUNCTION("""COMPUTED_VALUE"""),1572.0)</f>
        <v>1572</v>
      </c>
      <c r="AE13" s="19">
        <f>IFERROR(__xludf.DUMMYFUNCTION("""COMPUTED_VALUE"""),253.0)</f>
        <v>253</v>
      </c>
      <c r="AF13" s="19">
        <f>IFERROR(__xludf.DUMMYFUNCTION("""COMPUTED_VALUE"""),21.0)</f>
        <v>21</v>
      </c>
      <c r="AG13" s="19">
        <f>IFERROR(__xludf.DUMMYFUNCTION("""COMPUTED_VALUE"""),1519.0)</f>
        <v>1519</v>
      </c>
      <c r="AH13" s="19">
        <f>IFERROR(__xludf.DUMMYFUNCTION("""COMPUTED_VALUE"""),47.0)</f>
        <v>47</v>
      </c>
      <c r="AI13" s="19">
        <f>IFERROR(__xludf.DUMMYFUNCTION("""COMPUTED_VALUE"""),15.0)</f>
        <v>15</v>
      </c>
      <c r="AJ13" s="19">
        <f>IFERROR(__xludf.DUMMYFUNCTION("""COMPUTED_VALUE"""),1.0)</f>
        <v>1</v>
      </c>
    </row>
    <row r="14" ht="22.5" customHeight="1">
      <c r="A14" s="42">
        <v>44474.0</v>
      </c>
      <c r="B14" s="43">
        <v>44474.50042824074</v>
      </c>
      <c r="C14" s="17" t="s">
        <v>78</v>
      </c>
      <c r="D14" s="17" t="s">
        <v>118</v>
      </c>
      <c r="E14" s="17" t="s">
        <v>109</v>
      </c>
      <c r="F14" s="17" t="s">
        <v>49</v>
      </c>
      <c r="G14" s="17" t="s">
        <v>119</v>
      </c>
      <c r="H14" s="44" t="s">
        <v>120</v>
      </c>
      <c r="I14" s="45">
        <v>1.0</v>
      </c>
      <c r="J14" s="45">
        <v>269.0</v>
      </c>
      <c r="K14" s="45">
        <v>301.0</v>
      </c>
      <c r="L14" s="45">
        <v>17.0</v>
      </c>
      <c r="M14" s="45">
        <v>7.0</v>
      </c>
      <c r="N14" s="45">
        <v>269.0</v>
      </c>
      <c r="O14" s="46">
        <v>41.0</v>
      </c>
      <c r="P14" s="46">
        <v>12.0</v>
      </c>
      <c r="Q14" s="46">
        <f>IFERROR(__xludf.DUMMYFUNCTION("""COMPUTED_VALUE"""),0.0)</f>
        <v>0</v>
      </c>
      <c r="R14" s="47">
        <v>32.0</v>
      </c>
      <c r="T14" s="48">
        <f>IFERROR(__xludf.DUMMYFUNCTION("""COMPUTED_VALUE"""),44521.0)</f>
        <v>44521</v>
      </c>
      <c r="U14" s="49">
        <f>IFERROR(__xludf.DUMMYFUNCTION("""COMPUTED_VALUE"""),44521.41668981482)</f>
        <v>44521.41669</v>
      </c>
      <c r="V14" s="19" t="str">
        <f>IFERROR(__xludf.DUMMYFUNCTION("""COMPUTED_VALUE"""),"Garena Free Fire")</f>
        <v>Garena Free Fire</v>
      </c>
      <c r="W14" s="19" t="str">
        <f>IFERROR(__xludf.DUMMYFUNCTION("""COMPUTED_VALUE"""),"740460599475760_1941444886043986")</f>
        <v>740460599475760_1941444886043986</v>
      </c>
      <c r="X14" s="19" t="str">
        <f>IFERROR(__xludf.DUMMYFUNCTION("""COMPUTED_VALUE"""),"added_photos")</f>
        <v>added_photos</v>
      </c>
      <c r="Y14" s="19" t="str">
        <f>IFERROR(__xludf.DUMMYFUNCTION("""COMPUTED_VALUE"""),"photo")</f>
        <v>photo</v>
      </c>
      <c r="Z14" s="19" t="str">
        <f>IFERROR(__xludf.DUMMYFUNCTION("""COMPUTED_VALUE"""),"🔥🔥ไอเทมสุดเฟี้ยว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(เปิดได้เฉพาะบนโทรศั"&amp;"พท์แอนดรอยด์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1.เก็บคูปองในส่วน"&amp;"ของโปรโมชันพิเศษ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📅"&amp;"ระยะเวลาการกดเก็บและกดรับคูปอง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4" s="50" t="str">
        <f>IFERROR(__xludf.DUMMYFUNCTION("""COMPUTED_VALUE"""),"https://www.facebook.com/740460599475760/posts/1941444886043986/")</f>
        <v>https://www.facebook.com/740460599475760/posts/1941444886043986/</v>
      </c>
      <c r="AB14" s="19">
        <f>IFERROR(__xludf.DUMMYFUNCTION("""COMPUTED_VALUE"""),1.0)</f>
        <v>1</v>
      </c>
      <c r="AC14" s="19">
        <f>IFERROR(__xludf.DUMMYFUNCTION("""COMPUTED_VALUE"""),203.0)</f>
        <v>203</v>
      </c>
      <c r="AD14" s="19">
        <f>IFERROR(__xludf.DUMMYFUNCTION("""COMPUTED_VALUE"""),212.0)</f>
        <v>212</v>
      </c>
      <c r="AE14" s="19">
        <f>IFERROR(__xludf.DUMMYFUNCTION("""COMPUTED_VALUE"""),33.0)</f>
        <v>33</v>
      </c>
      <c r="AF14" s="19">
        <f>IFERROR(__xludf.DUMMYFUNCTION("""COMPUTED_VALUE"""),4.0)</f>
        <v>4</v>
      </c>
      <c r="AG14" s="19">
        <f>IFERROR(__xludf.DUMMYFUNCTION("""COMPUTED_VALUE"""),203.0)</f>
        <v>203</v>
      </c>
      <c r="AH14" s="19">
        <f>IFERROR(__xludf.DUMMYFUNCTION("""COMPUTED_VALUE"""),48.0)</f>
        <v>48</v>
      </c>
      <c r="AI14" s="19">
        <f>IFERROR(__xludf.DUMMYFUNCTION("""COMPUTED_VALUE"""),10.0)</f>
        <v>10</v>
      </c>
      <c r="AJ14" s="19">
        <f>IFERROR(__xludf.DUMMYFUNCTION("""COMPUTED_VALUE"""),1.0)</f>
        <v>1</v>
      </c>
    </row>
    <row r="15" ht="22.5" customHeight="1">
      <c r="A15" s="42">
        <v>44474.0</v>
      </c>
      <c r="B15" s="43">
        <v>44474.666666666664</v>
      </c>
      <c r="C15" s="17" t="s">
        <v>78</v>
      </c>
      <c r="D15" s="17" t="s">
        <v>121</v>
      </c>
      <c r="E15" s="17" t="s">
        <v>84</v>
      </c>
      <c r="F15" s="17" t="s">
        <v>50</v>
      </c>
      <c r="G15" s="17" t="s">
        <v>122</v>
      </c>
      <c r="H15" s="44" t="s">
        <v>123</v>
      </c>
      <c r="I15" s="45">
        <v>1.0</v>
      </c>
      <c r="J15" s="45">
        <v>1826.0</v>
      </c>
      <c r="K15" s="45">
        <v>2226.0</v>
      </c>
      <c r="L15" s="45">
        <v>319.0</v>
      </c>
      <c r="M15" s="45">
        <v>124.0</v>
      </c>
      <c r="N15" s="45">
        <v>1826.0</v>
      </c>
      <c r="O15" s="46">
        <v>41.0</v>
      </c>
      <c r="P15" s="46">
        <v>16.0</v>
      </c>
      <c r="Q15" s="46">
        <f>IFERROR(__xludf.DUMMYFUNCTION("""COMPUTED_VALUE"""),0.0)</f>
        <v>0</v>
      </c>
      <c r="R15" s="47">
        <v>400.0</v>
      </c>
      <c r="T15" s="48">
        <f>IFERROR(__xludf.DUMMYFUNCTION("""COMPUTED_VALUE"""),44524.0)</f>
        <v>44524</v>
      </c>
      <c r="U15" s="49">
        <f>IFERROR(__xludf.DUMMYFUNCTION("""COMPUTED_VALUE"""),44524.66667824074)</f>
        <v>44524.66668</v>
      </c>
      <c r="V15" s="19" t="str">
        <f>IFERROR(__xludf.DUMMYFUNCTION("""COMPUTED_VALUE"""),"Garena Free Fire")</f>
        <v>Garena Free Fire</v>
      </c>
      <c r="W15" s="19" t="str">
        <f>IFERROR(__xludf.DUMMYFUNCTION("""COMPUTED_VALUE"""),"740460599475760_1946179912237150")</f>
        <v>740460599475760_1946179912237150</v>
      </c>
      <c r="X15" s="19" t="str">
        <f>IFERROR(__xludf.DUMMYFUNCTION("""COMPUTED_VALUE"""),"added_photos")</f>
        <v>added_photos</v>
      </c>
      <c r="Y15" s="19" t="str">
        <f>IFERROR(__xludf.DUMMYFUNCTION("""COMPUTED_VALUE"""),"photo")</f>
        <v>photo</v>
      </c>
      <c r="Z15" s="19" t="str">
        <f>IFERROR(__xludf.DUMMYFUNCTION("""COMPUTED_VALUE"""),"🔥🔥ลดสุดโหด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"&amp;"ที่มีแอปฯ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1.เก็บคูปองในส่วนของโปรโมชันพิ"&amp;"เศษ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📅ระยะเวลาการกดเก็บและกด"&amp;"รับคูปอง 23 พ.ย. 64 (00:00 น.) - 28 พ.ย. 64 (23:59 น.)
⏳คูปองหมดอายุภายใน 24 ชั่วโมงหลังจากกดรับคูปองใบแรก
📱จำกัดเฉพาะผู้ใช้แอนดรอยด์เท่านั้น")</f>
        <v>🔥🔥ลดสุดโหด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v>
      </c>
      <c r="AA15" s="50" t="str">
        <f>IFERROR(__xludf.DUMMYFUNCTION("""COMPUTED_VALUE"""),"https://www.facebook.com/740460599475760/posts/1946179912237150/")</f>
        <v>https://www.facebook.com/740460599475760/posts/1946179912237150/</v>
      </c>
      <c r="AB15" s="19">
        <f>IFERROR(__xludf.DUMMYFUNCTION("""COMPUTED_VALUE"""),1.0)</f>
        <v>1</v>
      </c>
      <c r="AC15" s="19">
        <f>IFERROR(__xludf.DUMMYFUNCTION("""COMPUTED_VALUE"""),255.0)</f>
        <v>255</v>
      </c>
      <c r="AD15" s="19">
        <f>IFERROR(__xludf.DUMMYFUNCTION("""COMPUTED_VALUE"""),264.0)</f>
        <v>264</v>
      </c>
      <c r="AE15" s="19">
        <f>IFERROR(__xludf.DUMMYFUNCTION("""COMPUTED_VALUE"""),24.0)</f>
        <v>24</v>
      </c>
      <c r="AF15" s="19">
        <f>IFERROR(__xludf.DUMMYFUNCTION("""COMPUTED_VALUE"""),10.0)</f>
        <v>10</v>
      </c>
      <c r="AG15" s="19">
        <f>IFERROR(__xludf.DUMMYFUNCTION("""COMPUTED_VALUE"""),255.0)</f>
        <v>255</v>
      </c>
      <c r="AH15" s="19">
        <f>IFERROR(__xludf.DUMMYFUNCTION("""COMPUTED_VALUE"""),48.0)</f>
        <v>48</v>
      </c>
      <c r="AI15" s="19">
        <f>IFERROR(__xludf.DUMMYFUNCTION("""COMPUTED_VALUE"""),16.0)</f>
        <v>16</v>
      </c>
      <c r="AJ15" s="19">
        <f>IFERROR(__xludf.DUMMYFUNCTION("""COMPUTED_VALUE"""),1.0)</f>
        <v>1</v>
      </c>
    </row>
    <row r="16" ht="22.5" customHeight="1">
      <c r="A16" s="42">
        <v>44474.0</v>
      </c>
      <c r="B16" s="43">
        <v>44474.75001157408</v>
      </c>
      <c r="C16" s="17" t="s">
        <v>78</v>
      </c>
      <c r="D16" s="17" t="s">
        <v>124</v>
      </c>
      <c r="E16" s="17" t="s">
        <v>80</v>
      </c>
      <c r="F16" s="17" t="s">
        <v>55</v>
      </c>
      <c r="G16" s="17" t="s">
        <v>125</v>
      </c>
      <c r="H16" s="44" t="s">
        <v>126</v>
      </c>
      <c r="I16" s="45">
        <v>1.0</v>
      </c>
      <c r="J16" s="45">
        <v>794.0</v>
      </c>
      <c r="K16" s="45">
        <v>827.0</v>
      </c>
      <c r="L16" s="45">
        <v>108.0</v>
      </c>
      <c r="M16" s="45">
        <v>28.0</v>
      </c>
      <c r="N16" s="45">
        <v>794.0</v>
      </c>
      <c r="O16" s="46">
        <v>41.0</v>
      </c>
      <c r="P16" s="46">
        <v>18.0</v>
      </c>
      <c r="Q16" s="46">
        <f>IFERROR(__xludf.DUMMYFUNCTION("""COMPUTED_VALUE"""),0.0)</f>
        <v>0</v>
      </c>
      <c r="R16" s="47">
        <v>33.0</v>
      </c>
      <c r="T16" s="48">
        <f>IFERROR(__xludf.DUMMYFUNCTION("""COMPUTED_VALUE"""),44525.0)</f>
        <v>44525</v>
      </c>
      <c r="U16" s="49">
        <f>IFERROR(__xludf.DUMMYFUNCTION("""COMPUTED_VALUE"""),44525.500023148146)</f>
        <v>44525.50002</v>
      </c>
      <c r="V16" s="19" t="str">
        <f>IFERROR(__xludf.DUMMYFUNCTION("""COMPUTED_VALUE"""),"Garena Free Fire")</f>
        <v>Garena Free Fire</v>
      </c>
      <c r="W16" s="19" t="str">
        <f>IFERROR(__xludf.DUMMYFUNCTION("""COMPUTED_VALUE"""),"740460599475760_1947520292103112")</f>
        <v>740460599475760_1947520292103112</v>
      </c>
      <c r="X16" s="19" t="str">
        <f>IFERROR(__xludf.DUMMYFUNCTION("""COMPUTED_VALUE"""),"added_photos")</f>
        <v>added_photos</v>
      </c>
      <c r="Y16" s="19" t="str">
        <f>IFERROR(__xludf.DUMMYFUNCTION("""COMPUTED_VALUE"""),"photo")</f>
        <v>photo</v>
      </c>
      <c r="Z16" s="19" t="str">
        <f>IFERROR(__xludf.DUMMYFUNCTION("""COMPUTED_VALUE"""),"💎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ซื้อคูปองในส่วนของโปรโมชันพิเ"&amp;"ศษ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น"&amp;".)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6" s="50" t="str">
        <f>IFERROR(__xludf.DUMMYFUNCTION("""COMPUTED_VALUE"""),"https://www.facebook.com/740460599475760/posts/1947520292103112/")</f>
        <v>https://www.facebook.com/740460599475760/posts/1947520292103112/</v>
      </c>
      <c r="AB16" s="19">
        <f>IFERROR(__xludf.DUMMYFUNCTION("""COMPUTED_VALUE"""),1.0)</f>
        <v>1</v>
      </c>
      <c r="AC16" s="19">
        <f>IFERROR(__xludf.DUMMYFUNCTION("""COMPUTED_VALUE"""),208.0)</f>
        <v>208</v>
      </c>
      <c r="AD16" s="19">
        <f>IFERROR(__xludf.DUMMYFUNCTION("""COMPUTED_VALUE"""),214.0)</f>
        <v>214</v>
      </c>
      <c r="AE16" s="19">
        <f>IFERROR(__xludf.DUMMYFUNCTION("""COMPUTED_VALUE"""),17.0)</f>
        <v>17</v>
      </c>
      <c r="AF16" s="19">
        <f>IFERROR(__xludf.DUMMYFUNCTION("""COMPUTED_VALUE"""),2.0)</f>
        <v>2</v>
      </c>
      <c r="AG16" s="19">
        <f>IFERROR(__xludf.DUMMYFUNCTION("""COMPUTED_VALUE"""),208.0)</f>
        <v>208</v>
      </c>
      <c r="AH16" s="19">
        <f>IFERROR(__xludf.DUMMYFUNCTION("""COMPUTED_VALUE"""),48.0)</f>
        <v>48</v>
      </c>
      <c r="AI16" s="19">
        <f>IFERROR(__xludf.DUMMYFUNCTION("""COMPUTED_VALUE"""),12.0)</f>
        <v>12</v>
      </c>
      <c r="AJ16" s="19">
        <f>IFERROR(__xludf.DUMMYFUNCTION("""COMPUTED_VALUE"""),1.0)</f>
        <v>1</v>
      </c>
    </row>
    <row r="17" ht="22.5" customHeight="1">
      <c r="A17" s="42">
        <v>44475.0</v>
      </c>
      <c r="B17" s="43">
        <v>44475.33337962963</v>
      </c>
      <c r="C17" s="17" t="s">
        <v>78</v>
      </c>
      <c r="D17" s="17" t="s">
        <v>127</v>
      </c>
      <c r="E17" s="17" t="s">
        <v>84</v>
      </c>
      <c r="F17" s="17" t="s">
        <v>50</v>
      </c>
      <c r="G17" s="17" t="s">
        <v>128</v>
      </c>
      <c r="H17" s="44" t="s">
        <v>129</v>
      </c>
      <c r="I17" s="45">
        <v>1.0</v>
      </c>
      <c r="J17" s="45">
        <v>8279.0</v>
      </c>
      <c r="K17" s="45">
        <v>8433.0</v>
      </c>
      <c r="L17" s="45">
        <v>141.0</v>
      </c>
      <c r="M17" s="45">
        <v>56.0</v>
      </c>
      <c r="N17" s="45">
        <v>8279.0</v>
      </c>
      <c r="O17" s="46">
        <v>41.0</v>
      </c>
      <c r="P17" s="46">
        <v>8.0</v>
      </c>
      <c r="Q17" s="46">
        <f>IFERROR(__xludf.DUMMYFUNCTION("""COMPUTED_VALUE"""),0.0)</f>
        <v>0</v>
      </c>
      <c r="R17" s="47">
        <v>154.0</v>
      </c>
      <c r="T17" s="48">
        <f>IFERROR(__xludf.DUMMYFUNCTION("""COMPUTED_VALUE"""),44528.0)</f>
        <v>44528</v>
      </c>
      <c r="U17" s="49">
        <f>IFERROR(__xludf.DUMMYFUNCTION("""COMPUTED_VALUE"""),44528.458344907405)</f>
        <v>44528.45834</v>
      </c>
      <c r="V17" s="19" t="str">
        <f>IFERROR(__xludf.DUMMYFUNCTION("""COMPUTED_VALUE"""),"Garena Free Fire")</f>
        <v>Garena Free Fire</v>
      </c>
      <c r="W17" s="19" t="str">
        <f>IFERROR(__xludf.DUMMYFUNCTION("""COMPUTED_VALUE"""),"740460599475760_1947591738762634")</f>
        <v>740460599475760_1947591738762634</v>
      </c>
      <c r="X17" s="19" t="str">
        <f>IFERROR(__xludf.DUMMYFUNCTION("""COMPUTED_VALUE"""),"added_photos")</f>
        <v>added_photos</v>
      </c>
      <c r="Y17" s="19" t="str">
        <f>IFERROR(__xludf.DUMMYFUNCTION("""COMPUTED_VALUE"""),"photo")</f>
        <v>photo</v>
      </c>
      <c r="Z17" s="19" t="str">
        <f>IFERROR(__xludf.DUMMYFUNCTION("""COMPUTED_VALUE"""),"💎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(เปิดได้เฉพาะบนโทรศัพท์แอนดรอยด"&amp;"์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ซื้อคูปองในส่วนของโปรโมชันพิเศ"&amp;"ษ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"&amp;"(00:00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7" s="50" t="str">
        <f>IFERROR(__xludf.DUMMYFUNCTION("""COMPUTED_VALUE"""),"https://www.facebook.com/740460599475760/posts/1947591738762634/")</f>
        <v>https://www.facebook.com/740460599475760/posts/1947591738762634/</v>
      </c>
      <c r="AB17" s="19">
        <f>IFERROR(__xludf.DUMMYFUNCTION("""COMPUTED_VALUE"""),1.0)</f>
        <v>1</v>
      </c>
      <c r="AC17" s="19">
        <f>IFERROR(__xludf.DUMMYFUNCTION("""COMPUTED_VALUE"""),479.0)</f>
        <v>479</v>
      </c>
      <c r="AD17" s="19">
        <f>IFERROR(__xludf.DUMMYFUNCTION("""COMPUTED_VALUE"""),496.0)</f>
        <v>496</v>
      </c>
      <c r="AE17" s="19">
        <f>IFERROR(__xludf.DUMMYFUNCTION("""COMPUTED_VALUE"""),60.0)</f>
        <v>60</v>
      </c>
      <c r="AF17" s="19">
        <f>IFERROR(__xludf.DUMMYFUNCTION("""COMPUTED_VALUE"""),11.0)</f>
        <v>11</v>
      </c>
      <c r="AG17" s="19">
        <f>IFERROR(__xludf.DUMMYFUNCTION("""COMPUTED_VALUE"""),479.0)</f>
        <v>479</v>
      </c>
      <c r="AH17" s="19">
        <f>IFERROR(__xludf.DUMMYFUNCTION("""COMPUTED_VALUE"""),49.0)</f>
        <v>49</v>
      </c>
      <c r="AI17" s="19">
        <f>IFERROR(__xludf.DUMMYFUNCTION("""COMPUTED_VALUE"""),11.0)</f>
        <v>11</v>
      </c>
      <c r="AJ17" s="19">
        <f>IFERROR(__xludf.DUMMYFUNCTION("""COMPUTED_VALUE"""),1.0)</f>
        <v>1</v>
      </c>
    </row>
    <row r="18" ht="22.5" customHeight="1">
      <c r="A18" s="42">
        <v>44475.0</v>
      </c>
      <c r="B18" s="43">
        <v>44475.583344907405</v>
      </c>
      <c r="C18" s="17" t="s">
        <v>78</v>
      </c>
      <c r="D18" s="17" t="s">
        <v>130</v>
      </c>
      <c r="E18" s="17" t="s">
        <v>109</v>
      </c>
      <c r="F18" s="17" t="s">
        <v>49</v>
      </c>
      <c r="G18" s="17" t="s">
        <v>131</v>
      </c>
      <c r="H18" s="44" t="s">
        <v>132</v>
      </c>
      <c r="I18" s="45">
        <v>1.0</v>
      </c>
      <c r="J18" s="45">
        <v>1201.0</v>
      </c>
      <c r="K18" s="45">
        <v>1344.0</v>
      </c>
      <c r="L18" s="45">
        <v>63.0</v>
      </c>
      <c r="M18" s="45">
        <v>53.0</v>
      </c>
      <c r="N18" s="45">
        <v>1201.0</v>
      </c>
      <c r="O18" s="46">
        <v>41.0</v>
      </c>
      <c r="P18" s="46">
        <v>14.0</v>
      </c>
      <c r="Q18" s="46">
        <f>IFERROR(__xludf.DUMMYFUNCTION("""COMPUTED_VALUE"""),0.0)</f>
        <v>0</v>
      </c>
      <c r="R18" s="47">
        <v>143.0</v>
      </c>
      <c r="T18" s="48">
        <f>IFERROR(__xludf.DUMMYFUNCTION("""COMPUTED_VALUE"""),44547.0)</f>
        <v>44547</v>
      </c>
      <c r="U18" s="49">
        <f>IFERROR(__xludf.DUMMYFUNCTION("""COMPUTED_VALUE"""),44547.333333333336)</f>
        <v>44547.33333</v>
      </c>
      <c r="V18" s="19" t="str">
        <f>IFERROR(__xludf.DUMMYFUNCTION("""COMPUTED_VALUE"""),"Garena Free Fire")</f>
        <v>Garena Free Fire</v>
      </c>
      <c r="W18" s="19" t="str">
        <f>IFERROR(__xludf.DUMMYFUNCTION("""COMPUTED_VALUE"""),"740460599475760_1958524954335979")</f>
        <v>740460599475760_1958524954335979</v>
      </c>
      <c r="X18" s="19" t="str">
        <f>IFERROR(__xludf.DUMMYFUNCTION("""COMPUTED_VALUE"""),"added_photos")</f>
        <v>added_photos</v>
      </c>
      <c r="Y18" s="19" t="str">
        <f>IFERROR(__xludf.DUMMYFUNCTION("""COMPUTED_VALUE"""),"photo")</f>
        <v>photo</v>
      </c>
      <c r="Z18" s="19" t="str">
        <f>IFERROR(__xludf.DUMMYFUNCTION("""COMPUTED_VALUE"""),"💎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4"&amp;"0.-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8" s="50" t="str">
        <f>IFERROR(__xludf.DUMMYFUNCTION("""COMPUTED_VALUE"""),"https://www.facebook.com/740460599475760/posts/1958524954335979/")</f>
        <v>https://www.facebook.com/740460599475760/posts/1958524954335979/</v>
      </c>
      <c r="AB18" s="19">
        <f>IFERROR(__xludf.DUMMYFUNCTION("""COMPUTED_VALUE"""),1.0)</f>
        <v>1</v>
      </c>
      <c r="AC18" s="19">
        <f>IFERROR(__xludf.DUMMYFUNCTION("""COMPUTED_VALUE"""),206.0)</f>
        <v>206</v>
      </c>
      <c r="AD18" s="19">
        <f>IFERROR(__xludf.DUMMYFUNCTION("""COMPUTED_VALUE"""),218.0)</f>
        <v>218</v>
      </c>
      <c r="AE18" s="19">
        <f>IFERROR(__xludf.DUMMYFUNCTION("""COMPUTED_VALUE"""),23.0)</f>
        <v>23</v>
      </c>
      <c r="AF18" s="19">
        <f>IFERROR(__xludf.DUMMYFUNCTION("""COMPUTED_VALUE"""),3.0)</f>
        <v>3</v>
      </c>
      <c r="AG18" s="19">
        <f>IFERROR(__xludf.DUMMYFUNCTION("""COMPUTED_VALUE"""),206.0)</f>
        <v>206</v>
      </c>
      <c r="AH18" s="19">
        <f>IFERROR(__xludf.DUMMYFUNCTION("""COMPUTED_VALUE"""),51.0)</f>
        <v>51</v>
      </c>
      <c r="AI18" s="19">
        <f>IFERROR(__xludf.DUMMYFUNCTION("""COMPUTED_VALUE"""),8.0)</f>
        <v>8</v>
      </c>
      <c r="AJ18" s="19">
        <f>IFERROR(__xludf.DUMMYFUNCTION("""COMPUTED_VALUE"""),1.0)</f>
        <v>1</v>
      </c>
    </row>
    <row r="19" ht="22.5" customHeight="1">
      <c r="A19" s="42">
        <v>44475.0</v>
      </c>
      <c r="B19" s="43">
        <v>44475.666666666664</v>
      </c>
      <c r="C19" s="17" t="s">
        <v>78</v>
      </c>
      <c r="D19" s="17" t="s">
        <v>133</v>
      </c>
      <c r="E19" s="17" t="s">
        <v>84</v>
      </c>
      <c r="F19" s="17" t="s">
        <v>50</v>
      </c>
      <c r="G19" s="17" t="s">
        <v>134</v>
      </c>
      <c r="H19" s="44" t="s">
        <v>135</v>
      </c>
      <c r="I19" s="45">
        <v>1.0</v>
      </c>
      <c r="J19" s="45">
        <v>4054.0</v>
      </c>
      <c r="K19" s="45">
        <v>4573.0</v>
      </c>
      <c r="L19" s="45">
        <v>710.0</v>
      </c>
      <c r="M19" s="45">
        <v>723.0</v>
      </c>
      <c r="N19" s="45">
        <v>4054.0</v>
      </c>
      <c r="O19" s="46">
        <v>41.0</v>
      </c>
      <c r="P19" s="46">
        <v>16.0</v>
      </c>
      <c r="Q19" s="46">
        <f>IFERROR(__xludf.DUMMYFUNCTION("""COMPUTED_VALUE"""),0.0)</f>
        <v>0</v>
      </c>
      <c r="R19" s="47">
        <v>519.0</v>
      </c>
      <c r="T19" s="48">
        <f>IFERROR(__xludf.DUMMYFUNCTION("""COMPUTED_VALUE"""),44548.0)</f>
        <v>44548</v>
      </c>
      <c r="U19" s="49">
        <f>IFERROR(__xludf.DUMMYFUNCTION("""COMPUTED_VALUE"""),44548.37501157408)</f>
        <v>44548.37501</v>
      </c>
      <c r="V19" s="19" t="str">
        <f>IFERROR(__xludf.DUMMYFUNCTION("""COMPUTED_VALUE"""),"Garena Free Fire")</f>
        <v>Garena Free Fire</v>
      </c>
      <c r="W19" s="19" t="str">
        <f>IFERROR(__xludf.DUMMYFUNCTION("""COMPUTED_VALUE"""),"740460599475760_1963789900476151")</f>
        <v>740460599475760_1963789900476151</v>
      </c>
      <c r="X19" s="19" t="str">
        <f>IFERROR(__xludf.DUMMYFUNCTION("""COMPUTED_VALUE"""),"added_photos")</f>
        <v>added_photos</v>
      </c>
      <c r="Y19" s="19" t="str">
        <f>IFERROR(__xludf.DUMMYFUNCTION("""COMPUTED_VALUE"""),"photo")</f>
        <v>photo</v>
      </c>
      <c r="Z19" s="19" t="str">
        <f>IFERROR(__xludf.DUMMYFUNCTION("""COMPUTED_VALUE"""),"ร้านค้าแห่งความมืด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f>
        <v>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v>
      </c>
      <c r="AA19" s="50" t="str">
        <f>IFERROR(__xludf.DUMMYFUNCTION("""COMPUTED_VALUE"""),"https://www.facebook.com/740460599475760/posts/1963789900476151/")</f>
        <v>https://www.facebook.com/740460599475760/posts/1963789900476151/</v>
      </c>
      <c r="AB19" s="19">
        <f>IFERROR(__xludf.DUMMYFUNCTION("""COMPUTED_VALUE"""),1.0)</f>
        <v>1</v>
      </c>
      <c r="AC19" s="19">
        <f>IFERROR(__xludf.DUMMYFUNCTION("""COMPUTED_VALUE"""),9349.0)</f>
        <v>9349</v>
      </c>
      <c r="AD19" s="19">
        <f>IFERROR(__xludf.DUMMYFUNCTION("""COMPUTED_VALUE"""),9464.0)</f>
        <v>9464</v>
      </c>
      <c r="AE19" s="19">
        <f>IFERROR(__xludf.DUMMYFUNCTION("""COMPUTED_VALUE"""),240.0)</f>
        <v>240</v>
      </c>
      <c r="AF19" s="19">
        <f>IFERROR(__xludf.DUMMYFUNCTION("""COMPUTED_VALUE"""),25.0)</f>
        <v>25</v>
      </c>
      <c r="AG19" s="19">
        <f>IFERROR(__xludf.DUMMYFUNCTION("""COMPUTED_VALUE"""),9349.0)</f>
        <v>9349</v>
      </c>
      <c r="AH19" s="19">
        <f>IFERROR(__xludf.DUMMYFUNCTION("""COMPUTED_VALUE"""),51.0)</f>
        <v>51</v>
      </c>
      <c r="AI19" s="19">
        <f>IFERROR(__xludf.DUMMYFUNCTION("""COMPUTED_VALUE"""),9.0)</f>
        <v>9</v>
      </c>
      <c r="AJ19" s="19">
        <f>IFERROR(__xludf.DUMMYFUNCTION("""COMPUTED_VALUE"""),1.0)</f>
        <v>1</v>
      </c>
    </row>
    <row r="20" ht="22.5" customHeight="1">
      <c r="A20" s="42">
        <v>44475.0</v>
      </c>
      <c r="B20" s="43">
        <v>44475.83335648148</v>
      </c>
      <c r="C20" s="17" t="s">
        <v>78</v>
      </c>
      <c r="D20" s="17" t="s">
        <v>136</v>
      </c>
      <c r="E20" s="17" t="s">
        <v>84</v>
      </c>
      <c r="F20" s="17" t="s">
        <v>50</v>
      </c>
      <c r="G20" s="17" t="s">
        <v>137</v>
      </c>
      <c r="H20" s="44" t="s">
        <v>138</v>
      </c>
      <c r="I20" s="45">
        <v>1.0</v>
      </c>
      <c r="J20" s="45">
        <v>880.0</v>
      </c>
      <c r="K20" s="45">
        <v>916.0</v>
      </c>
      <c r="L20" s="45">
        <v>187.0</v>
      </c>
      <c r="M20" s="45">
        <v>18.0</v>
      </c>
      <c r="N20" s="45">
        <v>880.0</v>
      </c>
      <c r="O20" s="46">
        <v>41.0</v>
      </c>
      <c r="P20" s="46">
        <v>20.0</v>
      </c>
      <c r="Q20" s="46">
        <f>IFERROR(__xludf.DUMMYFUNCTION("""COMPUTED_VALUE"""),0.0)</f>
        <v>0</v>
      </c>
      <c r="R20" s="47">
        <v>36.0</v>
      </c>
      <c r="T20" s="48">
        <f>IFERROR(__xludf.DUMMYFUNCTION("""COMPUTED_VALUE"""),44548.0)</f>
        <v>44548</v>
      </c>
      <c r="U20" s="49">
        <f>IFERROR(__xludf.DUMMYFUNCTION("""COMPUTED_VALUE"""),44548.625)</f>
        <v>44548.625</v>
      </c>
      <c r="V20" s="19" t="str">
        <f>IFERROR(__xludf.DUMMYFUNCTION("""COMPUTED_VALUE"""),"Garena Free Fire")</f>
        <v>Garena Free Fire</v>
      </c>
      <c r="W20" s="19" t="str">
        <f>IFERROR(__xludf.DUMMYFUNCTION("""COMPUTED_VALUE"""),"740460599475760_1958525884335886")</f>
        <v>740460599475760_1958525884335886</v>
      </c>
      <c r="X20" s="19" t="str">
        <f>IFERROR(__xludf.DUMMYFUNCTION("""COMPUTED_VALUE"""),"added_photos")</f>
        <v>added_photos</v>
      </c>
      <c r="Y20" s="19" t="str">
        <f>IFERROR(__xludf.DUMMYFUNCTION("""COMPUTED_VALUE"""),"photo")</f>
        <v>photo</v>
      </c>
      <c r="Z20" s="19" t="str">
        <f>IFERROR(__xludf.DUMMYFUNCTION("""COMPUTED_VALUE"""),"💎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ที่มีแ"&amp;"อปฯ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""จ่าย"&amp;"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0" s="50" t="str">
        <f>IFERROR(__xludf.DUMMYFUNCTION("""COMPUTED_VALUE"""),"https://www.facebook.com/740460599475760/posts/1958525884335886/")</f>
        <v>https://www.facebook.com/740460599475760/posts/1958525884335886/</v>
      </c>
      <c r="AB20" s="19">
        <f>IFERROR(__xludf.DUMMYFUNCTION("""COMPUTED_VALUE"""),1.0)</f>
        <v>1</v>
      </c>
      <c r="AC20" s="19">
        <f>IFERROR(__xludf.DUMMYFUNCTION("""COMPUTED_VALUE"""),162.0)</f>
        <v>162</v>
      </c>
      <c r="AD20" s="19">
        <f>IFERROR(__xludf.DUMMYFUNCTION("""COMPUTED_VALUE"""),167.0)</f>
        <v>167</v>
      </c>
      <c r="AE20" s="19">
        <f>IFERROR(__xludf.DUMMYFUNCTION("""COMPUTED_VALUE"""),25.0)</f>
        <v>25</v>
      </c>
      <c r="AF20" s="19">
        <f>IFERROR(__xludf.DUMMYFUNCTION("""COMPUTED_VALUE"""),4.0)</f>
        <v>4</v>
      </c>
      <c r="AG20" s="19">
        <f>IFERROR(__xludf.DUMMYFUNCTION("""COMPUTED_VALUE"""),162.0)</f>
        <v>162</v>
      </c>
      <c r="AH20" s="19">
        <f>IFERROR(__xludf.DUMMYFUNCTION("""COMPUTED_VALUE"""),51.0)</f>
        <v>51</v>
      </c>
      <c r="AI20" s="19">
        <f>IFERROR(__xludf.DUMMYFUNCTION("""COMPUTED_VALUE"""),15.0)</f>
        <v>15</v>
      </c>
      <c r="AJ20" s="19">
        <f>IFERROR(__xludf.DUMMYFUNCTION("""COMPUTED_VALUE"""),1.0)</f>
        <v>1</v>
      </c>
    </row>
    <row r="21" ht="22.5" customHeight="1">
      <c r="A21" s="42">
        <v>44476.0</v>
      </c>
      <c r="B21" s="43">
        <v>44476.37501157408</v>
      </c>
      <c r="C21" s="17" t="s">
        <v>78</v>
      </c>
      <c r="D21" s="17" t="s">
        <v>139</v>
      </c>
      <c r="E21" s="17" t="s">
        <v>84</v>
      </c>
      <c r="F21" s="17" t="s">
        <v>50</v>
      </c>
      <c r="G21" s="17" t="s">
        <v>140</v>
      </c>
      <c r="H21" s="44" t="s">
        <v>141</v>
      </c>
      <c r="I21" s="45">
        <v>1.0</v>
      </c>
      <c r="J21" s="45">
        <v>10702.0</v>
      </c>
      <c r="K21" s="45">
        <v>10975.0</v>
      </c>
      <c r="L21" s="45">
        <v>706.0</v>
      </c>
      <c r="M21" s="45">
        <v>102.0</v>
      </c>
      <c r="N21" s="45">
        <v>10702.0</v>
      </c>
      <c r="O21" s="46">
        <v>41.0</v>
      </c>
      <c r="P21" s="46">
        <v>9.0</v>
      </c>
      <c r="Q21" s="46">
        <f>IFERROR(__xludf.DUMMYFUNCTION("""COMPUTED_VALUE"""),0.0)</f>
        <v>0</v>
      </c>
      <c r="R21" s="47">
        <v>273.0</v>
      </c>
      <c r="T21" s="48">
        <f>IFERROR(__xludf.DUMMYFUNCTION("""COMPUTED_VALUE"""),44550.0)</f>
        <v>44550</v>
      </c>
      <c r="U21" s="49">
        <f>IFERROR(__xludf.DUMMYFUNCTION("""COMPUTED_VALUE"""),44550.416666666664)</f>
        <v>44550.41667</v>
      </c>
      <c r="V21" s="19" t="str">
        <f>IFERROR(__xludf.DUMMYFUNCTION("""COMPUTED_VALUE"""),"Garena Free Fire")</f>
        <v>Garena Free Fire</v>
      </c>
      <c r="W21" s="19" t="str">
        <f>IFERROR(__xludf.DUMMYFUNCTION("""COMPUTED_VALUE"""),"740460599475760_1962250917296716")</f>
        <v>740460599475760_1962250917296716</v>
      </c>
      <c r="X21" s="19" t="str">
        <f>IFERROR(__xludf.DUMMYFUNCTION("""COMPUTED_VALUE"""),"added_photos")</f>
        <v>added_photos</v>
      </c>
      <c r="Y21" s="19" t="str">
        <f>IFERROR(__xludf.DUMMYFUNCTION("""COMPUTED_VALUE"""),"photo")</f>
        <v>photo</v>
      </c>
      <c r="Z21" s="19" t="str">
        <f>IFERROR(__xludf.DUMMYFUNCTION("""COMPUTED_VALUE"""),"💎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""ส่ว"&amp;"นลด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"&amp;"(23:59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1" s="50" t="str">
        <f>IFERROR(__xludf.DUMMYFUNCTION("""COMPUTED_VALUE"""),"https://www.facebook.com/740460599475760/posts/1962250917296716/")</f>
        <v>https://www.facebook.com/740460599475760/posts/1962250917296716/</v>
      </c>
      <c r="AB21" s="19">
        <f>IFERROR(__xludf.DUMMYFUNCTION("""COMPUTED_VALUE"""),1.0)</f>
        <v>1</v>
      </c>
      <c r="AC21" s="19">
        <f>IFERROR(__xludf.DUMMYFUNCTION("""COMPUTED_VALUE"""),190.0)</f>
        <v>190</v>
      </c>
      <c r="AD21" s="19">
        <f>IFERROR(__xludf.DUMMYFUNCTION("""COMPUTED_VALUE"""),194.0)</f>
        <v>194</v>
      </c>
      <c r="AE21" s="19">
        <f>IFERROR(__xludf.DUMMYFUNCTION("""COMPUTED_VALUE"""),30.0)</f>
        <v>30</v>
      </c>
      <c r="AF21" s="19">
        <f>IFERROR(__xludf.DUMMYFUNCTION("""COMPUTED_VALUE"""),6.0)</f>
        <v>6</v>
      </c>
      <c r="AG21" s="19">
        <f>IFERROR(__xludf.DUMMYFUNCTION("""COMPUTED_VALUE"""),190.0)</f>
        <v>190</v>
      </c>
      <c r="AH21" s="19">
        <f>IFERROR(__xludf.DUMMYFUNCTION("""COMPUTED_VALUE"""),52.0)</f>
        <v>52</v>
      </c>
      <c r="AI21" s="19">
        <f>IFERROR(__xludf.DUMMYFUNCTION("""COMPUTED_VALUE"""),10.0)</f>
        <v>10</v>
      </c>
      <c r="AJ21" s="19">
        <f>IFERROR(__xludf.DUMMYFUNCTION("""COMPUTED_VALUE"""),1.0)</f>
        <v>1</v>
      </c>
    </row>
    <row r="22" ht="22.5" customHeight="1">
      <c r="A22" s="42">
        <v>44476.0</v>
      </c>
      <c r="B22" s="43">
        <v>44476.62501157408</v>
      </c>
      <c r="C22" s="17" t="s">
        <v>78</v>
      </c>
      <c r="D22" s="17" t="s">
        <v>142</v>
      </c>
      <c r="E22" s="17" t="s">
        <v>80</v>
      </c>
      <c r="F22" s="17" t="s">
        <v>55</v>
      </c>
      <c r="G22" s="17" t="s">
        <v>143</v>
      </c>
      <c r="H22" s="44" t="s">
        <v>144</v>
      </c>
      <c r="I22" s="45">
        <v>1.0</v>
      </c>
      <c r="J22" s="45">
        <v>1163.0</v>
      </c>
      <c r="K22" s="45">
        <v>1275.0</v>
      </c>
      <c r="L22" s="45">
        <v>147.0</v>
      </c>
      <c r="M22" s="45">
        <v>53.0</v>
      </c>
      <c r="N22" s="45">
        <v>1163.0</v>
      </c>
      <c r="O22" s="46">
        <v>41.0</v>
      </c>
      <c r="P22" s="46">
        <v>15.0</v>
      </c>
      <c r="Q22" s="46">
        <f>IFERROR(__xludf.DUMMYFUNCTION("""COMPUTED_VALUE"""),0.0)</f>
        <v>0</v>
      </c>
      <c r="R22" s="47">
        <v>112.0</v>
      </c>
      <c r="T22" s="48">
        <f>IFERROR(__xludf.DUMMYFUNCTION("""COMPUTED_VALUE"""),44551.0)</f>
        <v>44551</v>
      </c>
      <c r="U22" s="49">
        <f>IFERROR(__xludf.DUMMYFUNCTION("""COMPUTED_VALUE"""),44551.333344907405)</f>
        <v>44551.33334</v>
      </c>
      <c r="V22" s="19" t="str">
        <f>IFERROR(__xludf.DUMMYFUNCTION("""COMPUTED_VALUE"""),"Garena Free Fire")</f>
        <v>Garena Free Fire</v>
      </c>
      <c r="W22" s="19" t="str">
        <f>IFERROR(__xludf.DUMMYFUNCTION("""COMPUTED_VALUE"""),"740460599475760_1966941793494295")</f>
        <v>740460599475760_1966941793494295</v>
      </c>
      <c r="X22" s="19" t="str">
        <f>IFERROR(__xludf.DUMMYFUNCTION("""COMPUTED_VALUE"""),"added_photos")</f>
        <v>added_photos</v>
      </c>
      <c r="Y22" s="19" t="str">
        <f>IFERROR(__xludf.DUMMYFUNCTION("""COMPUTED_VALUE"""),"photo")</f>
        <v>photo</v>
      </c>
      <c r="Z22" s="19" t="str">
        <f>IFERROR(__xludf.DUMMYFUNCTION("""COMPUTED_VALUE"""),"ถึงจะเป็นคนตลก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"&amp;"น.")</f>
        <v>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v>
      </c>
      <c r="AA22" s="50" t="str">
        <f>IFERROR(__xludf.DUMMYFUNCTION("""COMPUTED_VALUE"""),"https://www.facebook.com/740460599475760/posts/1966941793494295/")</f>
        <v>https://www.facebook.com/740460599475760/posts/1966941793494295/</v>
      </c>
      <c r="AB22" s="19">
        <f>IFERROR(__xludf.DUMMYFUNCTION("""COMPUTED_VALUE"""),1.0)</f>
        <v>1</v>
      </c>
      <c r="AC22" s="19">
        <f>IFERROR(__xludf.DUMMYFUNCTION("""COMPUTED_VALUE"""),8227.0)</f>
        <v>8227</v>
      </c>
      <c r="AD22" s="19">
        <f>IFERROR(__xludf.DUMMYFUNCTION("""COMPUTED_VALUE"""),8334.0)</f>
        <v>8334</v>
      </c>
      <c r="AE22" s="19">
        <f>IFERROR(__xludf.DUMMYFUNCTION("""COMPUTED_VALUE"""),158.0)</f>
        <v>158</v>
      </c>
      <c r="AF22" s="19">
        <f>IFERROR(__xludf.DUMMYFUNCTION("""COMPUTED_VALUE"""),44.0)</f>
        <v>44</v>
      </c>
      <c r="AG22" s="19">
        <f>IFERROR(__xludf.DUMMYFUNCTION("""COMPUTED_VALUE"""),8227.0)</f>
        <v>8227</v>
      </c>
      <c r="AH22" s="19">
        <f>IFERROR(__xludf.DUMMYFUNCTION("""COMPUTED_VALUE"""),52.0)</f>
        <v>52</v>
      </c>
      <c r="AI22" s="19">
        <f>IFERROR(__xludf.DUMMYFUNCTION("""COMPUTED_VALUE"""),8.0)</f>
        <v>8</v>
      </c>
      <c r="AJ22" s="19">
        <f>IFERROR(__xludf.DUMMYFUNCTION("""COMPUTED_VALUE"""),1.0)</f>
        <v>1</v>
      </c>
    </row>
    <row r="23" ht="22.5" customHeight="1">
      <c r="A23" s="42">
        <v>44476.0</v>
      </c>
      <c r="B23" s="43">
        <v>44476.70835648148</v>
      </c>
      <c r="C23" s="17" t="s">
        <v>78</v>
      </c>
      <c r="D23" s="17" t="s">
        <v>145</v>
      </c>
      <c r="E23" s="17" t="s">
        <v>84</v>
      </c>
      <c r="F23" s="17" t="s">
        <v>50</v>
      </c>
      <c r="G23" s="17" t="s">
        <v>146</v>
      </c>
      <c r="H23" s="44" t="s">
        <v>147</v>
      </c>
      <c r="I23" s="45">
        <v>1.0</v>
      </c>
      <c r="J23" s="45">
        <v>2795.0</v>
      </c>
      <c r="K23" s="45">
        <v>3687.0</v>
      </c>
      <c r="L23" s="45">
        <v>471.0</v>
      </c>
      <c r="M23" s="45">
        <v>159.0</v>
      </c>
      <c r="N23" s="45">
        <v>2795.0</v>
      </c>
      <c r="O23" s="46">
        <v>41.0</v>
      </c>
      <c r="P23" s="46">
        <v>17.0</v>
      </c>
      <c r="Q23" s="46">
        <f>IFERROR(__xludf.DUMMYFUNCTION("""COMPUTED_VALUE"""),0.0)</f>
        <v>0</v>
      </c>
      <c r="R23" s="47">
        <v>892.0</v>
      </c>
      <c r="T23" s="48">
        <f>IFERROR(__xludf.DUMMYFUNCTION("""COMPUTED_VALUE"""),44551.0)</f>
        <v>44551</v>
      </c>
      <c r="U23" s="49">
        <f>IFERROR(__xludf.DUMMYFUNCTION("""COMPUTED_VALUE"""),44551.416666666664)</f>
        <v>44551.41667</v>
      </c>
      <c r="V23" s="19" t="str">
        <f>IFERROR(__xludf.DUMMYFUNCTION("""COMPUTED_VALUE"""),"Garena Free Fire")</f>
        <v>Garena Free Fire</v>
      </c>
      <c r="W23" s="19" t="str">
        <f>IFERROR(__xludf.DUMMYFUNCTION("""COMPUTED_VALUE"""),"740460599475760_1966951500159991")</f>
        <v>740460599475760_1966951500159991</v>
      </c>
      <c r="X23" s="19" t="str">
        <f>IFERROR(__xludf.DUMMYFUNCTION("""COMPUTED_VALUE"""),"added_photos")</f>
        <v>added_photos</v>
      </c>
      <c r="Y23" s="19" t="str">
        <f>IFERROR(__xludf.DUMMYFUNCTION("""COMPUTED_VALUE"""),"photo")</f>
        <v>photo</v>
      </c>
      <c r="Z23" s="19" t="str">
        <f>IFERROR(__xludf.DUMMYFUNCTION("""COMPUTED_VALUE"""),"อ่ะเริศ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ถึงวัน"&amp;"ที่ 25 ธันวาคม 2564 เวลา 23.59 น.")</f>
        <v>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v>
      </c>
      <c r="AA23" s="50" t="str">
        <f>IFERROR(__xludf.DUMMYFUNCTION("""COMPUTED_VALUE"""),"https://www.facebook.com/740460599475760/posts/1966951500159991/")</f>
        <v>https://www.facebook.com/740460599475760/posts/1966951500159991/</v>
      </c>
      <c r="AB23" s="19">
        <f>IFERROR(__xludf.DUMMYFUNCTION("""COMPUTED_VALUE"""),1.0)</f>
        <v>1</v>
      </c>
      <c r="AC23" s="19">
        <f>IFERROR(__xludf.DUMMYFUNCTION("""COMPUTED_VALUE"""),6797.0)</f>
        <v>6797</v>
      </c>
      <c r="AD23" s="19">
        <f>IFERROR(__xludf.DUMMYFUNCTION("""COMPUTED_VALUE"""),6937.0)</f>
        <v>6937</v>
      </c>
      <c r="AE23" s="19">
        <f>IFERROR(__xludf.DUMMYFUNCTION("""COMPUTED_VALUE"""),217.0)</f>
        <v>217</v>
      </c>
      <c r="AF23" s="19">
        <f>IFERROR(__xludf.DUMMYFUNCTION("""COMPUTED_VALUE"""),51.0)</f>
        <v>51</v>
      </c>
      <c r="AG23" s="19">
        <f>IFERROR(__xludf.DUMMYFUNCTION("""COMPUTED_VALUE"""),6797.0)</f>
        <v>6797</v>
      </c>
      <c r="AH23" s="19">
        <f>IFERROR(__xludf.DUMMYFUNCTION("""COMPUTED_VALUE"""),52.0)</f>
        <v>52</v>
      </c>
      <c r="AI23" s="19">
        <f>IFERROR(__xludf.DUMMYFUNCTION("""COMPUTED_VALUE"""),10.0)</f>
        <v>10</v>
      </c>
      <c r="AJ23" s="19">
        <f>IFERROR(__xludf.DUMMYFUNCTION("""COMPUTED_VALUE"""),1.0)</f>
        <v>1</v>
      </c>
    </row>
    <row r="24" ht="22.5" customHeight="1">
      <c r="A24" s="42">
        <v>44476.0</v>
      </c>
      <c r="B24" s="43">
        <v>44476.87567129629</v>
      </c>
      <c r="C24" s="17" t="s">
        <v>78</v>
      </c>
      <c r="D24" s="17" t="s">
        <v>148</v>
      </c>
      <c r="E24" s="17" t="s">
        <v>109</v>
      </c>
      <c r="F24" s="17" t="s">
        <v>49</v>
      </c>
      <c r="G24" s="17" t="s">
        <v>149</v>
      </c>
      <c r="H24" s="44" t="s">
        <v>150</v>
      </c>
      <c r="I24" s="45">
        <v>1.0</v>
      </c>
      <c r="J24" s="45">
        <v>174.0</v>
      </c>
      <c r="K24" s="45">
        <v>195.0</v>
      </c>
      <c r="L24" s="45">
        <v>27.0</v>
      </c>
      <c r="M24" s="45"/>
      <c r="N24" s="45">
        <v>174.0</v>
      </c>
      <c r="O24" s="46">
        <v>41.0</v>
      </c>
      <c r="P24" s="46">
        <v>21.0</v>
      </c>
      <c r="Q24" s="46">
        <f>IFERROR(__xludf.DUMMYFUNCTION("""COMPUTED_VALUE"""),0.0)</f>
        <v>0</v>
      </c>
      <c r="R24" s="47">
        <v>21.0</v>
      </c>
      <c r="T24" s="48">
        <f>IFERROR(__xludf.DUMMYFUNCTION("""COMPUTED_VALUE"""),44553.0)</f>
        <v>44553</v>
      </c>
      <c r="U24" s="49">
        <f>IFERROR(__xludf.DUMMYFUNCTION("""COMPUTED_VALUE"""),44553.416666666664)</f>
        <v>44553.41667</v>
      </c>
      <c r="V24" s="19" t="str">
        <f>IFERROR(__xludf.DUMMYFUNCTION("""COMPUTED_VALUE"""),"Garena Free Fire")</f>
        <v>Garena Free Fire</v>
      </c>
      <c r="W24" s="19" t="str">
        <f>IFERROR(__xludf.DUMMYFUNCTION("""COMPUTED_VALUE"""),"740460599475760_1966884233500051")</f>
        <v>740460599475760_1966884233500051</v>
      </c>
      <c r="X24" s="19" t="str">
        <f>IFERROR(__xludf.DUMMYFUNCTION("""COMPUTED_VALUE"""),"added_photos")</f>
        <v>added_photos</v>
      </c>
      <c r="Y24" s="19" t="str">
        <f>IFERROR(__xludf.DUMMYFUNCTION("""COMPUTED_VALUE"""),"photo")</f>
        <v>photo</v>
      </c>
      <c r="Z24" s="19" t="str">
        <f>IFERROR(__xludf.DUMMYFUNCTION("""COMPUTED_VALUE"""),"💎💎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ร"&amp;"ับเลย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2"&amp;"6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4" s="50" t="str">
        <f>IFERROR(__xludf.DUMMYFUNCTION("""COMPUTED_VALUE"""),"https://www.facebook.com/740460599475760/posts/1966884233500051/")</f>
        <v>https://www.facebook.com/740460599475760/posts/1966884233500051/</v>
      </c>
      <c r="AB24" s="19">
        <f>IFERROR(__xludf.DUMMYFUNCTION("""COMPUTED_VALUE"""),1.0)</f>
        <v>1</v>
      </c>
      <c r="AC24" s="19">
        <f>IFERROR(__xludf.DUMMYFUNCTION("""COMPUTED_VALUE"""),177.0)</f>
        <v>177</v>
      </c>
      <c r="AD24" s="19">
        <f>IFERROR(__xludf.DUMMYFUNCTION("""COMPUTED_VALUE"""),180.0)</f>
        <v>180</v>
      </c>
      <c r="AE24" s="19">
        <f>IFERROR(__xludf.DUMMYFUNCTION("""COMPUTED_VALUE"""),16.0)</f>
        <v>16</v>
      </c>
      <c r="AF24" s="19"/>
      <c r="AG24" s="19">
        <f>IFERROR(__xludf.DUMMYFUNCTION("""COMPUTED_VALUE"""),177.0)</f>
        <v>177</v>
      </c>
      <c r="AH24" s="19">
        <f>IFERROR(__xludf.DUMMYFUNCTION("""COMPUTED_VALUE"""),52.0)</f>
        <v>52</v>
      </c>
      <c r="AI24" s="19">
        <f>IFERROR(__xludf.DUMMYFUNCTION("""COMPUTED_VALUE"""),10.0)</f>
        <v>10</v>
      </c>
      <c r="AJ24" s="19">
        <f>IFERROR(__xludf.DUMMYFUNCTION("""COMPUTED_VALUE"""),1.0)</f>
        <v>1</v>
      </c>
    </row>
    <row r="25" ht="22.5" customHeight="1">
      <c r="A25" s="42">
        <v>44477.0</v>
      </c>
      <c r="B25" s="43">
        <v>44477.29225694444</v>
      </c>
      <c r="C25" s="17" t="s">
        <v>78</v>
      </c>
      <c r="D25" s="17" t="s">
        <v>151</v>
      </c>
      <c r="E25" s="17" t="s">
        <v>97</v>
      </c>
      <c r="F25" s="17" t="s">
        <v>52</v>
      </c>
      <c r="G25" s="17" t="s">
        <v>152</v>
      </c>
      <c r="H25" s="44" t="s">
        <v>153</v>
      </c>
      <c r="I25" s="45">
        <v>1.0</v>
      </c>
      <c r="J25" s="45">
        <v>184.0</v>
      </c>
      <c r="K25" s="45">
        <v>204.0</v>
      </c>
      <c r="L25" s="45">
        <v>6.0</v>
      </c>
      <c r="M25" s="45">
        <v>11.0</v>
      </c>
      <c r="N25" s="45">
        <v>184.0</v>
      </c>
      <c r="O25" s="46">
        <v>41.0</v>
      </c>
      <c r="P25" s="46">
        <v>7.0</v>
      </c>
      <c r="Q25" s="46">
        <f>IFERROR(__xludf.DUMMYFUNCTION("""COMPUTED_VALUE"""),0.0)</f>
        <v>0</v>
      </c>
      <c r="R25" s="47">
        <v>20.0</v>
      </c>
    </row>
    <row r="26" ht="22.5" customHeight="1">
      <c r="A26" s="42">
        <v>44477.0</v>
      </c>
      <c r="B26" s="43">
        <v>44477.333344907405</v>
      </c>
      <c r="C26" s="17" t="s">
        <v>78</v>
      </c>
      <c r="D26" s="17" t="s">
        <v>154</v>
      </c>
      <c r="E26" s="17" t="s">
        <v>84</v>
      </c>
      <c r="F26" s="17" t="s">
        <v>50</v>
      </c>
      <c r="G26" s="17" t="s">
        <v>155</v>
      </c>
      <c r="H26" s="44" t="s">
        <v>156</v>
      </c>
      <c r="I26" s="45">
        <v>1.0</v>
      </c>
      <c r="J26" s="45">
        <v>9297.0</v>
      </c>
      <c r="K26" s="45">
        <v>9814.0</v>
      </c>
      <c r="L26" s="45">
        <v>298.0</v>
      </c>
      <c r="M26" s="45">
        <v>142.0</v>
      </c>
      <c r="N26" s="45">
        <v>9297.0</v>
      </c>
      <c r="O26" s="46">
        <v>41.0</v>
      </c>
      <c r="P26" s="46">
        <v>8.0</v>
      </c>
      <c r="Q26" s="46">
        <f>IFERROR(__xludf.DUMMYFUNCTION("""COMPUTED_VALUE"""),0.0)</f>
        <v>0</v>
      </c>
      <c r="R26" s="47">
        <v>517.0</v>
      </c>
    </row>
    <row r="27" ht="22.5" customHeight="1">
      <c r="A27" s="42">
        <v>44477.0</v>
      </c>
      <c r="B27" s="43">
        <v>44477.375</v>
      </c>
      <c r="C27" s="17" t="s">
        <v>78</v>
      </c>
      <c r="D27" s="17" t="s">
        <v>157</v>
      </c>
      <c r="E27" s="17" t="s">
        <v>84</v>
      </c>
      <c r="F27" s="17" t="s">
        <v>50</v>
      </c>
      <c r="G27" s="17" t="s">
        <v>158</v>
      </c>
      <c r="H27" s="44" t="s">
        <v>159</v>
      </c>
      <c r="I27" s="45">
        <v>1.0</v>
      </c>
      <c r="J27" s="45">
        <v>5541.0</v>
      </c>
      <c r="K27" s="45">
        <v>7315.0</v>
      </c>
      <c r="L27" s="45">
        <v>997.0</v>
      </c>
      <c r="M27" s="45">
        <v>545.0</v>
      </c>
      <c r="N27" s="45">
        <v>5541.0</v>
      </c>
      <c r="O27" s="46">
        <v>41.0</v>
      </c>
      <c r="P27" s="46">
        <v>9.0</v>
      </c>
      <c r="Q27" s="46">
        <f>IFERROR(__xludf.DUMMYFUNCTION("""COMPUTED_VALUE"""),0.0)</f>
        <v>0</v>
      </c>
      <c r="R27" s="47">
        <v>1774.0</v>
      </c>
    </row>
    <row r="28" ht="22.5" customHeight="1">
      <c r="A28" s="42">
        <v>44477.0</v>
      </c>
      <c r="B28" s="43">
        <v>44477.58336805556</v>
      </c>
      <c r="C28" s="17" t="s">
        <v>78</v>
      </c>
      <c r="D28" s="17" t="s">
        <v>160</v>
      </c>
      <c r="E28" s="17" t="s">
        <v>80</v>
      </c>
      <c r="F28" s="17" t="s">
        <v>55</v>
      </c>
      <c r="G28" s="17" t="s">
        <v>161</v>
      </c>
      <c r="H28" s="44" t="s">
        <v>162</v>
      </c>
      <c r="I28" s="45">
        <v>1.0</v>
      </c>
      <c r="J28" s="45">
        <v>509.0</v>
      </c>
      <c r="K28" s="45">
        <v>569.0</v>
      </c>
      <c r="L28" s="45">
        <v>42.0</v>
      </c>
      <c r="M28" s="45">
        <v>24.0</v>
      </c>
      <c r="N28" s="45">
        <v>509.0</v>
      </c>
      <c r="O28" s="46">
        <v>41.0</v>
      </c>
      <c r="P28" s="46">
        <v>14.0</v>
      </c>
      <c r="Q28" s="46">
        <f>IFERROR(__xludf.DUMMYFUNCTION("""COMPUTED_VALUE"""),0.0)</f>
        <v>0</v>
      </c>
      <c r="R28" s="47">
        <v>60.0</v>
      </c>
    </row>
    <row r="29" ht="22.5" customHeight="1">
      <c r="A29" s="42">
        <v>44477.0</v>
      </c>
      <c r="B29" s="43">
        <v>44477.62532407408</v>
      </c>
      <c r="C29" s="17" t="s">
        <v>78</v>
      </c>
      <c r="D29" s="17" t="s">
        <v>163</v>
      </c>
      <c r="E29" s="17" t="s">
        <v>84</v>
      </c>
      <c r="F29" s="17" t="s">
        <v>50</v>
      </c>
      <c r="G29" s="17" t="s">
        <v>164</v>
      </c>
      <c r="H29" s="44" t="s">
        <v>165</v>
      </c>
      <c r="I29" s="45">
        <v>1.0</v>
      </c>
      <c r="J29" s="45">
        <v>347.0</v>
      </c>
      <c r="K29" s="45">
        <v>412.0</v>
      </c>
      <c r="L29" s="45">
        <v>34.0</v>
      </c>
      <c r="M29" s="45">
        <v>12.0</v>
      </c>
      <c r="N29" s="45">
        <v>347.0</v>
      </c>
      <c r="O29" s="46">
        <v>41.0</v>
      </c>
      <c r="P29" s="46">
        <v>15.0</v>
      </c>
      <c r="Q29" s="46">
        <f>IFERROR(__xludf.DUMMYFUNCTION("""COMPUTED_VALUE"""),0.0)</f>
        <v>0</v>
      </c>
      <c r="R29" s="47">
        <v>65.0</v>
      </c>
    </row>
    <row r="30" ht="22.5" customHeight="1">
      <c r="A30" s="42">
        <v>44477.0</v>
      </c>
      <c r="B30" s="43">
        <v>44477.79167824074</v>
      </c>
      <c r="C30" s="17" t="s">
        <v>78</v>
      </c>
      <c r="D30" s="17" t="s">
        <v>166</v>
      </c>
      <c r="E30" s="17" t="s">
        <v>80</v>
      </c>
      <c r="F30" s="17" t="s">
        <v>53</v>
      </c>
      <c r="G30" s="17" t="s">
        <v>167</v>
      </c>
      <c r="H30" s="44" t="s">
        <v>168</v>
      </c>
      <c r="I30" s="45">
        <v>1.0</v>
      </c>
      <c r="J30" s="45">
        <v>11976.0</v>
      </c>
      <c r="K30" s="45">
        <v>16483.0</v>
      </c>
      <c r="L30" s="45">
        <v>242.0</v>
      </c>
      <c r="M30" s="45">
        <v>589.0</v>
      </c>
      <c r="N30" s="45">
        <v>11976.0</v>
      </c>
      <c r="O30" s="46">
        <v>41.0</v>
      </c>
      <c r="P30" s="46">
        <v>19.0</v>
      </c>
      <c r="Q30" s="46">
        <f>IFERROR(__xludf.DUMMYFUNCTION("""COMPUTED_VALUE"""),0.0)</f>
        <v>0</v>
      </c>
      <c r="R30" s="47">
        <v>4507.0</v>
      </c>
    </row>
    <row r="31" ht="22.5" customHeight="1">
      <c r="A31" s="42">
        <v>44478.0</v>
      </c>
      <c r="B31" s="43">
        <v>44478.375023148146</v>
      </c>
      <c r="C31" s="17" t="s">
        <v>78</v>
      </c>
      <c r="D31" s="17" t="s">
        <v>169</v>
      </c>
      <c r="E31" s="17" t="s">
        <v>84</v>
      </c>
      <c r="F31" s="17" t="s">
        <v>50</v>
      </c>
      <c r="G31" s="17" t="s">
        <v>170</v>
      </c>
      <c r="H31" s="44" t="s">
        <v>171</v>
      </c>
      <c r="I31" s="45">
        <v>1.0</v>
      </c>
      <c r="J31" s="45">
        <v>1614.0</v>
      </c>
      <c r="K31" s="45">
        <v>1673.0</v>
      </c>
      <c r="L31" s="45">
        <v>250.0</v>
      </c>
      <c r="M31" s="45">
        <v>54.0</v>
      </c>
      <c r="N31" s="45">
        <v>1614.0</v>
      </c>
      <c r="O31" s="46">
        <v>41.0</v>
      </c>
      <c r="P31" s="46">
        <v>9.0</v>
      </c>
      <c r="Q31" s="46">
        <f>IFERROR(__xludf.DUMMYFUNCTION("""COMPUTED_VALUE"""),0.0)</f>
        <v>0</v>
      </c>
      <c r="R31" s="47">
        <v>59.0</v>
      </c>
    </row>
    <row r="32" ht="22.5" customHeight="1">
      <c r="A32" s="42">
        <v>44478.0</v>
      </c>
      <c r="B32" s="43">
        <v>44478.45835648148</v>
      </c>
      <c r="C32" s="17" t="s">
        <v>78</v>
      </c>
      <c r="D32" s="17" t="s">
        <v>172</v>
      </c>
      <c r="E32" s="17" t="s">
        <v>109</v>
      </c>
      <c r="F32" s="17" t="s">
        <v>49</v>
      </c>
      <c r="G32" s="17" t="s">
        <v>173</v>
      </c>
      <c r="H32" s="44" t="s">
        <v>174</v>
      </c>
      <c r="I32" s="45">
        <v>1.0</v>
      </c>
      <c r="J32" s="45">
        <v>854.0</v>
      </c>
      <c r="K32" s="45">
        <v>938.0</v>
      </c>
      <c r="L32" s="45">
        <v>69.0</v>
      </c>
      <c r="M32" s="45">
        <v>42.0</v>
      </c>
      <c r="N32" s="45">
        <v>854.0</v>
      </c>
      <c r="O32" s="46">
        <v>41.0</v>
      </c>
      <c r="P32" s="46">
        <v>11.0</v>
      </c>
      <c r="Q32" s="46">
        <f>IFERROR(__xludf.DUMMYFUNCTION("""COMPUTED_VALUE"""),0.0)</f>
        <v>0</v>
      </c>
      <c r="R32" s="47">
        <v>84.0</v>
      </c>
    </row>
    <row r="33" ht="22.5" customHeight="1">
      <c r="A33" s="42">
        <v>44478.0</v>
      </c>
      <c r="B33" s="43">
        <v>44478.54167824074</v>
      </c>
      <c r="C33" s="17" t="s">
        <v>78</v>
      </c>
      <c r="D33" s="17" t="s">
        <v>175</v>
      </c>
      <c r="E33" s="17" t="s">
        <v>84</v>
      </c>
      <c r="F33" s="17" t="s">
        <v>50</v>
      </c>
      <c r="G33" s="17" t="s">
        <v>176</v>
      </c>
      <c r="H33" s="44" t="s">
        <v>177</v>
      </c>
      <c r="I33" s="45">
        <v>1.0</v>
      </c>
      <c r="J33" s="45">
        <v>726.0</v>
      </c>
      <c r="K33" s="45">
        <v>734.0</v>
      </c>
      <c r="L33" s="45">
        <v>23.0</v>
      </c>
      <c r="M33" s="45">
        <v>62.0</v>
      </c>
      <c r="N33" s="45">
        <v>726.0</v>
      </c>
      <c r="O33" s="46">
        <v>41.0</v>
      </c>
      <c r="P33" s="46">
        <v>13.0</v>
      </c>
      <c r="Q33" s="46">
        <f>IFERROR(__xludf.DUMMYFUNCTION("""COMPUTED_VALUE"""),0.0)</f>
        <v>0</v>
      </c>
      <c r="R33" s="47">
        <v>8.0</v>
      </c>
    </row>
    <row r="34" ht="22.5" customHeight="1">
      <c r="A34" s="42">
        <v>44478.0</v>
      </c>
      <c r="B34" s="43">
        <v>44478.666863425926</v>
      </c>
      <c r="C34" s="17" t="s">
        <v>78</v>
      </c>
      <c r="D34" s="17" t="s">
        <v>178</v>
      </c>
      <c r="E34" s="17" t="s">
        <v>84</v>
      </c>
      <c r="F34" s="17" t="s">
        <v>50</v>
      </c>
      <c r="G34" s="17" t="s">
        <v>179</v>
      </c>
      <c r="H34" s="44" t="s">
        <v>180</v>
      </c>
      <c r="I34" s="45">
        <v>1.0</v>
      </c>
      <c r="J34" s="45">
        <v>264.0</v>
      </c>
      <c r="K34" s="45">
        <v>270.0</v>
      </c>
      <c r="L34" s="45">
        <v>16.0</v>
      </c>
      <c r="M34" s="45">
        <v>22.0</v>
      </c>
      <c r="N34" s="45">
        <v>264.0</v>
      </c>
      <c r="O34" s="46">
        <v>41.0</v>
      </c>
      <c r="P34" s="46">
        <v>16.0</v>
      </c>
      <c r="Q34" s="46">
        <f>IFERROR(__xludf.DUMMYFUNCTION("""COMPUTED_VALUE"""),0.0)</f>
        <v>0</v>
      </c>
      <c r="R34" s="47">
        <v>6.0</v>
      </c>
    </row>
    <row r="35" ht="22.5" customHeight="1">
      <c r="A35" s="42">
        <v>44478.0</v>
      </c>
      <c r="B35" s="43">
        <v>44478.708344907405</v>
      </c>
      <c r="C35" s="17" t="s">
        <v>78</v>
      </c>
      <c r="D35" s="17" t="s">
        <v>181</v>
      </c>
      <c r="E35" s="17" t="s">
        <v>84</v>
      </c>
      <c r="F35" s="17" t="s">
        <v>50</v>
      </c>
      <c r="G35" s="17" t="s">
        <v>182</v>
      </c>
      <c r="H35" s="44" t="s">
        <v>183</v>
      </c>
      <c r="I35" s="45">
        <v>1.0</v>
      </c>
      <c r="J35" s="45">
        <v>857.0</v>
      </c>
      <c r="K35" s="45">
        <v>893.0</v>
      </c>
      <c r="L35" s="45">
        <v>90.0</v>
      </c>
      <c r="M35" s="45">
        <v>30.0</v>
      </c>
      <c r="N35" s="45">
        <v>857.0</v>
      </c>
      <c r="O35" s="46">
        <v>41.0</v>
      </c>
      <c r="P35" s="46">
        <v>17.0</v>
      </c>
      <c r="Q35" s="46">
        <f>IFERROR(__xludf.DUMMYFUNCTION("""COMPUTED_VALUE"""),0.0)</f>
        <v>0</v>
      </c>
      <c r="R35" s="47">
        <v>36.0</v>
      </c>
    </row>
    <row r="36" ht="22.5" customHeight="1">
      <c r="A36" s="42">
        <v>44478.0</v>
      </c>
      <c r="B36" s="43">
        <v>44478.791666666664</v>
      </c>
      <c r="C36" s="17" t="s">
        <v>78</v>
      </c>
      <c r="D36" s="17" t="s">
        <v>184</v>
      </c>
      <c r="E36" s="17" t="s">
        <v>80</v>
      </c>
      <c r="F36" s="17" t="s">
        <v>55</v>
      </c>
      <c r="G36" s="17" t="s">
        <v>185</v>
      </c>
      <c r="H36" s="44" t="s">
        <v>186</v>
      </c>
      <c r="I36" s="45">
        <v>1.0</v>
      </c>
      <c r="J36" s="45">
        <v>1195.0</v>
      </c>
      <c r="K36" s="45">
        <v>1313.0</v>
      </c>
      <c r="L36" s="45">
        <v>194.0</v>
      </c>
      <c r="M36" s="45">
        <v>72.0</v>
      </c>
      <c r="N36" s="45">
        <v>1195.0</v>
      </c>
      <c r="O36" s="46">
        <v>41.0</v>
      </c>
      <c r="P36" s="46">
        <v>19.0</v>
      </c>
      <c r="Q36" s="46">
        <f>IFERROR(__xludf.DUMMYFUNCTION("""COMPUTED_VALUE"""),0.0)</f>
        <v>0</v>
      </c>
      <c r="R36" s="47">
        <v>118.0</v>
      </c>
    </row>
    <row r="37" ht="22.5" customHeight="1">
      <c r="A37" s="42">
        <v>44479.0</v>
      </c>
      <c r="B37" s="43">
        <v>44479.291712962964</v>
      </c>
      <c r="C37" s="17" t="s">
        <v>78</v>
      </c>
      <c r="D37" s="17" t="s">
        <v>187</v>
      </c>
      <c r="E37" s="17" t="s">
        <v>97</v>
      </c>
      <c r="F37" s="17" t="s">
        <v>52</v>
      </c>
      <c r="G37" s="17" t="s">
        <v>188</v>
      </c>
      <c r="H37" s="44" t="s">
        <v>189</v>
      </c>
      <c r="I37" s="45">
        <v>1.0</v>
      </c>
      <c r="J37" s="45">
        <v>150.0</v>
      </c>
      <c r="K37" s="45">
        <v>155.0</v>
      </c>
      <c r="L37" s="45">
        <v>9.0</v>
      </c>
      <c r="M37" s="45">
        <v>1.0</v>
      </c>
      <c r="N37" s="45">
        <v>150.0</v>
      </c>
      <c r="O37" s="46">
        <v>42.0</v>
      </c>
      <c r="P37" s="46">
        <v>7.0</v>
      </c>
      <c r="Q37" s="46">
        <f>IFERROR(__xludf.DUMMYFUNCTION("""COMPUTED_VALUE"""),0.0)</f>
        <v>0</v>
      </c>
      <c r="R37" s="47">
        <v>5.0</v>
      </c>
    </row>
    <row r="38" ht="22.5" customHeight="1">
      <c r="A38" s="42">
        <v>44479.0</v>
      </c>
      <c r="B38" s="43">
        <v>44479.375</v>
      </c>
      <c r="C38" s="17" t="s">
        <v>78</v>
      </c>
      <c r="D38" s="17" t="s">
        <v>190</v>
      </c>
      <c r="E38" s="17" t="s">
        <v>84</v>
      </c>
      <c r="F38" s="17" t="s">
        <v>50</v>
      </c>
      <c r="G38" s="17" t="s">
        <v>191</v>
      </c>
      <c r="H38" s="44" t="s">
        <v>192</v>
      </c>
      <c r="I38" s="45">
        <v>1.0</v>
      </c>
      <c r="J38" s="45">
        <v>16298.0</v>
      </c>
      <c r="K38" s="45">
        <v>16657.0</v>
      </c>
      <c r="L38" s="45">
        <v>358.0</v>
      </c>
      <c r="M38" s="45">
        <v>162.0</v>
      </c>
      <c r="N38" s="45">
        <v>16298.0</v>
      </c>
      <c r="O38" s="46">
        <v>42.0</v>
      </c>
      <c r="P38" s="46">
        <v>9.0</v>
      </c>
      <c r="Q38" s="46">
        <f>IFERROR(__xludf.DUMMYFUNCTION("""COMPUTED_VALUE"""),0.0)</f>
        <v>0</v>
      </c>
      <c r="R38" s="47">
        <v>359.0</v>
      </c>
    </row>
    <row r="39" ht="22.5" customHeight="1">
      <c r="A39" s="42">
        <v>44479.0</v>
      </c>
      <c r="B39" s="43">
        <v>44479.50001157408</v>
      </c>
      <c r="C39" s="17" t="s">
        <v>78</v>
      </c>
      <c r="D39" s="17" t="s">
        <v>193</v>
      </c>
      <c r="E39" s="17" t="s">
        <v>84</v>
      </c>
      <c r="F39" s="17" t="s">
        <v>50</v>
      </c>
      <c r="G39" s="17" t="s">
        <v>194</v>
      </c>
      <c r="H39" s="44" t="s">
        <v>195</v>
      </c>
      <c r="I39" s="45">
        <v>1.0</v>
      </c>
      <c r="J39" s="45">
        <v>4033.0</v>
      </c>
      <c r="K39" s="45">
        <v>4594.0</v>
      </c>
      <c r="L39" s="45">
        <v>234.0</v>
      </c>
      <c r="M39" s="45">
        <v>56.0</v>
      </c>
      <c r="N39" s="45">
        <v>4033.0</v>
      </c>
      <c r="O39" s="46">
        <v>42.0</v>
      </c>
      <c r="P39" s="46">
        <v>12.0</v>
      </c>
      <c r="Q39" s="46">
        <f>IFERROR(__xludf.DUMMYFUNCTION("""COMPUTED_VALUE"""),0.0)</f>
        <v>0</v>
      </c>
      <c r="R39" s="47">
        <v>561.0</v>
      </c>
    </row>
    <row r="40" ht="22.5" customHeight="1">
      <c r="A40" s="42">
        <v>44479.0</v>
      </c>
      <c r="B40" s="43">
        <v>44479.708333333336</v>
      </c>
      <c r="C40" s="17" t="s">
        <v>78</v>
      </c>
      <c r="D40" s="17" t="s">
        <v>196</v>
      </c>
      <c r="E40" s="17" t="s">
        <v>84</v>
      </c>
      <c r="F40" s="17" t="s">
        <v>50</v>
      </c>
      <c r="G40" s="17" t="s">
        <v>197</v>
      </c>
      <c r="H40" s="44" t="s">
        <v>198</v>
      </c>
      <c r="I40" s="45">
        <v>1.0</v>
      </c>
      <c r="J40" s="45">
        <v>702.0</v>
      </c>
      <c r="K40" s="45">
        <v>721.0</v>
      </c>
      <c r="L40" s="45">
        <v>46.0</v>
      </c>
      <c r="M40" s="45">
        <v>10.0</v>
      </c>
      <c r="N40" s="45">
        <v>702.0</v>
      </c>
      <c r="O40" s="46">
        <v>42.0</v>
      </c>
      <c r="P40" s="46">
        <v>17.0</v>
      </c>
      <c r="Q40" s="46">
        <f>IFERROR(__xludf.DUMMYFUNCTION("""COMPUTED_VALUE"""),0.0)</f>
        <v>0</v>
      </c>
      <c r="R40" s="47">
        <v>19.0</v>
      </c>
    </row>
    <row r="41" ht="22.5" customHeight="1">
      <c r="A41" s="42">
        <v>44480.0</v>
      </c>
      <c r="B41" s="43">
        <v>44480.333333333336</v>
      </c>
      <c r="C41" s="17" t="s">
        <v>78</v>
      </c>
      <c r="D41" s="17" t="s">
        <v>199</v>
      </c>
      <c r="E41" s="17" t="s">
        <v>84</v>
      </c>
      <c r="F41" s="17" t="s">
        <v>50</v>
      </c>
      <c r="G41" s="17" t="s">
        <v>200</v>
      </c>
      <c r="H41" s="44" t="s">
        <v>201</v>
      </c>
      <c r="I41" s="45">
        <v>1.0</v>
      </c>
      <c r="J41" s="45">
        <v>836.0</v>
      </c>
      <c r="K41" s="45">
        <v>849.0</v>
      </c>
      <c r="L41" s="45">
        <v>60.0</v>
      </c>
      <c r="M41" s="45">
        <v>30.0</v>
      </c>
      <c r="N41" s="45">
        <v>836.0</v>
      </c>
      <c r="O41" s="46">
        <v>42.0</v>
      </c>
      <c r="P41" s="46">
        <v>8.0</v>
      </c>
      <c r="Q41" s="46">
        <f>IFERROR(__xludf.DUMMYFUNCTION("""COMPUTED_VALUE"""),0.0)</f>
        <v>0</v>
      </c>
      <c r="R41" s="47">
        <v>13.0</v>
      </c>
    </row>
    <row r="42" ht="22.5" customHeight="1">
      <c r="A42" s="42">
        <v>44480.0</v>
      </c>
      <c r="B42" s="43">
        <v>44480.37501157408</v>
      </c>
      <c r="C42" s="17" t="s">
        <v>78</v>
      </c>
      <c r="D42" s="17" t="s">
        <v>202</v>
      </c>
      <c r="E42" s="17" t="s">
        <v>84</v>
      </c>
      <c r="F42" s="17" t="s">
        <v>50</v>
      </c>
      <c r="G42" s="17" t="s">
        <v>203</v>
      </c>
      <c r="H42" s="44" t="s">
        <v>204</v>
      </c>
      <c r="I42" s="45">
        <v>1.0</v>
      </c>
      <c r="J42" s="45">
        <v>1534.0</v>
      </c>
      <c r="K42" s="45">
        <v>1589.0</v>
      </c>
      <c r="L42" s="45">
        <v>157.0</v>
      </c>
      <c r="M42" s="45">
        <v>94.0</v>
      </c>
      <c r="N42" s="45">
        <v>1534.0</v>
      </c>
      <c r="O42" s="46">
        <v>42.0</v>
      </c>
      <c r="P42" s="46">
        <v>9.0</v>
      </c>
      <c r="Q42" s="46">
        <f>IFERROR(__xludf.DUMMYFUNCTION("""COMPUTED_VALUE"""),0.0)</f>
        <v>0</v>
      </c>
      <c r="R42" s="47">
        <v>55.0</v>
      </c>
    </row>
    <row r="43" ht="22.5" customHeight="1">
      <c r="A43" s="42">
        <v>44480.0</v>
      </c>
      <c r="B43" s="43">
        <v>44480.458391203705</v>
      </c>
      <c r="C43" s="17" t="s">
        <v>78</v>
      </c>
      <c r="D43" s="17" t="s">
        <v>205</v>
      </c>
      <c r="E43" s="17" t="s">
        <v>84</v>
      </c>
      <c r="F43" s="17" t="s">
        <v>50</v>
      </c>
      <c r="G43" s="17" t="s">
        <v>206</v>
      </c>
      <c r="H43" s="44" t="s">
        <v>207</v>
      </c>
      <c r="I43" s="45">
        <v>1.0</v>
      </c>
      <c r="J43" s="45">
        <v>687.0</v>
      </c>
      <c r="K43" s="45">
        <v>778.0</v>
      </c>
      <c r="L43" s="45">
        <v>40.0</v>
      </c>
      <c r="M43" s="45">
        <v>49.0</v>
      </c>
      <c r="N43" s="45">
        <v>687.0</v>
      </c>
      <c r="O43" s="46">
        <v>42.0</v>
      </c>
      <c r="P43" s="46">
        <v>11.0</v>
      </c>
      <c r="Q43" s="46">
        <f>IFERROR(__xludf.DUMMYFUNCTION("""COMPUTED_VALUE"""),0.0)</f>
        <v>0</v>
      </c>
      <c r="R43" s="47">
        <v>91.0</v>
      </c>
    </row>
    <row r="44" ht="22.5" customHeight="1">
      <c r="A44" s="42">
        <v>44480.0</v>
      </c>
      <c r="B44" s="43">
        <v>44480.5</v>
      </c>
      <c r="C44" s="17" t="s">
        <v>78</v>
      </c>
      <c r="D44" s="17" t="s">
        <v>208</v>
      </c>
      <c r="E44" s="17" t="s">
        <v>84</v>
      </c>
      <c r="F44" s="17" t="s">
        <v>50</v>
      </c>
      <c r="G44" s="17" t="s">
        <v>209</v>
      </c>
      <c r="H44" s="44" t="s">
        <v>210</v>
      </c>
      <c r="I44" s="45">
        <v>1.0</v>
      </c>
      <c r="J44" s="45">
        <v>3652.0</v>
      </c>
      <c r="K44" s="45">
        <v>4714.0</v>
      </c>
      <c r="L44" s="45">
        <v>985.0</v>
      </c>
      <c r="M44" s="45">
        <v>216.0</v>
      </c>
      <c r="N44" s="45">
        <v>3652.0</v>
      </c>
      <c r="O44" s="46">
        <v>42.0</v>
      </c>
      <c r="P44" s="46">
        <v>12.0</v>
      </c>
      <c r="Q44" s="46">
        <f>IFERROR(__xludf.DUMMYFUNCTION("""COMPUTED_VALUE"""),0.0)</f>
        <v>0</v>
      </c>
      <c r="R44" s="47">
        <v>1062.0</v>
      </c>
    </row>
    <row r="45" ht="22.5" customHeight="1">
      <c r="A45" s="42">
        <v>44480.0</v>
      </c>
      <c r="B45" s="43">
        <v>44480.600625</v>
      </c>
      <c r="C45" s="17" t="s">
        <v>78</v>
      </c>
      <c r="D45" s="17" t="s">
        <v>211</v>
      </c>
      <c r="E45" s="17" t="s">
        <v>84</v>
      </c>
      <c r="F45" s="17" t="s">
        <v>51</v>
      </c>
      <c r="G45" s="17"/>
      <c r="H45" s="44" t="s">
        <v>212</v>
      </c>
      <c r="I45" s="45">
        <v>1.0</v>
      </c>
      <c r="J45" s="45">
        <v>12622.0</v>
      </c>
      <c r="K45" s="45">
        <v>18460.0</v>
      </c>
      <c r="L45" s="45">
        <v>2083.0</v>
      </c>
      <c r="M45" s="45">
        <v>219.0</v>
      </c>
      <c r="N45" s="45">
        <v>12622.0</v>
      </c>
      <c r="O45" s="46">
        <v>42.0</v>
      </c>
      <c r="P45" s="46">
        <v>14.0</v>
      </c>
      <c r="Q45" s="46">
        <f>IFERROR(__xludf.DUMMYFUNCTION("""COMPUTED_VALUE"""),0.0)</f>
        <v>0</v>
      </c>
      <c r="R45" s="47">
        <v>5838.0</v>
      </c>
    </row>
    <row r="46" ht="22.5" customHeight="1">
      <c r="A46" s="42">
        <v>44480.0</v>
      </c>
      <c r="B46" s="43">
        <v>44480.66694444444</v>
      </c>
      <c r="C46" s="17" t="s">
        <v>78</v>
      </c>
      <c r="D46" s="17" t="s">
        <v>213</v>
      </c>
      <c r="E46" s="17" t="s">
        <v>84</v>
      </c>
      <c r="F46" s="17" t="s">
        <v>50</v>
      </c>
      <c r="G46" s="17" t="s">
        <v>214</v>
      </c>
      <c r="H46" s="44" t="s">
        <v>215</v>
      </c>
      <c r="I46" s="45">
        <v>1.0</v>
      </c>
      <c r="J46" s="45">
        <v>10675.0</v>
      </c>
      <c r="K46" s="45">
        <v>11193.0</v>
      </c>
      <c r="L46" s="45">
        <v>1187.0</v>
      </c>
      <c r="M46" s="45">
        <v>387.0</v>
      </c>
      <c r="N46" s="45">
        <v>10675.0</v>
      </c>
      <c r="O46" s="46">
        <v>42.0</v>
      </c>
      <c r="P46" s="46">
        <v>16.0</v>
      </c>
      <c r="Q46" s="46">
        <f>IFERROR(__xludf.DUMMYFUNCTION("""COMPUTED_VALUE"""),0.0)</f>
        <v>0</v>
      </c>
      <c r="R46" s="47">
        <v>518.0</v>
      </c>
    </row>
    <row r="47" ht="22.5" customHeight="1">
      <c r="A47" s="42">
        <v>44480.0</v>
      </c>
      <c r="B47" s="43">
        <v>44480.70836805556</v>
      </c>
      <c r="C47" s="17" t="s">
        <v>78</v>
      </c>
      <c r="D47" s="17" t="s">
        <v>216</v>
      </c>
      <c r="E47" s="17" t="s">
        <v>84</v>
      </c>
      <c r="F47" s="17" t="s">
        <v>50</v>
      </c>
      <c r="G47" s="17" t="s">
        <v>217</v>
      </c>
      <c r="H47" s="44" t="s">
        <v>218</v>
      </c>
      <c r="I47" s="45">
        <v>1.0</v>
      </c>
      <c r="J47" s="45">
        <v>348.0</v>
      </c>
      <c r="K47" s="45">
        <v>377.0</v>
      </c>
      <c r="L47" s="45">
        <v>29.0</v>
      </c>
      <c r="M47" s="45">
        <v>10.0</v>
      </c>
      <c r="N47" s="45">
        <v>348.0</v>
      </c>
      <c r="O47" s="46">
        <v>42.0</v>
      </c>
      <c r="P47" s="46">
        <v>17.0</v>
      </c>
      <c r="Q47" s="46">
        <f>IFERROR(__xludf.DUMMYFUNCTION("""COMPUTED_VALUE"""),0.0)</f>
        <v>0</v>
      </c>
      <c r="R47" s="47">
        <v>29.0</v>
      </c>
    </row>
    <row r="48" ht="22.5" customHeight="1">
      <c r="A48" s="42">
        <v>44480.0</v>
      </c>
      <c r="B48" s="43">
        <v>44480.75</v>
      </c>
      <c r="C48" s="17" t="s">
        <v>78</v>
      </c>
      <c r="D48" s="17" t="s">
        <v>219</v>
      </c>
      <c r="E48" s="17" t="s">
        <v>84</v>
      </c>
      <c r="F48" s="17" t="s">
        <v>50</v>
      </c>
      <c r="G48" s="17" t="s">
        <v>220</v>
      </c>
      <c r="H48" s="44" t="s">
        <v>221</v>
      </c>
      <c r="I48" s="45">
        <v>1.0</v>
      </c>
      <c r="J48" s="45">
        <v>2083.0</v>
      </c>
      <c r="K48" s="45">
        <v>2125.0</v>
      </c>
      <c r="L48" s="45">
        <v>109.0</v>
      </c>
      <c r="M48" s="45">
        <v>28.0</v>
      </c>
      <c r="N48" s="45">
        <v>2083.0</v>
      </c>
      <c r="O48" s="46">
        <v>42.0</v>
      </c>
      <c r="P48" s="46">
        <v>18.0</v>
      </c>
      <c r="Q48" s="46">
        <f>IFERROR(__xludf.DUMMYFUNCTION("""COMPUTED_VALUE"""),0.0)</f>
        <v>0</v>
      </c>
      <c r="R48" s="47">
        <v>42.0</v>
      </c>
    </row>
    <row r="49" ht="22.5" customHeight="1">
      <c r="A49" s="42">
        <v>44480.0</v>
      </c>
      <c r="B49" s="43">
        <v>44480.83335648148</v>
      </c>
      <c r="C49" s="17" t="s">
        <v>78</v>
      </c>
      <c r="D49" s="17" t="s">
        <v>222</v>
      </c>
      <c r="E49" s="17" t="s">
        <v>84</v>
      </c>
      <c r="F49" s="17" t="s">
        <v>50</v>
      </c>
      <c r="G49" s="17" t="s">
        <v>223</v>
      </c>
      <c r="H49" s="44" t="s">
        <v>224</v>
      </c>
      <c r="I49" s="45">
        <v>1.0</v>
      </c>
      <c r="J49" s="45">
        <v>370.0</v>
      </c>
      <c r="K49" s="45">
        <v>384.0</v>
      </c>
      <c r="L49" s="45">
        <v>96.0</v>
      </c>
      <c r="M49" s="45">
        <v>5.0</v>
      </c>
      <c r="N49" s="45">
        <v>370.0</v>
      </c>
      <c r="O49" s="46">
        <v>42.0</v>
      </c>
      <c r="P49" s="46">
        <v>20.0</v>
      </c>
      <c r="Q49" s="46">
        <f>IFERROR(__xludf.DUMMYFUNCTION("""COMPUTED_VALUE"""),0.0)</f>
        <v>0</v>
      </c>
      <c r="R49" s="47">
        <v>14.0</v>
      </c>
    </row>
    <row r="50" ht="22.5" customHeight="1">
      <c r="A50" s="42">
        <v>44481.0</v>
      </c>
      <c r="B50" s="43">
        <v>44481.54168981482</v>
      </c>
      <c r="C50" s="17" t="s">
        <v>78</v>
      </c>
      <c r="D50" s="17" t="s">
        <v>225</v>
      </c>
      <c r="E50" s="17" t="s">
        <v>84</v>
      </c>
      <c r="F50" s="17" t="s">
        <v>50</v>
      </c>
      <c r="G50" s="17" t="s">
        <v>226</v>
      </c>
      <c r="H50" s="44" t="s">
        <v>227</v>
      </c>
      <c r="I50" s="45">
        <v>1.0</v>
      </c>
      <c r="J50" s="45">
        <v>3357.0</v>
      </c>
      <c r="K50" s="45">
        <v>3392.0</v>
      </c>
      <c r="L50" s="45">
        <v>54.0</v>
      </c>
      <c r="M50" s="45">
        <v>11.0</v>
      </c>
      <c r="N50" s="45">
        <v>3357.0</v>
      </c>
      <c r="O50" s="46">
        <v>42.0</v>
      </c>
      <c r="P50" s="46">
        <v>13.0</v>
      </c>
      <c r="Q50" s="46">
        <f>IFERROR(__xludf.DUMMYFUNCTION("""COMPUTED_VALUE"""),0.0)</f>
        <v>0</v>
      </c>
      <c r="R50" s="47">
        <v>35.0</v>
      </c>
    </row>
    <row r="51" ht="22.5" customHeight="1">
      <c r="A51" s="42">
        <v>44481.0</v>
      </c>
      <c r="B51" s="43">
        <v>44481.625023148146</v>
      </c>
      <c r="C51" s="17" t="s">
        <v>78</v>
      </c>
      <c r="D51" s="17" t="s">
        <v>228</v>
      </c>
      <c r="E51" s="17" t="s">
        <v>109</v>
      </c>
      <c r="F51" s="17" t="s">
        <v>50</v>
      </c>
      <c r="G51" s="17"/>
      <c r="H51" s="44" t="s">
        <v>229</v>
      </c>
      <c r="I51" s="45">
        <v>1.0</v>
      </c>
      <c r="J51" s="45">
        <v>1108.0</v>
      </c>
      <c r="K51" s="45">
        <v>1150.0</v>
      </c>
      <c r="L51" s="45">
        <v>105.0</v>
      </c>
      <c r="M51" s="45">
        <v>50.0</v>
      </c>
      <c r="N51" s="45">
        <v>1108.0</v>
      </c>
      <c r="O51" s="46">
        <v>42.0</v>
      </c>
      <c r="P51" s="46">
        <v>15.0</v>
      </c>
      <c r="Q51" s="46">
        <f>IFERROR(__xludf.DUMMYFUNCTION("""COMPUTED_VALUE"""),0.0)</f>
        <v>0</v>
      </c>
      <c r="R51" s="47">
        <v>42.0</v>
      </c>
    </row>
    <row r="52" ht="22.5" customHeight="1">
      <c r="A52" s="42">
        <v>44481.0</v>
      </c>
      <c r="B52" s="43">
        <v>44481.791921296295</v>
      </c>
      <c r="C52" s="17" t="s">
        <v>78</v>
      </c>
      <c r="D52" s="17" t="s">
        <v>230</v>
      </c>
      <c r="E52" s="17" t="s">
        <v>80</v>
      </c>
      <c r="F52" s="17" t="s">
        <v>55</v>
      </c>
      <c r="G52" s="17" t="s">
        <v>231</v>
      </c>
      <c r="H52" s="44" t="s">
        <v>232</v>
      </c>
      <c r="I52" s="45">
        <v>1.0</v>
      </c>
      <c r="J52" s="45">
        <v>444.0</v>
      </c>
      <c r="K52" s="45">
        <v>523.0</v>
      </c>
      <c r="L52" s="45">
        <v>37.0</v>
      </c>
      <c r="M52" s="45">
        <v>12.0</v>
      </c>
      <c r="N52" s="45">
        <v>444.0</v>
      </c>
      <c r="O52" s="46">
        <v>42.0</v>
      </c>
      <c r="P52" s="46">
        <v>19.0</v>
      </c>
      <c r="Q52" s="46">
        <f>IFERROR(__xludf.DUMMYFUNCTION("""COMPUTED_VALUE"""),0.0)</f>
        <v>0</v>
      </c>
      <c r="R52" s="47">
        <v>79.0</v>
      </c>
    </row>
    <row r="53" ht="22.5" customHeight="1">
      <c r="A53" s="42">
        <v>44481.0</v>
      </c>
      <c r="B53" s="43">
        <v>44481.83335648148</v>
      </c>
      <c r="C53" s="17" t="s">
        <v>78</v>
      </c>
      <c r="D53" s="17" t="s">
        <v>233</v>
      </c>
      <c r="E53" s="17" t="s">
        <v>84</v>
      </c>
      <c r="F53" s="17" t="s">
        <v>50</v>
      </c>
      <c r="G53" s="17" t="s">
        <v>234</v>
      </c>
      <c r="H53" s="44" t="s">
        <v>235</v>
      </c>
      <c r="I53" s="45">
        <v>1.0</v>
      </c>
      <c r="J53" s="45">
        <v>871.0</v>
      </c>
      <c r="K53" s="45">
        <v>911.0</v>
      </c>
      <c r="L53" s="45">
        <v>146.0</v>
      </c>
      <c r="M53" s="45">
        <v>30.0</v>
      </c>
      <c r="N53" s="45">
        <v>871.0</v>
      </c>
      <c r="O53" s="46">
        <v>42.0</v>
      </c>
      <c r="P53" s="46">
        <v>20.0</v>
      </c>
      <c r="Q53" s="46">
        <f>IFERROR(__xludf.DUMMYFUNCTION("""COMPUTED_VALUE"""),0.0)</f>
        <v>0</v>
      </c>
      <c r="R53" s="47">
        <v>40.0</v>
      </c>
    </row>
    <row r="54" ht="22.5" customHeight="1">
      <c r="A54" s="42">
        <v>44482.0</v>
      </c>
      <c r="B54" s="43">
        <v>44482.41667824074</v>
      </c>
      <c r="C54" s="17" t="s">
        <v>78</v>
      </c>
      <c r="D54" s="17" t="s">
        <v>236</v>
      </c>
      <c r="E54" s="17" t="s">
        <v>84</v>
      </c>
      <c r="F54" s="17" t="s">
        <v>50</v>
      </c>
      <c r="G54" s="17" t="s">
        <v>237</v>
      </c>
      <c r="H54" s="44" t="s">
        <v>238</v>
      </c>
      <c r="I54" s="45">
        <v>1.0</v>
      </c>
      <c r="J54" s="45">
        <v>1696.0</v>
      </c>
      <c r="K54" s="45">
        <v>1775.0</v>
      </c>
      <c r="L54" s="45">
        <v>285.0</v>
      </c>
      <c r="M54" s="45">
        <v>46.0</v>
      </c>
      <c r="N54" s="45">
        <v>1696.0</v>
      </c>
      <c r="O54" s="46">
        <v>42.0</v>
      </c>
      <c r="P54" s="46">
        <v>10.0</v>
      </c>
      <c r="Q54" s="46">
        <f>IFERROR(__xludf.DUMMYFUNCTION("""COMPUTED_VALUE"""),0.0)</f>
        <v>0</v>
      </c>
      <c r="R54" s="47">
        <v>79.0</v>
      </c>
    </row>
    <row r="55" ht="22.5" customHeight="1">
      <c r="A55" s="42">
        <v>44482.0</v>
      </c>
      <c r="B55" s="43">
        <v>44482.50001157408</v>
      </c>
      <c r="C55" s="17" t="s">
        <v>78</v>
      </c>
      <c r="D55" s="17" t="s">
        <v>239</v>
      </c>
      <c r="E55" s="17" t="s">
        <v>84</v>
      </c>
      <c r="F55" s="17" t="s">
        <v>50</v>
      </c>
      <c r="G55" s="17" t="s">
        <v>240</v>
      </c>
      <c r="H55" s="44" t="s">
        <v>241</v>
      </c>
      <c r="I55" s="45">
        <v>1.0</v>
      </c>
      <c r="J55" s="45">
        <v>226.0</v>
      </c>
      <c r="K55" s="45">
        <v>234.0</v>
      </c>
      <c r="L55" s="45">
        <v>32.0</v>
      </c>
      <c r="M55" s="45">
        <v>9.0</v>
      </c>
      <c r="N55" s="45">
        <v>226.0</v>
      </c>
      <c r="O55" s="46">
        <v>42.0</v>
      </c>
      <c r="P55" s="46">
        <v>12.0</v>
      </c>
      <c r="Q55" s="46">
        <f>IFERROR(__xludf.DUMMYFUNCTION("""COMPUTED_VALUE"""),1.0)</f>
        <v>1</v>
      </c>
      <c r="R55" s="47">
        <v>8.0</v>
      </c>
    </row>
    <row r="56" ht="22.5" customHeight="1">
      <c r="A56" s="42">
        <v>44482.0</v>
      </c>
      <c r="B56" s="43">
        <v>44482.66724537037</v>
      </c>
      <c r="C56" s="17" t="s">
        <v>78</v>
      </c>
      <c r="D56" s="17" t="s">
        <v>242</v>
      </c>
      <c r="E56" s="17" t="s">
        <v>84</v>
      </c>
      <c r="F56" s="17" t="s">
        <v>50</v>
      </c>
      <c r="G56" s="17" t="s">
        <v>243</v>
      </c>
      <c r="H56" s="44" t="s">
        <v>244</v>
      </c>
      <c r="I56" s="45">
        <v>1.0</v>
      </c>
      <c r="J56" s="45">
        <v>2400.0</v>
      </c>
      <c r="K56" s="45">
        <v>2740.0</v>
      </c>
      <c r="L56" s="45">
        <v>210.0</v>
      </c>
      <c r="M56" s="45">
        <v>254.0</v>
      </c>
      <c r="N56" s="45">
        <v>2400.0</v>
      </c>
      <c r="O56" s="46">
        <v>42.0</v>
      </c>
      <c r="P56" s="46">
        <v>16.0</v>
      </c>
      <c r="Q56" s="46">
        <f>IFERROR(__xludf.DUMMYFUNCTION("""COMPUTED_VALUE"""),0.0)</f>
        <v>0</v>
      </c>
      <c r="R56" s="47">
        <v>340.0</v>
      </c>
    </row>
    <row r="57" ht="22.5" customHeight="1">
      <c r="A57" s="42">
        <v>44482.0</v>
      </c>
      <c r="B57" s="43">
        <v>44482.75</v>
      </c>
      <c r="C57" s="17" t="s">
        <v>78</v>
      </c>
      <c r="D57" s="17" t="s">
        <v>245</v>
      </c>
      <c r="E57" s="17" t="s">
        <v>80</v>
      </c>
      <c r="F57" s="17" t="s">
        <v>55</v>
      </c>
      <c r="G57" s="17" t="s">
        <v>246</v>
      </c>
      <c r="H57" s="44" t="s">
        <v>247</v>
      </c>
      <c r="I57" s="45">
        <v>1.0</v>
      </c>
      <c r="J57" s="45">
        <v>705.0</v>
      </c>
      <c r="K57" s="45">
        <v>784.0</v>
      </c>
      <c r="L57" s="45">
        <v>81.0</v>
      </c>
      <c r="M57" s="45">
        <v>21.0</v>
      </c>
      <c r="N57" s="45">
        <v>705.0</v>
      </c>
      <c r="O57" s="46">
        <v>42.0</v>
      </c>
      <c r="P57" s="46">
        <v>18.0</v>
      </c>
      <c r="Q57" s="46">
        <f>IFERROR(__xludf.DUMMYFUNCTION("""COMPUTED_VALUE"""),0.0)</f>
        <v>0</v>
      </c>
      <c r="R57" s="47">
        <v>79.0</v>
      </c>
    </row>
    <row r="58" ht="22.5" customHeight="1">
      <c r="A58" s="42">
        <v>44482.0</v>
      </c>
      <c r="B58" s="43">
        <v>44482.83336805556</v>
      </c>
      <c r="C58" s="17" t="s">
        <v>78</v>
      </c>
      <c r="D58" s="17" t="s">
        <v>248</v>
      </c>
      <c r="E58" s="17" t="s">
        <v>84</v>
      </c>
      <c r="F58" s="17" t="s">
        <v>50</v>
      </c>
      <c r="G58" s="17" t="s">
        <v>249</v>
      </c>
      <c r="H58" s="44" t="s">
        <v>250</v>
      </c>
      <c r="I58" s="45">
        <v>1.0</v>
      </c>
      <c r="J58" s="45">
        <v>832.0</v>
      </c>
      <c r="K58" s="45">
        <v>966.0</v>
      </c>
      <c r="L58" s="45">
        <v>110.0</v>
      </c>
      <c r="M58" s="45">
        <v>17.0</v>
      </c>
      <c r="N58" s="45">
        <v>832.0</v>
      </c>
      <c r="O58" s="46">
        <v>42.0</v>
      </c>
      <c r="P58" s="46">
        <v>20.0</v>
      </c>
      <c r="Q58" s="46">
        <f>IFERROR(__xludf.DUMMYFUNCTION("""COMPUTED_VALUE"""),0.0)</f>
        <v>0</v>
      </c>
      <c r="R58" s="47">
        <v>134.0</v>
      </c>
    </row>
    <row r="59" ht="22.5" customHeight="1">
      <c r="A59" s="42">
        <v>44483.0</v>
      </c>
      <c r="B59" s="43">
        <v>44483.54172453703</v>
      </c>
      <c r="C59" s="17" t="s">
        <v>78</v>
      </c>
      <c r="D59" s="17" t="s">
        <v>251</v>
      </c>
      <c r="E59" s="17" t="s">
        <v>80</v>
      </c>
      <c r="F59" s="17" t="s">
        <v>55</v>
      </c>
      <c r="G59" s="17" t="s">
        <v>252</v>
      </c>
      <c r="H59" s="44" t="s">
        <v>253</v>
      </c>
      <c r="I59" s="45">
        <v>1.0</v>
      </c>
      <c r="J59" s="45">
        <v>1088.0</v>
      </c>
      <c r="K59" s="45">
        <v>1209.0</v>
      </c>
      <c r="L59" s="45">
        <v>91.0</v>
      </c>
      <c r="M59" s="45">
        <v>28.0</v>
      </c>
      <c r="N59" s="45">
        <v>1088.0</v>
      </c>
      <c r="O59" s="46">
        <v>42.0</v>
      </c>
      <c r="P59" s="46">
        <v>13.0</v>
      </c>
      <c r="Q59" s="46">
        <f>IFERROR(__xludf.DUMMYFUNCTION("""COMPUTED_VALUE"""),0.0)</f>
        <v>0</v>
      </c>
      <c r="R59" s="47">
        <v>121.0</v>
      </c>
    </row>
    <row r="60" ht="22.5" customHeight="1">
      <c r="A60" s="42">
        <v>44483.0</v>
      </c>
      <c r="B60" s="43">
        <v>44483.54902777778</v>
      </c>
      <c r="C60" s="17" t="s">
        <v>78</v>
      </c>
      <c r="D60" s="17" t="s">
        <v>254</v>
      </c>
      <c r="E60" s="17" t="s">
        <v>84</v>
      </c>
      <c r="F60" s="17" t="s">
        <v>48</v>
      </c>
      <c r="G60" s="17"/>
      <c r="H60" s="44" t="s">
        <v>255</v>
      </c>
      <c r="I60" s="45">
        <v>1.0</v>
      </c>
      <c r="J60" s="45">
        <v>677.0</v>
      </c>
      <c r="K60" s="45">
        <v>735.0</v>
      </c>
      <c r="L60" s="45">
        <v>46.0</v>
      </c>
      <c r="M60" s="45">
        <v>12.0</v>
      </c>
      <c r="N60" s="45">
        <v>677.0</v>
      </c>
      <c r="O60" s="46">
        <v>42.0</v>
      </c>
      <c r="P60" s="46">
        <v>13.0</v>
      </c>
      <c r="Q60" s="46">
        <f>IFERROR(__xludf.DUMMYFUNCTION("""COMPUTED_VALUE"""),0.0)</f>
        <v>0</v>
      </c>
      <c r="R60" s="47">
        <v>58.0</v>
      </c>
    </row>
    <row r="61" ht="22.5" customHeight="1">
      <c r="A61" s="42">
        <v>44483.0</v>
      </c>
      <c r="B61" s="43">
        <v>44483.625</v>
      </c>
      <c r="C61" s="17" t="s">
        <v>78</v>
      </c>
      <c r="D61" s="17" t="s">
        <v>256</v>
      </c>
      <c r="E61" s="17" t="s">
        <v>84</v>
      </c>
      <c r="F61" s="17" t="s">
        <v>50</v>
      </c>
      <c r="G61" s="17" t="s">
        <v>257</v>
      </c>
      <c r="H61" s="44" t="s">
        <v>258</v>
      </c>
      <c r="I61" s="45">
        <v>1.0</v>
      </c>
      <c r="J61" s="45">
        <v>3704.0</v>
      </c>
      <c r="K61" s="45">
        <v>4535.0</v>
      </c>
      <c r="L61" s="45">
        <v>995.0</v>
      </c>
      <c r="M61" s="45">
        <v>635.0</v>
      </c>
      <c r="N61" s="45">
        <v>3704.0</v>
      </c>
      <c r="O61" s="46">
        <v>42.0</v>
      </c>
      <c r="P61" s="46">
        <v>15.0</v>
      </c>
      <c r="Q61" s="46">
        <f>IFERROR(__xludf.DUMMYFUNCTION("""COMPUTED_VALUE"""),0.0)</f>
        <v>0</v>
      </c>
      <c r="R61" s="47">
        <v>831.0</v>
      </c>
    </row>
    <row r="62" ht="22.5" customHeight="1">
      <c r="A62" s="42">
        <v>44483.0</v>
      </c>
      <c r="B62" s="43">
        <v>44483.79560185185</v>
      </c>
      <c r="C62" s="17" t="s">
        <v>78</v>
      </c>
      <c r="D62" s="17" t="s">
        <v>259</v>
      </c>
      <c r="E62" s="17" t="s">
        <v>80</v>
      </c>
      <c r="F62" s="17" t="s">
        <v>53</v>
      </c>
      <c r="G62" s="17" t="s">
        <v>260</v>
      </c>
      <c r="H62" s="44" t="s">
        <v>261</v>
      </c>
      <c r="I62" s="45">
        <v>1.0</v>
      </c>
      <c r="J62" s="45">
        <v>852.0</v>
      </c>
      <c r="K62" s="45">
        <v>901.0</v>
      </c>
      <c r="L62" s="45">
        <v>31.0</v>
      </c>
      <c r="M62" s="45">
        <v>41.0</v>
      </c>
      <c r="N62" s="45">
        <v>852.0</v>
      </c>
      <c r="O62" s="46">
        <v>42.0</v>
      </c>
      <c r="P62" s="46">
        <v>19.0</v>
      </c>
      <c r="Q62" s="46">
        <f>IFERROR(__xludf.DUMMYFUNCTION("""COMPUTED_VALUE"""),0.0)</f>
        <v>0</v>
      </c>
      <c r="R62" s="47">
        <v>49.0</v>
      </c>
    </row>
    <row r="63" ht="22.5" customHeight="1">
      <c r="A63" s="42">
        <v>44484.0</v>
      </c>
      <c r="B63" s="43">
        <v>44484.333344907405</v>
      </c>
      <c r="C63" s="17" t="s">
        <v>78</v>
      </c>
      <c r="D63" s="17" t="s">
        <v>262</v>
      </c>
      <c r="E63" s="17" t="s">
        <v>84</v>
      </c>
      <c r="F63" s="17" t="s">
        <v>50</v>
      </c>
      <c r="G63" s="17" t="s">
        <v>263</v>
      </c>
      <c r="H63" s="44" t="s">
        <v>264</v>
      </c>
      <c r="I63" s="45">
        <v>1.0</v>
      </c>
      <c r="J63" s="45">
        <v>1514.0</v>
      </c>
      <c r="K63" s="45">
        <v>1809.0</v>
      </c>
      <c r="L63" s="45">
        <v>273.0</v>
      </c>
      <c r="M63" s="45">
        <v>83.0</v>
      </c>
      <c r="N63" s="45">
        <v>1514.0</v>
      </c>
      <c r="O63" s="46">
        <v>42.0</v>
      </c>
      <c r="P63" s="46">
        <v>8.0</v>
      </c>
      <c r="Q63" s="46">
        <f>IFERROR(__xludf.DUMMYFUNCTION("""COMPUTED_VALUE"""),0.0)</f>
        <v>0</v>
      </c>
      <c r="R63" s="47">
        <v>295.0</v>
      </c>
    </row>
    <row r="64" ht="22.5" customHeight="1">
      <c r="A64" s="42">
        <v>44484.0</v>
      </c>
      <c r="B64" s="43">
        <v>44484.69501157408</v>
      </c>
      <c r="C64" s="17" t="s">
        <v>78</v>
      </c>
      <c r="D64" s="17" t="s">
        <v>265</v>
      </c>
      <c r="E64" s="17" t="s">
        <v>80</v>
      </c>
      <c r="F64" s="17" t="s">
        <v>55</v>
      </c>
      <c r="G64" s="17" t="s">
        <v>266</v>
      </c>
      <c r="H64" s="44" t="s">
        <v>267</v>
      </c>
      <c r="I64" s="45">
        <v>1.0</v>
      </c>
      <c r="J64" s="45">
        <v>1368.0</v>
      </c>
      <c r="K64" s="45">
        <v>1446.0</v>
      </c>
      <c r="L64" s="45">
        <v>209.0</v>
      </c>
      <c r="M64" s="45">
        <v>86.0</v>
      </c>
      <c r="N64" s="45">
        <v>1368.0</v>
      </c>
      <c r="O64" s="46">
        <v>42.0</v>
      </c>
      <c r="P64" s="46">
        <v>16.0</v>
      </c>
      <c r="Q64" s="46">
        <f>IFERROR(__xludf.DUMMYFUNCTION("""COMPUTED_VALUE"""),0.0)</f>
        <v>0</v>
      </c>
      <c r="R64" s="47">
        <v>78.0</v>
      </c>
    </row>
    <row r="65" ht="22.5" customHeight="1">
      <c r="A65" s="42">
        <v>44484.0</v>
      </c>
      <c r="B65" s="43">
        <v>44484.750023148146</v>
      </c>
      <c r="C65" s="17" t="s">
        <v>78</v>
      </c>
      <c r="D65" s="17" t="s">
        <v>268</v>
      </c>
      <c r="E65" s="17" t="s">
        <v>84</v>
      </c>
      <c r="F65" s="17" t="s">
        <v>50</v>
      </c>
      <c r="G65" s="17" t="s">
        <v>269</v>
      </c>
      <c r="H65" s="44" t="s">
        <v>270</v>
      </c>
      <c r="I65" s="45">
        <v>1.0</v>
      </c>
      <c r="J65" s="45">
        <v>9498.0</v>
      </c>
      <c r="K65" s="45">
        <v>15325.0</v>
      </c>
      <c r="L65" s="45">
        <v>4257.0</v>
      </c>
      <c r="M65" s="45">
        <v>1884.0</v>
      </c>
      <c r="N65" s="45">
        <v>9498.0</v>
      </c>
      <c r="O65" s="46">
        <v>42.0</v>
      </c>
      <c r="P65" s="46">
        <v>18.0</v>
      </c>
      <c r="Q65" s="46">
        <f>IFERROR(__xludf.DUMMYFUNCTION("""COMPUTED_VALUE"""),0.0)</f>
        <v>0</v>
      </c>
      <c r="R65" s="47">
        <v>5827.0</v>
      </c>
    </row>
    <row r="66" ht="22.5" customHeight="1">
      <c r="A66" s="42">
        <v>44484.0</v>
      </c>
      <c r="B66" s="43">
        <v>44484.79180555556</v>
      </c>
      <c r="C66" s="17" t="s">
        <v>78</v>
      </c>
      <c r="D66" s="17" t="s">
        <v>271</v>
      </c>
      <c r="E66" s="17" t="s">
        <v>80</v>
      </c>
      <c r="F66" s="17" t="s">
        <v>53</v>
      </c>
      <c r="G66" s="17" t="s">
        <v>272</v>
      </c>
      <c r="H66" s="44" t="s">
        <v>273</v>
      </c>
      <c r="I66" s="45">
        <v>1.0</v>
      </c>
      <c r="J66" s="45">
        <v>274.0</v>
      </c>
      <c r="K66" s="45">
        <v>300.0</v>
      </c>
      <c r="L66" s="45">
        <v>46.0</v>
      </c>
      <c r="M66" s="45">
        <v>56.0</v>
      </c>
      <c r="N66" s="45">
        <v>274.0</v>
      </c>
      <c r="O66" s="46">
        <v>42.0</v>
      </c>
      <c r="P66" s="46">
        <v>19.0</v>
      </c>
      <c r="Q66" s="46">
        <f>IFERROR(__xludf.DUMMYFUNCTION("""COMPUTED_VALUE"""),0.0)</f>
        <v>0</v>
      </c>
      <c r="R66" s="47">
        <v>26.0</v>
      </c>
    </row>
    <row r="67" ht="22.5" customHeight="1">
      <c r="A67" s="42">
        <v>44485.0</v>
      </c>
      <c r="B67" s="43">
        <v>44485.291666666664</v>
      </c>
      <c r="C67" s="17" t="s">
        <v>78</v>
      </c>
      <c r="D67" s="17" t="s">
        <v>274</v>
      </c>
      <c r="E67" s="17" t="s">
        <v>84</v>
      </c>
      <c r="F67" s="17" t="s">
        <v>50</v>
      </c>
      <c r="G67" s="17" t="s">
        <v>275</v>
      </c>
      <c r="H67" s="44" t="s">
        <v>276</v>
      </c>
      <c r="I67" s="45">
        <v>1.0</v>
      </c>
      <c r="J67" s="45">
        <v>788.0</v>
      </c>
      <c r="K67" s="45">
        <v>847.0</v>
      </c>
      <c r="L67" s="45">
        <v>68.0</v>
      </c>
      <c r="M67" s="45">
        <v>35.0</v>
      </c>
      <c r="N67" s="45">
        <v>788.0</v>
      </c>
      <c r="O67" s="46">
        <v>42.0</v>
      </c>
      <c r="P67" s="46">
        <v>7.0</v>
      </c>
      <c r="Q67" s="46">
        <f>IFERROR(__xludf.DUMMYFUNCTION("""COMPUTED_VALUE"""),0.0)</f>
        <v>0</v>
      </c>
      <c r="R67" s="47">
        <v>59.0</v>
      </c>
    </row>
    <row r="68" ht="22.5" customHeight="1">
      <c r="A68" s="42">
        <v>44485.0</v>
      </c>
      <c r="B68" s="43">
        <v>44485.375023148146</v>
      </c>
      <c r="C68" s="17" t="s">
        <v>78</v>
      </c>
      <c r="D68" s="17" t="s">
        <v>277</v>
      </c>
      <c r="E68" s="17" t="s">
        <v>84</v>
      </c>
      <c r="F68" s="17" t="s">
        <v>50</v>
      </c>
      <c r="G68" s="17" t="s">
        <v>278</v>
      </c>
      <c r="H68" s="44" t="s">
        <v>279</v>
      </c>
      <c r="I68" s="45">
        <v>1.0</v>
      </c>
      <c r="J68" s="45">
        <v>10631.0</v>
      </c>
      <c r="K68" s="45">
        <v>10871.0</v>
      </c>
      <c r="L68" s="45">
        <v>523.0</v>
      </c>
      <c r="M68" s="45">
        <v>146.0</v>
      </c>
      <c r="N68" s="45">
        <v>10631.0</v>
      </c>
      <c r="O68" s="46">
        <v>42.0</v>
      </c>
      <c r="P68" s="46">
        <v>9.0</v>
      </c>
      <c r="Q68" s="46">
        <f>IFERROR(__xludf.DUMMYFUNCTION("""COMPUTED_VALUE"""),0.0)</f>
        <v>0</v>
      </c>
      <c r="R68" s="47">
        <v>240.0</v>
      </c>
    </row>
    <row r="69" ht="22.5" customHeight="1">
      <c r="A69" s="42">
        <v>44485.0</v>
      </c>
      <c r="B69" s="43">
        <v>44485.41667824074</v>
      </c>
      <c r="C69" s="17" t="s">
        <v>78</v>
      </c>
      <c r="D69" s="17" t="s">
        <v>280</v>
      </c>
      <c r="E69" s="17" t="s">
        <v>84</v>
      </c>
      <c r="F69" s="17" t="s">
        <v>50</v>
      </c>
      <c r="G69" s="17" t="s">
        <v>281</v>
      </c>
      <c r="H69" s="44" t="s">
        <v>282</v>
      </c>
      <c r="I69" s="45">
        <v>1.0</v>
      </c>
      <c r="J69" s="45">
        <v>765.0</v>
      </c>
      <c r="K69" s="45">
        <v>883.0</v>
      </c>
      <c r="L69" s="45">
        <v>104.0</v>
      </c>
      <c r="M69" s="45">
        <v>24.0</v>
      </c>
      <c r="N69" s="45">
        <v>765.0</v>
      </c>
      <c r="O69" s="46">
        <v>42.0</v>
      </c>
      <c r="P69" s="46">
        <v>10.0</v>
      </c>
      <c r="Q69" s="46">
        <f>IFERROR(__xludf.DUMMYFUNCTION("""COMPUTED_VALUE"""),0.0)</f>
        <v>0</v>
      </c>
      <c r="R69" s="47">
        <v>118.0</v>
      </c>
    </row>
    <row r="70" ht="22.5" customHeight="1">
      <c r="A70" s="42">
        <v>44485.0</v>
      </c>
      <c r="B70" s="43">
        <v>44485.625</v>
      </c>
      <c r="C70" s="17" t="s">
        <v>78</v>
      </c>
      <c r="D70" s="17" t="s">
        <v>283</v>
      </c>
      <c r="E70" s="17" t="s">
        <v>84</v>
      </c>
      <c r="F70" s="17" t="s">
        <v>50</v>
      </c>
      <c r="G70" s="17" t="s">
        <v>284</v>
      </c>
      <c r="H70" s="44" t="s">
        <v>285</v>
      </c>
      <c r="I70" s="45">
        <v>1.0</v>
      </c>
      <c r="J70" s="45">
        <v>1070.0</v>
      </c>
      <c r="K70" s="45">
        <v>1344.0</v>
      </c>
      <c r="L70" s="45">
        <v>182.0</v>
      </c>
      <c r="M70" s="45">
        <v>16.0</v>
      </c>
      <c r="N70" s="45">
        <v>1070.0</v>
      </c>
      <c r="O70" s="46">
        <v>42.0</v>
      </c>
      <c r="P70" s="46">
        <v>15.0</v>
      </c>
      <c r="Q70" s="46">
        <f>IFERROR(__xludf.DUMMYFUNCTION("""COMPUTED_VALUE"""),0.0)</f>
        <v>0</v>
      </c>
      <c r="R70" s="47">
        <v>274.0</v>
      </c>
    </row>
    <row r="71" ht="22.5" customHeight="1">
      <c r="A71" s="42">
        <v>44485.0</v>
      </c>
      <c r="B71" s="43">
        <v>44485.75001157408</v>
      </c>
      <c r="C71" s="17" t="s">
        <v>78</v>
      </c>
      <c r="D71" s="17" t="s">
        <v>286</v>
      </c>
      <c r="E71" s="17" t="s">
        <v>80</v>
      </c>
      <c r="F71" s="17" t="s">
        <v>55</v>
      </c>
      <c r="G71" s="17" t="s">
        <v>287</v>
      </c>
      <c r="H71" s="44" t="s">
        <v>288</v>
      </c>
      <c r="I71" s="45">
        <v>1.0</v>
      </c>
      <c r="J71" s="45">
        <v>729.0</v>
      </c>
      <c r="K71" s="45">
        <v>840.0</v>
      </c>
      <c r="L71" s="45">
        <v>121.0</v>
      </c>
      <c r="M71" s="45">
        <v>25.0</v>
      </c>
      <c r="N71" s="45">
        <v>729.0</v>
      </c>
      <c r="O71" s="46">
        <v>42.0</v>
      </c>
      <c r="P71" s="46">
        <v>18.0</v>
      </c>
      <c r="Q71" s="46">
        <f>IFERROR(__xludf.DUMMYFUNCTION("""COMPUTED_VALUE"""),0.0)</f>
        <v>0</v>
      </c>
      <c r="R71" s="47">
        <v>111.0</v>
      </c>
    </row>
    <row r="72" ht="22.5" customHeight="1">
      <c r="A72" s="42">
        <v>44486.0</v>
      </c>
      <c r="B72" s="43">
        <v>44486.333333333336</v>
      </c>
      <c r="C72" s="17" t="s">
        <v>78</v>
      </c>
      <c r="D72" s="17" t="s">
        <v>289</v>
      </c>
      <c r="E72" s="17" t="s">
        <v>84</v>
      </c>
      <c r="F72" s="17" t="s">
        <v>50</v>
      </c>
      <c r="G72" s="17" t="s">
        <v>290</v>
      </c>
      <c r="H72" s="44" t="s">
        <v>291</v>
      </c>
      <c r="I72" s="45">
        <v>1.0</v>
      </c>
      <c r="J72" s="45">
        <v>9253.0</v>
      </c>
      <c r="K72" s="45">
        <v>9539.0</v>
      </c>
      <c r="L72" s="45">
        <v>280.0</v>
      </c>
      <c r="M72" s="45">
        <v>91.0</v>
      </c>
      <c r="N72" s="45">
        <v>9253.0</v>
      </c>
      <c r="O72" s="46">
        <v>43.0</v>
      </c>
      <c r="P72" s="46">
        <v>8.0</v>
      </c>
      <c r="Q72" s="46">
        <f>IFERROR(__xludf.DUMMYFUNCTION("""COMPUTED_VALUE"""),0.0)</f>
        <v>0</v>
      </c>
      <c r="R72" s="47">
        <v>286.0</v>
      </c>
    </row>
    <row r="73" ht="22.5" customHeight="1">
      <c r="A73" s="42">
        <v>44486.0</v>
      </c>
      <c r="B73" s="43">
        <v>44486.458333333336</v>
      </c>
      <c r="C73" s="17" t="s">
        <v>78</v>
      </c>
      <c r="D73" s="17" t="s">
        <v>292</v>
      </c>
      <c r="E73" s="17" t="s">
        <v>84</v>
      </c>
      <c r="F73" s="17" t="s">
        <v>50</v>
      </c>
      <c r="G73" s="17" t="s">
        <v>293</v>
      </c>
      <c r="H73" s="44" t="s">
        <v>294</v>
      </c>
      <c r="I73" s="45">
        <v>1.0</v>
      </c>
      <c r="J73" s="45">
        <v>158.0</v>
      </c>
      <c r="K73" s="45">
        <v>162.0</v>
      </c>
      <c r="L73" s="45">
        <v>14.0</v>
      </c>
      <c r="M73" s="45">
        <v>1.0</v>
      </c>
      <c r="N73" s="45">
        <v>158.0</v>
      </c>
      <c r="O73" s="46">
        <v>43.0</v>
      </c>
      <c r="P73" s="46">
        <v>11.0</v>
      </c>
      <c r="Q73" s="46">
        <f>IFERROR(__xludf.DUMMYFUNCTION("""COMPUTED_VALUE"""),1.0)</f>
        <v>1</v>
      </c>
      <c r="R73" s="47">
        <v>4.0</v>
      </c>
    </row>
    <row r="74" ht="22.5" customHeight="1">
      <c r="A74" s="42">
        <v>44486.0</v>
      </c>
      <c r="B74" s="43">
        <v>44486.541863425926</v>
      </c>
      <c r="C74" s="17" t="s">
        <v>78</v>
      </c>
      <c r="D74" s="17" t="s">
        <v>295</v>
      </c>
      <c r="E74" s="17" t="s">
        <v>80</v>
      </c>
      <c r="F74" s="17" t="s">
        <v>53</v>
      </c>
      <c r="G74" s="17" t="s">
        <v>296</v>
      </c>
      <c r="H74" s="44" t="s">
        <v>297</v>
      </c>
      <c r="I74" s="45">
        <v>1.0</v>
      </c>
      <c r="J74" s="45">
        <v>234.0</v>
      </c>
      <c r="K74" s="45">
        <v>249.0</v>
      </c>
      <c r="L74" s="45">
        <v>19.0</v>
      </c>
      <c r="M74" s="45">
        <v>10.0</v>
      </c>
      <c r="N74" s="45">
        <v>234.0</v>
      </c>
      <c r="O74" s="46">
        <v>43.0</v>
      </c>
      <c r="P74" s="46">
        <v>13.0</v>
      </c>
      <c r="Q74" s="46">
        <f>IFERROR(__xludf.DUMMYFUNCTION("""COMPUTED_VALUE"""),0.0)</f>
        <v>0</v>
      </c>
      <c r="R74" s="47">
        <v>15.0</v>
      </c>
    </row>
    <row r="75" ht="22.5" customHeight="1">
      <c r="A75" s="42">
        <v>44486.0</v>
      </c>
      <c r="B75" s="43">
        <v>44486.62505787037</v>
      </c>
      <c r="C75" s="17" t="s">
        <v>78</v>
      </c>
      <c r="D75" s="17" t="s">
        <v>298</v>
      </c>
      <c r="E75" s="17" t="s">
        <v>80</v>
      </c>
      <c r="F75" s="17" t="s">
        <v>55</v>
      </c>
      <c r="G75" s="17" t="s">
        <v>299</v>
      </c>
      <c r="H75" s="44" t="s">
        <v>300</v>
      </c>
      <c r="I75" s="45">
        <v>1.0</v>
      </c>
      <c r="J75" s="45">
        <v>577.0</v>
      </c>
      <c r="K75" s="45">
        <v>678.0</v>
      </c>
      <c r="L75" s="45">
        <v>63.0</v>
      </c>
      <c r="M75" s="45">
        <v>20.0</v>
      </c>
      <c r="N75" s="45">
        <v>577.0</v>
      </c>
      <c r="O75" s="46">
        <v>43.0</v>
      </c>
      <c r="P75" s="46">
        <v>15.0</v>
      </c>
      <c r="Q75" s="46">
        <f>IFERROR(__xludf.DUMMYFUNCTION("""COMPUTED_VALUE"""),0.0)</f>
        <v>0</v>
      </c>
      <c r="R75" s="47">
        <v>101.0</v>
      </c>
    </row>
    <row r="76" ht="22.5" customHeight="1">
      <c r="A76" s="42">
        <v>44486.0</v>
      </c>
      <c r="B76" s="43">
        <v>44486.708333333336</v>
      </c>
      <c r="C76" s="17" t="s">
        <v>78</v>
      </c>
      <c r="D76" s="17" t="s">
        <v>301</v>
      </c>
      <c r="E76" s="17" t="s">
        <v>84</v>
      </c>
      <c r="F76" s="17" t="s">
        <v>50</v>
      </c>
      <c r="G76" s="17" t="s">
        <v>302</v>
      </c>
      <c r="H76" s="44" t="s">
        <v>303</v>
      </c>
      <c r="I76" s="45">
        <v>1.0</v>
      </c>
      <c r="J76" s="45">
        <v>1285.0</v>
      </c>
      <c r="K76" s="45">
        <v>1324.0</v>
      </c>
      <c r="L76" s="45">
        <v>116.0</v>
      </c>
      <c r="M76" s="45">
        <v>90.0</v>
      </c>
      <c r="N76" s="45">
        <v>1285.0</v>
      </c>
      <c r="O76" s="46">
        <v>43.0</v>
      </c>
      <c r="P76" s="46">
        <v>17.0</v>
      </c>
      <c r="Q76" s="46">
        <f>IFERROR(__xludf.DUMMYFUNCTION("""COMPUTED_VALUE"""),0.0)</f>
        <v>0</v>
      </c>
      <c r="R76" s="47">
        <v>39.0</v>
      </c>
    </row>
    <row r="77" ht="22.5" customHeight="1">
      <c r="A77" s="42">
        <v>44487.0</v>
      </c>
      <c r="B77" s="43">
        <v>44487.77172453704</v>
      </c>
      <c r="C77" s="17" t="s">
        <v>78</v>
      </c>
      <c r="D77" s="17" t="s">
        <v>304</v>
      </c>
      <c r="E77" s="17" t="s">
        <v>84</v>
      </c>
      <c r="F77" s="17" t="s">
        <v>50</v>
      </c>
      <c r="G77" s="17" t="s">
        <v>305</v>
      </c>
      <c r="H77" s="44" t="s">
        <v>306</v>
      </c>
      <c r="I77" s="45">
        <v>1.0</v>
      </c>
      <c r="J77" s="45">
        <v>1195.0</v>
      </c>
      <c r="K77" s="45">
        <v>1317.0</v>
      </c>
      <c r="L77" s="45">
        <v>174.0</v>
      </c>
      <c r="M77" s="45">
        <v>45.0</v>
      </c>
      <c r="N77" s="45">
        <v>1195.0</v>
      </c>
      <c r="O77" s="46">
        <v>43.0</v>
      </c>
      <c r="P77" s="46">
        <v>18.0</v>
      </c>
      <c r="Q77" s="46">
        <f>IFERROR(__xludf.DUMMYFUNCTION("""COMPUTED_VALUE"""),0.0)</f>
        <v>0</v>
      </c>
      <c r="R77" s="47">
        <v>122.0</v>
      </c>
    </row>
    <row r="78" ht="22.5" customHeight="1">
      <c r="A78" s="42">
        <v>44488.0</v>
      </c>
      <c r="B78" s="43">
        <v>44488.50027777778</v>
      </c>
      <c r="C78" s="17" t="s">
        <v>78</v>
      </c>
      <c r="D78" s="17" t="s">
        <v>307</v>
      </c>
      <c r="E78" s="17" t="s">
        <v>84</v>
      </c>
      <c r="F78" s="17" t="s">
        <v>50</v>
      </c>
      <c r="G78" s="17" t="s">
        <v>308</v>
      </c>
      <c r="H78" s="44" t="s">
        <v>309</v>
      </c>
      <c r="I78" s="45">
        <v>1.0</v>
      </c>
      <c r="J78" s="45">
        <v>7331.0</v>
      </c>
      <c r="K78" s="45">
        <v>7504.0</v>
      </c>
      <c r="L78" s="45">
        <v>228.0</v>
      </c>
      <c r="M78" s="45">
        <v>39.0</v>
      </c>
      <c r="N78" s="45">
        <v>7331.0</v>
      </c>
      <c r="O78" s="46">
        <v>43.0</v>
      </c>
      <c r="P78" s="46">
        <v>12.0</v>
      </c>
      <c r="Q78" s="46">
        <f>IFERROR(__xludf.DUMMYFUNCTION("""COMPUTED_VALUE"""),0.0)</f>
        <v>0</v>
      </c>
      <c r="R78" s="47">
        <v>173.0</v>
      </c>
    </row>
    <row r="79" ht="22.5" customHeight="1">
      <c r="A79" s="42">
        <v>44488.0</v>
      </c>
      <c r="B79" s="43">
        <v>44488.833333333336</v>
      </c>
      <c r="C79" s="17" t="s">
        <v>78</v>
      </c>
      <c r="D79" s="17" t="s">
        <v>310</v>
      </c>
      <c r="E79" s="17" t="s">
        <v>80</v>
      </c>
      <c r="F79" s="17" t="s">
        <v>53</v>
      </c>
      <c r="G79" s="17" t="s">
        <v>311</v>
      </c>
      <c r="H79" s="44" t="s">
        <v>312</v>
      </c>
      <c r="I79" s="45">
        <v>1.0</v>
      </c>
      <c r="J79" s="45">
        <v>417.0</v>
      </c>
      <c r="K79" s="45">
        <v>506.0</v>
      </c>
      <c r="L79" s="45">
        <v>36.0</v>
      </c>
      <c r="M79" s="45">
        <v>21.0</v>
      </c>
      <c r="N79" s="45">
        <v>417.0</v>
      </c>
      <c r="O79" s="46">
        <v>43.0</v>
      </c>
      <c r="P79" s="46">
        <v>20.0</v>
      </c>
      <c r="Q79" s="46">
        <f>IFERROR(__xludf.DUMMYFUNCTION("""COMPUTED_VALUE"""),0.0)</f>
        <v>0</v>
      </c>
      <c r="R79" s="47">
        <v>89.0</v>
      </c>
    </row>
    <row r="80" ht="22.5" customHeight="1">
      <c r="A80" s="42">
        <v>44489.0</v>
      </c>
      <c r="B80" s="43">
        <v>44489.66668981482</v>
      </c>
      <c r="C80" s="17" t="s">
        <v>78</v>
      </c>
      <c r="D80" s="17" t="s">
        <v>313</v>
      </c>
      <c r="E80" s="17" t="s">
        <v>80</v>
      </c>
      <c r="F80" s="17" t="s">
        <v>55</v>
      </c>
      <c r="G80" s="17" t="s">
        <v>314</v>
      </c>
      <c r="H80" s="44" t="s">
        <v>315</v>
      </c>
      <c r="I80" s="45">
        <v>1.0</v>
      </c>
      <c r="J80" s="45">
        <v>985.0</v>
      </c>
      <c r="K80" s="45">
        <v>1126.0</v>
      </c>
      <c r="L80" s="45">
        <v>108.0</v>
      </c>
      <c r="M80" s="45">
        <v>29.0</v>
      </c>
      <c r="N80" s="45">
        <v>985.0</v>
      </c>
      <c r="O80" s="46">
        <v>43.0</v>
      </c>
      <c r="P80" s="46">
        <v>16.0</v>
      </c>
      <c r="Q80" s="46">
        <f>IFERROR(__xludf.DUMMYFUNCTION("""COMPUTED_VALUE"""),0.0)</f>
        <v>0</v>
      </c>
      <c r="R80" s="47">
        <v>141.0</v>
      </c>
    </row>
    <row r="81" ht="22.5" customHeight="1">
      <c r="A81" s="42">
        <v>44489.0</v>
      </c>
      <c r="B81" s="43">
        <v>44489.70856481481</v>
      </c>
      <c r="C81" s="17" t="s">
        <v>78</v>
      </c>
      <c r="D81" s="17" t="s">
        <v>316</v>
      </c>
      <c r="E81" s="17" t="s">
        <v>84</v>
      </c>
      <c r="F81" s="17" t="s">
        <v>50</v>
      </c>
      <c r="G81" s="17" t="s">
        <v>317</v>
      </c>
      <c r="H81" s="44" t="s">
        <v>318</v>
      </c>
      <c r="I81" s="45">
        <v>1.0</v>
      </c>
      <c r="J81" s="45">
        <v>324.0</v>
      </c>
      <c r="K81" s="45">
        <v>332.0</v>
      </c>
      <c r="L81" s="45">
        <v>35.0</v>
      </c>
      <c r="M81" s="45">
        <v>7.0</v>
      </c>
      <c r="N81" s="45">
        <v>324.0</v>
      </c>
      <c r="O81" s="46">
        <v>43.0</v>
      </c>
      <c r="P81" s="46">
        <v>17.0</v>
      </c>
      <c r="Q81" s="46">
        <f>IFERROR(__xludf.DUMMYFUNCTION("""COMPUTED_VALUE"""),0.0)</f>
        <v>0</v>
      </c>
      <c r="R81" s="47">
        <v>8.0</v>
      </c>
    </row>
    <row r="82" ht="22.5" customHeight="1">
      <c r="A82" s="42">
        <v>44489.0</v>
      </c>
      <c r="B82" s="43">
        <v>44489.83336805556</v>
      </c>
      <c r="C82" s="17" t="s">
        <v>78</v>
      </c>
      <c r="D82" s="17" t="s">
        <v>319</v>
      </c>
      <c r="E82" s="17" t="s">
        <v>80</v>
      </c>
      <c r="F82" s="17" t="s">
        <v>53</v>
      </c>
      <c r="G82" s="17" t="s">
        <v>311</v>
      </c>
      <c r="H82" s="44" t="s">
        <v>320</v>
      </c>
      <c r="I82" s="45">
        <v>1.0</v>
      </c>
      <c r="J82" s="45">
        <v>281.0</v>
      </c>
      <c r="K82" s="45">
        <v>305.0</v>
      </c>
      <c r="L82" s="45">
        <v>23.0</v>
      </c>
      <c r="M82" s="45">
        <v>12.0</v>
      </c>
      <c r="N82" s="45">
        <v>281.0</v>
      </c>
      <c r="O82" s="46">
        <v>43.0</v>
      </c>
      <c r="P82" s="46">
        <v>20.0</v>
      </c>
      <c r="Q82" s="46">
        <f>IFERROR(__xludf.DUMMYFUNCTION("""COMPUTED_VALUE"""),0.0)</f>
        <v>0</v>
      </c>
      <c r="R82" s="47">
        <v>24.0</v>
      </c>
    </row>
    <row r="83" ht="22.5" customHeight="1">
      <c r="A83" s="42">
        <v>44490.0</v>
      </c>
      <c r="B83" s="43">
        <v>44490.45836805556</v>
      </c>
      <c r="C83" s="17" t="s">
        <v>78</v>
      </c>
      <c r="D83" s="17" t="s">
        <v>321</v>
      </c>
      <c r="E83" s="17" t="s">
        <v>84</v>
      </c>
      <c r="F83" s="17" t="s">
        <v>50</v>
      </c>
      <c r="G83" s="17" t="s">
        <v>322</v>
      </c>
      <c r="H83" s="44" t="s">
        <v>323</v>
      </c>
      <c r="I83" s="45">
        <v>1.0</v>
      </c>
      <c r="J83" s="45">
        <v>186.0</v>
      </c>
      <c r="K83" s="45">
        <v>191.0</v>
      </c>
      <c r="L83" s="45">
        <v>30.0</v>
      </c>
      <c r="M83" s="45">
        <v>5.0</v>
      </c>
      <c r="N83" s="45">
        <v>186.0</v>
      </c>
      <c r="O83" s="46">
        <v>43.0</v>
      </c>
      <c r="P83" s="46">
        <v>11.0</v>
      </c>
      <c r="Q83" s="46">
        <f>IFERROR(__xludf.DUMMYFUNCTION("""COMPUTED_VALUE"""),1.0)</f>
        <v>1</v>
      </c>
      <c r="R83" s="47">
        <v>5.0</v>
      </c>
    </row>
    <row r="84" ht="22.5" customHeight="1">
      <c r="A84" s="42">
        <v>44490.0</v>
      </c>
      <c r="B84" s="43">
        <v>44490.58375</v>
      </c>
      <c r="C84" s="17" t="s">
        <v>78</v>
      </c>
      <c r="D84" s="17" t="s">
        <v>324</v>
      </c>
      <c r="E84" s="17" t="s">
        <v>84</v>
      </c>
      <c r="F84" s="17" t="s">
        <v>50</v>
      </c>
      <c r="G84" s="17" t="s">
        <v>325</v>
      </c>
      <c r="H84" s="44" t="s">
        <v>326</v>
      </c>
      <c r="I84" s="45">
        <v>1.0</v>
      </c>
      <c r="J84" s="45">
        <v>4950.0</v>
      </c>
      <c r="K84" s="45">
        <v>5662.0</v>
      </c>
      <c r="L84" s="45">
        <v>647.0</v>
      </c>
      <c r="M84" s="45">
        <v>539.0</v>
      </c>
      <c r="N84" s="45">
        <v>4950.0</v>
      </c>
      <c r="O84" s="46">
        <v>43.0</v>
      </c>
      <c r="P84" s="46">
        <v>14.0</v>
      </c>
      <c r="Q84" s="46">
        <f>IFERROR(__xludf.DUMMYFUNCTION("""COMPUTED_VALUE"""),0.0)</f>
        <v>0</v>
      </c>
      <c r="R84" s="47">
        <v>712.0</v>
      </c>
    </row>
    <row r="85" ht="22.5" customHeight="1">
      <c r="A85" s="42">
        <v>44490.0</v>
      </c>
      <c r="B85" s="43">
        <v>44490.708344907405</v>
      </c>
      <c r="C85" s="17" t="s">
        <v>78</v>
      </c>
      <c r="D85" s="17" t="s">
        <v>327</v>
      </c>
      <c r="E85" s="17" t="s">
        <v>84</v>
      </c>
      <c r="F85" s="17" t="s">
        <v>50</v>
      </c>
      <c r="G85" s="17" t="s">
        <v>328</v>
      </c>
      <c r="H85" s="44" t="s">
        <v>329</v>
      </c>
      <c r="I85" s="45">
        <v>1.0</v>
      </c>
      <c r="J85" s="45">
        <v>1532.0</v>
      </c>
      <c r="K85" s="45">
        <v>1703.0</v>
      </c>
      <c r="L85" s="45">
        <v>196.0</v>
      </c>
      <c r="M85" s="45">
        <v>16.0</v>
      </c>
      <c r="N85" s="45">
        <v>1532.0</v>
      </c>
      <c r="O85" s="46">
        <v>43.0</v>
      </c>
      <c r="P85" s="46">
        <v>17.0</v>
      </c>
      <c r="Q85" s="46">
        <f>IFERROR(__xludf.DUMMYFUNCTION("""COMPUTED_VALUE"""),0.0)</f>
        <v>0</v>
      </c>
      <c r="R85" s="47">
        <v>171.0</v>
      </c>
    </row>
    <row r="86" ht="22.5" customHeight="1">
      <c r="A86" s="42">
        <v>44490.0</v>
      </c>
      <c r="B86" s="43">
        <v>44490.79167824074</v>
      </c>
      <c r="C86" s="17" t="s">
        <v>78</v>
      </c>
      <c r="D86" s="17" t="s">
        <v>330</v>
      </c>
      <c r="E86" s="17" t="s">
        <v>80</v>
      </c>
      <c r="F86" s="17" t="s">
        <v>53</v>
      </c>
      <c r="G86" s="17" t="s">
        <v>331</v>
      </c>
      <c r="H86" s="44" t="s">
        <v>332</v>
      </c>
      <c r="I86" s="45">
        <v>1.0</v>
      </c>
      <c r="J86" s="45">
        <v>1933.0</v>
      </c>
      <c r="K86" s="45">
        <v>2223.0</v>
      </c>
      <c r="L86" s="45">
        <v>97.0</v>
      </c>
      <c r="M86" s="45">
        <v>77.0</v>
      </c>
      <c r="N86" s="45">
        <v>1933.0</v>
      </c>
      <c r="O86" s="46">
        <v>43.0</v>
      </c>
      <c r="P86" s="46">
        <v>19.0</v>
      </c>
      <c r="Q86" s="46">
        <f>IFERROR(__xludf.DUMMYFUNCTION("""COMPUTED_VALUE"""),0.0)</f>
        <v>0</v>
      </c>
      <c r="R86" s="47">
        <v>290.0</v>
      </c>
    </row>
    <row r="87" ht="22.5" customHeight="1">
      <c r="A87" s="42">
        <v>44491.0</v>
      </c>
      <c r="B87" s="43">
        <v>44491.458333333336</v>
      </c>
      <c r="C87" s="17" t="s">
        <v>78</v>
      </c>
      <c r="D87" s="17" t="s">
        <v>333</v>
      </c>
      <c r="E87" s="17" t="s">
        <v>84</v>
      </c>
      <c r="F87" s="17" t="s">
        <v>50</v>
      </c>
      <c r="G87" s="17" t="s">
        <v>334</v>
      </c>
      <c r="H87" s="44" t="s">
        <v>335</v>
      </c>
      <c r="I87" s="45">
        <v>1.0</v>
      </c>
      <c r="J87" s="45">
        <v>2372.0</v>
      </c>
      <c r="K87" s="45">
        <v>3185.0</v>
      </c>
      <c r="L87" s="45">
        <v>597.0</v>
      </c>
      <c r="M87" s="45">
        <v>91.0</v>
      </c>
      <c r="N87" s="45">
        <v>2372.0</v>
      </c>
      <c r="O87" s="46">
        <v>43.0</v>
      </c>
      <c r="P87" s="46">
        <v>11.0</v>
      </c>
      <c r="Q87" s="46">
        <f>IFERROR(__xludf.DUMMYFUNCTION("""COMPUTED_VALUE"""),0.0)</f>
        <v>0</v>
      </c>
      <c r="R87" s="47">
        <v>813.0</v>
      </c>
    </row>
    <row r="88" ht="22.5" customHeight="1">
      <c r="A88" s="42">
        <v>44491.0</v>
      </c>
      <c r="B88" s="43">
        <v>44491.50001157408</v>
      </c>
      <c r="C88" s="17" t="s">
        <v>78</v>
      </c>
      <c r="D88" s="17" t="s">
        <v>336</v>
      </c>
      <c r="E88" s="17" t="s">
        <v>84</v>
      </c>
      <c r="F88" s="17" t="s">
        <v>50</v>
      </c>
      <c r="G88" s="17" t="s">
        <v>337</v>
      </c>
      <c r="H88" s="44" t="s">
        <v>338</v>
      </c>
      <c r="I88" s="45">
        <v>1.0</v>
      </c>
      <c r="J88" s="45">
        <v>383.0</v>
      </c>
      <c r="K88" s="45">
        <v>396.0</v>
      </c>
      <c r="L88" s="45">
        <v>43.0</v>
      </c>
      <c r="M88" s="45">
        <v>5.0</v>
      </c>
      <c r="N88" s="45">
        <v>383.0</v>
      </c>
      <c r="O88" s="46">
        <v>43.0</v>
      </c>
      <c r="P88" s="46">
        <v>12.0</v>
      </c>
      <c r="Q88" s="46">
        <f>IFERROR(__xludf.DUMMYFUNCTION("""COMPUTED_VALUE"""),0.0)</f>
        <v>0</v>
      </c>
      <c r="R88" s="47">
        <v>13.0</v>
      </c>
    </row>
    <row r="89" ht="22.5" customHeight="1">
      <c r="A89" s="42">
        <v>44491.0</v>
      </c>
      <c r="B89" s="43">
        <v>44491.54167824074</v>
      </c>
      <c r="C89" s="17" t="s">
        <v>78</v>
      </c>
      <c r="D89" s="17" t="s">
        <v>339</v>
      </c>
      <c r="E89" s="17" t="s">
        <v>84</v>
      </c>
      <c r="F89" s="17" t="s">
        <v>47</v>
      </c>
      <c r="G89" s="17" t="s">
        <v>340</v>
      </c>
      <c r="H89" s="44" t="s">
        <v>341</v>
      </c>
      <c r="I89" s="45">
        <v>1.0</v>
      </c>
      <c r="J89" s="45">
        <v>2092.0</v>
      </c>
      <c r="K89" s="45">
        <v>2360.0</v>
      </c>
      <c r="L89" s="45">
        <v>172.0</v>
      </c>
      <c r="M89" s="45">
        <v>84.0</v>
      </c>
      <c r="N89" s="45">
        <v>2092.0</v>
      </c>
      <c r="O89" s="46">
        <v>43.0</v>
      </c>
      <c r="P89" s="46">
        <v>13.0</v>
      </c>
      <c r="Q89" s="46">
        <f>IFERROR(__xludf.DUMMYFUNCTION("""COMPUTED_VALUE"""),0.0)</f>
        <v>0</v>
      </c>
      <c r="R89" s="47">
        <v>268.0</v>
      </c>
    </row>
    <row r="90" ht="22.5" customHeight="1">
      <c r="A90" s="42">
        <v>44491.0</v>
      </c>
      <c r="B90" s="43">
        <v>44491.58369212963</v>
      </c>
      <c r="C90" s="17" t="s">
        <v>78</v>
      </c>
      <c r="D90" s="17" t="s">
        <v>342</v>
      </c>
      <c r="E90" s="17" t="s">
        <v>84</v>
      </c>
      <c r="F90" s="17" t="s">
        <v>50</v>
      </c>
      <c r="G90" s="17" t="s">
        <v>343</v>
      </c>
      <c r="H90" s="44" t="s">
        <v>344</v>
      </c>
      <c r="I90" s="45">
        <v>1.0</v>
      </c>
      <c r="J90" s="45">
        <v>319.0</v>
      </c>
      <c r="K90" s="45">
        <v>347.0</v>
      </c>
      <c r="L90" s="45">
        <v>41.0</v>
      </c>
      <c r="M90" s="45">
        <v>21.0</v>
      </c>
      <c r="N90" s="45">
        <v>319.0</v>
      </c>
      <c r="O90" s="46">
        <v>43.0</v>
      </c>
      <c r="P90" s="46">
        <v>14.0</v>
      </c>
      <c r="Q90" s="46">
        <f>IFERROR(__xludf.DUMMYFUNCTION("""COMPUTED_VALUE"""),0.0)</f>
        <v>0</v>
      </c>
      <c r="R90" s="47">
        <v>28.0</v>
      </c>
    </row>
    <row r="91" ht="22.5" customHeight="1">
      <c r="A91" s="42">
        <v>44491.0</v>
      </c>
      <c r="B91" s="43">
        <v>44491.833657407406</v>
      </c>
      <c r="C91" s="17" t="s">
        <v>78</v>
      </c>
      <c r="D91" s="17" t="s">
        <v>345</v>
      </c>
      <c r="E91" s="17" t="s">
        <v>80</v>
      </c>
      <c r="F91" s="17" t="s">
        <v>53</v>
      </c>
      <c r="G91" s="17" t="s">
        <v>346</v>
      </c>
      <c r="H91" s="44" t="s">
        <v>347</v>
      </c>
      <c r="I91" s="45">
        <v>1.0</v>
      </c>
      <c r="J91" s="45">
        <v>310.0</v>
      </c>
      <c r="K91" s="45">
        <v>349.0</v>
      </c>
      <c r="L91" s="45">
        <v>47.0</v>
      </c>
      <c r="M91" s="45">
        <v>8.0</v>
      </c>
      <c r="N91" s="45">
        <v>310.0</v>
      </c>
      <c r="O91" s="46">
        <v>43.0</v>
      </c>
      <c r="P91" s="46">
        <v>20.0</v>
      </c>
      <c r="Q91" s="46">
        <f>IFERROR(__xludf.DUMMYFUNCTION("""COMPUTED_VALUE"""),0.0)</f>
        <v>0</v>
      </c>
      <c r="R91" s="47">
        <v>39.0</v>
      </c>
    </row>
    <row r="92" ht="22.5" customHeight="1">
      <c r="A92" s="42">
        <v>44492.0</v>
      </c>
      <c r="B92" s="43">
        <v>44492.29167824074</v>
      </c>
      <c r="C92" s="17" t="s">
        <v>78</v>
      </c>
      <c r="D92" s="17" t="s">
        <v>348</v>
      </c>
      <c r="E92" s="17" t="s">
        <v>84</v>
      </c>
      <c r="F92" s="17" t="s">
        <v>50</v>
      </c>
      <c r="G92" s="17" t="s">
        <v>349</v>
      </c>
      <c r="H92" s="44" t="s">
        <v>350</v>
      </c>
      <c r="I92" s="45">
        <v>1.0</v>
      </c>
      <c r="J92" s="45">
        <v>2568.0</v>
      </c>
      <c r="K92" s="45">
        <v>3448.0</v>
      </c>
      <c r="L92" s="45">
        <v>397.0</v>
      </c>
      <c r="M92" s="45">
        <v>122.0</v>
      </c>
      <c r="N92" s="45">
        <v>2568.0</v>
      </c>
      <c r="O92" s="46">
        <v>43.0</v>
      </c>
      <c r="P92" s="46">
        <v>7.0</v>
      </c>
      <c r="Q92" s="46">
        <f>IFERROR(__xludf.DUMMYFUNCTION("""COMPUTED_VALUE"""),0.0)</f>
        <v>0</v>
      </c>
      <c r="R92" s="47">
        <v>880.0</v>
      </c>
    </row>
    <row r="93" ht="22.5" customHeight="1">
      <c r="A93" s="42">
        <v>44492.0</v>
      </c>
      <c r="B93" s="43">
        <v>44492.333344907405</v>
      </c>
      <c r="C93" s="17" t="s">
        <v>78</v>
      </c>
      <c r="D93" s="17" t="s">
        <v>351</v>
      </c>
      <c r="E93" s="17" t="s">
        <v>84</v>
      </c>
      <c r="F93" s="17" t="s">
        <v>50</v>
      </c>
      <c r="G93" s="17" t="s">
        <v>352</v>
      </c>
      <c r="H93" s="44" t="s">
        <v>353</v>
      </c>
      <c r="I93" s="45">
        <v>1.0</v>
      </c>
      <c r="J93" s="45">
        <v>9730.0</v>
      </c>
      <c r="K93" s="45">
        <v>10113.0</v>
      </c>
      <c r="L93" s="45">
        <v>296.0</v>
      </c>
      <c r="M93" s="45">
        <v>84.0</v>
      </c>
      <c r="N93" s="45">
        <v>9730.0</v>
      </c>
      <c r="O93" s="46">
        <v>43.0</v>
      </c>
      <c r="P93" s="46">
        <v>8.0</v>
      </c>
      <c r="Q93" s="46">
        <f>IFERROR(__xludf.DUMMYFUNCTION("""COMPUTED_VALUE"""),0.0)</f>
        <v>0</v>
      </c>
      <c r="R93" s="47">
        <v>383.0</v>
      </c>
    </row>
    <row r="94" ht="22.5" customHeight="1">
      <c r="A94" s="42">
        <v>44492.0</v>
      </c>
      <c r="B94" s="43">
        <v>44492.416666666664</v>
      </c>
      <c r="C94" s="17" t="s">
        <v>78</v>
      </c>
      <c r="D94" s="17" t="s">
        <v>354</v>
      </c>
      <c r="E94" s="17" t="s">
        <v>84</v>
      </c>
      <c r="F94" s="17" t="s">
        <v>50</v>
      </c>
      <c r="G94" s="17" t="s">
        <v>355</v>
      </c>
      <c r="H94" s="44" t="s">
        <v>356</v>
      </c>
      <c r="I94" s="45">
        <v>1.0</v>
      </c>
      <c r="J94" s="45">
        <v>843.0</v>
      </c>
      <c r="K94" s="45">
        <v>875.0</v>
      </c>
      <c r="L94" s="45">
        <v>58.0</v>
      </c>
      <c r="M94" s="45">
        <v>11.0</v>
      </c>
      <c r="N94" s="45">
        <v>843.0</v>
      </c>
      <c r="O94" s="46">
        <v>43.0</v>
      </c>
      <c r="P94" s="46">
        <v>10.0</v>
      </c>
      <c r="Q94" s="46">
        <f>IFERROR(__xludf.DUMMYFUNCTION("""COMPUTED_VALUE"""),0.0)</f>
        <v>0</v>
      </c>
      <c r="R94" s="47">
        <v>32.0</v>
      </c>
    </row>
    <row r="95" ht="22.5" customHeight="1">
      <c r="A95" s="42">
        <v>44492.0</v>
      </c>
      <c r="B95" s="43">
        <v>44492.45836805556</v>
      </c>
      <c r="C95" s="17" t="s">
        <v>78</v>
      </c>
      <c r="D95" s="17" t="s">
        <v>357</v>
      </c>
      <c r="E95" s="17" t="s">
        <v>84</v>
      </c>
      <c r="F95" s="17" t="s">
        <v>50</v>
      </c>
      <c r="G95" s="17" t="s">
        <v>358</v>
      </c>
      <c r="H95" s="44" t="s">
        <v>359</v>
      </c>
      <c r="I95" s="45">
        <v>1.0</v>
      </c>
      <c r="J95" s="45">
        <v>1508.0</v>
      </c>
      <c r="K95" s="45">
        <v>1782.0</v>
      </c>
      <c r="L95" s="45">
        <v>239.0</v>
      </c>
      <c r="M95" s="45">
        <v>27.0</v>
      </c>
      <c r="N95" s="45">
        <v>1508.0</v>
      </c>
      <c r="O95" s="46">
        <v>43.0</v>
      </c>
      <c r="P95" s="46">
        <v>11.0</v>
      </c>
      <c r="Q95" s="46">
        <f>IFERROR(__xludf.DUMMYFUNCTION("""COMPUTED_VALUE"""),0.0)</f>
        <v>0</v>
      </c>
      <c r="R95" s="47">
        <v>274.0</v>
      </c>
    </row>
    <row r="96" ht="22.5" customHeight="1">
      <c r="A96" s="42">
        <v>44492.0</v>
      </c>
      <c r="B96" s="43">
        <v>44492.50019675926</v>
      </c>
      <c r="C96" s="17" t="s">
        <v>78</v>
      </c>
      <c r="D96" s="17" t="s">
        <v>360</v>
      </c>
      <c r="E96" s="17" t="s">
        <v>84</v>
      </c>
      <c r="F96" s="17" t="s">
        <v>50</v>
      </c>
      <c r="G96" s="17" t="s">
        <v>361</v>
      </c>
      <c r="H96" s="44" t="s">
        <v>362</v>
      </c>
      <c r="I96" s="45">
        <v>1.0</v>
      </c>
      <c r="J96" s="45">
        <v>658.0</v>
      </c>
      <c r="K96" s="45">
        <v>771.0</v>
      </c>
      <c r="L96" s="45">
        <v>28.0</v>
      </c>
      <c r="M96" s="45">
        <v>77.0</v>
      </c>
      <c r="N96" s="45">
        <v>658.0</v>
      </c>
      <c r="O96" s="46">
        <v>43.0</v>
      </c>
      <c r="P96" s="46">
        <v>12.0</v>
      </c>
      <c r="Q96" s="46">
        <f>IFERROR(__xludf.DUMMYFUNCTION("""COMPUTED_VALUE"""),0.0)</f>
        <v>0</v>
      </c>
      <c r="R96" s="47">
        <v>113.0</v>
      </c>
    </row>
    <row r="97" ht="22.5" customHeight="1">
      <c r="A97" s="42">
        <v>44492.0</v>
      </c>
      <c r="B97" s="43">
        <v>44492.541238425925</v>
      </c>
      <c r="C97" s="17" t="s">
        <v>78</v>
      </c>
      <c r="D97" s="17" t="s">
        <v>363</v>
      </c>
      <c r="E97" s="17" t="s">
        <v>84</v>
      </c>
      <c r="F97" s="17" t="s">
        <v>50</v>
      </c>
      <c r="G97" s="17" t="s">
        <v>364</v>
      </c>
      <c r="H97" s="44" t="s">
        <v>365</v>
      </c>
      <c r="I97" s="45">
        <v>1.0</v>
      </c>
      <c r="J97" s="45">
        <v>456.0</v>
      </c>
      <c r="K97" s="45">
        <v>489.0</v>
      </c>
      <c r="L97" s="45">
        <v>18.0</v>
      </c>
      <c r="M97" s="45">
        <v>16.0</v>
      </c>
      <c r="N97" s="45">
        <v>456.0</v>
      </c>
      <c r="O97" s="46">
        <v>43.0</v>
      </c>
      <c r="P97" s="46">
        <v>12.0</v>
      </c>
      <c r="Q97" s="46">
        <f>IFERROR(__xludf.DUMMYFUNCTION("""COMPUTED_VALUE"""),0.0)</f>
        <v>0</v>
      </c>
      <c r="R97" s="47">
        <v>33.0</v>
      </c>
    </row>
    <row r="98" ht="22.5" customHeight="1">
      <c r="A98" s="42">
        <v>44492.0</v>
      </c>
      <c r="B98" s="43">
        <v>44492.545219907406</v>
      </c>
      <c r="C98" s="17" t="s">
        <v>78</v>
      </c>
      <c r="D98" s="17" t="s">
        <v>366</v>
      </c>
      <c r="E98" s="17" t="s">
        <v>84</v>
      </c>
      <c r="F98" s="17" t="s">
        <v>50</v>
      </c>
      <c r="G98" s="17" t="s">
        <v>367</v>
      </c>
      <c r="H98" s="44" t="s">
        <v>368</v>
      </c>
      <c r="I98" s="45">
        <v>1.0</v>
      </c>
      <c r="J98" s="45">
        <v>1913.0</v>
      </c>
      <c r="K98" s="45">
        <v>2142.0</v>
      </c>
      <c r="L98" s="45">
        <v>253.0</v>
      </c>
      <c r="M98" s="45">
        <v>52.0</v>
      </c>
      <c r="N98" s="45">
        <v>1913.0</v>
      </c>
      <c r="O98" s="46">
        <v>43.0</v>
      </c>
      <c r="P98" s="46">
        <v>13.0</v>
      </c>
      <c r="Q98" s="46">
        <f>IFERROR(__xludf.DUMMYFUNCTION("""COMPUTED_VALUE"""),0.0)</f>
        <v>0</v>
      </c>
      <c r="R98" s="47">
        <v>229.0</v>
      </c>
    </row>
    <row r="99" ht="22.5" customHeight="1">
      <c r="A99" s="42">
        <v>44492.0</v>
      </c>
      <c r="B99" s="43">
        <v>44492.704050925924</v>
      </c>
      <c r="C99" s="17" t="s">
        <v>78</v>
      </c>
      <c r="D99" s="17" t="s">
        <v>369</v>
      </c>
      <c r="E99" s="17" t="s">
        <v>84</v>
      </c>
      <c r="F99" s="17" t="s">
        <v>50</v>
      </c>
      <c r="G99" s="17" t="s">
        <v>370</v>
      </c>
      <c r="H99" s="44" t="s">
        <v>371</v>
      </c>
      <c r="I99" s="45">
        <v>1.0</v>
      </c>
      <c r="J99" s="45">
        <v>1699.0</v>
      </c>
      <c r="K99" s="45">
        <v>2117.0</v>
      </c>
      <c r="L99" s="45">
        <v>130.0</v>
      </c>
      <c r="M99" s="45">
        <v>246.0</v>
      </c>
      <c r="N99" s="45">
        <v>1699.0</v>
      </c>
      <c r="O99" s="46">
        <v>43.0</v>
      </c>
      <c r="P99" s="46">
        <v>16.0</v>
      </c>
      <c r="Q99" s="46">
        <f>IFERROR(__xludf.DUMMYFUNCTION("""COMPUTED_VALUE"""),0.0)</f>
        <v>0</v>
      </c>
      <c r="R99" s="47">
        <v>418.0</v>
      </c>
    </row>
    <row r="100" ht="22.5" customHeight="1">
      <c r="A100" s="42">
        <v>44492.0</v>
      </c>
      <c r="B100" s="43">
        <v>44492.708333333336</v>
      </c>
      <c r="C100" s="17" t="s">
        <v>78</v>
      </c>
      <c r="D100" s="17" t="s">
        <v>372</v>
      </c>
      <c r="E100" s="17" t="s">
        <v>84</v>
      </c>
      <c r="F100" s="17" t="s">
        <v>50</v>
      </c>
      <c r="G100" s="17" t="s">
        <v>373</v>
      </c>
      <c r="H100" s="44" t="s">
        <v>374</v>
      </c>
      <c r="I100" s="45">
        <v>1.0</v>
      </c>
      <c r="J100" s="45">
        <v>521.0</v>
      </c>
      <c r="K100" s="45">
        <v>538.0</v>
      </c>
      <c r="L100" s="45">
        <v>55.0</v>
      </c>
      <c r="M100" s="45">
        <v>5.0</v>
      </c>
      <c r="N100" s="45">
        <v>521.0</v>
      </c>
      <c r="O100" s="46">
        <v>43.0</v>
      </c>
      <c r="P100" s="46">
        <v>17.0</v>
      </c>
      <c r="Q100" s="46">
        <f>IFERROR(__xludf.DUMMYFUNCTION("""COMPUTED_VALUE"""),0.0)</f>
        <v>0</v>
      </c>
      <c r="R100" s="47">
        <v>17.0</v>
      </c>
    </row>
    <row r="101" ht="22.5" customHeight="1">
      <c r="A101" s="42">
        <v>44492.0</v>
      </c>
      <c r="B101" s="43">
        <v>44492.8750462963</v>
      </c>
      <c r="C101" s="17" t="s">
        <v>78</v>
      </c>
      <c r="D101" s="17" t="s">
        <v>375</v>
      </c>
      <c r="E101" s="17" t="s">
        <v>97</v>
      </c>
      <c r="F101" s="17" t="s">
        <v>52</v>
      </c>
      <c r="G101" s="17" t="s">
        <v>376</v>
      </c>
      <c r="H101" s="44" t="s">
        <v>377</v>
      </c>
      <c r="I101" s="45">
        <v>1.0</v>
      </c>
      <c r="J101" s="45">
        <v>276.0</v>
      </c>
      <c r="K101" s="45">
        <v>311.0</v>
      </c>
      <c r="L101" s="45">
        <v>52.0</v>
      </c>
      <c r="M101" s="45">
        <v>3.0</v>
      </c>
      <c r="N101" s="45">
        <v>276.0</v>
      </c>
      <c r="O101" s="46">
        <v>43.0</v>
      </c>
      <c r="P101" s="46">
        <v>21.0</v>
      </c>
      <c r="Q101" s="46">
        <f>IFERROR(__xludf.DUMMYFUNCTION("""COMPUTED_VALUE"""),0.0)</f>
        <v>0</v>
      </c>
      <c r="R101" s="47">
        <v>35.0</v>
      </c>
    </row>
    <row r="102" ht="22.5" customHeight="1">
      <c r="A102" s="42">
        <v>44493.0</v>
      </c>
      <c r="B102" s="43">
        <v>44493.375</v>
      </c>
      <c r="C102" s="17" t="s">
        <v>78</v>
      </c>
      <c r="D102" s="17" t="s">
        <v>378</v>
      </c>
      <c r="E102" s="17" t="s">
        <v>84</v>
      </c>
      <c r="F102" s="17" t="s">
        <v>50</v>
      </c>
      <c r="G102" s="17" t="s">
        <v>379</v>
      </c>
      <c r="H102" s="44" t="s">
        <v>380</v>
      </c>
      <c r="I102" s="45">
        <v>1.0</v>
      </c>
      <c r="J102" s="45">
        <v>10799.0</v>
      </c>
      <c r="K102" s="45">
        <v>11054.0</v>
      </c>
      <c r="L102" s="45">
        <v>554.0</v>
      </c>
      <c r="M102" s="45">
        <v>153.0</v>
      </c>
      <c r="N102" s="45">
        <v>10799.0</v>
      </c>
      <c r="O102" s="46">
        <v>44.0</v>
      </c>
      <c r="P102" s="46">
        <v>9.0</v>
      </c>
      <c r="Q102" s="46">
        <f>IFERROR(__xludf.DUMMYFUNCTION("""COMPUTED_VALUE"""),0.0)</f>
        <v>0</v>
      </c>
      <c r="R102" s="47">
        <v>255.0</v>
      </c>
    </row>
    <row r="103" ht="22.5" customHeight="1">
      <c r="A103" s="42">
        <v>44493.0</v>
      </c>
      <c r="B103" s="43">
        <v>44493.583344907405</v>
      </c>
      <c r="C103" s="17" t="s">
        <v>78</v>
      </c>
      <c r="D103" s="17" t="s">
        <v>381</v>
      </c>
      <c r="E103" s="17" t="s">
        <v>84</v>
      </c>
      <c r="F103" s="17" t="s">
        <v>50</v>
      </c>
      <c r="G103" s="17" t="s">
        <v>382</v>
      </c>
      <c r="H103" s="44" t="s">
        <v>383</v>
      </c>
      <c r="I103" s="45">
        <v>1.0</v>
      </c>
      <c r="J103" s="45">
        <v>542.0</v>
      </c>
      <c r="K103" s="45">
        <v>577.0</v>
      </c>
      <c r="L103" s="45">
        <v>61.0</v>
      </c>
      <c r="M103" s="45">
        <v>2.0</v>
      </c>
      <c r="N103" s="45">
        <v>542.0</v>
      </c>
      <c r="O103" s="46">
        <v>44.0</v>
      </c>
      <c r="P103" s="46">
        <v>14.0</v>
      </c>
      <c r="Q103" s="46">
        <f>IFERROR(__xludf.DUMMYFUNCTION("""COMPUTED_VALUE"""),0.0)</f>
        <v>0</v>
      </c>
      <c r="R103" s="47">
        <v>35.0</v>
      </c>
    </row>
    <row r="104" ht="22.5" customHeight="1">
      <c r="A104" s="42">
        <v>44493.0</v>
      </c>
      <c r="B104" s="43">
        <v>44493.66667824074</v>
      </c>
      <c r="C104" s="17" t="s">
        <v>78</v>
      </c>
      <c r="D104" s="17" t="s">
        <v>384</v>
      </c>
      <c r="E104" s="17" t="s">
        <v>84</v>
      </c>
      <c r="F104" s="17" t="s">
        <v>50</v>
      </c>
      <c r="G104" s="17" t="s">
        <v>385</v>
      </c>
      <c r="H104" s="44" t="s">
        <v>386</v>
      </c>
      <c r="I104" s="45">
        <v>1.0</v>
      </c>
      <c r="J104" s="45">
        <v>291.0</v>
      </c>
      <c r="K104" s="45">
        <v>310.0</v>
      </c>
      <c r="L104" s="45">
        <v>31.0</v>
      </c>
      <c r="M104" s="45">
        <v>6.0</v>
      </c>
      <c r="N104" s="45">
        <v>291.0</v>
      </c>
      <c r="O104" s="46">
        <v>44.0</v>
      </c>
      <c r="P104" s="46">
        <v>16.0</v>
      </c>
      <c r="Q104" s="46">
        <f>IFERROR(__xludf.DUMMYFUNCTION("""COMPUTED_VALUE"""),0.0)</f>
        <v>0</v>
      </c>
      <c r="R104" s="47">
        <v>19.0</v>
      </c>
    </row>
    <row r="105" ht="22.5" customHeight="1">
      <c r="A105" s="42">
        <v>44493.0</v>
      </c>
      <c r="B105" s="43">
        <v>44493.75053240741</v>
      </c>
      <c r="C105" s="17" t="s">
        <v>78</v>
      </c>
      <c r="D105" s="17" t="s">
        <v>387</v>
      </c>
      <c r="E105" s="17" t="s">
        <v>80</v>
      </c>
      <c r="F105" s="17" t="s">
        <v>53</v>
      </c>
      <c r="G105" s="17" t="s">
        <v>388</v>
      </c>
      <c r="H105" s="44" t="s">
        <v>389</v>
      </c>
      <c r="I105" s="45">
        <v>1.0</v>
      </c>
      <c r="J105" s="45">
        <v>372.0</v>
      </c>
      <c r="K105" s="45">
        <v>395.0</v>
      </c>
      <c r="L105" s="45">
        <v>46.0</v>
      </c>
      <c r="M105" s="45">
        <v>12.0</v>
      </c>
      <c r="N105" s="45">
        <v>372.0</v>
      </c>
      <c r="O105" s="46">
        <v>44.0</v>
      </c>
      <c r="P105" s="46">
        <v>18.0</v>
      </c>
      <c r="Q105" s="46">
        <f>IFERROR(__xludf.DUMMYFUNCTION("""COMPUTED_VALUE"""),0.0)</f>
        <v>0</v>
      </c>
      <c r="R105" s="47">
        <v>23.0</v>
      </c>
    </row>
    <row r="106" ht="22.5" customHeight="1">
      <c r="A106" s="42">
        <v>44494.0</v>
      </c>
      <c r="B106" s="43">
        <v>44494.37501157408</v>
      </c>
      <c r="C106" s="17" t="s">
        <v>78</v>
      </c>
      <c r="D106" s="17" t="s">
        <v>390</v>
      </c>
      <c r="E106" s="17" t="s">
        <v>84</v>
      </c>
      <c r="F106" s="17" t="s">
        <v>50</v>
      </c>
      <c r="G106" s="17" t="s">
        <v>391</v>
      </c>
      <c r="H106" s="44" t="s">
        <v>392</v>
      </c>
      <c r="I106" s="45">
        <v>1.0</v>
      </c>
      <c r="J106" s="45">
        <v>1582.0</v>
      </c>
      <c r="K106" s="45">
        <v>1753.0</v>
      </c>
      <c r="L106" s="45">
        <v>236.0</v>
      </c>
      <c r="M106" s="45">
        <v>40.0</v>
      </c>
      <c r="N106" s="45">
        <v>1582.0</v>
      </c>
      <c r="O106" s="46">
        <v>44.0</v>
      </c>
      <c r="P106" s="46">
        <v>9.0</v>
      </c>
      <c r="Q106" s="46">
        <f>IFERROR(__xludf.DUMMYFUNCTION("""COMPUTED_VALUE"""),0.0)</f>
        <v>0</v>
      </c>
      <c r="R106" s="47">
        <v>171.0</v>
      </c>
    </row>
    <row r="107" ht="22.5" customHeight="1">
      <c r="A107" s="42">
        <v>44494.0</v>
      </c>
      <c r="B107" s="43">
        <v>44494.70837962963</v>
      </c>
      <c r="C107" s="17" t="s">
        <v>78</v>
      </c>
      <c r="D107" s="17" t="s">
        <v>393</v>
      </c>
      <c r="E107" s="17" t="s">
        <v>80</v>
      </c>
      <c r="F107" s="17" t="s">
        <v>55</v>
      </c>
      <c r="G107" s="17" t="s">
        <v>394</v>
      </c>
      <c r="H107" s="44" t="s">
        <v>395</v>
      </c>
      <c r="I107" s="45">
        <v>1.0</v>
      </c>
      <c r="J107" s="45">
        <v>1696.0</v>
      </c>
      <c r="K107" s="45">
        <v>2014.0</v>
      </c>
      <c r="L107" s="45">
        <v>143.0</v>
      </c>
      <c r="M107" s="45">
        <v>78.0</v>
      </c>
      <c r="N107" s="45">
        <v>1696.0</v>
      </c>
      <c r="O107" s="46">
        <v>44.0</v>
      </c>
      <c r="P107" s="46">
        <v>17.0</v>
      </c>
      <c r="Q107" s="46">
        <f>IFERROR(__xludf.DUMMYFUNCTION("""COMPUTED_VALUE"""),0.0)</f>
        <v>0</v>
      </c>
      <c r="R107" s="47">
        <v>318.0</v>
      </c>
    </row>
    <row r="108" ht="22.5" customHeight="1">
      <c r="A108" s="42">
        <v>44495.0</v>
      </c>
      <c r="B108" s="43">
        <v>44495.83337962963</v>
      </c>
      <c r="C108" s="17" t="s">
        <v>78</v>
      </c>
      <c r="D108" s="17" t="s">
        <v>396</v>
      </c>
      <c r="E108" s="17" t="s">
        <v>80</v>
      </c>
      <c r="F108" s="17" t="s">
        <v>55</v>
      </c>
      <c r="G108" s="17" t="s">
        <v>397</v>
      </c>
      <c r="H108" s="44" t="s">
        <v>398</v>
      </c>
      <c r="I108" s="45">
        <v>1.0</v>
      </c>
      <c r="J108" s="45">
        <v>1186.0</v>
      </c>
      <c r="K108" s="45">
        <v>1389.0</v>
      </c>
      <c r="L108" s="45">
        <v>107.0</v>
      </c>
      <c r="M108" s="45">
        <v>49.0</v>
      </c>
      <c r="N108" s="45">
        <v>1186.0</v>
      </c>
      <c r="O108" s="46">
        <v>44.0</v>
      </c>
      <c r="P108" s="46">
        <v>20.0</v>
      </c>
      <c r="Q108" s="46">
        <f>IFERROR(__xludf.DUMMYFUNCTION("""COMPUTED_VALUE"""),0.0)</f>
        <v>0</v>
      </c>
      <c r="R108" s="47">
        <v>203.0</v>
      </c>
    </row>
    <row r="109" ht="22.5" customHeight="1">
      <c r="A109" s="42">
        <v>44496.0</v>
      </c>
      <c r="B109" s="43">
        <v>44496.333344907405</v>
      </c>
      <c r="C109" s="17" t="s">
        <v>78</v>
      </c>
      <c r="D109" s="17" t="s">
        <v>399</v>
      </c>
      <c r="E109" s="17" t="s">
        <v>84</v>
      </c>
      <c r="F109" s="17" t="s">
        <v>50</v>
      </c>
      <c r="G109" s="17" t="s">
        <v>400</v>
      </c>
      <c r="H109" s="44" t="s">
        <v>401</v>
      </c>
      <c r="I109" s="45">
        <v>1.0</v>
      </c>
      <c r="J109" s="45">
        <v>10507.0</v>
      </c>
      <c r="K109" s="45">
        <v>11103.0</v>
      </c>
      <c r="L109" s="45">
        <v>339.0</v>
      </c>
      <c r="M109" s="45">
        <v>86.0</v>
      </c>
      <c r="N109" s="45">
        <v>10507.0</v>
      </c>
      <c r="O109" s="46">
        <v>44.0</v>
      </c>
      <c r="P109" s="46">
        <v>8.0</v>
      </c>
      <c r="Q109" s="46">
        <f>IFERROR(__xludf.DUMMYFUNCTION("""COMPUTED_VALUE"""),0.0)</f>
        <v>0</v>
      </c>
      <c r="R109" s="47">
        <v>596.0</v>
      </c>
    </row>
    <row r="110" ht="22.5" customHeight="1">
      <c r="A110" s="42">
        <v>44496.0</v>
      </c>
      <c r="B110" s="43">
        <v>44496.54172453703</v>
      </c>
      <c r="C110" s="17" t="s">
        <v>78</v>
      </c>
      <c r="D110" s="17" t="s">
        <v>402</v>
      </c>
      <c r="E110" s="17" t="s">
        <v>84</v>
      </c>
      <c r="F110" s="17" t="s">
        <v>47</v>
      </c>
      <c r="G110" s="17" t="s">
        <v>403</v>
      </c>
      <c r="H110" s="44" t="s">
        <v>404</v>
      </c>
      <c r="I110" s="45">
        <v>1.0</v>
      </c>
      <c r="J110" s="45">
        <v>969.0</v>
      </c>
      <c r="K110" s="45">
        <v>1096.0</v>
      </c>
      <c r="L110" s="45">
        <v>71.0</v>
      </c>
      <c r="M110" s="45">
        <v>22.0</v>
      </c>
      <c r="N110" s="45">
        <v>969.0</v>
      </c>
      <c r="O110" s="46">
        <v>44.0</v>
      </c>
      <c r="P110" s="46">
        <v>13.0</v>
      </c>
      <c r="Q110" s="46">
        <f>IFERROR(__xludf.DUMMYFUNCTION("""COMPUTED_VALUE"""),0.0)</f>
        <v>0</v>
      </c>
      <c r="R110" s="47">
        <v>127.0</v>
      </c>
    </row>
    <row r="111" ht="22.5" customHeight="1">
      <c r="A111" s="42">
        <v>44496.0</v>
      </c>
      <c r="B111" s="43">
        <v>44496.708344907405</v>
      </c>
      <c r="C111" s="17" t="s">
        <v>78</v>
      </c>
      <c r="D111" s="17" t="s">
        <v>405</v>
      </c>
      <c r="E111" s="17" t="s">
        <v>84</v>
      </c>
      <c r="F111" s="17" t="s">
        <v>47</v>
      </c>
      <c r="G111" s="17" t="s">
        <v>406</v>
      </c>
      <c r="H111" s="44" t="s">
        <v>407</v>
      </c>
      <c r="I111" s="45">
        <v>1.0</v>
      </c>
      <c r="J111" s="45">
        <v>1986.0</v>
      </c>
      <c r="K111" s="45">
        <v>2684.0</v>
      </c>
      <c r="L111" s="45">
        <v>311.0</v>
      </c>
      <c r="M111" s="45">
        <v>939.0</v>
      </c>
      <c r="N111" s="45">
        <v>1986.0</v>
      </c>
      <c r="O111" s="46">
        <v>44.0</v>
      </c>
      <c r="P111" s="46">
        <v>17.0</v>
      </c>
      <c r="Q111" s="46">
        <f>IFERROR(__xludf.DUMMYFUNCTION("""COMPUTED_VALUE"""),0.0)</f>
        <v>0</v>
      </c>
      <c r="R111" s="47">
        <v>698.0</v>
      </c>
    </row>
    <row r="112" ht="22.5" customHeight="1">
      <c r="A112" s="42">
        <v>44496.0</v>
      </c>
      <c r="B112" s="43">
        <v>44496.83335648148</v>
      </c>
      <c r="C112" s="17" t="s">
        <v>78</v>
      </c>
      <c r="D112" s="17" t="s">
        <v>408</v>
      </c>
      <c r="E112" s="17" t="s">
        <v>84</v>
      </c>
      <c r="F112" s="17" t="s">
        <v>47</v>
      </c>
      <c r="G112" s="17" t="s">
        <v>409</v>
      </c>
      <c r="H112" s="44" t="s">
        <v>410</v>
      </c>
      <c r="I112" s="45">
        <v>1.0</v>
      </c>
      <c r="J112" s="45">
        <v>580.0</v>
      </c>
      <c r="K112" s="45">
        <v>605.0</v>
      </c>
      <c r="L112" s="45">
        <v>52.0</v>
      </c>
      <c r="M112" s="45">
        <v>24.0</v>
      </c>
      <c r="N112" s="45">
        <v>580.0</v>
      </c>
      <c r="O112" s="46">
        <v>44.0</v>
      </c>
      <c r="P112" s="46">
        <v>20.0</v>
      </c>
      <c r="Q112" s="46">
        <f>IFERROR(__xludf.DUMMYFUNCTION("""COMPUTED_VALUE"""),0.0)</f>
        <v>0</v>
      </c>
      <c r="R112" s="47">
        <v>25.0</v>
      </c>
    </row>
    <row r="113" ht="22.5" customHeight="1">
      <c r="A113" s="42">
        <v>44497.0</v>
      </c>
      <c r="B113" s="43">
        <v>44497.416666666664</v>
      </c>
      <c r="C113" s="17" t="s">
        <v>78</v>
      </c>
      <c r="D113" s="17" t="s">
        <v>411</v>
      </c>
      <c r="E113" s="17" t="s">
        <v>84</v>
      </c>
      <c r="F113" s="17" t="s">
        <v>50</v>
      </c>
      <c r="G113" s="17" t="s">
        <v>412</v>
      </c>
      <c r="H113" s="44" t="s">
        <v>413</v>
      </c>
      <c r="I113" s="45">
        <v>1.0</v>
      </c>
      <c r="J113" s="45">
        <v>3477.0</v>
      </c>
      <c r="K113" s="45">
        <v>3862.0</v>
      </c>
      <c r="L113" s="45">
        <v>246.0</v>
      </c>
      <c r="M113" s="45">
        <v>214.0</v>
      </c>
      <c r="N113" s="45">
        <v>3477.0</v>
      </c>
      <c r="O113" s="46">
        <v>44.0</v>
      </c>
      <c r="P113" s="46">
        <v>10.0</v>
      </c>
      <c r="Q113" s="46">
        <f>IFERROR(__xludf.DUMMYFUNCTION("""COMPUTED_VALUE"""),0.0)</f>
        <v>0</v>
      </c>
      <c r="R113" s="47">
        <v>385.0</v>
      </c>
    </row>
    <row r="114" ht="22.5" customHeight="1">
      <c r="A114" s="42">
        <v>44497.0</v>
      </c>
      <c r="B114" s="43">
        <v>44497.45835648148</v>
      </c>
      <c r="C114" s="17" t="s">
        <v>78</v>
      </c>
      <c r="D114" s="17" t="s">
        <v>414</v>
      </c>
      <c r="E114" s="17" t="s">
        <v>84</v>
      </c>
      <c r="F114" s="17" t="s">
        <v>50</v>
      </c>
      <c r="G114" s="17" t="s">
        <v>415</v>
      </c>
      <c r="H114" s="44" t="s">
        <v>416</v>
      </c>
      <c r="I114" s="45">
        <v>1.0</v>
      </c>
      <c r="J114" s="45">
        <v>8367.0</v>
      </c>
      <c r="K114" s="45">
        <v>9479.0</v>
      </c>
      <c r="L114" s="45">
        <v>771.0</v>
      </c>
      <c r="M114" s="45">
        <v>169.0</v>
      </c>
      <c r="N114" s="45">
        <v>8367.0</v>
      </c>
      <c r="O114" s="46">
        <v>44.0</v>
      </c>
      <c r="P114" s="46">
        <v>11.0</v>
      </c>
      <c r="Q114" s="46">
        <f>IFERROR(__xludf.DUMMYFUNCTION("""COMPUTED_VALUE"""),0.0)</f>
        <v>0</v>
      </c>
      <c r="R114" s="47">
        <v>1112.0</v>
      </c>
    </row>
    <row r="115" ht="22.5" customHeight="1">
      <c r="A115" s="42">
        <v>44497.0</v>
      </c>
      <c r="B115" s="43">
        <v>44497.541712962964</v>
      </c>
      <c r="C115" s="17" t="s">
        <v>78</v>
      </c>
      <c r="D115" s="17" t="s">
        <v>417</v>
      </c>
      <c r="E115" s="17" t="s">
        <v>84</v>
      </c>
      <c r="F115" s="17" t="s">
        <v>50</v>
      </c>
      <c r="G115" s="17" t="s">
        <v>418</v>
      </c>
      <c r="H115" s="44" t="s">
        <v>419</v>
      </c>
      <c r="I115" s="45">
        <v>1.0</v>
      </c>
      <c r="J115" s="45">
        <v>4532.0</v>
      </c>
      <c r="K115" s="45">
        <v>4642.0</v>
      </c>
      <c r="L115" s="45">
        <v>100.0</v>
      </c>
      <c r="M115" s="45">
        <v>30.0</v>
      </c>
      <c r="N115" s="45">
        <v>4532.0</v>
      </c>
      <c r="O115" s="46">
        <v>44.0</v>
      </c>
      <c r="P115" s="46">
        <v>13.0</v>
      </c>
      <c r="Q115" s="46">
        <f>IFERROR(__xludf.DUMMYFUNCTION("""COMPUTED_VALUE"""),0.0)</f>
        <v>0</v>
      </c>
      <c r="R115" s="47">
        <v>110.0</v>
      </c>
    </row>
    <row r="116" ht="22.5" customHeight="1">
      <c r="A116" s="42">
        <v>44497.0</v>
      </c>
      <c r="B116" s="43">
        <v>44497.79403935185</v>
      </c>
      <c r="C116" s="17" t="s">
        <v>78</v>
      </c>
      <c r="D116" s="17" t="s">
        <v>420</v>
      </c>
      <c r="E116" s="17" t="s">
        <v>84</v>
      </c>
      <c r="F116" s="17" t="s">
        <v>47</v>
      </c>
      <c r="G116" s="17" t="s">
        <v>421</v>
      </c>
      <c r="H116" s="44" t="s">
        <v>422</v>
      </c>
      <c r="I116" s="45">
        <v>1.0</v>
      </c>
      <c r="J116" s="45">
        <v>4109.0</v>
      </c>
      <c r="K116" s="45">
        <v>4685.0</v>
      </c>
      <c r="L116" s="45">
        <v>547.0</v>
      </c>
      <c r="M116" s="45">
        <v>2895.0</v>
      </c>
      <c r="N116" s="45">
        <v>4109.0</v>
      </c>
      <c r="O116" s="46">
        <v>44.0</v>
      </c>
      <c r="P116" s="46">
        <v>19.0</v>
      </c>
      <c r="Q116" s="46">
        <f>IFERROR(__xludf.DUMMYFUNCTION("""COMPUTED_VALUE"""),0.0)</f>
        <v>0</v>
      </c>
      <c r="R116" s="47">
        <v>576.0</v>
      </c>
    </row>
    <row r="117" ht="22.5" customHeight="1">
      <c r="A117" s="42">
        <v>44497.0</v>
      </c>
      <c r="B117" s="43">
        <v>44497.8334375</v>
      </c>
      <c r="C117" s="17" t="s">
        <v>78</v>
      </c>
      <c r="D117" s="17" t="s">
        <v>423</v>
      </c>
      <c r="E117" s="17" t="s">
        <v>80</v>
      </c>
      <c r="F117" s="17" t="s">
        <v>53</v>
      </c>
      <c r="G117" s="17" t="s">
        <v>424</v>
      </c>
      <c r="H117" s="44" t="s">
        <v>425</v>
      </c>
      <c r="I117" s="45">
        <v>1.0</v>
      </c>
      <c r="J117" s="45">
        <v>1325.0</v>
      </c>
      <c r="K117" s="45">
        <v>1551.0</v>
      </c>
      <c r="L117" s="45">
        <v>77.0</v>
      </c>
      <c r="M117" s="45">
        <v>38.0</v>
      </c>
      <c r="N117" s="45">
        <v>1325.0</v>
      </c>
      <c r="O117" s="46">
        <v>44.0</v>
      </c>
      <c r="P117" s="46">
        <v>20.0</v>
      </c>
      <c r="Q117" s="46">
        <f>IFERROR(__xludf.DUMMYFUNCTION("""COMPUTED_VALUE"""),0.0)</f>
        <v>0</v>
      </c>
      <c r="R117" s="47">
        <v>226.0</v>
      </c>
    </row>
    <row r="118" ht="22.5" customHeight="1">
      <c r="A118" s="42">
        <v>44497.0</v>
      </c>
      <c r="B118" s="43">
        <v>44497.91667824074</v>
      </c>
      <c r="C118" s="17" t="s">
        <v>78</v>
      </c>
      <c r="D118" s="17" t="s">
        <v>426</v>
      </c>
      <c r="E118" s="17" t="s">
        <v>80</v>
      </c>
      <c r="F118" s="17" t="s">
        <v>55</v>
      </c>
      <c r="G118" s="17" t="s">
        <v>427</v>
      </c>
      <c r="H118" s="44" t="s">
        <v>428</v>
      </c>
      <c r="I118" s="45">
        <v>1.0</v>
      </c>
      <c r="J118" s="45">
        <v>387.0</v>
      </c>
      <c r="K118" s="45">
        <v>451.0</v>
      </c>
      <c r="L118" s="45">
        <v>19.0</v>
      </c>
      <c r="M118" s="45">
        <v>22.0</v>
      </c>
      <c r="N118" s="45">
        <v>387.0</v>
      </c>
      <c r="O118" s="46">
        <v>44.0</v>
      </c>
      <c r="P118" s="46">
        <v>22.0</v>
      </c>
      <c r="Q118" s="46">
        <f>IFERROR(__xludf.DUMMYFUNCTION("""COMPUTED_VALUE"""),0.0)</f>
        <v>0</v>
      </c>
      <c r="R118" s="47">
        <v>64.0</v>
      </c>
    </row>
    <row r="119" ht="22.5" customHeight="1">
      <c r="A119" s="42">
        <v>44498.0</v>
      </c>
      <c r="B119" s="43">
        <v>44498.08259259259</v>
      </c>
      <c r="C119" s="17" t="s">
        <v>78</v>
      </c>
      <c r="D119" s="17" t="s">
        <v>429</v>
      </c>
      <c r="E119" s="17" t="s">
        <v>84</v>
      </c>
      <c r="F119" s="17" t="s">
        <v>48</v>
      </c>
      <c r="G119" s="17"/>
      <c r="H119" s="44" t="s">
        <v>430</v>
      </c>
      <c r="I119" s="45">
        <v>1.0</v>
      </c>
      <c r="J119" s="45">
        <v>1231.0</v>
      </c>
      <c r="K119" s="45">
        <v>1273.0</v>
      </c>
      <c r="L119" s="45">
        <v>60.0</v>
      </c>
      <c r="M119" s="45">
        <v>7.0</v>
      </c>
      <c r="N119" s="45">
        <v>1231.0</v>
      </c>
      <c r="O119" s="46">
        <v>44.0</v>
      </c>
      <c r="P119" s="46">
        <v>1.0</v>
      </c>
      <c r="Q119" s="46">
        <f>IFERROR(__xludf.DUMMYFUNCTION("""COMPUTED_VALUE"""),0.0)</f>
        <v>0</v>
      </c>
      <c r="R119" s="47">
        <v>42.0</v>
      </c>
    </row>
    <row r="120" ht="22.5" customHeight="1">
      <c r="A120" s="42">
        <v>44498.0</v>
      </c>
      <c r="B120" s="43">
        <v>44498.08773148148</v>
      </c>
      <c r="C120" s="17" t="s">
        <v>78</v>
      </c>
      <c r="D120" s="17" t="s">
        <v>431</v>
      </c>
      <c r="E120" s="17" t="s">
        <v>84</v>
      </c>
      <c r="F120" s="17" t="s">
        <v>51</v>
      </c>
      <c r="G120" s="17"/>
      <c r="H120" s="44" t="s">
        <v>432</v>
      </c>
      <c r="I120" s="45">
        <v>1.0</v>
      </c>
      <c r="J120" s="45">
        <v>5157.0</v>
      </c>
      <c r="K120" s="45">
        <v>5473.0</v>
      </c>
      <c r="L120" s="45">
        <v>351.0</v>
      </c>
      <c r="M120" s="45">
        <v>14.0</v>
      </c>
      <c r="N120" s="45">
        <v>5157.0</v>
      </c>
      <c r="O120" s="46">
        <v>44.0</v>
      </c>
      <c r="P120" s="46">
        <v>2.0</v>
      </c>
      <c r="Q120" s="46">
        <f>IFERROR(__xludf.DUMMYFUNCTION("""COMPUTED_VALUE"""),0.0)</f>
        <v>0</v>
      </c>
      <c r="R120" s="47">
        <v>316.0</v>
      </c>
    </row>
    <row r="121" ht="22.5" customHeight="1">
      <c r="A121" s="42">
        <v>44498.0</v>
      </c>
      <c r="B121" s="43">
        <v>44498.33335648148</v>
      </c>
      <c r="C121" s="17" t="s">
        <v>78</v>
      </c>
      <c r="D121" s="17" t="s">
        <v>433</v>
      </c>
      <c r="E121" s="17" t="s">
        <v>84</v>
      </c>
      <c r="F121" s="17" t="s">
        <v>50</v>
      </c>
      <c r="G121" s="17" t="s">
        <v>434</v>
      </c>
      <c r="H121" s="44" t="s">
        <v>435</v>
      </c>
      <c r="I121" s="45">
        <v>1.0</v>
      </c>
      <c r="J121" s="45">
        <v>1300.0</v>
      </c>
      <c r="K121" s="45">
        <v>1522.0</v>
      </c>
      <c r="L121" s="45">
        <v>286.0</v>
      </c>
      <c r="M121" s="45">
        <v>76.0</v>
      </c>
      <c r="N121" s="45">
        <v>1300.0</v>
      </c>
      <c r="O121" s="46">
        <v>44.0</v>
      </c>
      <c r="P121" s="46">
        <v>8.0</v>
      </c>
      <c r="Q121" s="46">
        <f>IFERROR(__xludf.DUMMYFUNCTION("""COMPUTED_VALUE"""),0.0)</f>
        <v>0</v>
      </c>
      <c r="R121" s="47">
        <v>222.0</v>
      </c>
    </row>
    <row r="122" ht="22.5" customHeight="1">
      <c r="A122" s="42">
        <v>44498.0</v>
      </c>
      <c r="B122" s="43">
        <v>44498.45837962963</v>
      </c>
      <c r="C122" s="17" t="s">
        <v>78</v>
      </c>
      <c r="D122" s="17" t="s">
        <v>436</v>
      </c>
      <c r="E122" s="17" t="s">
        <v>84</v>
      </c>
      <c r="F122" s="17" t="s">
        <v>50</v>
      </c>
      <c r="G122" s="17" t="s">
        <v>437</v>
      </c>
      <c r="H122" s="44" t="s">
        <v>438</v>
      </c>
      <c r="I122" s="45">
        <v>1.0</v>
      </c>
      <c r="J122" s="45">
        <v>172.0</v>
      </c>
      <c r="K122" s="45">
        <v>178.0</v>
      </c>
      <c r="L122" s="45">
        <v>33.0</v>
      </c>
      <c r="M122" s="45">
        <v>1.0</v>
      </c>
      <c r="N122" s="45">
        <v>172.0</v>
      </c>
      <c r="O122" s="46">
        <v>44.0</v>
      </c>
      <c r="P122" s="46">
        <v>11.0</v>
      </c>
      <c r="Q122" s="46">
        <f>IFERROR(__xludf.DUMMYFUNCTION("""COMPUTED_VALUE"""),1.0)</f>
        <v>1</v>
      </c>
      <c r="R122" s="47">
        <v>6.0</v>
      </c>
    </row>
    <row r="123" ht="22.5" customHeight="1">
      <c r="A123" s="42">
        <v>44498.0</v>
      </c>
      <c r="B123" s="43">
        <v>44498.79172453703</v>
      </c>
      <c r="C123" s="17" t="s">
        <v>78</v>
      </c>
      <c r="D123" s="17" t="s">
        <v>439</v>
      </c>
      <c r="E123" s="17" t="s">
        <v>80</v>
      </c>
      <c r="F123" s="17" t="s">
        <v>53</v>
      </c>
      <c r="G123" s="17" t="s">
        <v>440</v>
      </c>
      <c r="H123" s="44" t="s">
        <v>441</v>
      </c>
      <c r="I123" s="45">
        <v>1.0</v>
      </c>
      <c r="J123" s="45">
        <v>6600.0</v>
      </c>
      <c r="K123" s="45">
        <v>8430.0</v>
      </c>
      <c r="L123" s="45">
        <v>191.0</v>
      </c>
      <c r="M123" s="45">
        <v>326.0</v>
      </c>
      <c r="N123" s="45">
        <v>6600.0</v>
      </c>
      <c r="O123" s="46">
        <v>44.0</v>
      </c>
      <c r="P123" s="46">
        <v>19.0</v>
      </c>
      <c r="Q123" s="46">
        <f>IFERROR(__xludf.DUMMYFUNCTION("""COMPUTED_VALUE"""),0.0)</f>
        <v>0</v>
      </c>
      <c r="R123" s="47">
        <v>1830.0</v>
      </c>
    </row>
    <row r="124" ht="22.5" customHeight="1">
      <c r="A124" s="42">
        <v>44499.0</v>
      </c>
      <c r="B124" s="43">
        <v>44499.29168981482</v>
      </c>
      <c r="C124" s="17" t="s">
        <v>78</v>
      </c>
      <c r="D124" s="17" t="s">
        <v>442</v>
      </c>
      <c r="E124" s="17" t="s">
        <v>84</v>
      </c>
      <c r="F124" s="17" t="s">
        <v>50</v>
      </c>
      <c r="G124" s="17" t="s">
        <v>443</v>
      </c>
      <c r="H124" s="44" t="s">
        <v>444</v>
      </c>
      <c r="I124" s="45">
        <v>1.0</v>
      </c>
      <c r="J124" s="45">
        <v>1185.0</v>
      </c>
      <c r="K124" s="45">
        <v>1232.0</v>
      </c>
      <c r="L124" s="45">
        <v>161.0</v>
      </c>
      <c r="M124" s="45">
        <v>41.0</v>
      </c>
      <c r="N124" s="45">
        <v>1185.0</v>
      </c>
      <c r="O124" s="46">
        <v>44.0</v>
      </c>
      <c r="P124" s="46">
        <v>7.0</v>
      </c>
      <c r="Q124" s="46">
        <f>IFERROR(__xludf.DUMMYFUNCTION("""COMPUTED_VALUE"""),1.0)</f>
        <v>1</v>
      </c>
      <c r="R124" s="47">
        <v>47.0</v>
      </c>
    </row>
    <row r="125" ht="22.5" customHeight="1">
      <c r="A125" s="42">
        <v>44499.0</v>
      </c>
      <c r="B125" s="43">
        <v>44499.416712962964</v>
      </c>
      <c r="C125" s="17" t="s">
        <v>78</v>
      </c>
      <c r="D125" s="17" t="s">
        <v>445</v>
      </c>
      <c r="E125" s="17" t="s">
        <v>84</v>
      </c>
      <c r="F125" s="17" t="s">
        <v>50</v>
      </c>
      <c r="G125" s="17" t="s">
        <v>446</v>
      </c>
      <c r="H125" s="44" t="s">
        <v>447</v>
      </c>
      <c r="I125" s="45">
        <v>1.0</v>
      </c>
      <c r="J125" s="45">
        <v>2216.0</v>
      </c>
      <c r="K125" s="45">
        <v>2360.0</v>
      </c>
      <c r="L125" s="45">
        <v>390.0</v>
      </c>
      <c r="M125" s="45">
        <v>150.0</v>
      </c>
      <c r="N125" s="45">
        <v>2216.0</v>
      </c>
      <c r="O125" s="46">
        <v>44.0</v>
      </c>
      <c r="P125" s="46">
        <v>10.0</v>
      </c>
      <c r="Q125" s="46">
        <f>IFERROR(__xludf.DUMMYFUNCTION("""COMPUTED_VALUE"""),0.0)</f>
        <v>0</v>
      </c>
      <c r="R125" s="47">
        <v>144.0</v>
      </c>
    </row>
    <row r="126" ht="22.5" customHeight="1">
      <c r="A126" s="42">
        <v>44499.0</v>
      </c>
      <c r="B126" s="43">
        <v>44499.50009259259</v>
      </c>
      <c r="C126" s="17" t="s">
        <v>78</v>
      </c>
      <c r="D126" s="17" t="s">
        <v>448</v>
      </c>
      <c r="E126" s="17" t="s">
        <v>84</v>
      </c>
      <c r="F126" s="17" t="s">
        <v>50</v>
      </c>
      <c r="G126" s="17" t="s">
        <v>449</v>
      </c>
      <c r="H126" s="44" t="s">
        <v>450</v>
      </c>
      <c r="I126" s="45">
        <v>1.0</v>
      </c>
      <c r="J126" s="45">
        <v>961.0</v>
      </c>
      <c r="K126" s="45">
        <v>1045.0</v>
      </c>
      <c r="L126" s="45">
        <v>128.0</v>
      </c>
      <c r="M126" s="45">
        <v>12.0</v>
      </c>
      <c r="N126" s="45">
        <v>961.0</v>
      </c>
      <c r="O126" s="46">
        <v>44.0</v>
      </c>
      <c r="P126" s="46">
        <v>12.0</v>
      </c>
      <c r="Q126" s="46">
        <f>IFERROR(__xludf.DUMMYFUNCTION("""COMPUTED_VALUE"""),0.0)</f>
        <v>0</v>
      </c>
      <c r="R126" s="47">
        <v>84.0</v>
      </c>
    </row>
    <row r="127" ht="22.5" customHeight="1">
      <c r="A127" s="42">
        <v>44499.0</v>
      </c>
      <c r="B127" s="43">
        <v>44499.66668981482</v>
      </c>
      <c r="C127" s="17" t="s">
        <v>78</v>
      </c>
      <c r="D127" s="17" t="s">
        <v>451</v>
      </c>
      <c r="E127" s="17" t="s">
        <v>80</v>
      </c>
      <c r="F127" s="17" t="s">
        <v>53</v>
      </c>
      <c r="G127" s="17" t="s">
        <v>452</v>
      </c>
      <c r="H127" s="44" t="s">
        <v>453</v>
      </c>
      <c r="I127" s="45">
        <v>1.0</v>
      </c>
      <c r="J127" s="45">
        <v>1228.0</v>
      </c>
      <c r="K127" s="45">
        <v>1372.0</v>
      </c>
      <c r="L127" s="45">
        <v>90.0</v>
      </c>
      <c r="M127" s="45">
        <v>69.0</v>
      </c>
      <c r="N127" s="45">
        <v>1228.0</v>
      </c>
      <c r="O127" s="46">
        <v>44.0</v>
      </c>
      <c r="P127" s="46">
        <v>16.0</v>
      </c>
      <c r="Q127" s="46">
        <f>IFERROR(__xludf.DUMMYFUNCTION("""COMPUTED_VALUE"""),0.0)</f>
        <v>0</v>
      </c>
      <c r="R127" s="47">
        <v>144.0</v>
      </c>
    </row>
    <row r="128" ht="22.5" customHeight="1">
      <c r="A128" s="42">
        <v>44499.0</v>
      </c>
      <c r="B128" s="43">
        <v>44499.66675925926</v>
      </c>
      <c r="C128" s="17" t="s">
        <v>78</v>
      </c>
      <c r="D128" s="17" t="s">
        <v>454</v>
      </c>
      <c r="E128" s="17" t="s">
        <v>84</v>
      </c>
      <c r="F128" s="17" t="s">
        <v>47</v>
      </c>
      <c r="G128" s="17" t="s">
        <v>455</v>
      </c>
      <c r="H128" s="44" t="s">
        <v>456</v>
      </c>
      <c r="I128" s="45">
        <v>1.0</v>
      </c>
      <c r="J128" s="45">
        <v>2116.0</v>
      </c>
      <c r="K128" s="45">
        <v>2257.0</v>
      </c>
      <c r="L128" s="45">
        <v>115.0</v>
      </c>
      <c r="M128" s="45">
        <v>99.0</v>
      </c>
      <c r="N128" s="45">
        <v>2116.0</v>
      </c>
      <c r="O128" s="46">
        <v>44.0</v>
      </c>
      <c r="P128" s="46">
        <v>16.0</v>
      </c>
      <c r="Q128" s="46">
        <f>IFERROR(__xludf.DUMMYFUNCTION("""COMPUTED_VALUE"""),0.0)</f>
        <v>0</v>
      </c>
      <c r="R128" s="47">
        <v>141.0</v>
      </c>
    </row>
    <row r="129" ht="22.5" customHeight="1">
      <c r="A129" s="42">
        <v>44499.0</v>
      </c>
      <c r="B129" s="43">
        <v>44499.79167824074</v>
      </c>
      <c r="C129" s="17" t="s">
        <v>78</v>
      </c>
      <c r="D129" s="17" t="s">
        <v>457</v>
      </c>
      <c r="E129" s="17" t="s">
        <v>84</v>
      </c>
      <c r="F129" s="17" t="s">
        <v>50</v>
      </c>
      <c r="G129" s="17" t="s">
        <v>458</v>
      </c>
      <c r="H129" s="44" t="s">
        <v>459</v>
      </c>
      <c r="I129" s="45">
        <v>1.0</v>
      </c>
      <c r="J129" s="45">
        <v>411.0</v>
      </c>
      <c r="K129" s="45">
        <v>432.0</v>
      </c>
      <c r="L129" s="45">
        <v>82.0</v>
      </c>
      <c r="M129" s="45">
        <v>12.0</v>
      </c>
      <c r="N129" s="45">
        <v>411.0</v>
      </c>
      <c r="O129" s="46">
        <v>44.0</v>
      </c>
      <c r="P129" s="46">
        <v>19.0</v>
      </c>
      <c r="Q129" s="46">
        <f>IFERROR(__xludf.DUMMYFUNCTION("""COMPUTED_VALUE"""),0.0)</f>
        <v>0</v>
      </c>
      <c r="R129" s="47">
        <v>21.0</v>
      </c>
    </row>
    <row r="130" ht="22.5" customHeight="1">
      <c r="A130" s="42">
        <v>44499.0</v>
      </c>
      <c r="B130" s="43">
        <v>44499.83335648148</v>
      </c>
      <c r="C130" s="17" t="s">
        <v>78</v>
      </c>
      <c r="D130" s="17" t="s">
        <v>460</v>
      </c>
      <c r="E130" s="17" t="s">
        <v>80</v>
      </c>
      <c r="F130" s="17" t="s">
        <v>55</v>
      </c>
      <c r="G130" s="17" t="s">
        <v>461</v>
      </c>
      <c r="H130" s="44" t="s">
        <v>462</v>
      </c>
      <c r="I130" s="45">
        <v>1.0</v>
      </c>
      <c r="J130" s="45">
        <v>345.0</v>
      </c>
      <c r="K130" s="45">
        <v>374.0</v>
      </c>
      <c r="L130" s="45">
        <v>37.0</v>
      </c>
      <c r="M130" s="45">
        <v>16.0</v>
      </c>
      <c r="N130" s="45">
        <v>345.0</v>
      </c>
      <c r="O130" s="46">
        <v>44.0</v>
      </c>
      <c r="P130" s="46">
        <v>20.0</v>
      </c>
      <c r="Q130" s="46">
        <f>IFERROR(__xludf.DUMMYFUNCTION("""COMPUTED_VALUE"""),0.0)</f>
        <v>0</v>
      </c>
      <c r="R130" s="47">
        <v>29.0</v>
      </c>
    </row>
    <row r="131" ht="22.5" customHeight="1">
      <c r="A131" s="42">
        <v>44499.0</v>
      </c>
      <c r="B131" s="43">
        <v>44499.91667824074</v>
      </c>
      <c r="C131" s="17" t="s">
        <v>78</v>
      </c>
      <c r="D131" s="17" t="s">
        <v>463</v>
      </c>
      <c r="E131" s="17" t="s">
        <v>80</v>
      </c>
      <c r="F131" s="17" t="s">
        <v>55</v>
      </c>
      <c r="G131" s="17" t="s">
        <v>464</v>
      </c>
      <c r="H131" s="44" t="s">
        <v>465</v>
      </c>
      <c r="I131" s="45">
        <v>1.0</v>
      </c>
      <c r="J131" s="45">
        <v>374.0</v>
      </c>
      <c r="K131" s="45">
        <v>490.0</v>
      </c>
      <c r="L131" s="45">
        <v>24.0</v>
      </c>
      <c r="M131" s="45">
        <v>13.0</v>
      </c>
      <c r="N131" s="45">
        <v>374.0</v>
      </c>
      <c r="O131" s="46">
        <v>44.0</v>
      </c>
      <c r="P131" s="46">
        <v>22.0</v>
      </c>
      <c r="Q131" s="46">
        <f>IFERROR(__xludf.DUMMYFUNCTION("""COMPUTED_VALUE"""),0.0)</f>
        <v>0</v>
      </c>
      <c r="R131" s="47">
        <v>116.0</v>
      </c>
    </row>
    <row r="132" ht="22.5" customHeight="1">
      <c r="A132" s="42">
        <v>44500.0</v>
      </c>
      <c r="B132" s="43">
        <v>44500.33336805556</v>
      </c>
      <c r="C132" s="17" t="s">
        <v>78</v>
      </c>
      <c r="D132" s="17" t="s">
        <v>466</v>
      </c>
      <c r="E132" s="17" t="s">
        <v>84</v>
      </c>
      <c r="F132" s="17" t="s">
        <v>50</v>
      </c>
      <c r="G132" s="17" t="s">
        <v>467</v>
      </c>
      <c r="H132" s="44" t="s">
        <v>468</v>
      </c>
      <c r="I132" s="45">
        <v>1.0</v>
      </c>
      <c r="J132" s="45">
        <v>1104.0</v>
      </c>
      <c r="K132" s="45">
        <v>1256.0</v>
      </c>
      <c r="L132" s="45">
        <v>249.0</v>
      </c>
      <c r="M132" s="45">
        <v>52.0</v>
      </c>
      <c r="N132" s="45">
        <v>1104.0</v>
      </c>
      <c r="O132" s="46">
        <v>45.0</v>
      </c>
      <c r="P132" s="46">
        <v>8.0</v>
      </c>
      <c r="Q132" s="46">
        <f>IFERROR(__xludf.DUMMYFUNCTION("""COMPUTED_VALUE"""),0.0)</f>
        <v>0</v>
      </c>
      <c r="R132" s="47">
        <v>152.0</v>
      </c>
    </row>
    <row r="133" ht="22.5" customHeight="1">
      <c r="A133" s="42">
        <v>44500.0</v>
      </c>
      <c r="B133" s="43">
        <v>44500.45837962963</v>
      </c>
      <c r="C133" s="17" t="s">
        <v>78</v>
      </c>
      <c r="D133" s="17" t="s">
        <v>469</v>
      </c>
      <c r="E133" s="17" t="s">
        <v>84</v>
      </c>
      <c r="F133" s="17" t="s">
        <v>50</v>
      </c>
      <c r="G133" s="17" t="s">
        <v>470</v>
      </c>
      <c r="H133" s="44" t="s">
        <v>471</v>
      </c>
      <c r="I133" s="45">
        <v>1.0</v>
      </c>
      <c r="J133" s="45">
        <v>157.0</v>
      </c>
      <c r="K133" s="45">
        <v>163.0</v>
      </c>
      <c r="L133" s="45">
        <v>30.0</v>
      </c>
      <c r="M133" s="45">
        <v>3.0</v>
      </c>
      <c r="N133" s="45">
        <v>157.0</v>
      </c>
      <c r="O133" s="46">
        <v>45.0</v>
      </c>
      <c r="P133" s="46">
        <v>11.0</v>
      </c>
      <c r="Q133" s="46">
        <f>IFERROR(__xludf.DUMMYFUNCTION("""COMPUTED_VALUE"""),1.0)</f>
        <v>1</v>
      </c>
      <c r="R133" s="47">
        <v>6.0</v>
      </c>
    </row>
    <row r="134" ht="22.5" customHeight="1">
      <c r="A134" s="42">
        <v>44500.0</v>
      </c>
      <c r="B134" s="43">
        <v>44500.58961805556</v>
      </c>
      <c r="C134" s="17" t="s">
        <v>78</v>
      </c>
      <c r="D134" s="17" t="s">
        <v>472</v>
      </c>
      <c r="E134" s="17" t="s">
        <v>80</v>
      </c>
      <c r="F134" s="17" t="s">
        <v>55</v>
      </c>
      <c r="G134" s="17" t="s">
        <v>473</v>
      </c>
      <c r="H134" s="44" t="s">
        <v>474</v>
      </c>
      <c r="I134" s="45">
        <v>1.0</v>
      </c>
      <c r="J134" s="45">
        <v>344.0</v>
      </c>
      <c r="K134" s="45">
        <v>386.0</v>
      </c>
      <c r="L134" s="45">
        <v>31.0</v>
      </c>
      <c r="M134" s="45">
        <v>7.0</v>
      </c>
      <c r="N134" s="45">
        <v>344.0</v>
      </c>
      <c r="O134" s="46">
        <v>45.0</v>
      </c>
      <c r="P134" s="46">
        <v>14.0</v>
      </c>
      <c r="Q134" s="46">
        <f>IFERROR(__xludf.DUMMYFUNCTION("""COMPUTED_VALUE"""),0.0)</f>
        <v>0</v>
      </c>
      <c r="R134" s="47">
        <v>42.0</v>
      </c>
    </row>
    <row r="135" ht="22.5" customHeight="1">
      <c r="A135" s="42">
        <v>44500.0</v>
      </c>
      <c r="B135" s="43">
        <v>44500.83335648148</v>
      </c>
      <c r="C135" s="17" t="s">
        <v>78</v>
      </c>
      <c r="D135" s="17" t="s">
        <v>475</v>
      </c>
      <c r="E135" s="17" t="s">
        <v>84</v>
      </c>
      <c r="F135" s="17" t="s">
        <v>50</v>
      </c>
      <c r="G135" s="17" t="s">
        <v>476</v>
      </c>
      <c r="H135" s="44" t="s">
        <v>477</v>
      </c>
      <c r="I135" s="45">
        <v>1.0</v>
      </c>
      <c r="J135" s="45">
        <v>2197.0</v>
      </c>
      <c r="K135" s="45">
        <v>53009.0</v>
      </c>
      <c r="L135" s="45">
        <v>2479.0</v>
      </c>
      <c r="M135" s="45">
        <v>269.0</v>
      </c>
      <c r="N135" s="45">
        <v>2197.0</v>
      </c>
      <c r="O135" s="46">
        <v>45.0</v>
      </c>
      <c r="P135" s="46">
        <v>20.0</v>
      </c>
      <c r="Q135" s="46">
        <f>IFERROR(__xludf.DUMMYFUNCTION("""COMPUTED_VALUE"""),0.0)</f>
        <v>0</v>
      </c>
      <c r="R135" s="47">
        <v>50812.0</v>
      </c>
    </row>
    <row r="136" ht="22.5" customHeight="1">
      <c r="A136" s="42">
        <v>44501.0</v>
      </c>
      <c r="B136" s="43">
        <v>44501.45835648148</v>
      </c>
      <c r="C136" s="17" t="s">
        <v>78</v>
      </c>
      <c r="D136" s="17" t="s">
        <v>478</v>
      </c>
      <c r="E136" s="17" t="s">
        <v>84</v>
      </c>
      <c r="F136" s="17" t="s">
        <v>47</v>
      </c>
      <c r="G136" s="17" t="s">
        <v>479</v>
      </c>
      <c r="H136" s="44" t="s">
        <v>480</v>
      </c>
      <c r="I136" s="45">
        <v>1.0</v>
      </c>
      <c r="J136" s="45">
        <v>4176.0</v>
      </c>
      <c r="K136" s="45">
        <v>4768.0</v>
      </c>
      <c r="L136" s="45">
        <v>343.0</v>
      </c>
      <c r="M136" s="45">
        <v>256.0</v>
      </c>
      <c r="N136" s="45">
        <v>4176.0</v>
      </c>
      <c r="O136" s="46">
        <v>45.0</v>
      </c>
      <c r="P136" s="46">
        <v>11.0</v>
      </c>
      <c r="Q136" s="46">
        <f>IFERROR(__xludf.DUMMYFUNCTION("""COMPUTED_VALUE"""),0.0)</f>
        <v>0</v>
      </c>
      <c r="R136" s="47">
        <v>592.0</v>
      </c>
    </row>
    <row r="137" ht="22.5" customHeight="1">
      <c r="A137" s="42">
        <v>44501.0</v>
      </c>
      <c r="B137" s="43">
        <v>44501.588541666664</v>
      </c>
      <c r="C137" s="17" t="s">
        <v>78</v>
      </c>
      <c r="D137" s="17" t="s">
        <v>481</v>
      </c>
      <c r="E137" s="17" t="s">
        <v>80</v>
      </c>
      <c r="F137" s="17" t="s">
        <v>55</v>
      </c>
      <c r="G137" s="17" t="s">
        <v>482</v>
      </c>
      <c r="H137" s="44" t="s">
        <v>483</v>
      </c>
      <c r="I137" s="45">
        <v>1.0</v>
      </c>
      <c r="J137" s="45">
        <v>280.0</v>
      </c>
      <c r="K137" s="45">
        <v>306.0</v>
      </c>
      <c r="L137" s="45">
        <v>73.0</v>
      </c>
      <c r="M137" s="45">
        <v>11.0</v>
      </c>
      <c r="N137" s="45">
        <v>280.0</v>
      </c>
      <c r="O137" s="46">
        <v>45.0</v>
      </c>
      <c r="P137" s="46">
        <v>14.0</v>
      </c>
      <c r="Q137" s="46">
        <f>IFERROR(__xludf.DUMMYFUNCTION("""COMPUTED_VALUE"""),0.0)</f>
        <v>0</v>
      </c>
      <c r="R137" s="47">
        <v>26.0</v>
      </c>
    </row>
    <row r="138" ht="22.5" customHeight="1">
      <c r="A138" s="42">
        <v>44501.0</v>
      </c>
      <c r="B138" s="43">
        <v>44501.750023148146</v>
      </c>
      <c r="C138" s="17" t="s">
        <v>78</v>
      </c>
      <c r="D138" s="17" t="s">
        <v>484</v>
      </c>
      <c r="E138" s="17" t="s">
        <v>84</v>
      </c>
      <c r="F138" s="17" t="s">
        <v>50</v>
      </c>
      <c r="G138" s="17" t="s">
        <v>485</v>
      </c>
      <c r="H138" s="44" t="s">
        <v>486</v>
      </c>
      <c r="I138" s="45">
        <v>1.0</v>
      </c>
      <c r="J138" s="45">
        <v>6709.0</v>
      </c>
      <c r="K138" s="45">
        <v>7011.0</v>
      </c>
      <c r="L138" s="45">
        <v>36.0</v>
      </c>
      <c r="M138" s="45">
        <v>54.0</v>
      </c>
      <c r="N138" s="45">
        <v>6709.0</v>
      </c>
      <c r="O138" s="46">
        <v>45.0</v>
      </c>
      <c r="P138" s="46">
        <v>18.0</v>
      </c>
      <c r="Q138" s="46">
        <f>IFERROR(__xludf.DUMMYFUNCTION("""COMPUTED_VALUE"""),0.0)</f>
        <v>0</v>
      </c>
      <c r="R138" s="47">
        <v>302.0</v>
      </c>
    </row>
    <row r="139" ht="22.5" customHeight="1">
      <c r="A139" s="42">
        <v>44502.0</v>
      </c>
      <c r="B139" s="43">
        <v>44502.416666666664</v>
      </c>
      <c r="C139" s="17" t="s">
        <v>78</v>
      </c>
      <c r="D139" s="17" t="s">
        <v>487</v>
      </c>
      <c r="E139" s="17" t="s">
        <v>84</v>
      </c>
      <c r="F139" s="17" t="s">
        <v>50</v>
      </c>
      <c r="G139" s="17" t="s">
        <v>488</v>
      </c>
      <c r="H139" s="44" t="s">
        <v>489</v>
      </c>
      <c r="I139" s="45">
        <v>1.0</v>
      </c>
      <c r="J139" s="45">
        <v>7636.0</v>
      </c>
      <c r="K139" s="45">
        <v>7763.0</v>
      </c>
      <c r="L139" s="45">
        <v>140.0</v>
      </c>
      <c r="M139" s="45">
        <v>41.0</v>
      </c>
      <c r="N139" s="45">
        <v>7636.0</v>
      </c>
      <c r="O139" s="46">
        <v>45.0</v>
      </c>
      <c r="P139" s="46">
        <v>10.0</v>
      </c>
      <c r="Q139" s="46">
        <f>IFERROR(__xludf.DUMMYFUNCTION("""COMPUTED_VALUE"""),0.0)</f>
        <v>0</v>
      </c>
      <c r="R139" s="47">
        <v>127.0</v>
      </c>
    </row>
    <row r="140" ht="22.5" customHeight="1">
      <c r="A140" s="42">
        <v>44502.0</v>
      </c>
      <c r="B140" s="43">
        <v>44502.75059027778</v>
      </c>
      <c r="C140" s="17" t="s">
        <v>78</v>
      </c>
      <c r="D140" s="17" t="s">
        <v>490</v>
      </c>
      <c r="E140" s="17" t="s">
        <v>97</v>
      </c>
      <c r="F140" s="17" t="s">
        <v>52</v>
      </c>
      <c r="G140" s="17" t="s">
        <v>491</v>
      </c>
      <c r="H140" s="44" t="s">
        <v>492</v>
      </c>
      <c r="I140" s="45">
        <v>1.0</v>
      </c>
      <c r="J140" s="45">
        <v>297.0</v>
      </c>
      <c r="K140" s="45">
        <v>308.0</v>
      </c>
      <c r="L140" s="45">
        <v>34.0</v>
      </c>
      <c r="M140" s="45">
        <v>13.0</v>
      </c>
      <c r="N140" s="45">
        <v>297.0</v>
      </c>
      <c r="O140" s="46">
        <v>45.0</v>
      </c>
      <c r="P140" s="46">
        <v>18.0</v>
      </c>
      <c r="Q140" s="46">
        <f>IFERROR(__xludf.DUMMYFUNCTION("""COMPUTED_VALUE"""),0.0)</f>
        <v>0</v>
      </c>
      <c r="R140" s="47">
        <v>11.0</v>
      </c>
    </row>
    <row r="141" ht="22.5" customHeight="1">
      <c r="A141" s="42">
        <v>44503.0</v>
      </c>
      <c r="B141" s="43">
        <v>44503.45835648148</v>
      </c>
      <c r="C141" s="17" t="s">
        <v>78</v>
      </c>
      <c r="D141" s="17" t="s">
        <v>493</v>
      </c>
      <c r="E141" s="17" t="s">
        <v>84</v>
      </c>
      <c r="F141" s="17" t="s">
        <v>50</v>
      </c>
      <c r="G141" s="17" t="s">
        <v>494</v>
      </c>
      <c r="H141" s="44" t="s">
        <v>495</v>
      </c>
      <c r="I141" s="45">
        <v>1.0</v>
      </c>
      <c r="J141" s="45">
        <v>257.0</v>
      </c>
      <c r="K141" s="45">
        <v>261.0</v>
      </c>
      <c r="L141" s="45">
        <v>28.0</v>
      </c>
      <c r="M141" s="45">
        <v>12.0</v>
      </c>
      <c r="N141" s="45">
        <v>257.0</v>
      </c>
      <c r="O141" s="46">
        <v>45.0</v>
      </c>
      <c r="P141" s="46">
        <v>11.0</v>
      </c>
      <c r="Q141" s="46">
        <f>IFERROR(__xludf.DUMMYFUNCTION("""COMPUTED_VALUE"""),1.0)</f>
        <v>1</v>
      </c>
      <c r="R141" s="47">
        <v>4.0</v>
      </c>
    </row>
    <row r="142" ht="22.5" customHeight="1">
      <c r="A142" s="42">
        <v>44504.0</v>
      </c>
      <c r="B142" s="43">
        <v>44504.29175925926</v>
      </c>
      <c r="C142" s="17" t="s">
        <v>78</v>
      </c>
      <c r="D142" s="17" t="s">
        <v>496</v>
      </c>
      <c r="E142" s="17" t="s">
        <v>84</v>
      </c>
      <c r="F142" s="17" t="s">
        <v>50</v>
      </c>
      <c r="G142" s="17" t="s">
        <v>497</v>
      </c>
      <c r="H142" s="44" t="s">
        <v>498</v>
      </c>
      <c r="I142" s="45">
        <v>1.0</v>
      </c>
      <c r="J142" s="45">
        <v>10112.0</v>
      </c>
      <c r="K142" s="45">
        <v>10343.0</v>
      </c>
      <c r="L142" s="45">
        <v>227.0</v>
      </c>
      <c r="M142" s="45">
        <v>131.0</v>
      </c>
      <c r="N142" s="45">
        <v>10112.0</v>
      </c>
      <c r="O142" s="46">
        <v>45.0</v>
      </c>
      <c r="P142" s="46">
        <v>7.0</v>
      </c>
      <c r="Q142" s="46">
        <f>IFERROR(__xludf.DUMMYFUNCTION("""COMPUTED_VALUE"""),0.0)</f>
        <v>0</v>
      </c>
      <c r="R142" s="47">
        <v>231.0</v>
      </c>
    </row>
    <row r="143" ht="22.5" customHeight="1">
      <c r="A143" s="42">
        <v>44504.0</v>
      </c>
      <c r="B143" s="43">
        <v>44504.37501157408</v>
      </c>
      <c r="C143" s="17" t="s">
        <v>78</v>
      </c>
      <c r="D143" s="17" t="s">
        <v>499</v>
      </c>
      <c r="E143" s="17" t="s">
        <v>84</v>
      </c>
      <c r="F143" s="17" t="s">
        <v>50</v>
      </c>
      <c r="G143" s="17" t="s">
        <v>500</v>
      </c>
      <c r="H143" s="44" t="s">
        <v>501</v>
      </c>
      <c r="I143" s="45">
        <v>1.0</v>
      </c>
      <c r="J143" s="45">
        <v>9629.0</v>
      </c>
      <c r="K143" s="45">
        <v>10367.0</v>
      </c>
      <c r="L143" s="45">
        <v>539.0</v>
      </c>
      <c r="M143" s="45">
        <v>193.0</v>
      </c>
      <c r="N143" s="45">
        <v>9629.0</v>
      </c>
      <c r="O143" s="46">
        <v>45.0</v>
      </c>
      <c r="P143" s="46">
        <v>9.0</v>
      </c>
      <c r="Q143" s="46">
        <f>IFERROR(__xludf.DUMMYFUNCTION("""COMPUTED_VALUE"""),0.0)</f>
        <v>0</v>
      </c>
      <c r="R143" s="47">
        <v>738.0</v>
      </c>
    </row>
    <row r="144" ht="22.5" customHeight="1">
      <c r="A144" s="42">
        <v>44504.0</v>
      </c>
      <c r="B144" s="43">
        <v>44504.41670138889</v>
      </c>
      <c r="C144" s="17" t="s">
        <v>78</v>
      </c>
      <c r="D144" s="17" t="s">
        <v>502</v>
      </c>
      <c r="E144" s="17" t="s">
        <v>84</v>
      </c>
      <c r="F144" s="17" t="s">
        <v>50</v>
      </c>
      <c r="G144" s="17" t="s">
        <v>503</v>
      </c>
      <c r="H144" s="44" t="s">
        <v>504</v>
      </c>
      <c r="I144" s="45">
        <v>1.0</v>
      </c>
      <c r="J144" s="45">
        <v>7330.0</v>
      </c>
      <c r="K144" s="45">
        <v>7398.0</v>
      </c>
      <c r="L144" s="45">
        <v>130.0</v>
      </c>
      <c r="M144" s="45">
        <v>27.0</v>
      </c>
      <c r="N144" s="45">
        <v>7330.0</v>
      </c>
      <c r="O144" s="46">
        <v>45.0</v>
      </c>
      <c r="P144" s="46">
        <v>10.0</v>
      </c>
      <c r="Q144" s="46">
        <f>IFERROR(__xludf.DUMMYFUNCTION("""COMPUTED_VALUE"""),0.0)</f>
        <v>0</v>
      </c>
      <c r="R144" s="47">
        <v>68.0</v>
      </c>
    </row>
    <row r="145" ht="22.5" customHeight="1">
      <c r="A145" s="42">
        <v>44504.0</v>
      </c>
      <c r="B145" s="43">
        <v>44504.61809027778</v>
      </c>
      <c r="C145" s="17" t="s">
        <v>78</v>
      </c>
      <c r="D145" s="17" t="s">
        <v>505</v>
      </c>
      <c r="E145" s="17" t="s">
        <v>109</v>
      </c>
      <c r="F145" s="17" t="s">
        <v>52</v>
      </c>
      <c r="G145" s="17"/>
      <c r="H145" s="44" t="s">
        <v>506</v>
      </c>
      <c r="I145" s="45">
        <v>1.0</v>
      </c>
      <c r="J145" s="45">
        <v>395.0</v>
      </c>
      <c r="K145" s="45">
        <v>407.0</v>
      </c>
      <c r="L145" s="45">
        <v>26.0</v>
      </c>
      <c r="M145" s="45"/>
      <c r="N145" s="45">
        <v>395.0</v>
      </c>
      <c r="O145" s="46">
        <v>45.0</v>
      </c>
      <c r="P145" s="46">
        <v>14.0</v>
      </c>
      <c r="Q145" s="46">
        <f>IFERROR(__xludf.DUMMYFUNCTION("""COMPUTED_VALUE"""),0.0)</f>
        <v>0</v>
      </c>
      <c r="R145" s="47">
        <v>12.0</v>
      </c>
    </row>
    <row r="146" ht="22.5" customHeight="1">
      <c r="A146" s="42">
        <v>44504.0</v>
      </c>
      <c r="B146" s="43">
        <v>44504.62501157408</v>
      </c>
      <c r="C146" s="17" t="s">
        <v>78</v>
      </c>
      <c r="D146" s="17" t="s">
        <v>507</v>
      </c>
      <c r="E146" s="17" t="s">
        <v>84</v>
      </c>
      <c r="F146" s="17" t="s">
        <v>50</v>
      </c>
      <c r="G146" s="17" t="s">
        <v>508</v>
      </c>
      <c r="H146" s="44" t="s">
        <v>509</v>
      </c>
      <c r="I146" s="45">
        <v>1.0</v>
      </c>
      <c r="J146" s="45">
        <v>11045.0</v>
      </c>
      <c r="K146" s="45">
        <v>19545.0</v>
      </c>
      <c r="L146" s="45">
        <v>370.0</v>
      </c>
      <c r="M146" s="45">
        <v>72.0</v>
      </c>
      <c r="N146" s="45">
        <v>11045.0</v>
      </c>
      <c r="O146" s="46">
        <v>45.0</v>
      </c>
      <c r="P146" s="46">
        <v>15.0</v>
      </c>
      <c r="Q146" s="46">
        <f>IFERROR(__xludf.DUMMYFUNCTION("""COMPUTED_VALUE"""),0.0)</f>
        <v>0</v>
      </c>
      <c r="R146" s="47">
        <v>8500.0</v>
      </c>
    </row>
    <row r="147" ht="22.5" customHeight="1">
      <c r="A147" s="42">
        <v>44504.0</v>
      </c>
      <c r="B147" s="43">
        <v>44504.83342592593</v>
      </c>
      <c r="C147" s="17" t="s">
        <v>78</v>
      </c>
      <c r="D147" s="17" t="s">
        <v>510</v>
      </c>
      <c r="E147" s="17" t="s">
        <v>84</v>
      </c>
      <c r="F147" s="17" t="s">
        <v>47</v>
      </c>
      <c r="G147" s="17" t="s">
        <v>511</v>
      </c>
      <c r="H147" s="44" t="s">
        <v>512</v>
      </c>
      <c r="I147" s="45">
        <v>1.0</v>
      </c>
      <c r="J147" s="45">
        <v>1889.0</v>
      </c>
      <c r="K147" s="45">
        <v>1972.0</v>
      </c>
      <c r="L147" s="45">
        <v>62.0</v>
      </c>
      <c r="M147" s="45">
        <v>43.0</v>
      </c>
      <c r="N147" s="45">
        <v>1889.0</v>
      </c>
      <c r="O147" s="46">
        <v>45.0</v>
      </c>
      <c r="P147" s="46">
        <v>20.0</v>
      </c>
      <c r="Q147" s="46">
        <f>IFERROR(__xludf.DUMMYFUNCTION("""COMPUTED_VALUE"""),0.0)</f>
        <v>0</v>
      </c>
      <c r="R147" s="47">
        <v>83.0</v>
      </c>
    </row>
    <row r="148" ht="22.5" customHeight="1">
      <c r="A148" s="42">
        <v>44505.0</v>
      </c>
      <c r="B148" s="43">
        <v>44505.375069444446</v>
      </c>
      <c r="C148" s="17" t="s">
        <v>78</v>
      </c>
      <c r="D148" s="17" t="s">
        <v>513</v>
      </c>
      <c r="E148" s="17" t="s">
        <v>84</v>
      </c>
      <c r="F148" s="17" t="s">
        <v>50</v>
      </c>
      <c r="G148" s="17" t="s">
        <v>514</v>
      </c>
      <c r="H148" s="44" t="s">
        <v>515</v>
      </c>
      <c r="I148" s="45">
        <v>1.0</v>
      </c>
      <c r="J148" s="45">
        <v>7929.0</v>
      </c>
      <c r="K148" s="45">
        <v>8023.0</v>
      </c>
      <c r="L148" s="45">
        <v>135.0</v>
      </c>
      <c r="M148" s="45">
        <v>42.0</v>
      </c>
      <c r="N148" s="45">
        <v>7929.0</v>
      </c>
      <c r="O148" s="46">
        <v>45.0</v>
      </c>
      <c r="P148" s="46">
        <v>9.0</v>
      </c>
      <c r="Q148" s="46">
        <f>IFERROR(__xludf.DUMMYFUNCTION("""COMPUTED_VALUE"""),0.0)</f>
        <v>0</v>
      </c>
      <c r="R148" s="47">
        <v>94.0</v>
      </c>
    </row>
    <row r="149" ht="22.5" customHeight="1">
      <c r="A149" s="42">
        <v>44505.0</v>
      </c>
      <c r="B149" s="43">
        <v>44505.58335648148</v>
      </c>
      <c r="C149" s="17" t="s">
        <v>78</v>
      </c>
      <c r="D149" s="17" t="s">
        <v>516</v>
      </c>
      <c r="E149" s="17" t="s">
        <v>84</v>
      </c>
      <c r="F149" s="17" t="s">
        <v>50</v>
      </c>
      <c r="G149" s="17" t="s">
        <v>517</v>
      </c>
      <c r="H149" s="44" t="s">
        <v>518</v>
      </c>
      <c r="I149" s="45">
        <v>1.0</v>
      </c>
      <c r="J149" s="45">
        <v>6584.0</v>
      </c>
      <c r="K149" s="45">
        <v>6781.0</v>
      </c>
      <c r="L149" s="45">
        <v>167.0</v>
      </c>
      <c r="M149" s="45">
        <v>93.0</v>
      </c>
      <c r="N149" s="45">
        <v>6584.0</v>
      </c>
      <c r="O149" s="46">
        <v>45.0</v>
      </c>
      <c r="P149" s="46">
        <v>14.0</v>
      </c>
      <c r="Q149" s="46">
        <f>IFERROR(__xludf.DUMMYFUNCTION("""COMPUTED_VALUE"""),0.0)</f>
        <v>0</v>
      </c>
      <c r="R149" s="47">
        <v>197.0</v>
      </c>
    </row>
    <row r="150" ht="22.5" customHeight="1">
      <c r="A150" s="42">
        <v>44505.0</v>
      </c>
      <c r="B150" s="43">
        <v>44505.750289351854</v>
      </c>
      <c r="C150" s="17" t="s">
        <v>78</v>
      </c>
      <c r="D150" s="17" t="s">
        <v>519</v>
      </c>
      <c r="E150" s="17" t="s">
        <v>97</v>
      </c>
      <c r="F150" s="17" t="s">
        <v>52</v>
      </c>
      <c r="G150" s="17" t="s">
        <v>520</v>
      </c>
      <c r="H150" s="44" t="s">
        <v>521</v>
      </c>
      <c r="I150" s="45">
        <v>1.0</v>
      </c>
      <c r="J150" s="45">
        <v>270.0</v>
      </c>
      <c r="K150" s="45">
        <v>292.0</v>
      </c>
      <c r="L150" s="45">
        <v>16.0</v>
      </c>
      <c r="M150" s="45">
        <v>6.0</v>
      </c>
      <c r="N150" s="45">
        <v>270.0</v>
      </c>
      <c r="O150" s="46">
        <v>45.0</v>
      </c>
      <c r="P150" s="46">
        <v>18.0</v>
      </c>
      <c r="Q150" s="46">
        <f>IFERROR(__xludf.DUMMYFUNCTION("""COMPUTED_VALUE"""),0.0)</f>
        <v>0</v>
      </c>
      <c r="R150" s="47">
        <v>22.0</v>
      </c>
    </row>
    <row r="151" ht="22.5" customHeight="1">
      <c r="A151" s="42">
        <v>44506.0</v>
      </c>
      <c r="B151" s="43">
        <v>44506.333344907405</v>
      </c>
      <c r="C151" s="17" t="s">
        <v>78</v>
      </c>
      <c r="D151" s="17" t="s">
        <v>522</v>
      </c>
      <c r="E151" s="17" t="s">
        <v>84</v>
      </c>
      <c r="F151" s="17" t="s">
        <v>50</v>
      </c>
      <c r="G151" s="17" t="s">
        <v>523</v>
      </c>
      <c r="H151" s="44" t="s">
        <v>524</v>
      </c>
      <c r="I151" s="45">
        <v>1.0</v>
      </c>
      <c r="J151" s="45">
        <v>11059.0</v>
      </c>
      <c r="K151" s="45">
        <v>11291.0</v>
      </c>
      <c r="L151" s="45">
        <v>330.0</v>
      </c>
      <c r="M151" s="45">
        <v>81.0</v>
      </c>
      <c r="N151" s="45">
        <v>11059.0</v>
      </c>
      <c r="O151" s="46">
        <v>45.0</v>
      </c>
      <c r="P151" s="46">
        <v>8.0</v>
      </c>
      <c r="Q151" s="46">
        <f>IFERROR(__xludf.DUMMYFUNCTION("""COMPUTED_VALUE"""),0.0)</f>
        <v>0</v>
      </c>
      <c r="R151" s="47">
        <v>232.0</v>
      </c>
    </row>
    <row r="152" ht="22.5" customHeight="1">
      <c r="A152" s="42">
        <v>44506.0</v>
      </c>
      <c r="B152" s="43">
        <v>44506.54168981482</v>
      </c>
      <c r="C152" s="17" t="s">
        <v>78</v>
      </c>
      <c r="D152" s="17" t="s">
        <v>525</v>
      </c>
      <c r="E152" s="17" t="s">
        <v>80</v>
      </c>
      <c r="F152" s="17" t="s">
        <v>53</v>
      </c>
      <c r="G152" s="17" t="s">
        <v>526</v>
      </c>
      <c r="H152" s="44" t="s">
        <v>527</v>
      </c>
      <c r="I152" s="45">
        <v>1.0</v>
      </c>
      <c r="J152" s="45">
        <v>4180.0</v>
      </c>
      <c r="K152" s="45">
        <v>6864.0</v>
      </c>
      <c r="L152" s="45">
        <v>197.0</v>
      </c>
      <c r="M152" s="45">
        <v>428.0</v>
      </c>
      <c r="N152" s="45">
        <v>4180.0</v>
      </c>
      <c r="O152" s="46">
        <v>45.0</v>
      </c>
      <c r="P152" s="46">
        <v>13.0</v>
      </c>
      <c r="Q152" s="46">
        <f>IFERROR(__xludf.DUMMYFUNCTION("""COMPUTED_VALUE"""),0.0)</f>
        <v>0</v>
      </c>
      <c r="R152" s="47">
        <v>2684.0</v>
      </c>
    </row>
    <row r="153" ht="22.5" customHeight="1">
      <c r="A153" s="42">
        <v>44506.0</v>
      </c>
      <c r="B153" s="43">
        <v>44506.62501157408</v>
      </c>
      <c r="C153" s="17" t="s">
        <v>78</v>
      </c>
      <c r="D153" s="17" t="s">
        <v>528</v>
      </c>
      <c r="E153" s="17" t="s">
        <v>84</v>
      </c>
      <c r="F153" s="17" t="s">
        <v>50</v>
      </c>
      <c r="G153" s="17" t="s">
        <v>529</v>
      </c>
      <c r="H153" s="44" t="s">
        <v>530</v>
      </c>
      <c r="I153" s="45">
        <v>1.0</v>
      </c>
      <c r="J153" s="45">
        <v>210.0</v>
      </c>
      <c r="K153" s="45">
        <v>224.0</v>
      </c>
      <c r="L153" s="45">
        <v>25.0</v>
      </c>
      <c r="M153" s="45">
        <v>2.0</v>
      </c>
      <c r="N153" s="45">
        <v>210.0</v>
      </c>
      <c r="O153" s="46">
        <v>45.0</v>
      </c>
      <c r="P153" s="46">
        <v>15.0</v>
      </c>
      <c r="Q153" s="46">
        <f>IFERROR(__xludf.DUMMYFUNCTION("""COMPUTED_VALUE"""),1.0)</f>
        <v>1</v>
      </c>
      <c r="R153" s="47">
        <v>14.0</v>
      </c>
    </row>
    <row r="154" ht="22.5" customHeight="1">
      <c r="A154" s="42">
        <v>44506.0</v>
      </c>
      <c r="B154" s="43">
        <v>44506.66670138889</v>
      </c>
      <c r="C154" s="17" t="s">
        <v>78</v>
      </c>
      <c r="D154" s="17" t="s">
        <v>531</v>
      </c>
      <c r="E154" s="17" t="s">
        <v>84</v>
      </c>
      <c r="F154" s="17" t="s">
        <v>50</v>
      </c>
      <c r="G154" s="17" t="s">
        <v>532</v>
      </c>
      <c r="H154" s="44" t="s">
        <v>533</v>
      </c>
      <c r="I154" s="45">
        <v>1.0</v>
      </c>
      <c r="J154" s="45">
        <v>4811.0</v>
      </c>
      <c r="K154" s="45">
        <v>4876.0</v>
      </c>
      <c r="L154" s="45">
        <v>49.0</v>
      </c>
      <c r="M154" s="45">
        <v>13.0</v>
      </c>
      <c r="N154" s="45">
        <v>4811.0</v>
      </c>
      <c r="O154" s="46">
        <v>45.0</v>
      </c>
      <c r="P154" s="46">
        <v>16.0</v>
      </c>
      <c r="Q154" s="46">
        <f>IFERROR(__xludf.DUMMYFUNCTION("""COMPUTED_VALUE"""),0.0)</f>
        <v>0</v>
      </c>
      <c r="R154" s="47">
        <v>65.0</v>
      </c>
    </row>
    <row r="155" ht="22.5" customHeight="1">
      <c r="A155" s="42">
        <v>44506.0</v>
      </c>
      <c r="B155" s="43">
        <v>44506.75005787037</v>
      </c>
      <c r="C155" s="17" t="s">
        <v>78</v>
      </c>
      <c r="D155" s="17" t="s">
        <v>534</v>
      </c>
      <c r="E155" s="17" t="s">
        <v>80</v>
      </c>
      <c r="F155" s="17" t="s">
        <v>53</v>
      </c>
      <c r="G155" s="17" t="s">
        <v>535</v>
      </c>
      <c r="H155" s="44" t="s">
        <v>536</v>
      </c>
      <c r="I155" s="45">
        <v>1.0</v>
      </c>
      <c r="J155" s="45">
        <v>2055.0</v>
      </c>
      <c r="K155" s="45">
        <v>2195.0</v>
      </c>
      <c r="L155" s="45">
        <v>150.0</v>
      </c>
      <c r="M155" s="45">
        <v>86.0</v>
      </c>
      <c r="N155" s="45">
        <v>2055.0</v>
      </c>
      <c r="O155" s="46">
        <v>45.0</v>
      </c>
      <c r="P155" s="46">
        <v>18.0</v>
      </c>
      <c r="Q155" s="46">
        <f>IFERROR(__xludf.DUMMYFUNCTION("""COMPUTED_VALUE"""),0.0)</f>
        <v>0</v>
      </c>
      <c r="R155" s="47">
        <v>140.0</v>
      </c>
    </row>
    <row r="156" ht="22.5" customHeight="1">
      <c r="A156" s="42">
        <v>44506.0</v>
      </c>
      <c r="B156" s="43">
        <v>44506.79167824074</v>
      </c>
      <c r="C156" s="17" t="s">
        <v>78</v>
      </c>
      <c r="D156" s="17" t="s">
        <v>537</v>
      </c>
      <c r="E156" s="17" t="s">
        <v>84</v>
      </c>
      <c r="F156" s="17" t="s">
        <v>50</v>
      </c>
      <c r="G156" s="17" t="s">
        <v>538</v>
      </c>
      <c r="H156" s="44" t="s">
        <v>539</v>
      </c>
      <c r="I156" s="45">
        <v>1.0</v>
      </c>
      <c r="J156" s="45">
        <v>489.0</v>
      </c>
      <c r="K156" s="45">
        <v>504.0</v>
      </c>
      <c r="L156" s="45">
        <v>51.0</v>
      </c>
      <c r="M156" s="45">
        <v>15.0</v>
      </c>
      <c r="N156" s="45">
        <v>489.0</v>
      </c>
      <c r="O156" s="46">
        <v>45.0</v>
      </c>
      <c r="P156" s="46">
        <v>19.0</v>
      </c>
      <c r="Q156" s="46">
        <f>IFERROR(__xludf.DUMMYFUNCTION("""COMPUTED_VALUE"""),0.0)</f>
        <v>0</v>
      </c>
      <c r="R156" s="47">
        <v>15.0</v>
      </c>
    </row>
    <row r="157" ht="22.5" customHeight="1">
      <c r="A157" s="42">
        <v>44507.0</v>
      </c>
      <c r="B157" s="43">
        <v>44507.458333333336</v>
      </c>
      <c r="C157" s="17" t="s">
        <v>78</v>
      </c>
      <c r="D157" s="17" t="s">
        <v>540</v>
      </c>
      <c r="E157" s="17" t="s">
        <v>80</v>
      </c>
      <c r="F157" s="17" t="s">
        <v>55</v>
      </c>
      <c r="G157" s="17" t="s">
        <v>541</v>
      </c>
      <c r="H157" s="44" t="s">
        <v>542</v>
      </c>
      <c r="I157" s="45">
        <v>1.0</v>
      </c>
      <c r="J157" s="45">
        <v>947.0</v>
      </c>
      <c r="K157" s="45">
        <v>1031.0</v>
      </c>
      <c r="L157" s="45">
        <v>45.0</v>
      </c>
      <c r="M157" s="45">
        <v>27.0</v>
      </c>
      <c r="N157" s="45">
        <v>947.0</v>
      </c>
      <c r="O157" s="46">
        <v>46.0</v>
      </c>
      <c r="P157" s="46">
        <v>11.0</v>
      </c>
      <c r="Q157" s="46">
        <f>IFERROR(__xludf.DUMMYFUNCTION("""COMPUTED_VALUE"""),0.0)</f>
        <v>0</v>
      </c>
      <c r="R157" s="47">
        <v>84.0</v>
      </c>
    </row>
    <row r="158" ht="22.5" customHeight="1">
      <c r="A158" s="42">
        <v>44507.0</v>
      </c>
      <c r="B158" s="43">
        <v>44507.54523148148</v>
      </c>
      <c r="C158" s="17" t="s">
        <v>78</v>
      </c>
      <c r="D158" s="17" t="s">
        <v>543</v>
      </c>
      <c r="E158" s="17" t="s">
        <v>80</v>
      </c>
      <c r="F158" s="17" t="s">
        <v>55</v>
      </c>
      <c r="G158" s="17" t="s">
        <v>544</v>
      </c>
      <c r="H158" s="44" t="s">
        <v>545</v>
      </c>
      <c r="I158" s="45">
        <v>1.0</v>
      </c>
      <c r="J158" s="45">
        <v>925.0</v>
      </c>
      <c r="K158" s="45">
        <v>1080.0</v>
      </c>
      <c r="L158" s="45">
        <v>240.0</v>
      </c>
      <c r="M158" s="45">
        <v>59.0</v>
      </c>
      <c r="N158" s="45">
        <v>925.0</v>
      </c>
      <c r="O158" s="46">
        <v>46.0</v>
      </c>
      <c r="P158" s="46">
        <v>13.0</v>
      </c>
      <c r="Q158" s="46">
        <f>IFERROR(__xludf.DUMMYFUNCTION("""COMPUTED_VALUE"""),0.0)</f>
        <v>0</v>
      </c>
      <c r="R158" s="47">
        <v>155.0</v>
      </c>
    </row>
    <row r="159" ht="22.5" customHeight="1">
      <c r="A159" s="42">
        <v>44508.0</v>
      </c>
      <c r="B159" s="43">
        <v>44508.33335648148</v>
      </c>
      <c r="C159" s="17" t="s">
        <v>78</v>
      </c>
      <c r="D159" s="17" t="s">
        <v>546</v>
      </c>
      <c r="E159" s="17" t="s">
        <v>84</v>
      </c>
      <c r="F159" s="17" t="s">
        <v>50</v>
      </c>
      <c r="G159" s="17" t="s">
        <v>547</v>
      </c>
      <c r="H159" s="44" t="s">
        <v>548</v>
      </c>
      <c r="I159" s="45">
        <v>1.0</v>
      </c>
      <c r="J159" s="45">
        <v>8871.0</v>
      </c>
      <c r="K159" s="45">
        <v>8958.0</v>
      </c>
      <c r="L159" s="45">
        <v>136.0</v>
      </c>
      <c r="M159" s="45">
        <v>48.0</v>
      </c>
      <c r="N159" s="45">
        <v>8871.0</v>
      </c>
      <c r="O159" s="46">
        <v>46.0</v>
      </c>
      <c r="P159" s="46">
        <v>8.0</v>
      </c>
      <c r="Q159" s="46">
        <f>IFERROR(__xludf.DUMMYFUNCTION("""COMPUTED_VALUE"""),0.0)</f>
        <v>0</v>
      </c>
      <c r="R159" s="47">
        <v>87.0</v>
      </c>
    </row>
    <row r="160" ht="22.5" customHeight="1">
      <c r="A160" s="42">
        <v>44508.0</v>
      </c>
      <c r="B160" s="43">
        <v>44508.458333333336</v>
      </c>
      <c r="C160" s="17" t="s">
        <v>78</v>
      </c>
      <c r="D160" s="17" t="s">
        <v>549</v>
      </c>
      <c r="E160" s="17" t="s">
        <v>84</v>
      </c>
      <c r="F160" s="17" t="s">
        <v>50</v>
      </c>
      <c r="G160" s="17" t="s">
        <v>550</v>
      </c>
      <c r="H160" s="44" t="s">
        <v>551</v>
      </c>
      <c r="I160" s="45">
        <v>1.0</v>
      </c>
      <c r="J160" s="45">
        <v>11967.0</v>
      </c>
      <c r="K160" s="45">
        <v>14102.0</v>
      </c>
      <c r="L160" s="45">
        <v>2562.0</v>
      </c>
      <c r="M160" s="45">
        <v>287.0</v>
      </c>
      <c r="N160" s="45">
        <v>11967.0</v>
      </c>
      <c r="O160" s="46">
        <v>46.0</v>
      </c>
      <c r="P160" s="46">
        <v>11.0</v>
      </c>
      <c r="Q160" s="46">
        <f>IFERROR(__xludf.DUMMYFUNCTION("""COMPUTED_VALUE"""),0.0)</f>
        <v>0</v>
      </c>
      <c r="R160" s="47">
        <v>2135.0</v>
      </c>
    </row>
    <row r="161" ht="22.5" customHeight="1">
      <c r="A161" s="42">
        <v>44508.0</v>
      </c>
      <c r="B161" s="43">
        <v>44508.541666666664</v>
      </c>
      <c r="C161" s="17" t="s">
        <v>78</v>
      </c>
      <c r="D161" s="17" t="s">
        <v>552</v>
      </c>
      <c r="E161" s="17" t="s">
        <v>84</v>
      </c>
      <c r="F161" s="17" t="s">
        <v>50</v>
      </c>
      <c r="G161" s="17" t="s">
        <v>553</v>
      </c>
      <c r="H161" s="44" t="s">
        <v>554</v>
      </c>
      <c r="I161" s="45">
        <v>1.0</v>
      </c>
      <c r="J161" s="45">
        <v>7098.0</v>
      </c>
      <c r="K161" s="45">
        <v>7167.0</v>
      </c>
      <c r="L161" s="45">
        <v>106.0</v>
      </c>
      <c r="M161" s="45">
        <v>32.0</v>
      </c>
      <c r="N161" s="45">
        <v>7098.0</v>
      </c>
      <c r="O161" s="46">
        <v>46.0</v>
      </c>
      <c r="P161" s="46">
        <v>13.0</v>
      </c>
      <c r="Q161" s="46">
        <f>IFERROR(__xludf.DUMMYFUNCTION("""COMPUTED_VALUE"""),0.0)</f>
        <v>0</v>
      </c>
      <c r="R161" s="47">
        <v>69.0</v>
      </c>
    </row>
    <row r="162" ht="22.5" customHeight="1">
      <c r="A162" s="42">
        <v>44508.0</v>
      </c>
      <c r="B162" s="43">
        <v>44508.62501157408</v>
      </c>
      <c r="C162" s="17" t="s">
        <v>78</v>
      </c>
      <c r="D162" s="17" t="s">
        <v>555</v>
      </c>
      <c r="E162" s="17" t="s">
        <v>84</v>
      </c>
      <c r="F162" s="17" t="s">
        <v>50</v>
      </c>
      <c r="G162" s="17" t="s">
        <v>556</v>
      </c>
      <c r="H162" s="44" t="s">
        <v>557</v>
      </c>
      <c r="I162" s="45">
        <v>1.0</v>
      </c>
      <c r="J162" s="45">
        <v>539.0</v>
      </c>
      <c r="K162" s="45">
        <v>555.0</v>
      </c>
      <c r="L162" s="45">
        <v>37.0</v>
      </c>
      <c r="M162" s="45">
        <v>24.0</v>
      </c>
      <c r="N162" s="45">
        <v>539.0</v>
      </c>
      <c r="O162" s="46">
        <v>46.0</v>
      </c>
      <c r="P162" s="46">
        <v>15.0</v>
      </c>
      <c r="Q162" s="46">
        <f>IFERROR(__xludf.DUMMYFUNCTION("""COMPUTED_VALUE"""),0.0)</f>
        <v>0</v>
      </c>
      <c r="R162" s="47">
        <v>16.0</v>
      </c>
    </row>
    <row r="163" ht="22.5" customHeight="1">
      <c r="A163" s="42">
        <v>44508.0</v>
      </c>
      <c r="B163" s="43">
        <v>44508.708344907405</v>
      </c>
      <c r="C163" s="17" t="s">
        <v>78</v>
      </c>
      <c r="D163" s="17" t="s">
        <v>558</v>
      </c>
      <c r="E163" s="17" t="s">
        <v>84</v>
      </c>
      <c r="F163" s="17" t="s">
        <v>50</v>
      </c>
      <c r="G163" s="17" t="s">
        <v>559</v>
      </c>
      <c r="H163" s="44" t="s">
        <v>560</v>
      </c>
      <c r="I163" s="45">
        <v>1.0</v>
      </c>
      <c r="J163" s="45">
        <v>6512.0</v>
      </c>
      <c r="K163" s="45">
        <v>7216.0</v>
      </c>
      <c r="L163" s="45">
        <v>236.0</v>
      </c>
      <c r="M163" s="45">
        <v>244.0</v>
      </c>
      <c r="N163" s="45">
        <v>6512.0</v>
      </c>
      <c r="O163" s="46">
        <v>46.0</v>
      </c>
      <c r="P163" s="46">
        <v>17.0</v>
      </c>
      <c r="Q163" s="46">
        <f>IFERROR(__xludf.DUMMYFUNCTION("""COMPUTED_VALUE"""),0.0)</f>
        <v>0</v>
      </c>
      <c r="R163" s="47">
        <v>704.0</v>
      </c>
    </row>
    <row r="164" ht="22.5" customHeight="1">
      <c r="A164" s="42">
        <v>44508.0</v>
      </c>
      <c r="B164" s="43">
        <v>44508.75</v>
      </c>
      <c r="C164" s="17" t="s">
        <v>78</v>
      </c>
      <c r="D164" s="17" t="s">
        <v>561</v>
      </c>
      <c r="E164" s="17" t="s">
        <v>84</v>
      </c>
      <c r="F164" s="17" t="s">
        <v>50</v>
      </c>
      <c r="G164" s="17" t="s">
        <v>562</v>
      </c>
      <c r="H164" s="44" t="s">
        <v>563</v>
      </c>
      <c r="I164" s="45">
        <v>1.0</v>
      </c>
      <c r="J164" s="45">
        <v>5762.0</v>
      </c>
      <c r="K164" s="45">
        <v>6547.0</v>
      </c>
      <c r="L164" s="45">
        <v>120.0</v>
      </c>
      <c r="M164" s="45">
        <v>307.0</v>
      </c>
      <c r="N164" s="45">
        <v>5762.0</v>
      </c>
      <c r="O164" s="46">
        <v>46.0</v>
      </c>
      <c r="P164" s="46">
        <v>18.0</v>
      </c>
      <c r="Q164" s="46">
        <f>IFERROR(__xludf.DUMMYFUNCTION("""COMPUTED_VALUE"""),0.0)</f>
        <v>0</v>
      </c>
      <c r="R164" s="47">
        <v>785.0</v>
      </c>
    </row>
    <row r="165" ht="22.5" customHeight="1">
      <c r="A165" s="42">
        <v>44508.0</v>
      </c>
      <c r="B165" s="43">
        <v>44508.875069444446</v>
      </c>
      <c r="C165" s="17" t="s">
        <v>78</v>
      </c>
      <c r="D165" s="17" t="s">
        <v>564</v>
      </c>
      <c r="E165" s="17" t="s">
        <v>84</v>
      </c>
      <c r="F165" s="17" t="s">
        <v>50</v>
      </c>
      <c r="G165" s="17" t="s">
        <v>565</v>
      </c>
      <c r="H165" s="44" t="s">
        <v>566</v>
      </c>
      <c r="I165" s="45">
        <v>1.0</v>
      </c>
      <c r="J165" s="45">
        <v>1472.0</v>
      </c>
      <c r="K165" s="45">
        <v>1552.0</v>
      </c>
      <c r="L165" s="45">
        <v>260.0</v>
      </c>
      <c r="M165" s="45">
        <v>55.0</v>
      </c>
      <c r="N165" s="45">
        <v>1472.0</v>
      </c>
      <c r="O165" s="46">
        <v>46.0</v>
      </c>
      <c r="P165" s="46">
        <v>21.0</v>
      </c>
      <c r="Q165" s="46">
        <f>IFERROR(__xludf.DUMMYFUNCTION("""COMPUTED_VALUE"""),0.0)</f>
        <v>0</v>
      </c>
      <c r="R165" s="47">
        <v>80.0</v>
      </c>
    </row>
    <row r="166" ht="22.5" customHeight="1">
      <c r="A166" s="42">
        <v>44509.0</v>
      </c>
      <c r="B166" s="43">
        <v>44509.333344907405</v>
      </c>
      <c r="C166" s="17" t="s">
        <v>78</v>
      </c>
      <c r="D166" s="17" t="s">
        <v>567</v>
      </c>
      <c r="E166" s="17" t="s">
        <v>84</v>
      </c>
      <c r="F166" s="17" t="s">
        <v>50</v>
      </c>
      <c r="G166" s="17" t="s">
        <v>568</v>
      </c>
      <c r="H166" s="44" t="s">
        <v>569</v>
      </c>
      <c r="I166" s="45">
        <v>1.0</v>
      </c>
      <c r="J166" s="45">
        <v>7509.0</v>
      </c>
      <c r="K166" s="45">
        <v>7823.0</v>
      </c>
      <c r="L166" s="45">
        <v>295.0</v>
      </c>
      <c r="M166" s="45">
        <v>100.0</v>
      </c>
      <c r="N166" s="45">
        <v>7509.0</v>
      </c>
      <c r="O166" s="46">
        <v>46.0</v>
      </c>
      <c r="P166" s="46">
        <v>8.0</v>
      </c>
      <c r="Q166" s="46">
        <f>IFERROR(__xludf.DUMMYFUNCTION("""COMPUTED_VALUE"""),0.0)</f>
        <v>0</v>
      </c>
      <c r="R166" s="47">
        <v>314.0</v>
      </c>
    </row>
    <row r="167" ht="22.5" customHeight="1">
      <c r="A167" s="42">
        <v>44509.0</v>
      </c>
      <c r="B167" s="43">
        <v>44509.458344907405</v>
      </c>
      <c r="C167" s="17" t="s">
        <v>78</v>
      </c>
      <c r="D167" s="17" t="s">
        <v>570</v>
      </c>
      <c r="E167" s="17" t="s">
        <v>84</v>
      </c>
      <c r="F167" s="17" t="s">
        <v>50</v>
      </c>
      <c r="G167" s="17" t="s">
        <v>571</v>
      </c>
      <c r="H167" s="44" t="s">
        <v>572</v>
      </c>
      <c r="I167" s="45">
        <v>1.0</v>
      </c>
      <c r="J167" s="45">
        <v>8428.0</v>
      </c>
      <c r="K167" s="45">
        <v>11918.0</v>
      </c>
      <c r="L167" s="45">
        <v>2440.0</v>
      </c>
      <c r="M167" s="45">
        <v>2028.0</v>
      </c>
      <c r="N167" s="45">
        <v>8428.0</v>
      </c>
      <c r="O167" s="46">
        <v>46.0</v>
      </c>
      <c r="P167" s="46">
        <v>11.0</v>
      </c>
      <c r="Q167" s="46">
        <f>IFERROR(__xludf.DUMMYFUNCTION("""COMPUTED_VALUE"""),0.0)</f>
        <v>0</v>
      </c>
      <c r="R167" s="47">
        <v>3490.0</v>
      </c>
    </row>
    <row r="168" ht="22.5" customHeight="1">
      <c r="A168" s="42">
        <v>44509.0</v>
      </c>
      <c r="B168" s="43">
        <v>44509.75087962963</v>
      </c>
      <c r="C168" s="17" t="s">
        <v>78</v>
      </c>
      <c r="D168" s="17" t="s">
        <v>573</v>
      </c>
      <c r="E168" s="17" t="s">
        <v>97</v>
      </c>
      <c r="F168" s="17" t="s">
        <v>52</v>
      </c>
      <c r="G168" s="17" t="s">
        <v>574</v>
      </c>
      <c r="H168" s="44" t="s">
        <v>575</v>
      </c>
      <c r="I168" s="45">
        <v>1.0</v>
      </c>
      <c r="J168" s="45">
        <v>472.0</v>
      </c>
      <c r="K168" s="45">
        <v>587.0</v>
      </c>
      <c r="L168" s="45">
        <v>39.0</v>
      </c>
      <c r="M168" s="45">
        <v>166.0</v>
      </c>
      <c r="N168" s="45">
        <v>472.0</v>
      </c>
      <c r="O168" s="46">
        <v>46.0</v>
      </c>
      <c r="P168" s="46">
        <v>18.0</v>
      </c>
      <c r="Q168" s="46">
        <f>IFERROR(__xludf.DUMMYFUNCTION("""COMPUTED_VALUE"""),0.0)</f>
        <v>0</v>
      </c>
      <c r="R168" s="47">
        <v>115.0</v>
      </c>
    </row>
    <row r="169" ht="22.5" customHeight="1">
      <c r="A169" s="42">
        <v>44509.0</v>
      </c>
      <c r="B169" s="43">
        <v>44509.833391203705</v>
      </c>
      <c r="C169" s="17" t="s">
        <v>78</v>
      </c>
      <c r="D169" s="17" t="s">
        <v>576</v>
      </c>
      <c r="E169" s="17" t="s">
        <v>84</v>
      </c>
      <c r="F169" s="17" t="s">
        <v>50</v>
      </c>
      <c r="G169" s="17" t="s">
        <v>577</v>
      </c>
      <c r="H169" s="44" t="s">
        <v>578</v>
      </c>
      <c r="I169" s="45">
        <v>1.0</v>
      </c>
      <c r="J169" s="45">
        <v>526.0</v>
      </c>
      <c r="K169" s="45">
        <v>554.0</v>
      </c>
      <c r="L169" s="45">
        <v>55.0</v>
      </c>
      <c r="M169" s="45">
        <v>15.0</v>
      </c>
      <c r="N169" s="45">
        <v>526.0</v>
      </c>
      <c r="O169" s="46">
        <v>46.0</v>
      </c>
      <c r="P169" s="46">
        <v>20.0</v>
      </c>
      <c r="Q169" s="46">
        <f>IFERROR(__xludf.DUMMYFUNCTION("""COMPUTED_VALUE"""),0.0)</f>
        <v>0</v>
      </c>
      <c r="R169" s="47">
        <v>28.0</v>
      </c>
    </row>
    <row r="170" ht="22.5" customHeight="1">
      <c r="A170" s="42">
        <v>44510.0</v>
      </c>
      <c r="B170" s="43">
        <v>44510.33335648148</v>
      </c>
      <c r="C170" s="17" t="s">
        <v>78</v>
      </c>
      <c r="D170" s="17" t="s">
        <v>579</v>
      </c>
      <c r="E170" s="17" t="s">
        <v>84</v>
      </c>
      <c r="F170" s="17" t="s">
        <v>50</v>
      </c>
      <c r="G170" s="17" t="s">
        <v>580</v>
      </c>
      <c r="H170" s="44" t="s">
        <v>581</v>
      </c>
      <c r="I170" s="45">
        <v>1.0</v>
      </c>
      <c r="J170" s="45">
        <v>5441.0</v>
      </c>
      <c r="K170" s="45">
        <v>5862.0</v>
      </c>
      <c r="L170" s="45">
        <v>315.0</v>
      </c>
      <c r="M170" s="45">
        <v>36.0</v>
      </c>
      <c r="N170" s="45">
        <v>5441.0</v>
      </c>
      <c r="O170" s="46">
        <v>46.0</v>
      </c>
      <c r="P170" s="46">
        <v>8.0</v>
      </c>
      <c r="Q170" s="46">
        <f>IFERROR(__xludf.DUMMYFUNCTION("""COMPUTED_VALUE"""),0.0)</f>
        <v>0</v>
      </c>
      <c r="R170" s="47">
        <v>421.0</v>
      </c>
    </row>
    <row r="171" ht="22.5" customHeight="1">
      <c r="A171" s="42">
        <v>44510.0</v>
      </c>
      <c r="B171" s="43">
        <v>44510.708344907405</v>
      </c>
      <c r="C171" s="17" t="s">
        <v>78</v>
      </c>
      <c r="D171" s="17" t="s">
        <v>582</v>
      </c>
      <c r="E171" s="17" t="s">
        <v>84</v>
      </c>
      <c r="F171" s="17" t="s">
        <v>50</v>
      </c>
      <c r="G171" s="17" t="s">
        <v>583</v>
      </c>
      <c r="H171" s="44" t="s">
        <v>584</v>
      </c>
      <c r="I171" s="45">
        <v>1.0</v>
      </c>
      <c r="J171" s="45">
        <v>735.0</v>
      </c>
      <c r="K171" s="45">
        <v>774.0</v>
      </c>
      <c r="L171" s="45">
        <v>84.0</v>
      </c>
      <c r="M171" s="45">
        <v>31.0</v>
      </c>
      <c r="N171" s="45">
        <v>735.0</v>
      </c>
      <c r="O171" s="46">
        <v>46.0</v>
      </c>
      <c r="P171" s="46">
        <v>17.0</v>
      </c>
      <c r="Q171" s="46">
        <f>IFERROR(__xludf.DUMMYFUNCTION("""COMPUTED_VALUE"""),0.0)</f>
        <v>0</v>
      </c>
      <c r="R171" s="47">
        <v>39.0</v>
      </c>
    </row>
    <row r="172" ht="22.5" customHeight="1">
      <c r="A172" s="42">
        <v>44511.0</v>
      </c>
      <c r="B172" s="43">
        <v>44511.41668981482</v>
      </c>
      <c r="C172" s="17" t="s">
        <v>78</v>
      </c>
      <c r="D172" s="17" t="s">
        <v>585</v>
      </c>
      <c r="E172" s="17" t="s">
        <v>84</v>
      </c>
      <c r="F172" s="17" t="s">
        <v>50</v>
      </c>
      <c r="G172" s="17" t="s">
        <v>586</v>
      </c>
      <c r="H172" s="44" t="s">
        <v>587</v>
      </c>
      <c r="I172" s="45">
        <v>1.0</v>
      </c>
      <c r="J172" s="45">
        <v>4452.0</v>
      </c>
      <c r="K172" s="45">
        <v>4501.0</v>
      </c>
      <c r="L172" s="45">
        <v>128.0</v>
      </c>
      <c r="M172" s="45">
        <v>16.0</v>
      </c>
      <c r="N172" s="45">
        <v>4452.0</v>
      </c>
      <c r="O172" s="46">
        <v>46.0</v>
      </c>
      <c r="P172" s="46">
        <v>10.0</v>
      </c>
      <c r="Q172" s="46">
        <f>IFERROR(__xludf.DUMMYFUNCTION("""COMPUTED_VALUE"""),0.0)</f>
        <v>0</v>
      </c>
      <c r="R172" s="47">
        <v>49.0</v>
      </c>
    </row>
    <row r="173" ht="22.5" customHeight="1">
      <c r="A173" s="42">
        <v>44511.0</v>
      </c>
      <c r="B173" s="43">
        <v>44511.45837962963</v>
      </c>
      <c r="C173" s="17" t="s">
        <v>78</v>
      </c>
      <c r="D173" s="17" t="s">
        <v>588</v>
      </c>
      <c r="E173" s="17" t="s">
        <v>84</v>
      </c>
      <c r="F173" s="17" t="s">
        <v>50</v>
      </c>
      <c r="G173" s="17" t="s">
        <v>589</v>
      </c>
      <c r="H173" s="44" t="s">
        <v>590</v>
      </c>
      <c r="I173" s="45">
        <v>1.0</v>
      </c>
      <c r="J173" s="45">
        <v>748.0</v>
      </c>
      <c r="K173" s="45">
        <v>930.0</v>
      </c>
      <c r="L173" s="45">
        <v>68.0</v>
      </c>
      <c r="M173" s="45">
        <v>78.0</v>
      </c>
      <c r="N173" s="45">
        <v>748.0</v>
      </c>
      <c r="O173" s="46">
        <v>46.0</v>
      </c>
      <c r="P173" s="46">
        <v>11.0</v>
      </c>
      <c r="Q173" s="46">
        <f>IFERROR(__xludf.DUMMYFUNCTION("""COMPUTED_VALUE"""),0.0)</f>
        <v>0</v>
      </c>
      <c r="R173" s="47">
        <v>182.0</v>
      </c>
    </row>
    <row r="174" ht="22.5" customHeight="1">
      <c r="A174" s="42">
        <v>44511.0</v>
      </c>
      <c r="B174" s="43">
        <v>44511.55724537037</v>
      </c>
      <c r="C174" s="17" t="s">
        <v>78</v>
      </c>
      <c r="D174" s="17" t="s">
        <v>591</v>
      </c>
      <c r="E174" s="17" t="s">
        <v>80</v>
      </c>
      <c r="F174" s="17" t="s">
        <v>55</v>
      </c>
      <c r="G174" s="17" t="s">
        <v>592</v>
      </c>
      <c r="H174" s="44" t="s">
        <v>593</v>
      </c>
      <c r="I174" s="45">
        <v>1.0</v>
      </c>
      <c r="J174" s="45">
        <v>1238.0</v>
      </c>
      <c r="K174" s="45">
        <v>1984.0</v>
      </c>
      <c r="L174" s="45">
        <v>1427.0</v>
      </c>
      <c r="M174" s="45">
        <v>243.0</v>
      </c>
      <c r="N174" s="45">
        <v>1238.0</v>
      </c>
      <c r="O174" s="46">
        <v>46.0</v>
      </c>
      <c r="P174" s="46">
        <v>13.0</v>
      </c>
      <c r="Q174" s="46">
        <f>IFERROR(__xludf.DUMMYFUNCTION("""COMPUTED_VALUE"""),0.0)</f>
        <v>0</v>
      </c>
      <c r="R174" s="47">
        <v>746.0</v>
      </c>
    </row>
    <row r="175" ht="22.5" customHeight="1">
      <c r="A175" s="42">
        <v>44512.0</v>
      </c>
      <c r="B175" s="43">
        <v>44512.458333333336</v>
      </c>
      <c r="C175" s="17" t="s">
        <v>78</v>
      </c>
      <c r="D175" s="17" t="s">
        <v>594</v>
      </c>
      <c r="E175" s="17" t="s">
        <v>84</v>
      </c>
      <c r="F175" s="17" t="s">
        <v>50</v>
      </c>
      <c r="G175" s="17" t="s">
        <v>595</v>
      </c>
      <c r="H175" s="44" t="s">
        <v>596</v>
      </c>
      <c r="I175" s="45">
        <v>1.0</v>
      </c>
      <c r="J175" s="45">
        <v>5681.0</v>
      </c>
      <c r="K175" s="45">
        <v>5778.0</v>
      </c>
      <c r="L175" s="45">
        <v>193.0</v>
      </c>
      <c r="M175" s="45">
        <v>77.0</v>
      </c>
      <c r="N175" s="45">
        <v>5681.0</v>
      </c>
      <c r="O175" s="46">
        <v>46.0</v>
      </c>
      <c r="P175" s="46">
        <v>11.0</v>
      </c>
      <c r="Q175" s="46">
        <f>IFERROR(__xludf.DUMMYFUNCTION("""COMPUTED_VALUE"""),0.0)</f>
        <v>0</v>
      </c>
      <c r="R175" s="47">
        <v>97.0</v>
      </c>
    </row>
    <row r="176" ht="22.5" customHeight="1">
      <c r="A176" s="42">
        <v>44512.0</v>
      </c>
      <c r="B176" s="43">
        <v>44512.79173611111</v>
      </c>
      <c r="C176" s="17" t="s">
        <v>78</v>
      </c>
      <c r="D176" s="17" t="s">
        <v>597</v>
      </c>
      <c r="E176" s="17" t="s">
        <v>80</v>
      </c>
      <c r="F176" s="17" t="s">
        <v>55</v>
      </c>
      <c r="G176" s="17" t="s">
        <v>598</v>
      </c>
      <c r="H176" s="44" t="s">
        <v>599</v>
      </c>
      <c r="I176" s="45">
        <v>1.0</v>
      </c>
      <c r="J176" s="45">
        <v>616.0</v>
      </c>
      <c r="K176" s="45">
        <v>658.0</v>
      </c>
      <c r="L176" s="45">
        <v>139.0</v>
      </c>
      <c r="M176" s="45">
        <v>20.0</v>
      </c>
      <c r="N176" s="45">
        <v>616.0</v>
      </c>
      <c r="O176" s="46">
        <v>46.0</v>
      </c>
      <c r="P176" s="46">
        <v>19.0</v>
      </c>
      <c r="Q176" s="46">
        <f>IFERROR(__xludf.DUMMYFUNCTION("""COMPUTED_VALUE"""),0.0)</f>
        <v>0</v>
      </c>
      <c r="R176" s="47">
        <v>42.0</v>
      </c>
    </row>
    <row r="177" ht="22.5" customHeight="1">
      <c r="A177" s="42">
        <v>44512.0</v>
      </c>
      <c r="B177" s="43">
        <v>44512.83336805556</v>
      </c>
      <c r="C177" s="17" t="s">
        <v>78</v>
      </c>
      <c r="D177" s="17" t="s">
        <v>600</v>
      </c>
      <c r="E177" s="17" t="s">
        <v>84</v>
      </c>
      <c r="F177" s="17" t="s">
        <v>47</v>
      </c>
      <c r="G177" s="17" t="s">
        <v>601</v>
      </c>
      <c r="H177" s="44" t="s">
        <v>602</v>
      </c>
      <c r="I177" s="45">
        <v>1.0</v>
      </c>
      <c r="J177" s="45">
        <v>1658.0</v>
      </c>
      <c r="K177" s="45">
        <v>1697.0</v>
      </c>
      <c r="L177" s="45">
        <v>54.0</v>
      </c>
      <c r="M177" s="45">
        <v>32.0</v>
      </c>
      <c r="N177" s="45">
        <v>1658.0</v>
      </c>
      <c r="O177" s="46">
        <v>46.0</v>
      </c>
      <c r="P177" s="46">
        <v>20.0</v>
      </c>
      <c r="Q177" s="46">
        <f>IFERROR(__xludf.DUMMYFUNCTION("""COMPUTED_VALUE"""),0.0)</f>
        <v>0</v>
      </c>
      <c r="R177" s="47">
        <v>39.0</v>
      </c>
    </row>
    <row r="178" ht="22.5" customHeight="1">
      <c r="A178" s="42">
        <v>44513.0</v>
      </c>
      <c r="B178" s="43">
        <v>44513.29173611111</v>
      </c>
      <c r="C178" s="17" t="s">
        <v>78</v>
      </c>
      <c r="D178" s="17" t="s">
        <v>603</v>
      </c>
      <c r="E178" s="17" t="s">
        <v>84</v>
      </c>
      <c r="F178" s="17" t="s">
        <v>50</v>
      </c>
      <c r="G178" s="17" t="s">
        <v>604</v>
      </c>
      <c r="H178" s="44" t="s">
        <v>605</v>
      </c>
      <c r="I178" s="45">
        <v>1.0</v>
      </c>
      <c r="J178" s="45">
        <v>475.0</v>
      </c>
      <c r="K178" s="45">
        <v>489.0</v>
      </c>
      <c r="L178" s="45">
        <v>50.0</v>
      </c>
      <c r="M178" s="45">
        <v>3.0</v>
      </c>
      <c r="N178" s="45">
        <v>475.0</v>
      </c>
      <c r="O178" s="46">
        <v>46.0</v>
      </c>
      <c r="P178" s="46">
        <v>7.0</v>
      </c>
      <c r="Q178" s="46">
        <f>IFERROR(__xludf.DUMMYFUNCTION("""COMPUTED_VALUE"""),0.0)</f>
        <v>0</v>
      </c>
      <c r="R178" s="47">
        <v>14.0</v>
      </c>
    </row>
    <row r="179" ht="22.5" customHeight="1">
      <c r="A179" s="42">
        <v>44513.0</v>
      </c>
      <c r="B179" s="43">
        <v>44513.375023148146</v>
      </c>
      <c r="C179" s="17" t="s">
        <v>78</v>
      </c>
      <c r="D179" s="17" t="s">
        <v>606</v>
      </c>
      <c r="E179" s="17" t="s">
        <v>84</v>
      </c>
      <c r="F179" s="17" t="s">
        <v>50</v>
      </c>
      <c r="G179" s="17" t="s">
        <v>607</v>
      </c>
      <c r="H179" s="44" t="s">
        <v>608</v>
      </c>
      <c r="I179" s="45">
        <v>1.0</v>
      </c>
      <c r="J179" s="45">
        <v>11049.0</v>
      </c>
      <c r="K179" s="45">
        <v>11293.0</v>
      </c>
      <c r="L179" s="45">
        <v>305.0</v>
      </c>
      <c r="M179" s="45">
        <v>96.0</v>
      </c>
      <c r="N179" s="45">
        <v>11049.0</v>
      </c>
      <c r="O179" s="46">
        <v>46.0</v>
      </c>
      <c r="P179" s="46">
        <v>9.0</v>
      </c>
      <c r="Q179" s="46">
        <f>IFERROR(__xludf.DUMMYFUNCTION("""COMPUTED_VALUE"""),0.0)</f>
        <v>0</v>
      </c>
      <c r="R179" s="47">
        <v>244.0</v>
      </c>
    </row>
    <row r="180" ht="22.5" customHeight="1">
      <c r="A180" s="42">
        <v>44513.0</v>
      </c>
      <c r="B180" s="43">
        <v>44513.458391203705</v>
      </c>
      <c r="C180" s="17" t="s">
        <v>78</v>
      </c>
      <c r="D180" s="17" t="s">
        <v>609</v>
      </c>
      <c r="E180" s="17" t="s">
        <v>84</v>
      </c>
      <c r="F180" s="17" t="s">
        <v>50</v>
      </c>
      <c r="G180" s="17" t="s">
        <v>610</v>
      </c>
      <c r="H180" s="44" t="s">
        <v>611</v>
      </c>
      <c r="I180" s="45">
        <v>1.0</v>
      </c>
      <c r="J180" s="45">
        <v>8577.0</v>
      </c>
      <c r="K180" s="45">
        <v>8646.0</v>
      </c>
      <c r="L180" s="45">
        <v>129.0</v>
      </c>
      <c r="M180" s="45">
        <v>23.0</v>
      </c>
      <c r="N180" s="45">
        <v>8577.0</v>
      </c>
      <c r="O180" s="46">
        <v>46.0</v>
      </c>
      <c r="P180" s="46">
        <v>11.0</v>
      </c>
      <c r="Q180" s="46">
        <f>IFERROR(__xludf.DUMMYFUNCTION("""COMPUTED_VALUE"""),0.0)</f>
        <v>0</v>
      </c>
      <c r="R180" s="47">
        <v>69.0</v>
      </c>
    </row>
    <row r="181" ht="22.5" customHeight="1">
      <c r="A181" s="42">
        <v>44513.0</v>
      </c>
      <c r="B181" s="43">
        <v>44513.5</v>
      </c>
      <c r="C181" s="17" t="s">
        <v>78</v>
      </c>
      <c r="D181" s="17" t="s">
        <v>612</v>
      </c>
      <c r="E181" s="17" t="s">
        <v>84</v>
      </c>
      <c r="F181" s="17" t="s">
        <v>50</v>
      </c>
      <c r="G181" s="17" t="s">
        <v>613</v>
      </c>
      <c r="H181" s="44" t="s">
        <v>614</v>
      </c>
      <c r="I181" s="45">
        <v>1.0</v>
      </c>
      <c r="J181" s="45">
        <v>8995.0</v>
      </c>
      <c r="K181" s="45">
        <v>9098.0</v>
      </c>
      <c r="L181" s="45">
        <v>105.0</v>
      </c>
      <c r="M181" s="45">
        <v>33.0</v>
      </c>
      <c r="N181" s="45">
        <v>8995.0</v>
      </c>
      <c r="O181" s="46">
        <v>46.0</v>
      </c>
      <c r="P181" s="46">
        <v>12.0</v>
      </c>
      <c r="Q181" s="46">
        <f>IFERROR(__xludf.DUMMYFUNCTION("""COMPUTED_VALUE"""),0.0)</f>
        <v>0</v>
      </c>
      <c r="R181" s="47">
        <v>103.0</v>
      </c>
    </row>
    <row r="182" ht="22.5" customHeight="1">
      <c r="A182" s="42">
        <v>44513.0</v>
      </c>
      <c r="B182" s="43">
        <v>44513.58336805556</v>
      </c>
      <c r="C182" s="17" t="s">
        <v>78</v>
      </c>
      <c r="D182" s="17" t="s">
        <v>615</v>
      </c>
      <c r="E182" s="17" t="s">
        <v>80</v>
      </c>
      <c r="F182" s="17" t="s">
        <v>53</v>
      </c>
      <c r="G182" s="17" t="s">
        <v>616</v>
      </c>
      <c r="H182" s="44" t="s">
        <v>617</v>
      </c>
      <c r="I182" s="45">
        <v>1.0</v>
      </c>
      <c r="J182" s="45">
        <v>3184.0</v>
      </c>
      <c r="K182" s="45">
        <v>3703.0</v>
      </c>
      <c r="L182" s="45">
        <v>73.0</v>
      </c>
      <c r="M182" s="45">
        <v>183.0</v>
      </c>
      <c r="N182" s="45">
        <v>3184.0</v>
      </c>
      <c r="O182" s="46">
        <v>46.0</v>
      </c>
      <c r="P182" s="46">
        <v>14.0</v>
      </c>
      <c r="Q182" s="46">
        <f>IFERROR(__xludf.DUMMYFUNCTION("""COMPUTED_VALUE"""),0.0)</f>
        <v>0</v>
      </c>
      <c r="R182" s="47">
        <v>519.0</v>
      </c>
    </row>
    <row r="183" ht="22.5" customHeight="1">
      <c r="A183" s="42">
        <v>44513.0</v>
      </c>
      <c r="B183" s="43">
        <v>44513.875023148146</v>
      </c>
      <c r="C183" s="17" t="s">
        <v>78</v>
      </c>
      <c r="D183" s="17" t="s">
        <v>618</v>
      </c>
      <c r="E183" s="17" t="s">
        <v>80</v>
      </c>
      <c r="F183" s="17" t="s">
        <v>53</v>
      </c>
      <c r="G183" s="17" t="s">
        <v>619</v>
      </c>
      <c r="H183" s="44" t="s">
        <v>620</v>
      </c>
      <c r="I183" s="45">
        <v>1.0</v>
      </c>
      <c r="J183" s="45">
        <v>1196.0</v>
      </c>
      <c r="K183" s="45">
        <v>1432.0</v>
      </c>
      <c r="L183" s="45">
        <v>47.0</v>
      </c>
      <c r="M183" s="45">
        <v>48.0</v>
      </c>
      <c r="N183" s="45">
        <v>1196.0</v>
      </c>
      <c r="O183" s="46">
        <v>46.0</v>
      </c>
      <c r="P183" s="46">
        <v>21.0</v>
      </c>
      <c r="Q183" s="46">
        <f>IFERROR(__xludf.DUMMYFUNCTION("""COMPUTED_VALUE"""),0.0)</f>
        <v>0</v>
      </c>
      <c r="R183" s="47">
        <v>236.0</v>
      </c>
    </row>
    <row r="184" ht="22.5" customHeight="1">
      <c r="A184" s="42">
        <v>44514.0</v>
      </c>
      <c r="B184" s="43">
        <v>44514.375023148146</v>
      </c>
      <c r="C184" s="17" t="s">
        <v>78</v>
      </c>
      <c r="D184" s="17" t="s">
        <v>621</v>
      </c>
      <c r="E184" s="17" t="s">
        <v>84</v>
      </c>
      <c r="F184" s="17" t="s">
        <v>50</v>
      </c>
      <c r="G184" s="17" t="s">
        <v>622</v>
      </c>
      <c r="H184" s="44" t="s">
        <v>623</v>
      </c>
      <c r="I184" s="45">
        <v>1.0</v>
      </c>
      <c r="J184" s="45">
        <v>13410.0</v>
      </c>
      <c r="K184" s="45">
        <v>13941.0</v>
      </c>
      <c r="L184" s="45">
        <v>654.0</v>
      </c>
      <c r="M184" s="45">
        <v>94.0</v>
      </c>
      <c r="N184" s="45">
        <v>13410.0</v>
      </c>
      <c r="O184" s="46">
        <v>47.0</v>
      </c>
      <c r="P184" s="46">
        <v>9.0</v>
      </c>
      <c r="Q184" s="46">
        <f>IFERROR(__xludf.DUMMYFUNCTION("""COMPUTED_VALUE"""),0.0)</f>
        <v>0</v>
      </c>
      <c r="R184" s="47">
        <v>531.0</v>
      </c>
    </row>
    <row r="185" ht="22.5" customHeight="1">
      <c r="A185" s="42">
        <v>44514.0</v>
      </c>
      <c r="B185" s="43">
        <v>44514.53927083333</v>
      </c>
      <c r="C185" s="17" t="s">
        <v>78</v>
      </c>
      <c r="D185" s="17" t="s">
        <v>624</v>
      </c>
      <c r="E185" s="17" t="s">
        <v>80</v>
      </c>
      <c r="F185" s="17" t="s">
        <v>55</v>
      </c>
      <c r="G185" s="17" t="s">
        <v>625</v>
      </c>
      <c r="H185" s="44" t="s">
        <v>626</v>
      </c>
      <c r="I185" s="45">
        <v>1.0</v>
      </c>
      <c r="J185" s="45">
        <v>558.0</v>
      </c>
      <c r="K185" s="45">
        <v>807.0</v>
      </c>
      <c r="L185" s="45">
        <v>646.0</v>
      </c>
      <c r="M185" s="45">
        <v>111.0</v>
      </c>
      <c r="N185" s="45">
        <v>558.0</v>
      </c>
      <c r="O185" s="46">
        <v>47.0</v>
      </c>
      <c r="P185" s="46">
        <v>12.0</v>
      </c>
      <c r="Q185" s="46">
        <f>IFERROR(__xludf.DUMMYFUNCTION("""COMPUTED_VALUE"""),0.0)</f>
        <v>0</v>
      </c>
      <c r="R185" s="47">
        <v>249.0</v>
      </c>
    </row>
    <row r="186" ht="22.5" customHeight="1">
      <c r="A186" s="42">
        <v>44515.0</v>
      </c>
      <c r="B186" s="43">
        <v>44515.54167824074</v>
      </c>
      <c r="C186" s="17" t="s">
        <v>78</v>
      </c>
      <c r="D186" s="17" t="s">
        <v>627</v>
      </c>
      <c r="E186" s="17" t="s">
        <v>80</v>
      </c>
      <c r="F186" s="17" t="s">
        <v>55</v>
      </c>
      <c r="G186" s="17" t="s">
        <v>628</v>
      </c>
      <c r="H186" s="44" t="s">
        <v>629</v>
      </c>
      <c r="I186" s="45">
        <v>1.0</v>
      </c>
      <c r="J186" s="45">
        <v>1098.0</v>
      </c>
      <c r="K186" s="45">
        <v>1184.0</v>
      </c>
      <c r="L186" s="45">
        <v>64.0</v>
      </c>
      <c r="M186" s="45">
        <v>30.0</v>
      </c>
      <c r="N186" s="45">
        <v>1098.0</v>
      </c>
      <c r="O186" s="46">
        <v>47.0</v>
      </c>
      <c r="P186" s="46">
        <v>13.0</v>
      </c>
      <c r="Q186" s="46">
        <f>IFERROR(__xludf.DUMMYFUNCTION("""COMPUTED_VALUE"""),0.0)</f>
        <v>0</v>
      </c>
      <c r="R186" s="47">
        <v>86.0</v>
      </c>
    </row>
    <row r="187" ht="22.5" customHeight="1">
      <c r="A187" s="42">
        <v>44515.0</v>
      </c>
      <c r="B187" s="43">
        <v>44515.709814814814</v>
      </c>
      <c r="C187" s="17" t="s">
        <v>78</v>
      </c>
      <c r="D187" s="17" t="s">
        <v>630</v>
      </c>
      <c r="E187" s="17" t="s">
        <v>84</v>
      </c>
      <c r="F187" s="17" t="s">
        <v>48</v>
      </c>
      <c r="G187" s="17"/>
      <c r="H187" s="44" t="s">
        <v>631</v>
      </c>
      <c r="I187" s="45">
        <v>1.0</v>
      </c>
      <c r="J187" s="45">
        <v>1168.0</v>
      </c>
      <c r="K187" s="45">
        <v>1272.0</v>
      </c>
      <c r="L187" s="45">
        <v>92.0</v>
      </c>
      <c r="M187" s="45">
        <v>12.0</v>
      </c>
      <c r="N187" s="45">
        <v>1168.0</v>
      </c>
      <c r="O187" s="46">
        <v>47.0</v>
      </c>
      <c r="P187" s="46">
        <v>17.0</v>
      </c>
      <c r="Q187" s="46">
        <f>IFERROR(__xludf.DUMMYFUNCTION("""COMPUTED_VALUE"""),0.0)</f>
        <v>0</v>
      </c>
      <c r="R187" s="47">
        <v>104.0</v>
      </c>
    </row>
    <row r="188" ht="22.5" customHeight="1">
      <c r="A188" s="42">
        <v>44516.0</v>
      </c>
      <c r="B188" s="43">
        <v>44516.33337962963</v>
      </c>
      <c r="C188" s="17" t="s">
        <v>78</v>
      </c>
      <c r="D188" s="17" t="s">
        <v>632</v>
      </c>
      <c r="E188" s="17" t="s">
        <v>84</v>
      </c>
      <c r="F188" s="17" t="s">
        <v>50</v>
      </c>
      <c r="G188" s="17" t="s">
        <v>633</v>
      </c>
      <c r="H188" s="44" t="s">
        <v>634</v>
      </c>
      <c r="I188" s="45">
        <v>1.0</v>
      </c>
      <c r="J188" s="45">
        <v>7945.0</v>
      </c>
      <c r="K188" s="45">
        <v>8104.0</v>
      </c>
      <c r="L188" s="45">
        <v>272.0</v>
      </c>
      <c r="M188" s="45">
        <v>86.0</v>
      </c>
      <c r="N188" s="45">
        <v>7945.0</v>
      </c>
      <c r="O188" s="46">
        <v>47.0</v>
      </c>
      <c r="P188" s="46">
        <v>8.0</v>
      </c>
      <c r="Q188" s="46">
        <f>IFERROR(__xludf.DUMMYFUNCTION("""COMPUTED_VALUE"""),0.0)</f>
        <v>0</v>
      </c>
      <c r="R188" s="47">
        <v>159.0</v>
      </c>
    </row>
    <row r="189" ht="22.5" customHeight="1">
      <c r="A189" s="42">
        <v>44516.0</v>
      </c>
      <c r="B189" s="43">
        <v>44516.41672453703</v>
      </c>
      <c r="C189" s="17" t="s">
        <v>78</v>
      </c>
      <c r="D189" s="17" t="s">
        <v>635</v>
      </c>
      <c r="E189" s="17" t="s">
        <v>84</v>
      </c>
      <c r="F189" s="17" t="s">
        <v>50</v>
      </c>
      <c r="G189" s="17" t="s">
        <v>636</v>
      </c>
      <c r="H189" s="44" t="s">
        <v>637</v>
      </c>
      <c r="I189" s="45">
        <v>1.0</v>
      </c>
      <c r="J189" s="45">
        <v>5814.0</v>
      </c>
      <c r="K189" s="45">
        <v>5904.0</v>
      </c>
      <c r="L189" s="45">
        <v>72.0</v>
      </c>
      <c r="M189" s="45">
        <v>21.0</v>
      </c>
      <c r="N189" s="45">
        <v>5814.0</v>
      </c>
      <c r="O189" s="46">
        <v>47.0</v>
      </c>
      <c r="P189" s="46">
        <v>10.0</v>
      </c>
      <c r="Q189" s="46">
        <f>IFERROR(__xludf.DUMMYFUNCTION("""COMPUTED_VALUE"""),0.0)</f>
        <v>0</v>
      </c>
      <c r="R189" s="47">
        <v>90.0</v>
      </c>
    </row>
    <row r="190" ht="22.5" customHeight="1">
      <c r="A190" s="42">
        <v>44516.0</v>
      </c>
      <c r="B190" s="43">
        <v>44516.66667824074</v>
      </c>
      <c r="C190" s="17" t="s">
        <v>78</v>
      </c>
      <c r="D190" s="17" t="s">
        <v>638</v>
      </c>
      <c r="E190" s="17" t="s">
        <v>84</v>
      </c>
      <c r="F190" s="17" t="s">
        <v>50</v>
      </c>
      <c r="G190" s="17" t="s">
        <v>639</v>
      </c>
      <c r="H190" s="44" t="s">
        <v>640</v>
      </c>
      <c r="I190" s="45">
        <v>1.0</v>
      </c>
      <c r="J190" s="45">
        <v>6250.0</v>
      </c>
      <c r="K190" s="45">
        <v>6316.0</v>
      </c>
      <c r="L190" s="45">
        <v>32.0</v>
      </c>
      <c r="M190" s="45">
        <v>15.0</v>
      </c>
      <c r="N190" s="45">
        <v>6250.0</v>
      </c>
      <c r="O190" s="46">
        <v>47.0</v>
      </c>
      <c r="P190" s="46">
        <v>16.0</v>
      </c>
      <c r="Q190" s="46">
        <f>IFERROR(__xludf.DUMMYFUNCTION("""COMPUTED_VALUE"""),0.0)</f>
        <v>0</v>
      </c>
      <c r="R190" s="47">
        <v>66.0</v>
      </c>
    </row>
    <row r="191" ht="22.5" customHeight="1">
      <c r="A191" s="42">
        <v>44516.0</v>
      </c>
      <c r="B191" s="43">
        <v>44516.79172453703</v>
      </c>
      <c r="C191" s="17" t="s">
        <v>78</v>
      </c>
      <c r="D191" s="17" t="s">
        <v>641</v>
      </c>
      <c r="E191" s="17" t="s">
        <v>84</v>
      </c>
      <c r="F191" s="17" t="s">
        <v>50</v>
      </c>
      <c r="G191" s="17" t="s">
        <v>642</v>
      </c>
      <c r="H191" s="44" t="s">
        <v>643</v>
      </c>
      <c r="I191" s="45">
        <v>1.0</v>
      </c>
      <c r="J191" s="45">
        <v>909.0</v>
      </c>
      <c r="K191" s="45">
        <v>1136.0</v>
      </c>
      <c r="L191" s="45">
        <v>41.0</v>
      </c>
      <c r="M191" s="45">
        <v>31.0</v>
      </c>
      <c r="N191" s="45">
        <v>909.0</v>
      </c>
      <c r="O191" s="46">
        <v>47.0</v>
      </c>
      <c r="P191" s="46">
        <v>19.0</v>
      </c>
      <c r="Q191" s="46">
        <f>IFERROR(__xludf.DUMMYFUNCTION("""COMPUTED_VALUE"""),0.0)</f>
        <v>0</v>
      </c>
      <c r="R191" s="47">
        <v>227.0</v>
      </c>
    </row>
    <row r="192" ht="22.5" customHeight="1">
      <c r="A192" s="42">
        <v>44517.0</v>
      </c>
      <c r="B192" s="43">
        <v>44517.541666666664</v>
      </c>
      <c r="C192" s="17" t="s">
        <v>78</v>
      </c>
      <c r="D192" s="17" t="s">
        <v>644</v>
      </c>
      <c r="E192" s="17" t="s">
        <v>84</v>
      </c>
      <c r="F192" s="17" t="s">
        <v>50</v>
      </c>
      <c r="G192" s="17" t="s">
        <v>645</v>
      </c>
      <c r="H192" s="44" t="s">
        <v>646</v>
      </c>
      <c r="I192" s="45">
        <v>1.0</v>
      </c>
      <c r="J192" s="45">
        <v>219.0</v>
      </c>
      <c r="K192" s="45">
        <v>228.0</v>
      </c>
      <c r="L192" s="45">
        <v>33.0</v>
      </c>
      <c r="M192" s="45">
        <v>5.0</v>
      </c>
      <c r="N192" s="45">
        <v>219.0</v>
      </c>
      <c r="O192" s="46">
        <v>47.0</v>
      </c>
      <c r="P192" s="46">
        <v>13.0</v>
      </c>
      <c r="Q192" s="46">
        <f>IFERROR(__xludf.DUMMYFUNCTION("""COMPUTED_VALUE"""),1.0)</f>
        <v>1</v>
      </c>
      <c r="R192" s="47">
        <v>9.0</v>
      </c>
    </row>
    <row r="193" ht="22.5" customHeight="1">
      <c r="A193" s="42">
        <v>44518.0</v>
      </c>
      <c r="B193" s="43">
        <v>44518.708333333336</v>
      </c>
      <c r="C193" s="17" t="s">
        <v>78</v>
      </c>
      <c r="D193" s="17" t="s">
        <v>647</v>
      </c>
      <c r="E193" s="17" t="s">
        <v>84</v>
      </c>
      <c r="F193" s="17" t="s">
        <v>50</v>
      </c>
      <c r="G193" s="17" t="s">
        <v>648</v>
      </c>
      <c r="H193" s="44" t="s">
        <v>649</v>
      </c>
      <c r="I193" s="45">
        <v>1.0</v>
      </c>
      <c r="J193" s="45">
        <v>447.0</v>
      </c>
      <c r="K193" s="45">
        <v>465.0</v>
      </c>
      <c r="L193" s="45">
        <v>36.0</v>
      </c>
      <c r="M193" s="45">
        <v>5.0</v>
      </c>
      <c r="N193" s="45">
        <v>447.0</v>
      </c>
      <c r="O193" s="46">
        <v>47.0</v>
      </c>
      <c r="P193" s="46">
        <v>17.0</v>
      </c>
      <c r="Q193" s="46">
        <f>IFERROR(__xludf.DUMMYFUNCTION("""COMPUTED_VALUE"""),0.0)</f>
        <v>0</v>
      </c>
      <c r="R193" s="47">
        <v>18.0</v>
      </c>
    </row>
    <row r="194" ht="22.5" customHeight="1">
      <c r="A194" s="42">
        <v>44518.0</v>
      </c>
      <c r="B194" s="43">
        <v>44518.791712962964</v>
      </c>
      <c r="C194" s="17" t="s">
        <v>78</v>
      </c>
      <c r="D194" s="17" t="s">
        <v>650</v>
      </c>
      <c r="E194" s="17" t="s">
        <v>84</v>
      </c>
      <c r="F194" s="17" t="s">
        <v>50</v>
      </c>
      <c r="G194" s="17" t="s">
        <v>651</v>
      </c>
      <c r="H194" s="44" t="s">
        <v>652</v>
      </c>
      <c r="I194" s="45">
        <v>1.0</v>
      </c>
      <c r="J194" s="45">
        <v>381.0</v>
      </c>
      <c r="K194" s="45">
        <v>414.0</v>
      </c>
      <c r="L194" s="45">
        <v>7.0</v>
      </c>
      <c r="M194" s="45">
        <v>22.0</v>
      </c>
      <c r="N194" s="45">
        <v>381.0</v>
      </c>
      <c r="O194" s="46">
        <v>47.0</v>
      </c>
      <c r="P194" s="46">
        <v>19.0</v>
      </c>
      <c r="Q194" s="46">
        <f>IFERROR(__xludf.DUMMYFUNCTION("""COMPUTED_VALUE"""),0.0)</f>
        <v>0</v>
      </c>
      <c r="R194" s="47">
        <v>33.0</v>
      </c>
    </row>
    <row r="195" ht="22.5" customHeight="1">
      <c r="A195" s="42">
        <v>44518.0</v>
      </c>
      <c r="B195" s="43">
        <v>44518.833958333336</v>
      </c>
      <c r="C195" s="17" t="s">
        <v>78</v>
      </c>
      <c r="D195" s="17" t="s">
        <v>653</v>
      </c>
      <c r="E195" s="17" t="s">
        <v>109</v>
      </c>
      <c r="F195" s="17" t="s">
        <v>49</v>
      </c>
      <c r="G195" s="17" t="s">
        <v>654</v>
      </c>
      <c r="H195" s="44" t="s">
        <v>655</v>
      </c>
      <c r="I195" s="45">
        <v>1.0</v>
      </c>
      <c r="J195" s="45">
        <v>241.0</v>
      </c>
      <c r="K195" s="45">
        <v>265.0</v>
      </c>
      <c r="L195" s="45">
        <v>23.0</v>
      </c>
      <c r="M195" s="45">
        <v>4.0</v>
      </c>
      <c r="N195" s="45">
        <v>241.0</v>
      </c>
      <c r="O195" s="46">
        <v>47.0</v>
      </c>
      <c r="P195" s="46">
        <v>20.0</v>
      </c>
      <c r="Q195" s="46">
        <f>IFERROR(__xludf.DUMMYFUNCTION("""COMPUTED_VALUE"""),0.0)</f>
        <v>0</v>
      </c>
      <c r="R195" s="47">
        <v>24.0</v>
      </c>
    </row>
    <row r="196" ht="22.5" customHeight="1">
      <c r="A196" s="42">
        <v>44519.0</v>
      </c>
      <c r="B196" s="43">
        <v>44519.41667824074</v>
      </c>
      <c r="C196" s="17" t="s">
        <v>78</v>
      </c>
      <c r="D196" s="17" t="s">
        <v>656</v>
      </c>
      <c r="E196" s="17" t="s">
        <v>84</v>
      </c>
      <c r="F196" s="17" t="s">
        <v>50</v>
      </c>
      <c r="G196" s="17" t="s">
        <v>657</v>
      </c>
      <c r="H196" s="44" t="s">
        <v>658</v>
      </c>
      <c r="I196" s="45">
        <v>1.0</v>
      </c>
      <c r="J196" s="45">
        <v>9743.0</v>
      </c>
      <c r="K196" s="45">
        <v>9856.0</v>
      </c>
      <c r="L196" s="45">
        <v>48.0</v>
      </c>
      <c r="M196" s="45">
        <v>27.0</v>
      </c>
      <c r="N196" s="45">
        <v>9743.0</v>
      </c>
      <c r="O196" s="46">
        <v>47.0</v>
      </c>
      <c r="P196" s="46">
        <v>10.0</v>
      </c>
      <c r="Q196" s="46">
        <f>IFERROR(__xludf.DUMMYFUNCTION("""COMPUTED_VALUE"""),0.0)</f>
        <v>0</v>
      </c>
      <c r="R196" s="47">
        <v>113.0</v>
      </c>
    </row>
    <row r="197" ht="22.5" customHeight="1">
      <c r="A197" s="42">
        <v>44519.0</v>
      </c>
      <c r="B197" s="43">
        <v>44519.50001157408</v>
      </c>
      <c r="C197" s="17" t="s">
        <v>78</v>
      </c>
      <c r="D197" s="17" t="s">
        <v>659</v>
      </c>
      <c r="E197" s="17" t="s">
        <v>80</v>
      </c>
      <c r="F197" s="17" t="s">
        <v>55</v>
      </c>
      <c r="G197" s="17" t="s">
        <v>660</v>
      </c>
      <c r="H197" s="44" t="s">
        <v>661</v>
      </c>
      <c r="I197" s="45">
        <v>1.0</v>
      </c>
      <c r="J197" s="45">
        <v>828.0</v>
      </c>
      <c r="K197" s="45">
        <v>916.0</v>
      </c>
      <c r="L197" s="45">
        <v>115.0</v>
      </c>
      <c r="M197" s="45">
        <v>39.0</v>
      </c>
      <c r="N197" s="45">
        <v>828.0</v>
      </c>
      <c r="O197" s="46">
        <v>47.0</v>
      </c>
      <c r="P197" s="46">
        <v>12.0</v>
      </c>
      <c r="Q197" s="46">
        <f>IFERROR(__xludf.DUMMYFUNCTION("""COMPUTED_VALUE"""),0.0)</f>
        <v>0</v>
      </c>
      <c r="R197" s="47">
        <v>88.0</v>
      </c>
    </row>
    <row r="198" ht="22.5" customHeight="1">
      <c r="A198" s="42">
        <v>44519.0</v>
      </c>
      <c r="B198" s="43">
        <v>44519.54168981482</v>
      </c>
      <c r="C198" s="17" t="s">
        <v>78</v>
      </c>
      <c r="D198" s="17" t="s">
        <v>662</v>
      </c>
      <c r="E198" s="17" t="s">
        <v>84</v>
      </c>
      <c r="F198" s="17" t="s">
        <v>50</v>
      </c>
      <c r="G198" s="17" t="s">
        <v>663</v>
      </c>
      <c r="H198" s="44" t="s">
        <v>664</v>
      </c>
      <c r="I198" s="45">
        <v>1.0</v>
      </c>
      <c r="J198" s="45">
        <v>10079.0</v>
      </c>
      <c r="K198" s="45">
        <v>10213.0</v>
      </c>
      <c r="L198" s="45">
        <v>115.0</v>
      </c>
      <c r="M198" s="45">
        <v>24.0</v>
      </c>
      <c r="N198" s="45">
        <v>10079.0</v>
      </c>
      <c r="O198" s="46">
        <v>47.0</v>
      </c>
      <c r="P198" s="46">
        <v>13.0</v>
      </c>
      <c r="Q198" s="46">
        <f>IFERROR(__xludf.DUMMYFUNCTION("""COMPUTED_VALUE"""),0.0)</f>
        <v>0</v>
      </c>
      <c r="R198" s="47">
        <v>134.0</v>
      </c>
    </row>
    <row r="199" ht="22.5" customHeight="1">
      <c r="A199" s="42">
        <v>44519.0</v>
      </c>
      <c r="B199" s="43">
        <v>44519.70898148148</v>
      </c>
      <c r="C199" s="17" t="s">
        <v>78</v>
      </c>
      <c r="D199" s="17" t="s">
        <v>665</v>
      </c>
      <c r="E199" s="17" t="s">
        <v>97</v>
      </c>
      <c r="F199" s="17" t="s">
        <v>52</v>
      </c>
      <c r="G199" s="17" t="s">
        <v>666</v>
      </c>
      <c r="H199" s="44" t="s">
        <v>667</v>
      </c>
      <c r="I199" s="45">
        <v>1.0</v>
      </c>
      <c r="J199" s="45">
        <v>235.0</v>
      </c>
      <c r="K199" s="45">
        <v>264.0</v>
      </c>
      <c r="L199" s="45">
        <v>9.0</v>
      </c>
      <c r="M199" s="45">
        <v>27.0</v>
      </c>
      <c r="N199" s="45">
        <v>235.0</v>
      </c>
      <c r="O199" s="46">
        <v>47.0</v>
      </c>
      <c r="P199" s="46">
        <v>17.0</v>
      </c>
      <c r="Q199" s="46">
        <f>IFERROR(__xludf.DUMMYFUNCTION("""COMPUTED_VALUE"""),0.0)</f>
        <v>0</v>
      </c>
      <c r="R199" s="47">
        <v>29.0</v>
      </c>
    </row>
    <row r="200" ht="22.5" customHeight="1">
      <c r="A200" s="42">
        <v>44519.0</v>
      </c>
      <c r="B200" s="43">
        <v>44519.83341435185</v>
      </c>
      <c r="C200" s="17" t="s">
        <v>78</v>
      </c>
      <c r="D200" s="17" t="s">
        <v>668</v>
      </c>
      <c r="E200" s="17" t="s">
        <v>80</v>
      </c>
      <c r="F200" s="17" t="s">
        <v>55</v>
      </c>
      <c r="G200" s="17" t="s">
        <v>669</v>
      </c>
      <c r="H200" s="44" t="s">
        <v>670</v>
      </c>
      <c r="I200" s="45">
        <v>1.0</v>
      </c>
      <c r="J200" s="45">
        <v>527.0</v>
      </c>
      <c r="K200" s="45">
        <v>638.0</v>
      </c>
      <c r="L200" s="45">
        <v>21.0</v>
      </c>
      <c r="M200" s="45">
        <v>17.0</v>
      </c>
      <c r="N200" s="45">
        <v>527.0</v>
      </c>
      <c r="O200" s="46">
        <v>47.0</v>
      </c>
      <c r="P200" s="46">
        <v>20.0</v>
      </c>
      <c r="Q200" s="46">
        <f>IFERROR(__xludf.DUMMYFUNCTION("""COMPUTED_VALUE"""),0.0)</f>
        <v>0</v>
      </c>
      <c r="R200" s="47">
        <v>111.0</v>
      </c>
    </row>
    <row r="201" ht="22.5" customHeight="1">
      <c r="A201" s="42">
        <v>44520.0</v>
      </c>
      <c r="B201" s="43">
        <v>44520.291712962964</v>
      </c>
      <c r="C201" s="17" t="s">
        <v>78</v>
      </c>
      <c r="D201" s="17" t="s">
        <v>671</v>
      </c>
      <c r="E201" s="17" t="s">
        <v>84</v>
      </c>
      <c r="F201" s="17" t="s">
        <v>50</v>
      </c>
      <c r="G201" s="17" t="s">
        <v>672</v>
      </c>
      <c r="H201" s="44" t="s">
        <v>673</v>
      </c>
      <c r="I201" s="45">
        <v>1.0</v>
      </c>
      <c r="J201" s="45">
        <v>954.0</v>
      </c>
      <c r="K201" s="45">
        <v>991.0</v>
      </c>
      <c r="L201" s="45">
        <v>78.0</v>
      </c>
      <c r="M201" s="45">
        <v>16.0</v>
      </c>
      <c r="N201" s="45">
        <v>954.0</v>
      </c>
      <c r="O201" s="46">
        <v>47.0</v>
      </c>
      <c r="P201" s="46">
        <v>7.0</v>
      </c>
      <c r="Q201" s="46">
        <f>IFERROR(__xludf.DUMMYFUNCTION("""COMPUTED_VALUE"""),0.0)</f>
        <v>0</v>
      </c>
      <c r="R201" s="47">
        <v>37.0</v>
      </c>
    </row>
    <row r="202" ht="22.5" customHeight="1">
      <c r="A202" s="42">
        <v>44520.0</v>
      </c>
      <c r="B202" s="43">
        <v>44520.37503472222</v>
      </c>
      <c r="C202" s="17" t="s">
        <v>78</v>
      </c>
      <c r="D202" s="17" t="s">
        <v>674</v>
      </c>
      <c r="E202" s="17" t="s">
        <v>84</v>
      </c>
      <c r="F202" s="17" t="s">
        <v>50</v>
      </c>
      <c r="G202" s="17" t="s">
        <v>675</v>
      </c>
      <c r="H202" s="44" t="s">
        <v>676</v>
      </c>
      <c r="I202" s="45">
        <v>1.0</v>
      </c>
      <c r="J202" s="45">
        <v>11134.0</v>
      </c>
      <c r="K202" s="45">
        <v>11404.0</v>
      </c>
      <c r="L202" s="45">
        <v>297.0</v>
      </c>
      <c r="M202" s="45">
        <v>76.0</v>
      </c>
      <c r="N202" s="45">
        <v>11134.0</v>
      </c>
      <c r="O202" s="46">
        <v>47.0</v>
      </c>
      <c r="P202" s="46">
        <v>9.0</v>
      </c>
      <c r="Q202" s="46">
        <f>IFERROR(__xludf.DUMMYFUNCTION("""COMPUTED_VALUE"""),0.0)</f>
        <v>0</v>
      </c>
      <c r="R202" s="47">
        <v>270.0</v>
      </c>
    </row>
    <row r="203" ht="22.5" customHeight="1">
      <c r="A203" s="42">
        <v>44520.0</v>
      </c>
      <c r="B203" s="43">
        <v>44520.62501157408</v>
      </c>
      <c r="C203" s="17" t="s">
        <v>78</v>
      </c>
      <c r="D203" s="17" t="s">
        <v>677</v>
      </c>
      <c r="E203" s="17" t="s">
        <v>84</v>
      </c>
      <c r="F203" s="17" t="s">
        <v>50</v>
      </c>
      <c r="G203" s="17" t="s">
        <v>678</v>
      </c>
      <c r="H203" s="44" t="s">
        <v>679</v>
      </c>
      <c r="I203" s="45">
        <v>1.0</v>
      </c>
      <c r="J203" s="45">
        <v>1519.0</v>
      </c>
      <c r="K203" s="45">
        <v>1572.0</v>
      </c>
      <c r="L203" s="45">
        <v>253.0</v>
      </c>
      <c r="M203" s="45">
        <v>21.0</v>
      </c>
      <c r="N203" s="45">
        <v>1519.0</v>
      </c>
      <c r="O203" s="46">
        <v>47.0</v>
      </c>
      <c r="P203" s="46">
        <v>15.0</v>
      </c>
      <c r="Q203" s="46">
        <f>IFERROR(__xludf.DUMMYFUNCTION("""COMPUTED_VALUE"""),1.0)</f>
        <v>1</v>
      </c>
      <c r="R203" s="47">
        <v>53.0</v>
      </c>
    </row>
    <row r="204" ht="22.5" customHeight="1">
      <c r="A204" s="42">
        <v>44520.0</v>
      </c>
      <c r="B204" s="43">
        <v>44520.70489583333</v>
      </c>
      <c r="C204" s="17" t="s">
        <v>78</v>
      </c>
      <c r="D204" s="17" t="s">
        <v>680</v>
      </c>
      <c r="E204" s="17" t="s">
        <v>97</v>
      </c>
      <c r="F204" s="17" t="s">
        <v>52</v>
      </c>
      <c r="G204" s="17" t="s">
        <v>681</v>
      </c>
      <c r="H204" s="44" t="s">
        <v>682</v>
      </c>
      <c r="I204" s="45">
        <v>1.0</v>
      </c>
      <c r="J204" s="45">
        <v>225.0</v>
      </c>
      <c r="K204" s="45">
        <v>247.0</v>
      </c>
      <c r="L204" s="45">
        <v>10.0</v>
      </c>
      <c r="M204" s="45">
        <v>12.0</v>
      </c>
      <c r="N204" s="45">
        <v>225.0</v>
      </c>
      <c r="O204" s="46">
        <v>47.0</v>
      </c>
      <c r="P204" s="46">
        <v>16.0</v>
      </c>
      <c r="Q204" s="46">
        <f>IFERROR(__xludf.DUMMYFUNCTION("""COMPUTED_VALUE"""),0.0)</f>
        <v>0</v>
      </c>
      <c r="R204" s="47">
        <v>22.0</v>
      </c>
    </row>
    <row r="205" ht="22.5" customHeight="1">
      <c r="A205" s="42">
        <v>44520.0</v>
      </c>
      <c r="B205" s="43">
        <v>44520.75009259259</v>
      </c>
      <c r="C205" s="17" t="s">
        <v>78</v>
      </c>
      <c r="D205" s="17" t="s">
        <v>683</v>
      </c>
      <c r="E205" s="17" t="s">
        <v>80</v>
      </c>
      <c r="F205" s="17" t="s">
        <v>55</v>
      </c>
      <c r="G205" s="17" t="s">
        <v>684</v>
      </c>
      <c r="H205" s="44" t="s">
        <v>685</v>
      </c>
      <c r="I205" s="45">
        <v>1.0</v>
      </c>
      <c r="J205" s="45">
        <v>522.0</v>
      </c>
      <c r="K205" s="45">
        <v>551.0</v>
      </c>
      <c r="L205" s="45">
        <v>21.0</v>
      </c>
      <c r="M205" s="45">
        <v>15.0</v>
      </c>
      <c r="N205" s="45">
        <v>522.0</v>
      </c>
      <c r="O205" s="46">
        <v>47.0</v>
      </c>
      <c r="P205" s="46">
        <v>18.0</v>
      </c>
      <c r="Q205" s="46">
        <f>IFERROR(__xludf.DUMMYFUNCTION("""COMPUTED_VALUE"""),0.0)</f>
        <v>0</v>
      </c>
      <c r="R205" s="47">
        <v>29.0</v>
      </c>
    </row>
    <row r="206" ht="22.5" customHeight="1">
      <c r="A206" s="42">
        <v>44521.0</v>
      </c>
      <c r="B206" s="43">
        <v>44521.333333333336</v>
      </c>
      <c r="C206" s="17" t="s">
        <v>78</v>
      </c>
      <c r="D206" s="17" t="s">
        <v>686</v>
      </c>
      <c r="E206" s="17" t="s">
        <v>84</v>
      </c>
      <c r="F206" s="17" t="s">
        <v>50</v>
      </c>
      <c r="G206" s="17" t="s">
        <v>687</v>
      </c>
      <c r="H206" s="44" t="s">
        <v>688</v>
      </c>
      <c r="I206" s="45">
        <v>1.0</v>
      </c>
      <c r="J206" s="45">
        <v>12250.0</v>
      </c>
      <c r="K206" s="45">
        <v>13785.0</v>
      </c>
      <c r="L206" s="45">
        <v>1871.0</v>
      </c>
      <c r="M206" s="45">
        <v>281.0</v>
      </c>
      <c r="N206" s="45">
        <v>12250.0</v>
      </c>
      <c r="O206" s="46">
        <v>48.0</v>
      </c>
      <c r="P206" s="46">
        <v>8.0</v>
      </c>
      <c r="Q206" s="46">
        <f>IFERROR(__xludf.DUMMYFUNCTION("""COMPUTED_VALUE"""),0.0)</f>
        <v>0</v>
      </c>
      <c r="R206" s="47">
        <v>1535.0</v>
      </c>
    </row>
    <row r="207" ht="22.5" customHeight="1">
      <c r="A207" s="42">
        <v>44521.0</v>
      </c>
      <c r="B207" s="43">
        <v>44521.41668981482</v>
      </c>
      <c r="C207" s="17" t="s">
        <v>78</v>
      </c>
      <c r="D207" s="17" t="s">
        <v>689</v>
      </c>
      <c r="E207" s="17" t="s">
        <v>84</v>
      </c>
      <c r="F207" s="17" t="s">
        <v>50</v>
      </c>
      <c r="G207" s="17" t="s">
        <v>690</v>
      </c>
      <c r="H207" s="44" t="s">
        <v>691</v>
      </c>
      <c r="I207" s="45">
        <v>1.0</v>
      </c>
      <c r="J207" s="45">
        <v>203.0</v>
      </c>
      <c r="K207" s="45">
        <v>212.0</v>
      </c>
      <c r="L207" s="45">
        <v>33.0</v>
      </c>
      <c r="M207" s="45">
        <v>4.0</v>
      </c>
      <c r="N207" s="45">
        <v>203.0</v>
      </c>
      <c r="O207" s="46">
        <v>48.0</v>
      </c>
      <c r="P207" s="46">
        <v>10.0</v>
      </c>
      <c r="Q207" s="46">
        <f>IFERROR(__xludf.DUMMYFUNCTION("""COMPUTED_VALUE"""),1.0)</f>
        <v>1</v>
      </c>
      <c r="R207" s="47">
        <v>9.0</v>
      </c>
    </row>
    <row r="208" ht="22.5" customHeight="1">
      <c r="A208" s="42">
        <v>44521.0</v>
      </c>
      <c r="B208" s="43">
        <v>44521.45835648148</v>
      </c>
      <c r="C208" s="17" t="s">
        <v>78</v>
      </c>
      <c r="D208" s="17" t="s">
        <v>692</v>
      </c>
      <c r="E208" s="17" t="s">
        <v>84</v>
      </c>
      <c r="F208" s="17" t="s">
        <v>50</v>
      </c>
      <c r="G208" s="17" t="s">
        <v>693</v>
      </c>
      <c r="H208" s="44" t="s">
        <v>694</v>
      </c>
      <c r="I208" s="45">
        <v>1.0</v>
      </c>
      <c r="J208" s="45">
        <v>7115.0</v>
      </c>
      <c r="K208" s="45">
        <v>7205.0</v>
      </c>
      <c r="L208" s="45">
        <v>92.0</v>
      </c>
      <c r="M208" s="45">
        <v>54.0</v>
      </c>
      <c r="N208" s="45">
        <v>7115.0</v>
      </c>
      <c r="O208" s="46">
        <v>48.0</v>
      </c>
      <c r="P208" s="46">
        <v>11.0</v>
      </c>
      <c r="Q208" s="46">
        <f>IFERROR(__xludf.DUMMYFUNCTION("""COMPUTED_VALUE"""),0.0)</f>
        <v>0</v>
      </c>
      <c r="R208" s="47">
        <v>90.0</v>
      </c>
    </row>
    <row r="209" ht="22.5" customHeight="1">
      <c r="A209" s="42">
        <v>44521.0</v>
      </c>
      <c r="B209" s="43">
        <v>44521.708391203705</v>
      </c>
      <c r="C209" s="17" t="s">
        <v>78</v>
      </c>
      <c r="D209" s="17" t="s">
        <v>695</v>
      </c>
      <c r="E209" s="17" t="s">
        <v>97</v>
      </c>
      <c r="F209" s="17" t="s">
        <v>52</v>
      </c>
      <c r="G209" s="17" t="s">
        <v>696</v>
      </c>
      <c r="H209" s="44" t="s">
        <v>697</v>
      </c>
      <c r="I209" s="45">
        <v>1.0</v>
      </c>
      <c r="J209" s="45">
        <v>451.0</v>
      </c>
      <c r="K209" s="45">
        <v>540.0</v>
      </c>
      <c r="L209" s="45">
        <v>23.0</v>
      </c>
      <c r="M209" s="45">
        <v>24.0</v>
      </c>
      <c r="N209" s="45">
        <v>451.0</v>
      </c>
      <c r="O209" s="46">
        <v>48.0</v>
      </c>
      <c r="P209" s="46">
        <v>17.0</v>
      </c>
      <c r="Q209" s="46">
        <f>IFERROR(__xludf.DUMMYFUNCTION("""COMPUTED_VALUE"""),0.0)</f>
        <v>0</v>
      </c>
      <c r="R209" s="47">
        <v>89.0</v>
      </c>
    </row>
    <row r="210" ht="22.5" customHeight="1">
      <c r="A210" s="42">
        <v>44522.0</v>
      </c>
      <c r="B210" s="43">
        <v>44522.583344907405</v>
      </c>
      <c r="C210" s="17" t="s">
        <v>78</v>
      </c>
      <c r="D210" s="17" t="s">
        <v>698</v>
      </c>
      <c r="E210" s="17" t="s">
        <v>80</v>
      </c>
      <c r="F210" s="17" t="s">
        <v>53</v>
      </c>
      <c r="G210" s="17" t="s">
        <v>699</v>
      </c>
      <c r="H210" s="44" t="s">
        <v>700</v>
      </c>
      <c r="I210" s="45">
        <v>1.0</v>
      </c>
      <c r="J210" s="45">
        <v>1040.0</v>
      </c>
      <c r="K210" s="45">
        <v>1136.0</v>
      </c>
      <c r="L210" s="45">
        <v>37.0</v>
      </c>
      <c r="M210" s="45">
        <v>20.0</v>
      </c>
      <c r="N210" s="45">
        <v>1040.0</v>
      </c>
      <c r="O210" s="46">
        <v>48.0</v>
      </c>
      <c r="P210" s="46">
        <v>14.0</v>
      </c>
      <c r="Q210" s="46">
        <f>IFERROR(__xludf.DUMMYFUNCTION("""COMPUTED_VALUE"""),0.0)</f>
        <v>0</v>
      </c>
      <c r="R210" s="47">
        <v>96.0</v>
      </c>
    </row>
    <row r="211" ht="22.5" customHeight="1">
      <c r="A211" s="42">
        <v>44522.0</v>
      </c>
      <c r="B211" s="43">
        <v>44522.66670138889</v>
      </c>
      <c r="C211" s="17" t="s">
        <v>78</v>
      </c>
      <c r="D211" s="17" t="s">
        <v>701</v>
      </c>
      <c r="E211" s="17" t="s">
        <v>84</v>
      </c>
      <c r="F211" s="17" t="s">
        <v>50</v>
      </c>
      <c r="G211" s="17" t="s">
        <v>702</v>
      </c>
      <c r="H211" s="44" t="s">
        <v>703</v>
      </c>
      <c r="I211" s="45">
        <v>1.0</v>
      </c>
      <c r="J211" s="45">
        <v>8603.0</v>
      </c>
      <c r="K211" s="45">
        <v>9301.0</v>
      </c>
      <c r="L211" s="45">
        <v>619.0</v>
      </c>
      <c r="M211" s="45">
        <v>231.0</v>
      </c>
      <c r="N211" s="45">
        <v>8603.0</v>
      </c>
      <c r="O211" s="46">
        <v>48.0</v>
      </c>
      <c r="P211" s="46">
        <v>16.0</v>
      </c>
      <c r="Q211" s="46">
        <f>IFERROR(__xludf.DUMMYFUNCTION("""COMPUTED_VALUE"""),0.0)</f>
        <v>0</v>
      </c>
      <c r="R211" s="47">
        <v>698.0</v>
      </c>
    </row>
    <row r="212" ht="22.5" customHeight="1">
      <c r="A212" s="42">
        <v>44522.0</v>
      </c>
      <c r="B212" s="43">
        <v>44522.750023148146</v>
      </c>
      <c r="C212" s="17" t="s">
        <v>78</v>
      </c>
      <c r="D212" s="17" t="s">
        <v>704</v>
      </c>
      <c r="E212" s="17" t="s">
        <v>84</v>
      </c>
      <c r="F212" s="17" t="s">
        <v>47</v>
      </c>
      <c r="G212" s="17" t="s">
        <v>705</v>
      </c>
      <c r="H212" s="44" t="s">
        <v>706</v>
      </c>
      <c r="I212" s="45">
        <v>1.0</v>
      </c>
      <c r="J212" s="45">
        <v>803.0</v>
      </c>
      <c r="K212" s="45">
        <v>918.0</v>
      </c>
      <c r="L212" s="45">
        <v>27.0</v>
      </c>
      <c r="M212" s="45">
        <v>16.0</v>
      </c>
      <c r="N212" s="45">
        <v>803.0</v>
      </c>
      <c r="O212" s="46">
        <v>48.0</v>
      </c>
      <c r="P212" s="46">
        <v>18.0</v>
      </c>
      <c r="Q212" s="46">
        <f>IFERROR(__xludf.DUMMYFUNCTION("""COMPUTED_VALUE"""),0.0)</f>
        <v>0</v>
      </c>
      <c r="R212" s="47">
        <v>115.0</v>
      </c>
    </row>
    <row r="213" ht="22.5" customHeight="1">
      <c r="A213" s="42">
        <v>44523.0</v>
      </c>
      <c r="B213" s="43">
        <v>44523.333333333336</v>
      </c>
      <c r="C213" s="17" t="s">
        <v>78</v>
      </c>
      <c r="D213" s="17" t="s">
        <v>707</v>
      </c>
      <c r="E213" s="17" t="s">
        <v>84</v>
      </c>
      <c r="F213" s="17" t="s">
        <v>50</v>
      </c>
      <c r="G213" s="17" t="s">
        <v>708</v>
      </c>
      <c r="H213" s="44" t="s">
        <v>709</v>
      </c>
      <c r="I213" s="45">
        <v>1.0</v>
      </c>
      <c r="J213" s="45">
        <v>11220.0</v>
      </c>
      <c r="K213" s="45">
        <v>11920.0</v>
      </c>
      <c r="L213" s="45">
        <v>574.0</v>
      </c>
      <c r="M213" s="45">
        <v>217.0</v>
      </c>
      <c r="N213" s="45">
        <v>11220.0</v>
      </c>
      <c r="O213" s="46">
        <v>48.0</v>
      </c>
      <c r="P213" s="46">
        <v>8.0</v>
      </c>
      <c r="Q213" s="46">
        <f>IFERROR(__xludf.DUMMYFUNCTION("""COMPUTED_VALUE"""),0.0)</f>
        <v>0</v>
      </c>
      <c r="R213" s="47">
        <v>700.0</v>
      </c>
    </row>
    <row r="214" ht="22.5" customHeight="1">
      <c r="A214" s="42">
        <v>44523.0</v>
      </c>
      <c r="B214" s="43">
        <v>44523.41668981482</v>
      </c>
      <c r="C214" s="17" t="s">
        <v>78</v>
      </c>
      <c r="D214" s="17" t="s">
        <v>710</v>
      </c>
      <c r="E214" s="17" t="s">
        <v>84</v>
      </c>
      <c r="F214" s="17" t="s">
        <v>50</v>
      </c>
      <c r="G214" s="17" t="s">
        <v>711</v>
      </c>
      <c r="H214" s="44" t="s">
        <v>712</v>
      </c>
      <c r="I214" s="45">
        <v>1.0</v>
      </c>
      <c r="J214" s="45">
        <v>8986.0</v>
      </c>
      <c r="K214" s="45">
        <v>9774.0</v>
      </c>
      <c r="L214" s="45">
        <v>402.0</v>
      </c>
      <c r="M214" s="45">
        <v>125.0</v>
      </c>
      <c r="N214" s="45">
        <v>8986.0</v>
      </c>
      <c r="O214" s="46">
        <v>48.0</v>
      </c>
      <c r="P214" s="46">
        <v>10.0</v>
      </c>
      <c r="Q214" s="46">
        <f>IFERROR(__xludf.DUMMYFUNCTION("""COMPUTED_VALUE"""),0.0)</f>
        <v>0</v>
      </c>
      <c r="R214" s="47">
        <v>788.0</v>
      </c>
    </row>
    <row r="215" ht="22.5" customHeight="1">
      <c r="A215" s="42">
        <v>44523.0</v>
      </c>
      <c r="B215" s="43">
        <v>44523.58341435185</v>
      </c>
      <c r="C215" s="17" t="s">
        <v>78</v>
      </c>
      <c r="D215" s="17" t="s">
        <v>713</v>
      </c>
      <c r="E215" s="17" t="s">
        <v>84</v>
      </c>
      <c r="F215" s="17" t="s">
        <v>50</v>
      </c>
      <c r="G215" s="17" t="s">
        <v>714</v>
      </c>
      <c r="H215" s="44" t="s">
        <v>715</v>
      </c>
      <c r="I215" s="45">
        <v>1.0</v>
      </c>
      <c r="J215" s="45">
        <v>751.0</v>
      </c>
      <c r="K215" s="45">
        <v>782.0</v>
      </c>
      <c r="L215" s="45">
        <v>73.0</v>
      </c>
      <c r="M215" s="45">
        <v>15.0</v>
      </c>
      <c r="N215" s="45">
        <v>751.0</v>
      </c>
      <c r="O215" s="46">
        <v>48.0</v>
      </c>
      <c r="P215" s="46">
        <v>14.0</v>
      </c>
      <c r="Q215" s="46">
        <f>IFERROR(__xludf.DUMMYFUNCTION("""COMPUTED_VALUE"""),0.0)</f>
        <v>0</v>
      </c>
      <c r="R215" s="47">
        <v>31.0</v>
      </c>
    </row>
    <row r="216" ht="22.5" customHeight="1">
      <c r="A216" s="42">
        <v>44523.0</v>
      </c>
      <c r="B216" s="43">
        <v>44523.66700231482</v>
      </c>
      <c r="C216" s="17" t="s">
        <v>78</v>
      </c>
      <c r="D216" s="17" t="s">
        <v>716</v>
      </c>
      <c r="E216" s="17" t="s">
        <v>80</v>
      </c>
      <c r="F216" s="17" t="s">
        <v>55</v>
      </c>
      <c r="G216" s="17" t="s">
        <v>717</v>
      </c>
      <c r="H216" s="44" t="s">
        <v>718</v>
      </c>
      <c r="I216" s="45">
        <v>1.0</v>
      </c>
      <c r="J216" s="45">
        <v>256.0</v>
      </c>
      <c r="K216" s="45">
        <v>279.0</v>
      </c>
      <c r="L216" s="45">
        <v>14.0</v>
      </c>
      <c r="M216" s="45">
        <v>3.0</v>
      </c>
      <c r="N216" s="45">
        <v>256.0</v>
      </c>
      <c r="O216" s="46">
        <v>48.0</v>
      </c>
      <c r="P216" s="46">
        <v>16.0</v>
      </c>
      <c r="Q216" s="46">
        <f>IFERROR(__xludf.DUMMYFUNCTION("""COMPUTED_VALUE"""),0.0)</f>
        <v>0</v>
      </c>
      <c r="R216" s="47">
        <v>23.0</v>
      </c>
    </row>
    <row r="217" ht="22.5" customHeight="1">
      <c r="A217" s="42">
        <v>44523.0</v>
      </c>
      <c r="B217" s="43">
        <v>44523.91670138889</v>
      </c>
      <c r="C217" s="17" t="s">
        <v>78</v>
      </c>
      <c r="D217" s="17" t="s">
        <v>719</v>
      </c>
      <c r="E217" s="17" t="s">
        <v>84</v>
      </c>
      <c r="F217" s="17" t="s">
        <v>50</v>
      </c>
      <c r="G217" s="17" t="s">
        <v>720</v>
      </c>
      <c r="H217" s="44" t="s">
        <v>721</v>
      </c>
      <c r="I217" s="45">
        <v>1.0</v>
      </c>
      <c r="J217" s="45">
        <v>20183.0</v>
      </c>
      <c r="K217" s="45">
        <v>20868.0</v>
      </c>
      <c r="L217" s="45">
        <v>279.0</v>
      </c>
      <c r="M217" s="45">
        <v>166.0</v>
      </c>
      <c r="N217" s="45">
        <v>20183.0</v>
      </c>
      <c r="O217" s="46">
        <v>48.0</v>
      </c>
      <c r="P217" s="46">
        <v>22.0</v>
      </c>
      <c r="Q217" s="46">
        <f>IFERROR(__xludf.DUMMYFUNCTION("""COMPUTED_VALUE"""),0.0)</f>
        <v>0</v>
      </c>
      <c r="R217" s="47">
        <v>685.0</v>
      </c>
    </row>
    <row r="218" ht="22.5" customHeight="1">
      <c r="A218" s="42">
        <v>44524.0</v>
      </c>
      <c r="B218" s="43">
        <v>44524.33335648148</v>
      </c>
      <c r="C218" s="17" t="s">
        <v>78</v>
      </c>
      <c r="D218" s="17" t="s">
        <v>722</v>
      </c>
      <c r="E218" s="17" t="s">
        <v>84</v>
      </c>
      <c r="F218" s="17" t="s">
        <v>50</v>
      </c>
      <c r="G218" s="17" t="s">
        <v>723</v>
      </c>
      <c r="H218" s="44" t="s">
        <v>724</v>
      </c>
      <c r="I218" s="45">
        <v>1.0</v>
      </c>
      <c r="J218" s="45">
        <v>6012.0</v>
      </c>
      <c r="K218" s="45">
        <v>6072.0</v>
      </c>
      <c r="L218" s="45">
        <v>57.0</v>
      </c>
      <c r="M218" s="45">
        <v>27.0</v>
      </c>
      <c r="N218" s="45">
        <v>6012.0</v>
      </c>
      <c r="O218" s="46">
        <v>48.0</v>
      </c>
      <c r="P218" s="46">
        <v>8.0</v>
      </c>
      <c r="Q218" s="46">
        <f>IFERROR(__xludf.DUMMYFUNCTION("""COMPUTED_VALUE"""),0.0)</f>
        <v>0</v>
      </c>
      <c r="R218" s="47">
        <v>60.0</v>
      </c>
    </row>
    <row r="219" ht="22.5" customHeight="1">
      <c r="A219" s="42">
        <v>44524.0</v>
      </c>
      <c r="B219" s="43">
        <v>44524.37505787037</v>
      </c>
      <c r="C219" s="17" t="s">
        <v>78</v>
      </c>
      <c r="D219" s="17" t="s">
        <v>725</v>
      </c>
      <c r="E219" s="17" t="s">
        <v>84</v>
      </c>
      <c r="F219" s="17" t="s">
        <v>50</v>
      </c>
      <c r="G219" s="17" t="s">
        <v>726</v>
      </c>
      <c r="H219" s="44" t="s">
        <v>727</v>
      </c>
      <c r="I219" s="45">
        <v>1.0</v>
      </c>
      <c r="J219" s="45">
        <v>9359.0</v>
      </c>
      <c r="K219" s="45">
        <v>9555.0</v>
      </c>
      <c r="L219" s="45">
        <v>262.0</v>
      </c>
      <c r="M219" s="45">
        <v>83.0</v>
      </c>
      <c r="N219" s="45">
        <v>9359.0</v>
      </c>
      <c r="O219" s="46">
        <v>48.0</v>
      </c>
      <c r="P219" s="46">
        <v>9.0</v>
      </c>
      <c r="Q219" s="46">
        <f>IFERROR(__xludf.DUMMYFUNCTION("""COMPUTED_VALUE"""),0.0)</f>
        <v>0</v>
      </c>
      <c r="R219" s="47">
        <v>196.0</v>
      </c>
    </row>
    <row r="220" ht="22.5" customHeight="1">
      <c r="A220" s="42">
        <v>44524.0</v>
      </c>
      <c r="B220" s="43">
        <v>44524.50010416667</v>
      </c>
      <c r="C220" s="17" t="s">
        <v>78</v>
      </c>
      <c r="D220" s="17" t="s">
        <v>728</v>
      </c>
      <c r="E220" s="17" t="s">
        <v>84</v>
      </c>
      <c r="F220" s="17" t="s">
        <v>50</v>
      </c>
      <c r="G220" s="17" t="s">
        <v>729</v>
      </c>
      <c r="H220" s="44" t="s">
        <v>730</v>
      </c>
      <c r="I220" s="45">
        <v>1.0</v>
      </c>
      <c r="J220" s="45">
        <v>14943.0</v>
      </c>
      <c r="K220" s="45">
        <v>18450.0</v>
      </c>
      <c r="L220" s="45">
        <v>2686.0</v>
      </c>
      <c r="M220" s="45">
        <v>2666.0</v>
      </c>
      <c r="N220" s="45">
        <v>14943.0</v>
      </c>
      <c r="O220" s="46">
        <v>48.0</v>
      </c>
      <c r="P220" s="46">
        <v>12.0</v>
      </c>
      <c r="Q220" s="46">
        <f>IFERROR(__xludf.DUMMYFUNCTION("""COMPUTED_VALUE"""),0.0)</f>
        <v>0</v>
      </c>
      <c r="R220" s="47">
        <v>3507.0</v>
      </c>
    </row>
    <row r="221" ht="22.5" customHeight="1">
      <c r="A221" s="42">
        <v>44524.0</v>
      </c>
      <c r="B221" s="43">
        <v>44524.66667824074</v>
      </c>
      <c r="C221" s="17" t="s">
        <v>78</v>
      </c>
      <c r="D221" s="17" t="s">
        <v>731</v>
      </c>
      <c r="E221" s="17" t="s">
        <v>84</v>
      </c>
      <c r="F221" s="17" t="s">
        <v>50</v>
      </c>
      <c r="G221" s="17" t="s">
        <v>732</v>
      </c>
      <c r="H221" s="44" t="s">
        <v>733</v>
      </c>
      <c r="I221" s="45">
        <v>1.0</v>
      </c>
      <c r="J221" s="45">
        <v>255.0</v>
      </c>
      <c r="K221" s="45">
        <v>264.0</v>
      </c>
      <c r="L221" s="45">
        <v>24.0</v>
      </c>
      <c r="M221" s="45">
        <v>10.0</v>
      </c>
      <c r="N221" s="45">
        <v>255.0</v>
      </c>
      <c r="O221" s="46">
        <v>48.0</v>
      </c>
      <c r="P221" s="46">
        <v>16.0</v>
      </c>
      <c r="Q221" s="46">
        <f>IFERROR(__xludf.DUMMYFUNCTION("""COMPUTED_VALUE"""),1.0)</f>
        <v>1</v>
      </c>
      <c r="R221" s="47">
        <v>9.0</v>
      </c>
    </row>
    <row r="222" ht="22.5" customHeight="1">
      <c r="A222" s="42">
        <v>44524.0</v>
      </c>
      <c r="B222" s="43">
        <v>44524.75001157408</v>
      </c>
      <c r="C222" s="17" t="s">
        <v>78</v>
      </c>
      <c r="D222" s="17" t="s">
        <v>734</v>
      </c>
      <c r="E222" s="17" t="s">
        <v>84</v>
      </c>
      <c r="F222" s="17" t="s">
        <v>47</v>
      </c>
      <c r="G222" s="17" t="s">
        <v>735</v>
      </c>
      <c r="H222" s="44" t="s">
        <v>736</v>
      </c>
      <c r="I222" s="45">
        <v>1.0</v>
      </c>
      <c r="J222" s="45">
        <v>4975.0</v>
      </c>
      <c r="K222" s="45">
        <v>6632.0</v>
      </c>
      <c r="L222" s="45">
        <v>2014.0</v>
      </c>
      <c r="M222" s="45">
        <v>1129.0</v>
      </c>
      <c r="N222" s="45">
        <v>4975.0</v>
      </c>
      <c r="O222" s="46">
        <v>48.0</v>
      </c>
      <c r="P222" s="46">
        <v>18.0</v>
      </c>
      <c r="Q222" s="46">
        <f>IFERROR(__xludf.DUMMYFUNCTION("""COMPUTED_VALUE"""),0.0)</f>
        <v>0</v>
      </c>
      <c r="R222" s="47">
        <v>1657.0</v>
      </c>
    </row>
    <row r="223" ht="22.5" customHeight="1">
      <c r="A223" s="42">
        <v>44524.0</v>
      </c>
      <c r="B223" s="43">
        <v>44524.83362268518</v>
      </c>
      <c r="C223" s="17" t="s">
        <v>78</v>
      </c>
      <c r="D223" s="17" t="s">
        <v>737</v>
      </c>
      <c r="E223" s="17" t="s">
        <v>80</v>
      </c>
      <c r="F223" s="17" t="s">
        <v>55</v>
      </c>
      <c r="G223" s="17" t="s">
        <v>738</v>
      </c>
      <c r="H223" s="44" t="s">
        <v>739</v>
      </c>
      <c r="I223" s="45">
        <v>1.0</v>
      </c>
      <c r="J223" s="45">
        <v>462.0</v>
      </c>
      <c r="K223" s="45">
        <v>528.0</v>
      </c>
      <c r="L223" s="45">
        <v>30.0</v>
      </c>
      <c r="M223" s="45">
        <v>13.0</v>
      </c>
      <c r="N223" s="45">
        <v>462.0</v>
      </c>
      <c r="O223" s="46">
        <v>48.0</v>
      </c>
      <c r="P223" s="46">
        <v>20.0</v>
      </c>
      <c r="Q223" s="46">
        <f>IFERROR(__xludf.DUMMYFUNCTION("""COMPUTED_VALUE"""),0.0)</f>
        <v>0</v>
      </c>
      <c r="R223" s="47">
        <v>66.0</v>
      </c>
    </row>
    <row r="224" ht="22.5" customHeight="1">
      <c r="A224" s="42">
        <v>44525.0</v>
      </c>
      <c r="B224" s="43">
        <v>44525.500023148146</v>
      </c>
      <c r="C224" s="17" t="s">
        <v>78</v>
      </c>
      <c r="D224" s="17" t="s">
        <v>740</v>
      </c>
      <c r="E224" s="17" t="s">
        <v>84</v>
      </c>
      <c r="F224" s="17" t="s">
        <v>50</v>
      </c>
      <c r="G224" s="17" t="s">
        <v>741</v>
      </c>
      <c r="H224" s="44" t="s">
        <v>742</v>
      </c>
      <c r="I224" s="45">
        <v>1.0</v>
      </c>
      <c r="J224" s="45">
        <v>208.0</v>
      </c>
      <c r="K224" s="45">
        <v>214.0</v>
      </c>
      <c r="L224" s="45">
        <v>17.0</v>
      </c>
      <c r="M224" s="45">
        <v>2.0</v>
      </c>
      <c r="N224" s="45">
        <v>208.0</v>
      </c>
      <c r="O224" s="46">
        <v>48.0</v>
      </c>
      <c r="P224" s="46">
        <v>12.0</v>
      </c>
      <c r="Q224" s="46">
        <f>IFERROR(__xludf.DUMMYFUNCTION("""COMPUTED_VALUE"""),1.0)</f>
        <v>1</v>
      </c>
      <c r="R224" s="47">
        <v>6.0</v>
      </c>
    </row>
    <row r="225" ht="22.5" customHeight="1">
      <c r="A225" s="42">
        <v>44525.0</v>
      </c>
      <c r="B225" s="43">
        <v>44525.66667824074</v>
      </c>
      <c r="C225" s="17" t="s">
        <v>78</v>
      </c>
      <c r="D225" s="17" t="s">
        <v>743</v>
      </c>
      <c r="E225" s="17" t="s">
        <v>84</v>
      </c>
      <c r="F225" s="17" t="s">
        <v>47</v>
      </c>
      <c r="G225" s="17" t="s">
        <v>744</v>
      </c>
      <c r="H225" s="44" t="s">
        <v>745</v>
      </c>
      <c r="I225" s="45">
        <v>1.0</v>
      </c>
      <c r="J225" s="45">
        <v>663.0</v>
      </c>
      <c r="K225" s="45">
        <v>693.0</v>
      </c>
      <c r="L225" s="45">
        <v>55.0</v>
      </c>
      <c r="M225" s="45">
        <v>11.0</v>
      </c>
      <c r="N225" s="45">
        <v>663.0</v>
      </c>
      <c r="O225" s="46">
        <v>48.0</v>
      </c>
      <c r="P225" s="46">
        <v>16.0</v>
      </c>
      <c r="Q225" s="46">
        <f>IFERROR(__xludf.DUMMYFUNCTION("""COMPUTED_VALUE"""),0.0)</f>
        <v>0</v>
      </c>
      <c r="R225" s="47">
        <v>30.0</v>
      </c>
    </row>
    <row r="226" ht="22.5" customHeight="1">
      <c r="A226" s="42">
        <v>44525.0</v>
      </c>
      <c r="B226" s="43">
        <v>44525.83341435185</v>
      </c>
      <c r="C226" s="17" t="s">
        <v>78</v>
      </c>
      <c r="D226" s="17" t="s">
        <v>746</v>
      </c>
      <c r="E226" s="17" t="s">
        <v>80</v>
      </c>
      <c r="F226" s="17" t="s">
        <v>55</v>
      </c>
      <c r="G226" s="17" t="s">
        <v>747</v>
      </c>
      <c r="H226" s="44" t="s">
        <v>748</v>
      </c>
      <c r="I226" s="45">
        <v>1.0</v>
      </c>
      <c r="J226" s="45">
        <v>1029.0</v>
      </c>
      <c r="K226" s="45">
        <v>1180.0</v>
      </c>
      <c r="L226" s="45">
        <v>147.0</v>
      </c>
      <c r="M226" s="45">
        <v>65.0</v>
      </c>
      <c r="N226" s="45">
        <v>1029.0</v>
      </c>
      <c r="O226" s="46">
        <v>48.0</v>
      </c>
      <c r="P226" s="46">
        <v>20.0</v>
      </c>
      <c r="Q226" s="46">
        <f>IFERROR(__xludf.DUMMYFUNCTION("""COMPUTED_VALUE"""),0.0)</f>
        <v>0</v>
      </c>
      <c r="R226" s="47">
        <v>151.0</v>
      </c>
    </row>
    <row r="227" ht="22.5" customHeight="1">
      <c r="A227" s="42">
        <v>44525.0</v>
      </c>
      <c r="B227" s="43">
        <v>44525.87501157408</v>
      </c>
      <c r="C227" s="17" t="s">
        <v>78</v>
      </c>
      <c r="D227" s="17" t="s">
        <v>749</v>
      </c>
      <c r="E227" s="17" t="s">
        <v>84</v>
      </c>
      <c r="F227" s="17" t="s">
        <v>47</v>
      </c>
      <c r="G227" s="17" t="s">
        <v>750</v>
      </c>
      <c r="H227" s="44" t="s">
        <v>751</v>
      </c>
      <c r="I227" s="45">
        <v>1.0</v>
      </c>
      <c r="J227" s="45">
        <v>1062.0</v>
      </c>
      <c r="K227" s="45">
        <v>1103.0</v>
      </c>
      <c r="L227" s="45">
        <v>63.0</v>
      </c>
      <c r="M227" s="45">
        <v>21.0</v>
      </c>
      <c r="N227" s="45">
        <v>1062.0</v>
      </c>
      <c r="O227" s="46">
        <v>48.0</v>
      </c>
      <c r="P227" s="46">
        <v>21.0</v>
      </c>
      <c r="Q227" s="46">
        <f>IFERROR(__xludf.DUMMYFUNCTION("""COMPUTED_VALUE"""),0.0)</f>
        <v>0</v>
      </c>
      <c r="R227" s="47">
        <v>41.0</v>
      </c>
    </row>
    <row r="228" ht="22.5" customHeight="1">
      <c r="A228" s="42">
        <v>44526.0</v>
      </c>
      <c r="B228" s="43">
        <v>44526.33335648148</v>
      </c>
      <c r="C228" s="17" t="s">
        <v>78</v>
      </c>
      <c r="D228" s="17" t="s">
        <v>752</v>
      </c>
      <c r="E228" s="17" t="s">
        <v>84</v>
      </c>
      <c r="F228" s="17" t="s">
        <v>50</v>
      </c>
      <c r="G228" s="17" t="s">
        <v>753</v>
      </c>
      <c r="H228" s="44" t="s">
        <v>754</v>
      </c>
      <c r="I228" s="45">
        <v>1.0</v>
      </c>
      <c r="J228" s="45">
        <v>7918.0</v>
      </c>
      <c r="K228" s="45">
        <v>8076.0</v>
      </c>
      <c r="L228" s="45">
        <v>264.0</v>
      </c>
      <c r="M228" s="45">
        <v>67.0</v>
      </c>
      <c r="N228" s="45">
        <v>7918.0</v>
      </c>
      <c r="O228" s="46">
        <v>48.0</v>
      </c>
      <c r="P228" s="46">
        <v>8.0</v>
      </c>
      <c r="Q228" s="46">
        <f>IFERROR(__xludf.DUMMYFUNCTION("""COMPUTED_VALUE"""),0.0)</f>
        <v>0</v>
      </c>
      <c r="R228" s="47">
        <v>158.0</v>
      </c>
    </row>
    <row r="229" ht="22.5" customHeight="1">
      <c r="A229" s="42">
        <v>44526.0</v>
      </c>
      <c r="B229" s="43">
        <v>44526.54167824074</v>
      </c>
      <c r="C229" s="17" t="s">
        <v>78</v>
      </c>
      <c r="D229" s="17" t="s">
        <v>755</v>
      </c>
      <c r="E229" s="17" t="s">
        <v>84</v>
      </c>
      <c r="F229" s="17" t="s">
        <v>50</v>
      </c>
      <c r="G229" s="17" t="s">
        <v>756</v>
      </c>
      <c r="H229" s="44" t="s">
        <v>757</v>
      </c>
      <c r="I229" s="45">
        <v>1.0</v>
      </c>
      <c r="J229" s="45">
        <v>5631.0</v>
      </c>
      <c r="K229" s="45">
        <v>5755.0</v>
      </c>
      <c r="L229" s="45">
        <v>52.0</v>
      </c>
      <c r="M229" s="45">
        <v>32.0</v>
      </c>
      <c r="N229" s="45">
        <v>5631.0</v>
      </c>
      <c r="O229" s="46">
        <v>48.0</v>
      </c>
      <c r="P229" s="46">
        <v>13.0</v>
      </c>
      <c r="Q229" s="46">
        <f>IFERROR(__xludf.DUMMYFUNCTION("""COMPUTED_VALUE"""),0.0)</f>
        <v>0</v>
      </c>
      <c r="R229" s="47">
        <v>124.0</v>
      </c>
    </row>
    <row r="230" ht="22.5" customHeight="1">
      <c r="A230" s="42">
        <v>44526.0</v>
      </c>
      <c r="B230" s="43">
        <v>44526.702314814815</v>
      </c>
      <c r="C230" s="17" t="s">
        <v>78</v>
      </c>
      <c r="D230" s="17" t="s">
        <v>758</v>
      </c>
      <c r="E230" s="17" t="s">
        <v>109</v>
      </c>
      <c r="F230" s="17" t="s">
        <v>52</v>
      </c>
      <c r="G230" s="17"/>
      <c r="H230" s="44" t="s">
        <v>759</v>
      </c>
      <c r="I230" s="45">
        <v>1.0</v>
      </c>
      <c r="J230" s="45">
        <v>277.0</v>
      </c>
      <c r="K230" s="45">
        <v>288.0</v>
      </c>
      <c r="L230" s="45">
        <v>65.0</v>
      </c>
      <c r="M230" s="45"/>
      <c r="N230" s="45">
        <v>277.0</v>
      </c>
      <c r="O230" s="46">
        <v>48.0</v>
      </c>
      <c r="P230" s="46">
        <v>16.0</v>
      </c>
      <c r="Q230" s="46">
        <f>IFERROR(__xludf.DUMMYFUNCTION("""COMPUTED_VALUE"""),0.0)</f>
        <v>0</v>
      </c>
      <c r="R230" s="47">
        <v>11.0</v>
      </c>
    </row>
    <row r="231" ht="22.5" customHeight="1">
      <c r="A231" s="42">
        <v>44527.0</v>
      </c>
      <c r="B231" s="43">
        <v>44527.375023148146</v>
      </c>
      <c r="C231" s="17" t="s">
        <v>78</v>
      </c>
      <c r="D231" s="17" t="s">
        <v>760</v>
      </c>
      <c r="E231" s="17" t="s">
        <v>84</v>
      </c>
      <c r="F231" s="17" t="s">
        <v>50</v>
      </c>
      <c r="G231" s="17" t="s">
        <v>720</v>
      </c>
      <c r="H231" s="44" t="s">
        <v>761</v>
      </c>
      <c r="I231" s="45">
        <v>1.0</v>
      </c>
      <c r="J231" s="45">
        <v>22476.0</v>
      </c>
      <c r="K231" s="45">
        <v>22980.0</v>
      </c>
      <c r="L231" s="45">
        <v>154.0</v>
      </c>
      <c r="M231" s="45">
        <v>61.0</v>
      </c>
      <c r="N231" s="45">
        <v>22476.0</v>
      </c>
      <c r="O231" s="46">
        <v>48.0</v>
      </c>
      <c r="P231" s="46">
        <v>9.0</v>
      </c>
      <c r="Q231" s="46">
        <f>IFERROR(__xludf.DUMMYFUNCTION("""COMPUTED_VALUE"""),0.0)</f>
        <v>0</v>
      </c>
      <c r="R231" s="47">
        <v>504.0</v>
      </c>
    </row>
    <row r="232" ht="22.5" customHeight="1">
      <c r="A232" s="42">
        <v>44527.0</v>
      </c>
      <c r="B232" s="43">
        <v>44527.375023148146</v>
      </c>
      <c r="C232" s="17" t="s">
        <v>78</v>
      </c>
      <c r="D232" s="17" t="s">
        <v>762</v>
      </c>
      <c r="E232" s="17" t="s">
        <v>84</v>
      </c>
      <c r="F232" s="17" t="s">
        <v>50</v>
      </c>
      <c r="G232" s="17" t="s">
        <v>763</v>
      </c>
      <c r="H232" s="44" t="s">
        <v>764</v>
      </c>
      <c r="I232" s="45">
        <v>1.0</v>
      </c>
      <c r="J232" s="45">
        <v>11502.0</v>
      </c>
      <c r="K232" s="45">
        <v>12318.0</v>
      </c>
      <c r="L232" s="45">
        <v>661.0</v>
      </c>
      <c r="M232" s="45">
        <v>137.0</v>
      </c>
      <c r="N232" s="45">
        <v>11502.0</v>
      </c>
      <c r="O232" s="46">
        <v>48.0</v>
      </c>
      <c r="P232" s="46">
        <v>9.0</v>
      </c>
      <c r="Q232" s="46">
        <f>IFERROR(__xludf.DUMMYFUNCTION("""COMPUTED_VALUE"""),0.0)</f>
        <v>0</v>
      </c>
      <c r="R232" s="47">
        <v>816.0</v>
      </c>
    </row>
    <row r="233" ht="22.5" customHeight="1">
      <c r="A233" s="42">
        <v>44527.0</v>
      </c>
      <c r="B233" s="43">
        <v>44527.66670138889</v>
      </c>
      <c r="C233" s="17" t="s">
        <v>78</v>
      </c>
      <c r="D233" s="17" t="s">
        <v>765</v>
      </c>
      <c r="E233" s="17" t="s">
        <v>84</v>
      </c>
      <c r="F233" s="17" t="s">
        <v>47</v>
      </c>
      <c r="G233" s="17" t="s">
        <v>766</v>
      </c>
      <c r="H233" s="44" t="s">
        <v>767</v>
      </c>
      <c r="I233" s="45">
        <v>1.0</v>
      </c>
      <c r="J233" s="45">
        <v>3354.0</v>
      </c>
      <c r="K233" s="45">
        <v>3910.0</v>
      </c>
      <c r="L233" s="45">
        <v>623.0</v>
      </c>
      <c r="M233" s="45">
        <v>461.0</v>
      </c>
      <c r="N233" s="45">
        <v>3354.0</v>
      </c>
      <c r="O233" s="46">
        <v>48.0</v>
      </c>
      <c r="P233" s="46">
        <v>16.0</v>
      </c>
      <c r="Q233" s="46">
        <f>IFERROR(__xludf.DUMMYFUNCTION("""COMPUTED_VALUE"""),0.0)</f>
        <v>0</v>
      </c>
      <c r="R233" s="47">
        <v>556.0</v>
      </c>
    </row>
    <row r="234" ht="22.5" customHeight="1">
      <c r="A234" s="42">
        <v>44527.0</v>
      </c>
      <c r="B234" s="43">
        <v>44527.833391203705</v>
      </c>
      <c r="C234" s="17" t="s">
        <v>78</v>
      </c>
      <c r="D234" s="17" t="s">
        <v>768</v>
      </c>
      <c r="E234" s="17" t="s">
        <v>84</v>
      </c>
      <c r="F234" s="17" t="s">
        <v>50</v>
      </c>
      <c r="G234" s="17" t="s">
        <v>769</v>
      </c>
      <c r="H234" s="44" t="s">
        <v>770</v>
      </c>
      <c r="I234" s="45">
        <v>1.0</v>
      </c>
      <c r="J234" s="45">
        <v>4871.0</v>
      </c>
      <c r="K234" s="45">
        <v>5157.0</v>
      </c>
      <c r="L234" s="45">
        <v>149.0</v>
      </c>
      <c r="M234" s="45">
        <v>52.0</v>
      </c>
      <c r="N234" s="45">
        <v>4871.0</v>
      </c>
      <c r="O234" s="46">
        <v>48.0</v>
      </c>
      <c r="P234" s="46">
        <v>20.0</v>
      </c>
      <c r="Q234" s="46">
        <f>IFERROR(__xludf.DUMMYFUNCTION("""COMPUTED_VALUE"""),0.0)</f>
        <v>0</v>
      </c>
      <c r="R234" s="47">
        <v>286.0</v>
      </c>
    </row>
    <row r="235" ht="22.5" customHeight="1">
      <c r="A235" s="42">
        <v>44528.0</v>
      </c>
      <c r="B235" s="43">
        <v>44528.37503472222</v>
      </c>
      <c r="C235" s="17" t="s">
        <v>78</v>
      </c>
      <c r="D235" s="17" t="s">
        <v>771</v>
      </c>
      <c r="E235" s="17" t="s">
        <v>84</v>
      </c>
      <c r="F235" s="17" t="s">
        <v>50</v>
      </c>
      <c r="G235" s="17" t="s">
        <v>772</v>
      </c>
      <c r="H235" s="44" t="s">
        <v>773</v>
      </c>
      <c r="I235" s="45">
        <v>1.0</v>
      </c>
      <c r="J235" s="45">
        <v>10052.0</v>
      </c>
      <c r="K235" s="45">
        <v>10346.0</v>
      </c>
      <c r="L235" s="45">
        <v>350.0</v>
      </c>
      <c r="M235" s="45">
        <v>45.0</v>
      </c>
      <c r="N235" s="45">
        <v>10052.0</v>
      </c>
      <c r="O235" s="46">
        <v>49.0</v>
      </c>
      <c r="P235" s="46">
        <v>9.0</v>
      </c>
      <c r="Q235" s="46">
        <f>IFERROR(__xludf.DUMMYFUNCTION("""COMPUTED_VALUE"""),0.0)</f>
        <v>0</v>
      </c>
      <c r="R235" s="47">
        <v>294.0</v>
      </c>
    </row>
    <row r="236" ht="22.5" customHeight="1">
      <c r="A236" s="42">
        <v>44528.0</v>
      </c>
      <c r="B236" s="43">
        <v>44528.458344907405</v>
      </c>
      <c r="C236" s="17" t="s">
        <v>78</v>
      </c>
      <c r="D236" s="17" t="s">
        <v>774</v>
      </c>
      <c r="E236" s="17" t="s">
        <v>84</v>
      </c>
      <c r="F236" s="17" t="s">
        <v>50</v>
      </c>
      <c r="G236" s="17" t="s">
        <v>775</v>
      </c>
      <c r="H236" s="44" t="s">
        <v>776</v>
      </c>
      <c r="I236" s="45">
        <v>1.0</v>
      </c>
      <c r="J236" s="45">
        <v>479.0</v>
      </c>
      <c r="K236" s="45">
        <v>496.0</v>
      </c>
      <c r="L236" s="45">
        <v>60.0</v>
      </c>
      <c r="M236" s="45">
        <v>11.0</v>
      </c>
      <c r="N236" s="45">
        <v>479.0</v>
      </c>
      <c r="O236" s="46">
        <v>49.0</v>
      </c>
      <c r="P236" s="46">
        <v>11.0</v>
      </c>
      <c r="Q236" s="46">
        <f>IFERROR(__xludf.DUMMYFUNCTION("""COMPUTED_VALUE"""),1.0)</f>
        <v>1</v>
      </c>
      <c r="R236" s="47">
        <v>17.0</v>
      </c>
    </row>
    <row r="237" ht="22.5" customHeight="1">
      <c r="A237" s="42">
        <v>44528.0</v>
      </c>
      <c r="B237" s="43">
        <v>44528.541666666664</v>
      </c>
      <c r="C237" s="17" t="s">
        <v>78</v>
      </c>
      <c r="D237" s="17" t="s">
        <v>777</v>
      </c>
      <c r="E237" s="17" t="s">
        <v>84</v>
      </c>
      <c r="F237" s="17" t="s">
        <v>50</v>
      </c>
      <c r="G237" s="17" t="s">
        <v>778</v>
      </c>
      <c r="H237" s="44" t="s">
        <v>779</v>
      </c>
      <c r="I237" s="45">
        <v>1.0</v>
      </c>
      <c r="J237" s="45">
        <v>7416.0</v>
      </c>
      <c r="K237" s="45">
        <v>9090.0</v>
      </c>
      <c r="L237" s="45">
        <v>1337.0</v>
      </c>
      <c r="M237" s="45">
        <v>652.0</v>
      </c>
      <c r="N237" s="45">
        <v>7416.0</v>
      </c>
      <c r="O237" s="46">
        <v>49.0</v>
      </c>
      <c r="P237" s="46">
        <v>13.0</v>
      </c>
      <c r="Q237" s="46">
        <f>IFERROR(__xludf.DUMMYFUNCTION("""COMPUTED_VALUE"""),0.0)</f>
        <v>0</v>
      </c>
      <c r="R237" s="47">
        <v>1674.0</v>
      </c>
    </row>
    <row r="238" ht="22.5" customHeight="1">
      <c r="A238" s="42">
        <v>44528.0</v>
      </c>
      <c r="B238" s="43">
        <v>44528.62501157408</v>
      </c>
      <c r="C238" s="17" t="s">
        <v>78</v>
      </c>
      <c r="D238" s="17" t="s">
        <v>780</v>
      </c>
      <c r="E238" s="17" t="s">
        <v>84</v>
      </c>
      <c r="F238" s="17" t="s">
        <v>50</v>
      </c>
      <c r="G238" s="17" t="s">
        <v>781</v>
      </c>
      <c r="H238" s="44" t="s">
        <v>782</v>
      </c>
      <c r="I238" s="45">
        <v>1.0</v>
      </c>
      <c r="J238" s="45">
        <v>11971.0</v>
      </c>
      <c r="K238" s="45">
        <v>12771.0</v>
      </c>
      <c r="L238" s="45">
        <v>204.0</v>
      </c>
      <c r="M238" s="45">
        <v>154.0</v>
      </c>
      <c r="N238" s="45">
        <v>11971.0</v>
      </c>
      <c r="O238" s="46">
        <v>49.0</v>
      </c>
      <c r="P238" s="46">
        <v>15.0</v>
      </c>
      <c r="Q238" s="46">
        <f>IFERROR(__xludf.DUMMYFUNCTION("""COMPUTED_VALUE"""),0.0)</f>
        <v>0</v>
      </c>
      <c r="R238" s="47">
        <v>800.0</v>
      </c>
    </row>
    <row r="239" ht="22.5" customHeight="1">
      <c r="A239" s="42">
        <v>44528.0</v>
      </c>
      <c r="B239" s="43">
        <v>44528.70144675926</v>
      </c>
      <c r="C239" s="17" t="s">
        <v>78</v>
      </c>
      <c r="D239" s="17" t="s">
        <v>783</v>
      </c>
      <c r="E239" s="17" t="s">
        <v>97</v>
      </c>
      <c r="F239" s="17" t="s">
        <v>52</v>
      </c>
      <c r="G239" s="17" t="s">
        <v>784</v>
      </c>
      <c r="H239" s="44" t="s">
        <v>785</v>
      </c>
      <c r="I239" s="45">
        <v>1.0</v>
      </c>
      <c r="J239" s="45">
        <v>678.0</v>
      </c>
      <c r="K239" s="45">
        <v>747.0</v>
      </c>
      <c r="L239" s="45">
        <v>222.0</v>
      </c>
      <c r="M239" s="45">
        <v>57.0</v>
      </c>
      <c r="N239" s="45">
        <v>678.0</v>
      </c>
      <c r="O239" s="46">
        <v>49.0</v>
      </c>
      <c r="P239" s="46">
        <v>16.0</v>
      </c>
      <c r="Q239" s="46">
        <f>IFERROR(__xludf.DUMMYFUNCTION("""COMPUTED_VALUE"""),0.0)</f>
        <v>0</v>
      </c>
      <c r="R239" s="47">
        <v>69.0</v>
      </c>
    </row>
    <row r="240" ht="22.5" customHeight="1">
      <c r="A240" s="42">
        <v>44528.0</v>
      </c>
      <c r="B240" s="43">
        <v>44528.87505787037</v>
      </c>
      <c r="C240" s="17" t="s">
        <v>78</v>
      </c>
      <c r="D240" s="17" t="s">
        <v>786</v>
      </c>
      <c r="E240" s="17" t="s">
        <v>80</v>
      </c>
      <c r="F240" s="17" t="s">
        <v>55</v>
      </c>
      <c r="G240" s="17" t="s">
        <v>787</v>
      </c>
      <c r="H240" s="44" t="s">
        <v>788</v>
      </c>
      <c r="I240" s="45">
        <v>1.0</v>
      </c>
      <c r="J240" s="45">
        <v>1963.0</v>
      </c>
      <c r="K240" s="45">
        <v>2195.0</v>
      </c>
      <c r="L240" s="45">
        <v>116.0</v>
      </c>
      <c r="M240" s="45">
        <v>51.0</v>
      </c>
      <c r="N240" s="45">
        <v>1963.0</v>
      </c>
      <c r="O240" s="46">
        <v>49.0</v>
      </c>
      <c r="P240" s="46">
        <v>21.0</v>
      </c>
      <c r="Q240" s="46">
        <f>IFERROR(__xludf.DUMMYFUNCTION("""COMPUTED_VALUE"""),0.0)</f>
        <v>0</v>
      </c>
      <c r="R240" s="47">
        <v>232.0</v>
      </c>
    </row>
    <row r="241" ht="22.5" customHeight="1">
      <c r="A241" s="42">
        <v>44529.0</v>
      </c>
      <c r="B241" s="43">
        <v>44529.87503472222</v>
      </c>
      <c r="C241" s="17" t="s">
        <v>78</v>
      </c>
      <c r="D241" s="17" t="s">
        <v>789</v>
      </c>
      <c r="E241" s="17" t="s">
        <v>84</v>
      </c>
      <c r="F241" s="17" t="s">
        <v>50</v>
      </c>
      <c r="G241" s="17" t="s">
        <v>790</v>
      </c>
      <c r="H241" s="44" t="s">
        <v>791</v>
      </c>
      <c r="I241" s="45">
        <v>1.0</v>
      </c>
      <c r="J241" s="45">
        <v>14512.0</v>
      </c>
      <c r="K241" s="45">
        <v>16546.0</v>
      </c>
      <c r="L241" s="45">
        <v>1305.0</v>
      </c>
      <c r="M241" s="45">
        <v>555.0</v>
      </c>
      <c r="N241" s="45">
        <v>14512.0</v>
      </c>
      <c r="O241" s="46">
        <v>49.0</v>
      </c>
      <c r="P241" s="46">
        <v>21.0</v>
      </c>
      <c r="Q241" s="46">
        <f>IFERROR(__xludf.DUMMYFUNCTION("""COMPUTED_VALUE"""),0.0)</f>
        <v>0</v>
      </c>
      <c r="R241" s="47">
        <v>2034.0</v>
      </c>
    </row>
    <row r="242" ht="22.5" customHeight="1">
      <c r="A242" s="42">
        <v>44530.0</v>
      </c>
      <c r="B242" s="43">
        <v>44530.41706018519</v>
      </c>
      <c r="C242" s="17" t="s">
        <v>78</v>
      </c>
      <c r="D242" s="17" t="s">
        <v>792</v>
      </c>
      <c r="E242" s="17" t="s">
        <v>80</v>
      </c>
      <c r="F242" s="17" t="s">
        <v>55</v>
      </c>
      <c r="G242" s="17" t="s">
        <v>793</v>
      </c>
      <c r="H242" s="44" t="s">
        <v>794</v>
      </c>
      <c r="I242" s="45">
        <v>1.0</v>
      </c>
      <c r="J242" s="45">
        <v>738.0</v>
      </c>
      <c r="K242" s="45">
        <v>779.0</v>
      </c>
      <c r="L242" s="45">
        <v>27.0</v>
      </c>
      <c r="M242" s="45">
        <v>22.0</v>
      </c>
      <c r="N242" s="45">
        <v>738.0</v>
      </c>
      <c r="O242" s="46">
        <v>49.0</v>
      </c>
      <c r="P242" s="46">
        <v>10.0</v>
      </c>
      <c r="Q242" s="46">
        <f>IFERROR(__xludf.DUMMYFUNCTION("""COMPUTED_VALUE"""),0.0)</f>
        <v>0</v>
      </c>
      <c r="R242" s="47">
        <v>41.0</v>
      </c>
    </row>
    <row r="243" ht="22.5" customHeight="1">
      <c r="A243" s="42">
        <v>44530.0</v>
      </c>
      <c r="B243" s="43">
        <v>44530.458344907405</v>
      </c>
      <c r="C243" s="17" t="s">
        <v>78</v>
      </c>
      <c r="D243" s="17" t="s">
        <v>795</v>
      </c>
      <c r="E243" s="17" t="s">
        <v>84</v>
      </c>
      <c r="F243" s="17" t="s">
        <v>50</v>
      </c>
      <c r="G243" s="17" t="s">
        <v>796</v>
      </c>
      <c r="H243" s="44" t="s">
        <v>797</v>
      </c>
      <c r="I243" s="45">
        <v>1.0</v>
      </c>
      <c r="J243" s="45">
        <v>6390.0</v>
      </c>
      <c r="K243" s="45">
        <v>6697.0</v>
      </c>
      <c r="L243" s="45">
        <v>178.0</v>
      </c>
      <c r="M243" s="45">
        <v>35.0</v>
      </c>
      <c r="N243" s="45">
        <v>6390.0</v>
      </c>
      <c r="O243" s="46">
        <v>49.0</v>
      </c>
      <c r="P243" s="46">
        <v>11.0</v>
      </c>
      <c r="Q243" s="46">
        <f>IFERROR(__xludf.DUMMYFUNCTION("""COMPUTED_VALUE"""),0.0)</f>
        <v>0</v>
      </c>
      <c r="R243" s="47">
        <v>307.0</v>
      </c>
    </row>
    <row r="244" ht="22.5" customHeight="1">
      <c r="A244" s="42">
        <v>44530.0</v>
      </c>
      <c r="B244" s="43">
        <v>44530.500023148146</v>
      </c>
      <c r="C244" s="17" t="s">
        <v>78</v>
      </c>
      <c r="D244" s="17" t="s">
        <v>798</v>
      </c>
      <c r="E244" s="17" t="s">
        <v>84</v>
      </c>
      <c r="F244" s="17" t="s">
        <v>50</v>
      </c>
      <c r="G244" s="17" t="s">
        <v>799</v>
      </c>
      <c r="H244" s="44" t="s">
        <v>800</v>
      </c>
      <c r="I244" s="45">
        <v>1.0</v>
      </c>
      <c r="J244" s="45">
        <v>697.0</v>
      </c>
      <c r="K244" s="45">
        <v>733.0</v>
      </c>
      <c r="L244" s="45">
        <v>40.0</v>
      </c>
      <c r="M244" s="45">
        <v>111.0</v>
      </c>
      <c r="N244" s="45">
        <v>697.0</v>
      </c>
      <c r="O244" s="46">
        <v>49.0</v>
      </c>
      <c r="P244" s="46">
        <v>12.0</v>
      </c>
      <c r="Q244" s="46">
        <f>IFERROR(__xludf.DUMMYFUNCTION("""COMPUTED_VALUE"""),0.0)</f>
        <v>0</v>
      </c>
      <c r="R244" s="47">
        <v>36.0</v>
      </c>
    </row>
    <row r="245" ht="22.5" customHeight="1">
      <c r="A245" s="42">
        <v>44530.0</v>
      </c>
      <c r="B245" s="43">
        <v>44530.58335648148</v>
      </c>
      <c r="C245" s="17" t="s">
        <v>78</v>
      </c>
      <c r="D245" s="17" t="s">
        <v>801</v>
      </c>
      <c r="E245" s="17" t="s">
        <v>80</v>
      </c>
      <c r="F245" s="17" t="s">
        <v>55</v>
      </c>
      <c r="G245" s="17" t="s">
        <v>802</v>
      </c>
      <c r="H245" s="44" t="s">
        <v>803</v>
      </c>
      <c r="I245" s="45">
        <v>1.0</v>
      </c>
      <c r="J245" s="45">
        <v>2439.0</v>
      </c>
      <c r="K245" s="45">
        <v>2970.0</v>
      </c>
      <c r="L245" s="45">
        <v>131.0</v>
      </c>
      <c r="M245" s="45">
        <v>72.0</v>
      </c>
      <c r="N245" s="45">
        <v>2439.0</v>
      </c>
      <c r="O245" s="46">
        <v>49.0</v>
      </c>
      <c r="P245" s="46">
        <v>14.0</v>
      </c>
      <c r="Q245" s="46">
        <f>IFERROR(__xludf.DUMMYFUNCTION("""COMPUTED_VALUE"""),0.0)</f>
        <v>0</v>
      </c>
      <c r="R245" s="47">
        <v>531.0</v>
      </c>
    </row>
    <row r="246" ht="22.5" customHeight="1">
      <c r="A246" s="42">
        <v>44546.0</v>
      </c>
      <c r="B246" s="43">
        <v>44546.54168981482</v>
      </c>
      <c r="C246" s="17" t="s">
        <v>78</v>
      </c>
      <c r="D246" s="17" t="s">
        <v>804</v>
      </c>
      <c r="E246" s="17" t="s">
        <v>80</v>
      </c>
      <c r="F246" s="17" t="s">
        <v>53</v>
      </c>
      <c r="G246" s="17" t="s">
        <v>805</v>
      </c>
      <c r="H246" s="44" t="s">
        <v>806</v>
      </c>
      <c r="I246" s="45">
        <v>1.0</v>
      </c>
      <c r="J246" s="45">
        <v>629.0</v>
      </c>
      <c r="K246" s="45">
        <v>682.0</v>
      </c>
      <c r="L246" s="45">
        <v>34.0</v>
      </c>
      <c r="M246" s="45">
        <v>10.0</v>
      </c>
      <c r="N246" s="45">
        <v>629.0</v>
      </c>
      <c r="O246" s="46">
        <v>51.0</v>
      </c>
      <c r="P246" s="46">
        <v>13.0</v>
      </c>
      <c r="Q246" s="46">
        <f>IFERROR(__xludf.DUMMYFUNCTION("""COMPUTED_VALUE"""),0.0)</f>
        <v>0</v>
      </c>
      <c r="R246" s="47">
        <v>53.0</v>
      </c>
    </row>
    <row r="247" ht="22.5" customHeight="1">
      <c r="A247" s="42">
        <v>44546.0</v>
      </c>
      <c r="B247" s="43">
        <v>44546.66667824074</v>
      </c>
      <c r="C247" s="17" t="s">
        <v>78</v>
      </c>
      <c r="D247" s="17" t="s">
        <v>807</v>
      </c>
      <c r="E247" s="17" t="s">
        <v>80</v>
      </c>
      <c r="F247" s="17" t="s">
        <v>53</v>
      </c>
      <c r="G247" s="17" t="s">
        <v>808</v>
      </c>
      <c r="H247" s="44" t="s">
        <v>809</v>
      </c>
      <c r="I247" s="45">
        <v>1.0</v>
      </c>
      <c r="J247" s="45">
        <v>826.0</v>
      </c>
      <c r="K247" s="45">
        <v>896.0</v>
      </c>
      <c r="L247" s="45">
        <v>40.0</v>
      </c>
      <c r="M247" s="45">
        <v>40.0</v>
      </c>
      <c r="N247" s="45">
        <v>826.0</v>
      </c>
      <c r="O247" s="46">
        <v>51.0</v>
      </c>
      <c r="P247" s="46">
        <v>16.0</v>
      </c>
      <c r="Q247" s="46">
        <f>IFERROR(__xludf.DUMMYFUNCTION("""COMPUTED_VALUE"""),0.0)</f>
        <v>0</v>
      </c>
      <c r="R247" s="47">
        <v>70.0</v>
      </c>
    </row>
    <row r="248" ht="22.5" customHeight="1">
      <c r="A248" s="42">
        <v>44546.0</v>
      </c>
      <c r="B248" s="43">
        <v>44546.75005787037</v>
      </c>
      <c r="C248" s="17" t="s">
        <v>78</v>
      </c>
      <c r="D248" s="17" t="s">
        <v>810</v>
      </c>
      <c r="E248" s="17" t="s">
        <v>84</v>
      </c>
      <c r="F248" s="17" t="s">
        <v>50</v>
      </c>
      <c r="G248" s="17" t="s">
        <v>811</v>
      </c>
      <c r="H248" s="44" t="s">
        <v>812</v>
      </c>
      <c r="I248" s="45">
        <v>1.0</v>
      </c>
      <c r="J248" s="45">
        <v>184.0</v>
      </c>
      <c r="K248" s="45">
        <v>187.0</v>
      </c>
      <c r="L248" s="45">
        <v>8.0</v>
      </c>
      <c r="M248" s="45">
        <v>7.0</v>
      </c>
      <c r="N248" s="45">
        <v>184.0</v>
      </c>
      <c r="O248" s="46">
        <v>51.0</v>
      </c>
      <c r="P248" s="46">
        <v>18.0</v>
      </c>
      <c r="Q248" s="46">
        <f>IFERROR(__xludf.DUMMYFUNCTION("""COMPUTED_VALUE"""),0.0)</f>
        <v>0</v>
      </c>
      <c r="R248" s="47">
        <v>3.0</v>
      </c>
    </row>
    <row r="249" ht="22.5" customHeight="1">
      <c r="A249" s="42">
        <v>44546.0</v>
      </c>
      <c r="B249" s="43">
        <v>44546.7815162037</v>
      </c>
      <c r="C249" s="17" t="s">
        <v>78</v>
      </c>
      <c r="D249" s="17" t="s">
        <v>813</v>
      </c>
      <c r="E249" s="17" t="s">
        <v>80</v>
      </c>
      <c r="F249" s="17" t="s">
        <v>55</v>
      </c>
      <c r="G249" s="17" t="s">
        <v>814</v>
      </c>
      <c r="H249" s="44" t="s">
        <v>815</v>
      </c>
      <c r="I249" s="45">
        <v>1.0</v>
      </c>
      <c r="J249" s="45">
        <v>308.0</v>
      </c>
      <c r="K249" s="45">
        <v>449.0</v>
      </c>
      <c r="L249" s="45">
        <v>201.0</v>
      </c>
      <c r="M249" s="45">
        <v>72.0</v>
      </c>
      <c r="N249" s="45">
        <v>308.0</v>
      </c>
      <c r="O249" s="46">
        <v>51.0</v>
      </c>
      <c r="P249" s="46">
        <v>18.0</v>
      </c>
      <c r="Q249" s="46">
        <f>IFERROR(__xludf.DUMMYFUNCTION("""COMPUTED_VALUE"""),0.0)</f>
        <v>0</v>
      </c>
      <c r="R249" s="47">
        <v>141.0</v>
      </c>
    </row>
    <row r="250" ht="22.5" customHeight="1">
      <c r="A250" s="42">
        <v>44546.0</v>
      </c>
      <c r="B250" s="43">
        <v>44546.83335648148</v>
      </c>
      <c r="C250" s="17" t="s">
        <v>78</v>
      </c>
      <c r="D250" s="17" t="s">
        <v>816</v>
      </c>
      <c r="E250" s="17" t="s">
        <v>84</v>
      </c>
      <c r="F250" s="17" t="s">
        <v>50</v>
      </c>
      <c r="G250" s="17" t="s">
        <v>817</v>
      </c>
      <c r="H250" s="44" t="s">
        <v>818</v>
      </c>
      <c r="I250" s="45">
        <v>1.0</v>
      </c>
      <c r="J250" s="45">
        <v>21816.0</v>
      </c>
      <c r="K250" s="45">
        <v>22184.0</v>
      </c>
      <c r="L250" s="45">
        <v>161.0</v>
      </c>
      <c r="M250" s="45">
        <v>51.0</v>
      </c>
      <c r="N250" s="45">
        <v>21816.0</v>
      </c>
      <c r="O250" s="46">
        <v>51.0</v>
      </c>
      <c r="P250" s="46">
        <v>20.0</v>
      </c>
      <c r="Q250" s="46">
        <f>IFERROR(__xludf.DUMMYFUNCTION("""COMPUTED_VALUE"""),0.0)</f>
        <v>0</v>
      </c>
      <c r="R250" s="47">
        <v>368.0</v>
      </c>
    </row>
    <row r="251" ht="22.5" customHeight="1">
      <c r="A251" s="42">
        <v>44547.0</v>
      </c>
      <c r="B251" s="43">
        <v>44547.333333333336</v>
      </c>
      <c r="C251" s="17" t="s">
        <v>78</v>
      </c>
      <c r="D251" s="17" t="s">
        <v>819</v>
      </c>
      <c r="E251" s="17" t="s">
        <v>84</v>
      </c>
      <c r="F251" s="17" t="s">
        <v>50</v>
      </c>
      <c r="G251" s="17" t="s">
        <v>820</v>
      </c>
      <c r="H251" s="44" t="s">
        <v>821</v>
      </c>
      <c r="I251" s="45">
        <v>1.0</v>
      </c>
      <c r="J251" s="45">
        <v>206.0</v>
      </c>
      <c r="K251" s="45">
        <v>218.0</v>
      </c>
      <c r="L251" s="45">
        <v>23.0</v>
      </c>
      <c r="M251" s="45">
        <v>3.0</v>
      </c>
      <c r="N251" s="45">
        <v>206.0</v>
      </c>
      <c r="O251" s="46">
        <v>51.0</v>
      </c>
      <c r="P251" s="46">
        <v>8.0</v>
      </c>
      <c r="Q251" s="46">
        <f>IFERROR(__xludf.DUMMYFUNCTION("""COMPUTED_VALUE"""),1.0)</f>
        <v>1</v>
      </c>
      <c r="R251" s="47">
        <v>12.0</v>
      </c>
    </row>
    <row r="252" ht="22.5" customHeight="1">
      <c r="A252" s="42">
        <v>44547.0</v>
      </c>
      <c r="B252" s="43">
        <v>44547.37501157408</v>
      </c>
      <c r="C252" s="17" t="s">
        <v>78</v>
      </c>
      <c r="D252" s="17" t="s">
        <v>822</v>
      </c>
      <c r="E252" s="17" t="s">
        <v>84</v>
      </c>
      <c r="F252" s="17" t="s">
        <v>50</v>
      </c>
      <c r="G252" s="17" t="s">
        <v>823</v>
      </c>
      <c r="H252" s="44" t="s">
        <v>824</v>
      </c>
      <c r="I252" s="45">
        <v>1.0</v>
      </c>
      <c r="J252" s="45">
        <v>8665.0</v>
      </c>
      <c r="K252" s="45">
        <v>10329.0</v>
      </c>
      <c r="L252" s="45">
        <v>786.0</v>
      </c>
      <c r="M252" s="45">
        <v>215.0</v>
      </c>
      <c r="N252" s="45">
        <v>8665.0</v>
      </c>
      <c r="O252" s="46">
        <v>51.0</v>
      </c>
      <c r="P252" s="46">
        <v>9.0</v>
      </c>
      <c r="Q252" s="46">
        <f>IFERROR(__xludf.DUMMYFUNCTION("""COMPUTED_VALUE"""),0.0)</f>
        <v>0</v>
      </c>
      <c r="R252" s="47">
        <v>1664.0</v>
      </c>
    </row>
    <row r="253" ht="22.5" customHeight="1">
      <c r="A253" s="42">
        <v>44547.0</v>
      </c>
      <c r="B253" s="43">
        <v>44547.458344907405</v>
      </c>
      <c r="C253" s="17" t="s">
        <v>78</v>
      </c>
      <c r="D253" s="17" t="s">
        <v>825</v>
      </c>
      <c r="E253" s="17" t="s">
        <v>84</v>
      </c>
      <c r="F253" s="17" t="s">
        <v>50</v>
      </c>
      <c r="G253" s="17" t="s">
        <v>826</v>
      </c>
      <c r="H253" s="44" t="s">
        <v>827</v>
      </c>
      <c r="I253" s="45">
        <v>1.0</v>
      </c>
      <c r="J253" s="45">
        <v>8296.0</v>
      </c>
      <c r="K253" s="45">
        <v>9179.0</v>
      </c>
      <c r="L253" s="45">
        <v>322.0</v>
      </c>
      <c r="M253" s="45">
        <v>231.0</v>
      </c>
      <c r="N253" s="45">
        <v>8296.0</v>
      </c>
      <c r="O253" s="46">
        <v>51.0</v>
      </c>
      <c r="P253" s="46">
        <v>11.0</v>
      </c>
      <c r="Q253" s="46">
        <f>IFERROR(__xludf.DUMMYFUNCTION("""COMPUTED_VALUE"""),0.0)</f>
        <v>0</v>
      </c>
      <c r="R253" s="47">
        <v>883.0</v>
      </c>
    </row>
    <row r="254" ht="22.5" customHeight="1">
      <c r="A254" s="42">
        <v>44547.0</v>
      </c>
      <c r="B254" s="43">
        <v>44547.62501157408</v>
      </c>
      <c r="C254" s="17" t="s">
        <v>78</v>
      </c>
      <c r="D254" s="17" t="s">
        <v>828</v>
      </c>
      <c r="E254" s="17" t="s">
        <v>84</v>
      </c>
      <c r="F254" s="17" t="s">
        <v>47</v>
      </c>
      <c r="G254" s="17" t="s">
        <v>829</v>
      </c>
      <c r="H254" s="44" t="s">
        <v>830</v>
      </c>
      <c r="I254" s="45">
        <v>1.0</v>
      </c>
      <c r="J254" s="45">
        <v>2498.0</v>
      </c>
      <c r="K254" s="45">
        <v>2784.0</v>
      </c>
      <c r="L254" s="45">
        <v>212.0</v>
      </c>
      <c r="M254" s="45">
        <v>170.0</v>
      </c>
      <c r="N254" s="45">
        <v>2498.0</v>
      </c>
      <c r="O254" s="46">
        <v>51.0</v>
      </c>
      <c r="P254" s="46">
        <v>15.0</v>
      </c>
      <c r="Q254" s="46">
        <f>IFERROR(__xludf.DUMMYFUNCTION("""COMPUTED_VALUE"""),0.0)</f>
        <v>0</v>
      </c>
      <c r="R254" s="47">
        <v>286.0</v>
      </c>
    </row>
    <row r="255" ht="22.5" customHeight="1">
      <c r="A255" s="42">
        <v>44547.0</v>
      </c>
      <c r="B255" s="43">
        <v>44547.666712962964</v>
      </c>
      <c r="C255" s="17" t="s">
        <v>78</v>
      </c>
      <c r="D255" s="17" t="s">
        <v>831</v>
      </c>
      <c r="E255" s="17" t="s">
        <v>80</v>
      </c>
      <c r="F255" s="17" t="s">
        <v>55</v>
      </c>
      <c r="G255" s="17" t="s">
        <v>832</v>
      </c>
      <c r="H255" s="44" t="s">
        <v>833</v>
      </c>
      <c r="I255" s="45">
        <v>1.0</v>
      </c>
      <c r="J255" s="45">
        <v>549.0</v>
      </c>
      <c r="K255" s="45">
        <v>584.0</v>
      </c>
      <c r="L255" s="45">
        <v>52.0</v>
      </c>
      <c r="M255" s="45">
        <v>13.0</v>
      </c>
      <c r="N255" s="45">
        <v>549.0</v>
      </c>
      <c r="O255" s="46">
        <v>51.0</v>
      </c>
      <c r="P255" s="46">
        <v>16.0</v>
      </c>
      <c r="Q255" s="46">
        <f>IFERROR(__xludf.DUMMYFUNCTION("""COMPUTED_VALUE"""),0.0)</f>
        <v>0</v>
      </c>
      <c r="R255" s="47">
        <v>35.0</v>
      </c>
    </row>
    <row r="256" ht="22.5" customHeight="1">
      <c r="A256" s="42">
        <v>44547.0</v>
      </c>
      <c r="B256" s="43">
        <v>44547.75003472222</v>
      </c>
      <c r="C256" s="17" t="s">
        <v>78</v>
      </c>
      <c r="D256" s="17" t="s">
        <v>834</v>
      </c>
      <c r="E256" s="17" t="s">
        <v>84</v>
      </c>
      <c r="F256" s="17" t="s">
        <v>50</v>
      </c>
      <c r="G256" s="17" t="s">
        <v>835</v>
      </c>
      <c r="H256" s="44" t="s">
        <v>836</v>
      </c>
      <c r="I256" s="45">
        <v>1.0</v>
      </c>
      <c r="J256" s="45">
        <v>170.0</v>
      </c>
      <c r="K256" s="45">
        <v>174.0</v>
      </c>
      <c r="L256" s="45">
        <v>19.0</v>
      </c>
      <c r="N256" s="45">
        <v>170.0</v>
      </c>
      <c r="O256" s="46">
        <v>51.0</v>
      </c>
      <c r="P256" s="46">
        <v>18.0</v>
      </c>
      <c r="Q256" s="46">
        <f>IFERROR(__xludf.DUMMYFUNCTION("""COMPUTED_VALUE"""),0.0)</f>
        <v>0</v>
      </c>
      <c r="R256" s="47">
        <v>4.0</v>
      </c>
    </row>
    <row r="257" ht="22.5" customHeight="1">
      <c r="A257" s="42">
        <v>44547.0</v>
      </c>
      <c r="B257" s="43">
        <v>44547.782118055555</v>
      </c>
      <c r="C257" s="17" t="s">
        <v>78</v>
      </c>
      <c r="D257" s="17" t="s">
        <v>837</v>
      </c>
      <c r="E257" s="17" t="s">
        <v>80</v>
      </c>
      <c r="F257" s="17" t="s">
        <v>55</v>
      </c>
      <c r="G257" s="17" t="s">
        <v>838</v>
      </c>
      <c r="H257" s="44" t="s">
        <v>839</v>
      </c>
      <c r="I257" s="45">
        <v>1.0</v>
      </c>
      <c r="J257" s="45">
        <v>324.0</v>
      </c>
      <c r="K257" s="45">
        <v>437.0</v>
      </c>
      <c r="L257" s="45">
        <v>305.0</v>
      </c>
      <c r="M257" s="45">
        <v>69.0</v>
      </c>
      <c r="N257" s="45">
        <v>324.0</v>
      </c>
      <c r="O257" s="46">
        <v>51.0</v>
      </c>
      <c r="P257" s="46">
        <v>18.0</v>
      </c>
      <c r="Q257" s="46">
        <f>IFERROR(__xludf.DUMMYFUNCTION("""COMPUTED_VALUE"""),0.0)</f>
        <v>0</v>
      </c>
      <c r="R257" s="47">
        <v>113.0</v>
      </c>
    </row>
    <row r="258" ht="22.5" customHeight="1">
      <c r="A258" s="42">
        <v>44548.0</v>
      </c>
      <c r="B258" s="43">
        <v>44548.333344907405</v>
      </c>
      <c r="C258" s="17" t="s">
        <v>78</v>
      </c>
      <c r="D258" s="17" t="s">
        <v>840</v>
      </c>
      <c r="E258" s="17" t="s">
        <v>84</v>
      </c>
      <c r="F258" s="17" t="s">
        <v>50</v>
      </c>
      <c r="G258" s="17" t="s">
        <v>841</v>
      </c>
      <c r="H258" s="44" t="s">
        <v>842</v>
      </c>
      <c r="I258" s="45">
        <v>1.0</v>
      </c>
      <c r="J258" s="45">
        <v>8784.0</v>
      </c>
      <c r="K258" s="45">
        <v>8943.0</v>
      </c>
      <c r="L258" s="45">
        <v>176.0</v>
      </c>
      <c r="M258" s="45">
        <v>71.0</v>
      </c>
      <c r="N258" s="45">
        <v>8784.0</v>
      </c>
      <c r="O258" s="46">
        <v>51.0</v>
      </c>
      <c r="P258" s="46">
        <v>8.0</v>
      </c>
      <c r="Q258" s="46">
        <f>IFERROR(__xludf.DUMMYFUNCTION("""COMPUTED_VALUE"""),0.0)</f>
        <v>0</v>
      </c>
      <c r="R258" s="47">
        <v>159.0</v>
      </c>
    </row>
    <row r="259" ht="22.5" customHeight="1">
      <c r="A259" s="42">
        <v>44548.0</v>
      </c>
      <c r="B259" s="43">
        <v>44548.37501157408</v>
      </c>
      <c r="C259" s="17" t="s">
        <v>78</v>
      </c>
      <c r="D259" s="17" t="s">
        <v>843</v>
      </c>
      <c r="E259" s="17" t="s">
        <v>84</v>
      </c>
      <c r="F259" s="17" t="s">
        <v>50</v>
      </c>
      <c r="G259" s="17" t="s">
        <v>844</v>
      </c>
      <c r="H259" s="44" t="s">
        <v>845</v>
      </c>
      <c r="I259" s="45">
        <v>1.0</v>
      </c>
      <c r="J259" s="45">
        <v>9349.0</v>
      </c>
      <c r="K259" s="45">
        <v>9464.0</v>
      </c>
      <c r="L259" s="45">
        <v>240.0</v>
      </c>
      <c r="M259" s="45">
        <v>25.0</v>
      </c>
      <c r="N259" s="45">
        <v>9349.0</v>
      </c>
      <c r="O259" s="46">
        <v>51.0</v>
      </c>
      <c r="P259" s="46">
        <v>9.0</v>
      </c>
      <c r="Q259" s="46">
        <f>IFERROR(__xludf.DUMMYFUNCTION("""COMPUTED_VALUE"""),1.0)</f>
        <v>1</v>
      </c>
      <c r="R259" s="47">
        <v>115.0</v>
      </c>
    </row>
    <row r="260" ht="22.5" customHeight="1">
      <c r="A260" s="42">
        <v>44548.0</v>
      </c>
      <c r="B260" s="43">
        <v>44548.458344907405</v>
      </c>
      <c r="C260" s="17" t="s">
        <v>78</v>
      </c>
      <c r="D260" s="17" t="s">
        <v>846</v>
      </c>
      <c r="E260" s="17" t="s">
        <v>109</v>
      </c>
      <c r="F260" s="17" t="s">
        <v>49</v>
      </c>
      <c r="G260" s="17" t="s">
        <v>847</v>
      </c>
      <c r="H260" s="44" t="s">
        <v>848</v>
      </c>
      <c r="I260" s="45">
        <v>1.0</v>
      </c>
      <c r="J260" s="45">
        <v>820.0</v>
      </c>
      <c r="K260" s="45">
        <v>885.0</v>
      </c>
      <c r="L260" s="45">
        <v>73.0</v>
      </c>
      <c r="M260" s="45">
        <v>17.0</v>
      </c>
      <c r="N260" s="45">
        <v>820.0</v>
      </c>
      <c r="O260" s="46">
        <v>51.0</v>
      </c>
      <c r="P260" s="46">
        <v>11.0</v>
      </c>
      <c r="Q260" s="46">
        <f>IFERROR(__xludf.DUMMYFUNCTION("""COMPUTED_VALUE"""),0.0)</f>
        <v>0</v>
      </c>
      <c r="R260" s="47">
        <v>65.0</v>
      </c>
    </row>
    <row r="261" ht="22.5" customHeight="1">
      <c r="A261" s="42">
        <v>44548.0</v>
      </c>
      <c r="B261" s="43">
        <v>44548.541666666664</v>
      </c>
      <c r="C261" s="17" t="s">
        <v>78</v>
      </c>
      <c r="D261" s="17" t="s">
        <v>849</v>
      </c>
      <c r="E261" s="17" t="s">
        <v>84</v>
      </c>
      <c r="F261" s="17" t="s">
        <v>50</v>
      </c>
      <c r="G261" s="17" t="s">
        <v>850</v>
      </c>
      <c r="H261" s="44" t="s">
        <v>851</v>
      </c>
      <c r="I261" s="45">
        <v>1.0</v>
      </c>
      <c r="J261" s="45">
        <v>7253.0</v>
      </c>
      <c r="K261" s="45">
        <v>7680.0</v>
      </c>
      <c r="L261" s="45">
        <v>724.0</v>
      </c>
      <c r="M261" s="45">
        <v>247.0</v>
      </c>
      <c r="N261" s="45">
        <v>7253.0</v>
      </c>
      <c r="O261" s="46">
        <v>51.0</v>
      </c>
      <c r="P261" s="46">
        <v>13.0</v>
      </c>
      <c r="Q261" s="46">
        <f>IFERROR(__xludf.DUMMYFUNCTION("""COMPUTED_VALUE"""),0.0)</f>
        <v>0</v>
      </c>
      <c r="R261" s="47">
        <v>427.0</v>
      </c>
    </row>
    <row r="262" ht="22.5" customHeight="1">
      <c r="A262" s="42">
        <v>44548.0</v>
      </c>
      <c r="B262" s="43">
        <v>44548.625</v>
      </c>
      <c r="C262" s="17" t="s">
        <v>78</v>
      </c>
      <c r="D262" s="17" t="s">
        <v>852</v>
      </c>
      <c r="E262" s="17" t="s">
        <v>84</v>
      </c>
      <c r="F262" s="17" t="s">
        <v>50</v>
      </c>
      <c r="G262" s="17" t="s">
        <v>853</v>
      </c>
      <c r="H262" s="44" t="s">
        <v>854</v>
      </c>
      <c r="I262" s="45">
        <v>1.0</v>
      </c>
      <c r="J262" s="45">
        <v>162.0</v>
      </c>
      <c r="K262" s="45">
        <v>167.0</v>
      </c>
      <c r="L262" s="45">
        <v>25.0</v>
      </c>
      <c r="M262" s="45">
        <v>4.0</v>
      </c>
      <c r="N262" s="45">
        <v>162.0</v>
      </c>
      <c r="O262" s="46">
        <v>51.0</v>
      </c>
      <c r="P262" s="46">
        <v>15.0</v>
      </c>
      <c r="Q262" s="46">
        <f>IFERROR(__xludf.DUMMYFUNCTION("""COMPUTED_VALUE"""),1.0)</f>
        <v>1</v>
      </c>
      <c r="R262" s="47">
        <v>5.0</v>
      </c>
    </row>
    <row r="263" ht="22.5" customHeight="1">
      <c r="A263" s="42">
        <v>44548.0</v>
      </c>
      <c r="B263" s="43">
        <v>44548.708344907405</v>
      </c>
      <c r="C263" s="17" t="s">
        <v>78</v>
      </c>
      <c r="D263" s="17" t="s">
        <v>855</v>
      </c>
      <c r="E263" s="17" t="s">
        <v>80</v>
      </c>
      <c r="F263" s="17" t="s">
        <v>55</v>
      </c>
      <c r="G263" s="17" t="s">
        <v>856</v>
      </c>
      <c r="H263" s="44" t="s">
        <v>857</v>
      </c>
      <c r="I263" s="45">
        <v>1.0</v>
      </c>
      <c r="J263" s="45">
        <v>602.0</v>
      </c>
      <c r="K263" s="45">
        <v>634.0</v>
      </c>
      <c r="L263" s="45">
        <v>67.0</v>
      </c>
      <c r="M263" s="45">
        <v>18.0</v>
      </c>
      <c r="N263" s="45">
        <v>602.0</v>
      </c>
      <c r="O263" s="46">
        <v>51.0</v>
      </c>
      <c r="P263" s="46">
        <v>17.0</v>
      </c>
      <c r="Q263" s="46">
        <f>IFERROR(__xludf.DUMMYFUNCTION("""COMPUTED_VALUE"""),0.0)</f>
        <v>0</v>
      </c>
      <c r="R263" s="47">
        <v>32.0</v>
      </c>
    </row>
    <row r="264" ht="22.5" customHeight="1">
      <c r="A264" s="42">
        <v>44548.0</v>
      </c>
      <c r="B264" s="43">
        <v>44548.77179398148</v>
      </c>
      <c r="C264" s="17" t="s">
        <v>78</v>
      </c>
      <c r="D264" s="17" t="s">
        <v>858</v>
      </c>
      <c r="E264" s="17" t="s">
        <v>80</v>
      </c>
      <c r="F264" s="17" t="s">
        <v>55</v>
      </c>
      <c r="G264" s="17" t="s">
        <v>859</v>
      </c>
      <c r="H264" s="44" t="s">
        <v>860</v>
      </c>
      <c r="I264" s="45">
        <v>1.0</v>
      </c>
      <c r="J264" s="45">
        <v>465.0</v>
      </c>
      <c r="K264" s="45">
        <v>606.0</v>
      </c>
      <c r="L264" s="45">
        <v>271.0</v>
      </c>
      <c r="M264" s="45">
        <v>90.0</v>
      </c>
      <c r="N264" s="45">
        <v>465.0</v>
      </c>
      <c r="O264" s="46">
        <v>51.0</v>
      </c>
      <c r="P264" s="46">
        <v>18.0</v>
      </c>
      <c r="Q264" s="46">
        <f>IFERROR(__xludf.DUMMYFUNCTION("""COMPUTED_VALUE"""),0.0)</f>
        <v>0</v>
      </c>
      <c r="R264" s="47">
        <v>141.0</v>
      </c>
    </row>
    <row r="265" ht="22.5" customHeight="1">
      <c r="A265" s="42">
        <v>44549.0</v>
      </c>
      <c r="B265" s="43">
        <v>44549.375</v>
      </c>
      <c r="C265" s="17" t="s">
        <v>78</v>
      </c>
      <c r="D265" s="17" t="s">
        <v>861</v>
      </c>
      <c r="E265" s="17" t="s">
        <v>84</v>
      </c>
      <c r="F265" s="17" t="s">
        <v>50</v>
      </c>
      <c r="G265" s="17" t="s">
        <v>862</v>
      </c>
      <c r="H265" s="44" t="s">
        <v>863</v>
      </c>
      <c r="I265" s="45">
        <v>1.0</v>
      </c>
      <c r="J265" s="45">
        <v>10575.0</v>
      </c>
      <c r="K265" s="45">
        <v>10721.0</v>
      </c>
      <c r="L265" s="45">
        <v>185.0</v>
      </c>
      <c r="M265" s="45">
        <v>51.0</v>
      </c>
      <c r="N265" s="45">
        <v>10575.0</v>
      </c>
      <c r="O265" s="46">
        <v>52.0</v>
      </c>
      <c r="P265" s="46">
        <v>9.0</v>
      </c>
      <c r="Q265" s="46">
        <f>IFERROR(__xludf.DUMMYFUNCTION("""COMPUTED_VALUE"""),0.0)</f>
        <v>0</v>
      </c>
      <c r="R265" s="47">
        <v>146.0</v>
      </c>
    </row>
    <row r="266" ht="22.5" customHeight="1">
      <c r="A266" s="42">
        <v>44549.0</v>
      </c>
      <c r="B266" s="43">
        <v>44549.458344907405</v>
      </c>
      <c r="C266" s="17" t="s">
        <v>78</v>
      </c>
      <c r="D266" s="17" t="s">
        <v>864</v>
      </c>
      <c r="E266" s="17" t="s">
        <v>80</v>
      </c>
      <c r="F266" s="17" t="s">
        <v>55</v>
      </c>
      <c r="G266" s="17" t="s">
        <v>865</v>
      </c>
      <c r="H266" s="44" t="s">
        <v>866</v>
      </c>
      <c r="I266" s="45">
        <v>1.0</v>
      </c>
      <c r="J266" s="45">
        <v>405.0</v>
      </c>
      <c r="K266" s="45">
        <v>424.0</v>
      </c>
      <c r="L266" s="45">
        <v>35.0</v>
      </c>
      <c r="M266" s="45">
        <v>12.0</v>
      </c>
      <c r="N266" s="45">
        <v>405.0</v>
      </c>
      <c r="O266" s="46">
        <v>52.0</v>
      </c>
      <c r="P266" s="46">
        <v>11.0</v>
      </c>
      <c r="Q266" s="46">
        <f>IFERROR(__xludf.DUMMYFUNCTION("""COMPUTED_VALUE"""),0.0)</f>
        <v>0</v>
      </c>
      <c r="R266" s="47">
        <v>19.0</v>
      </c>
    </row>
    <row r="267" ht="22.5" customHeight="1">
      <c r="A267" s="42">
        <v>44549.0</v>
      </c>
      <c r="B267" s="43">
        <v>44549.54167824074</v>
      </c>
      <c r="C267" s="17" t="s">
        <v>78</v>
      </c>
      <c r="D267" s="17" t="s">
        <v>867</v>
      </c>
      <c r="E267" s="17" t="s">
        <v>84</v>
      </c>
      <c r="F267" s="17" t="s">
        <v>50</v>
      </c>
      <c r="G267" s="17" t="s">
        <v>868</v>
      </c>
      <c r="H267" s="44" t="s">
        <v>869</v>
      </c>
      <c r="I267" s="45">
        <v>1.0</v>
      </c>
      <c r="J267" s="45">
        <v>8407.0</v>
      </c>
      <c r="K267" s="45">
        <v>9394.0</v>
      </c>
      <c r="L267" s="45">
        <v>765.0</v>
      </c>
      <c r="M267" s="45">
        <v>405.0</v>
      </c>
      <c r="N267" s="45">
        <v>8407.0</v>
      </c>
      <c r="O267" s="46">
        <v>52.0</v>
      </c>
      <c r="P267" s="46">
        <v>13.0</v>
      </c>
      <c r="Q267" s="46">
        <f>IFERROR(__xludf.DUMMYFUNCTION("""COMPUTED_VALUE"""),0.0)</f>
        <v>0</v>
      </c>
      <c r="R267" s="47">
        <v>987.0</v>
      </c>
    </row>
    <row r="268" ht="22.5" customHeight="1">
      <c r="A268" s="42">
        <v>44549.0</v>
      </c>
      <c r="B268" s="43">
        <v>44549.583344907405</v>
      </c>
      <c r="C268" s="17" t="s">
        <v>78</v>
      </c>
      <c r="D268" s="17" t="s">
        <v>870</v>
      </c>
      <c r="E268" s="17" t="s">
        <v>84</v>
      </c>
      <c r="F268" s="17" t="s">
        <v>50</v>
      </c>
      <c r="G268" s="17" t="s">
        <v>871</v>
      </c>
      <c r="H268" s="44" t="s">
        <v>872</v>
      </c>
      <c r="I268" s="45">
        <v>1.0</v>
      </c>
      <c r="J268" s="45">
        <v>325.0</v>
      </c>
      <c r="K268" s="45">
        <v>332.0</v>
      </c>
      <c r="L268" s="45">
        <v>17.0</v>
      </c>
      <c r="M268" s="45">
        <v>3.0</v>
      </c>
      <c r="N268" s="45">
        <v>325.0</v>
      </c>
      <c r="O268" s="46">
        <v>52.0</v>
      </c>
      <c r="P268" s="46">
        <v>14.0</v>
      </c>
      <c r="Q268" s="46">
        <f>IFERROR(__xludf.DUMMYFUNCTION("""COMPUTED_VALUE"""),0.0)</f>
        <v>0</v>
      </c>
      <c r="R268" s="47">
        <v>7.0</v>
      </c>
    </row>
    <row r="269" ht="22.5" customHeight="1">
      <c r="A269" s="42">
        <v>44549.0</v>
      </c>
      <c r="B269" s="43">
        <v>44549.66667824074</v>
      </c>
      <c r="C269" s="17" t="s">
        <v>78</v>
      </c>
      <c r="D269" s="17" t="s">
        <v>873</v>
      </c>
      <c r="E269" s="17" t="s">
        <v>80</v>
      </c>
      <c r="F269" s="17" t="s">
        <v>53</v>
      </c>
      <c r="G269" s="17" t="s">
        <v>874</v>
      </c>
      <c r="H269" s="44" t="s">
        <v>875</v>
      </c>
      <c r="I269" s="45">
        <v>1.0</v>
      </c>
      <c r="J269" s="45">
        <v>10626.0</v>
      </c>
      <c r="K269" s="45">
        <v>12701.0</v>
      </c>
      <c r="L269" s="45">
        <v>74.0</v>
      </c>
      <c r="M269" s="45">
        <v>338.0</v>
      </c>
      <c r="N269" s="45">
        <v>10626.0</v>
      </c>
      <c r="O269" s="46">
        <v>52.0</v>
      </c>
      <c r="P269" s="46">
        <v>16.0</v>
      </c>
      <c r="Q269" s="46">
        <f>IFERROR(__xludf.DUMMYFUNCTION("""COMPUTED_VALUE"""),0.0)</f>
        <v>0</v>
      </c>
      <c r="R269" s="47">
        <v>2075.0</v>
      </c>
    </row>
    <row r="270" ht="22.5" customHeight="1">
      <c r="A270" s="42">
        <v>44549.0</v>
      </c>
      <c r="B270" s="43">
        <v>44549.75001157408</v>
      </c>
      <c r="C270" s="17" t="s">
        <v>78</v>
      </c>
      <c r="D270" s="17" t="s">
        <v>876</v>
      </c>
      <c r="E270" s="17" t="s">
        <v>84</v>
      </c>
      <c r="F270" s="17" t="s">
        <v>50</v>
      </c>
      <c r="G270" s="17" t="s">
        <v>877</v>
      </c>
      <c r="H270" s="44" t="s">
        <v>878</v>
      </c>
      <c r="I270" s="45">
        <v>1.0</v>
      </c>
      <c r="J270" s="45">
        <v>414.0</v>
      </c>
      <c r="K270" s="45">
        <v>424.0</v>
      </c>
      <c r="L270" s="45">
        <v>47.0</v>
      </c>
      <c r="M270" s="45">
        <v>14.0</v>
      </c>
      <c r="N270" s="45">
        <v>414.0</v>
      </c>
      <c r="O270" s="46">
        <v>52.0</v>
      </c>
      <c r="P270" s="46">
        <v>18.0</v>
      </c>
      <c r="Q270" s="46">
        <f>IFERROR(__xludf.DUMMYFUNCTION("""COMPUTED_VALUE"""),0.0)</f>
        <v>0</v>
      </c>
      <c r="R270" s="47">
        <v>10.0</v>
      </c>
    </row>
    <row r="271" ht="22.5" customHeight="1">
      <c r="A271" s="42">
        <v>44549.0</v>
      </c>
      <c r="B271" s="43">
        <v>44549.77143518518</v>
      </c>
      <c r="C271" s="17" t="s">
        <v>78</v>
      </c>
      <c r="D271" s="17" t="s">
        <v>879</v>
      </c>
      <c r="E271" s="17" t="s">
        <v>80</v>
      </c>
      <c r="F271" s="17" t="s">
        <v>55</v>
      </c>
      <c r="G271" s="17" t="s">
        <v>880</v>
      </c>
      <c r="H271" s="44" t="s">
        <v>881</v>
      </c>
      <c r="I271" s="45">
        <v>1.0</v>
      </c>
      <c r="J271" s="45">
        <v>416.0</v>
      </c>
      <c r="K271" s="45">
        <v>543.0</v>
      </c>
      <c r="L271" s="45">
        <v>339.0</v>
      </c>
      <c r="M271" s="45">
        <v>132.0</v>
      </c>
      <c r="N271" s="45">
        <v>416.0</v>
      </c>
      <c r="O271" s="46">
        <v>52.0</v>
      </c>
      <c r="P271" s="46">
        <v>18.0</v>
      </c>
      <c r="Q271" s="46">
        <f>IFERROR(__xludf.DUMMYFUNCTION("""COMPUTED_VALUE"""),0.0)</f>
        <v>0</v>
      </c>
      <c r="R271" s="47">
        <v>127.0</v>
      </c>
    </row>
    <row r="272" ht="22.5" customHeight="1">
      <c r="A272" s="42">
        <v>44550.0</v>
      </c>
      <c r="B272" s="43">
        <v>44550.333333333336</v>
      </c>
      <c r="C272" s="17" t="s">
        <v>78</v>
      </c>
      <c r="D272" s="17" t="s">
        <v>882</v>
      </c>
      <c r="E272" s="17" t="s">
        <v>84</v>
      </c>
      <c r="F272" s="17" t="s">
        <v>50</v>
      </c>
      <c r="G272" s="17" t="s">
        <v>883</v>
      </c>
      <c r="H272" s="44" t="s">
        <v>884</v>
      </c>
      <c r="I272" s="45">
        <v>1.0</v>
      </c>
      <c r="J272" s="45">
        <v>9181.0</v>
      </c>
      <c r="K272" s="45">
        <v>9361.0</v>
      </c>
      <c r="L272" s="45">
        <v>223.0</v>
      </c>
      <c r="M272" s="45">
        <v>97.0</v>
      </c>
      <c r="N272" s="45">
        <v>9181.0</v>
      </c>
      <c r="O272" s="46">
        <v>52.0</v>
      </c>
      <c r="P272" s="46">
        <v>8.0</v>
      </c>
      <c r="Q272" s="46">
        <f>IFERROR(__xludf.DUMMYFUNCTION("""COMPUTED_VALUE"""),0.0)</f>
        <v>0</v>
      </c>
      <c r="R272" s="47">
        <v>180.0</v>
      </c>
    </row>
    <row r="273" ht="22.5" customHeight="1">
      <c r="A273" s="42">
        <v>44550.0</v>
      </c>
      <c r="B273" s="43">
        <v>44550.416666666664</v>
      </c>
      <c r="C273" s="17" t="s">
        <v>78</v>
      </c>
      <c r="D273" s="17" t="s">
        <v>885</v>
      </c>
      <c r="E273" s="17" t="s">
        <v>84</v>
      </c>
      <c r="F273" s="17" t="s">
        <v>50</v>
      </c>
      <c r="G273" s="17" t="s">
        <v>886</v>
      </c>
      <c r="H273" s="44" t="s">
        <v>887</v>
      </c>
      <c r="I273" s="45">
        <v>1.0</v>
      </c>
      <c r="J273" s="45">
        <v>190.0</v>
      </c>
      <c r="K273" s="45">
        <v>194.0</v>
      </c>
      <c r="L273" s="45">
        <v>30.0</v>
      </c>
      <c r="M273" s="45">
        <v>6.0</v>
      </c>
      <c r="N273" s="45">
        <v>190.0</v>
      </c>
      <c r="O273" s="46">
        <v>52.0</v>
      </c>
      <c r="P273" s="46">
        <v>10.0</v>
      </c>
      <c r="Q273" s="46">
        <f>IFERROR(__xludf.DUMMYFUNCTION("""COMPUTED_VALUE"""),1.0)</f>
        <v>1</v>
      </c>
      <c r="R273" s="47">
        <v>4.0</v>
      </c>
    </row>
    <row r="274" ht="22.5" customHeight="1">
      <c r="A274" s="42">
        <v>44550.0</v>
      </c>
      <c r="B274" s="43">
        <v>44550.62501157408</v>
      </c>
      <c r="C274" s="17" t="s">
        <v>78</v>
      </c>
      <c r="D274" s="17" t="s">
        <v>888</v>
      </c>
      <c r="E274" s="17" t="s">
        <v>84</v>
      </c>
      <c r="F274" s="17" t="s">
        <v>50</v>
      </c>
      <c r="G274" s="17" t="s">
        <v>889</v>
      </c>
      <c r="H274" s="44" t="s">
        <v>890</v>
      </c>
      <c r="I274" s="45">
        <v>1.0</v>
      </c>
      <c r="J274" s="45">
        <v>7511.0</v>
      </c>
      <c r="K274" s="45">
        <v>8344.0</v>
      </c>
      <c r="L274" s="45">
        <v>821.0</v>
      </c>
      <c r="M274" s="45">
        <v>257.0</v>
      </c>
      <c r="N274" s="45">
        <v>7511.0</v>
      </c>
      <c r="O274" s="46">
        <v>52.0</v>
      </c>
      <c r="P274" s="46">
        <v>15.0</v>
      </c>
      <c r="Q274" s="46">
        <f>IFERROR(__xludf.DUMMYFUNCTION("""COMPUTED_VALUE"""),0.0)</f>
        <v>0</v>
      </c>
      <c r="R274" s="47">
        <v>833.0</v>
      </c>
    </row>
    <row r="275" ht="22.5" customHeight="1">
      <c r="A275" s="42">
        <v>44550.0</v>
      </c>
      <c r="B275" s="43">
        <v>44550.75001157408</v>
      </c>
      <c r="C275" s="17" t="s">
        <v>78</v>
      </c>
      <c r="D275" s="17" t="s">
        <v>891</v>
      </c>
      <c r="E275" s="17" t="s">
        <v>84</v>
      </c>
      <c r="F275" s="17" t="s">
        <v>50</v>
      </c>
      <c r="G275" s="17" t="s">
        <v>892</v>
      </c>
      <c r="H275" s="44" t="s">
        <v>893</v>
      </c>
      <c r="I275" s="45">
        <v>1.0</v>
      </c>
      <c r="J275" s="45">
        <v>283.0</v>
      </c>
      <c r="K275" s="45">
        <v>286.0</v>
      </c>
      <c r="L275" s="45">
        <v>17.0</v>
      </c>
      <c r="M275" s="45">
        <v>6.0</v>
      </c>
      <c r="N275" s="45">
        <v>283.0</v>
      </c>
      <c r="O275" s="46">
        <v>52.0</v>
      </c>
      <c r="P275" s="46">
        <v>18.0</v>
      </c>
      <c r="Q275" s="46">
        <f>IFERROR(__xludf.DUMMYFUNCTION("""COMPUTED_VALUE"""),0.0)</f>
        <v>0</v>
      </c>
      <c r="R275" s="47">
        <v>3.0</v>
      </c>
    </row>
    <row r="276" ht="22.5" customHeight="1">
      <c r="A276" s="42">
        <v>44550.0</v>
      </c>
      <c r="B276" s="43">
        <v>44550.782164351855</v>
      </c>
      <c r="C276" s="17" t="s">
        <v>78</v>
      </c>
      <c r="D276" s="17" t="s">
        <v>894</v>
      </c>
      <c r="E276" s="17" t="s">
        <v>80</v>
      </c>
      <c r="F276" s="17" t="s">
        <v>55</v>
      </c>
      <c r="G276" s="17" t="s">
        <v>895</v>
      </c>
      <c r="H276" s="44" t="s">
        <v>896</v>
      </c>
      <c r="I276" s="45">
        <v>1.0</v>
      </c>
      <c r="J276" s="45">
        <v>387.0</v>
      </c>
      <c r="K276" s="45">
        <v>512.0</v>
      </c>
      <c r="L276" s="45">
        <v>306.0</v>
      </c>
      <c r="M276" s="45">
        <v>91.0</v>
      </c>
      <c r="N276" s="45">
        <v>387.0</v>
      </c>
      <c r="O276" s="46">
        <v>52.0</v>
      </c>
      <c r="P276" s="46">
        <v>18.0</v>
      </c>
      <c r="Q276" s="46">
        <f>IFERROR(__xludf.DUMMYFUNCTION("""COMPUTED_VALUE"""),0.0)</f>
        <v>0</v>
      </c>
      <c r="R276" s="47">
        <v>125.0</v>
      </c>
    </row>
    <row r="277" ht="22.5" customHeight="1">
      <c r="A277" s="42">
        <v>44550.0</v>
      </c>
      <c r="B277" s="43">
        <v>44550.83335648148</v>
      </c>
      <c r="C277" s="17" t="s">
        <v>78</v>
      </c>
      <c r="D277" s="17" t="s">
        <v>897</v>
      </c>
      <c r="E277" s="17" t="s">
        <v>80</v>
      </c>
      <c r="F277" s="17" t="s">
        <v>53</v>
      </c>
      <c r="G277" s="17" t="s">
        <v>898</v>
      </c>
      <c r="H277" s="44" t="s">
        <v>899</v>
      </c>
      <c r="I277" s="45">
        <v>1.0</v>
      </c>
      <c r="J277" s="45">
        <v>622.0</v>
      </c>
      <c r="K277" s="45">
        <v>650.0</v>
      </c>
      <c r="L277" s="45">
        <v>59.0</v>
      </c>
      <c r="M277" s="45">
        <v>26.0</v>
      </c>
      <c r="N277" s="45">
        <v>622.0</v>
      </c>
      <c r="O277" s="46">
        <v>52.0</v>
      </c>
      <c r="P277" s="46">
        <v>20.0</v>
      </c>
      <c r="Q277" s="46">
        <f>IFERROR(__xludf.DUMMYFUNCTION("""COMPUTED_VALUE"""),0.0)</f>
        <v>0</v>
      </c>
      <c r="R277" s="47">
        <v>28.0</v>
      </c>
    </row>
    <row r="278" ht="22.5" customHeight="1">
      <c r="A278" s="42">
        <v>44551.0</v>
      </c>
      <c r="B278" s="43">
        <v>44551.333344907405</v>
      </c>
      <c r="C278" s="17" t="s">
        <v>78</v>
      </c>
      <c r="D278" s="17" t="s">
        <v>900</v>
      </c>
      <c r="E278" s="17" t="s">
        <v>84</v>
      </c>
      <c r="F278" s="17" t="s">
        <v>50</v>
      </c>
      <c r="G278" s="17" t="s">
        <v>901</v>
      </c>
      <c r="H278" s="44" t="s">
        <v>902</v>
      </c>
      <c r="I278" s="45">
        <v>1.0</v>
      </c>
      <c r="J278" s="45">
        <v>8227.0</v>
      </c>
      <c r="K278" s="45">
        <v>8334.0</v>
      </c>
      <c r="L278" s="45">
        <v>158.0</v>
      </c>
      <c r="M278" s="45">
        <v>44.0</v>
      </c>
      <c r="N278" s="45">
        <v>8227.0</v>
      </c>
      <c r="O278" s="46">
        <v>52.0</v>
      </c>
      <c r="P278" s="46">
        <v>8.0</v>
      </c>
      <c r="Q278" s="46">
        <f>IFERROR(__xludf.DUMMYFUNCTION("""COMPUTED_VALUE"""),1.0)</f>
        <v>1</v>
      </c>
      <c r="R278" s="47">
        <v>107.0</v>
      </c>
    </row>
    <row r="279" ht="22.5" customHeight="1">
      <c r="A279" s="42">
        <v>44551.0</v>
      </c>
      <c r="B279" s="43">
        <v>44551.416666666664</v>
      </c>
      <c r="C279" s="17" t="s">
        <v>78</v>
      </c>
      <c r="D279" s="17" t="s">
        <v>903</v>
      </c>
      <c r="E279" s="17" t="s">
        <v>84</v>
      </c>
      <c r="F279" s="17" t="s">
        <v>50</v>
      </c>
      <c r="G279" s="17" t="s">
        <v>904</v>
      </c>
      <c r="H279" s="44" t="s">
        <v>905</v>
      </c>
      <c r="I279" s="45">
        <v>1.0</v>
      </c>
      <c r="J279" s="45">
        <v>6797.0</v>
      </c>
      <c r="K279" s="45">
        <v>6937.0</v>
      </c>
      <c r="L279" s="45">
        <v>217.0</v>
      </c>
      <c r="M279" s="45">
        <v>51.0</v>
      </c>
      <c r="N279" s="45">
        <v>6797.0</v>
      </c>
      <c r="O279" s="46">
        <v>52.0</v>
      </c>
      <c r="P279" s="46">
        <v>10.0</v>
      </c>
      <c r="Q279" s="46">
        <f>IFERROR(__xludf.DUMMYFUNCTION("""COMPUTED_VALUE"""),1.0)</f>
        <v>1</v>
      </c>
      <c r="R279" s="47">
        <v>140.0</v>
      </c>
    </row>
    <row r="280" ht="22.5" customHeight="1">
      <c r="A280" s="42">
        <v>44551.0</v>
      </c>
      <c r="B280" s="43">
        <v>44551.583333333336</v>
      </c>
      <c r="C280" s="17" t="s">
        <v>78</v>
      </c>
      <c r="D280" s="17" t="s">
        <v>906</v>
      </c>
      <c r="E280" s="17" t="s">
        <v>84</v>
      </c>
      <c r="F280" s="17" t="s">
        <v>47</v>
      </c>
      <c r="G280" s="17" t="s">
        <v>907</v>
      </c>
      <c r="H280" s="44" t="s">
        <v>908</v>
      </c>
      <c r="I280" s="45">
        <v>1.0</v>
      </c>
      <c r="J280" s="45">
        <v>1252.0</v>
      </c>
      <c r="K280" s="45">
        <v>1332.0</v>
      </c>
      <c r="L280" s="45">
        <v>90.0</v>
      </c>
      <c r="M280" s="45">
        <v>173.0</v>
      </c>
      <c r="N280" s="45">
        <v>1252.0</v>
      </c>
      <c r="O280" s="46">
        <v>52.0</v>
      </c>
      <c r="P280" s="46">
        <v>14.0</v>
      </c>
      <c r="Q280" s="46">
        <f>IFERROR(__xludf.DUMMYFUNCTION("""COMPUTED_VALUE"""),0.0)</f>
        <v>0</v>
      </c>
      <c r="R280" s="47">
        <v>80.0</v>
      </c>
    </row>
    <row r="281" ht="22.5" customHeight="1">
      <c r="A281" s="42">
        <v>44551.0</v>
      </c>
      <c r="B281" s="43">
        <v>44551.62501157408</v>
      </c>
      <c r="C281" s="17" t="s">
        <v>78</v>
      </c>
      <c r="D281" s="17" t="s">
        <v>909</v>
      </c>
      <c r="E281" s="17" t="s">
        <v>84</v>
      </c>
      <c r="F281" s="17" t="s">
        <v>50</v>
      </c>
      <c r="G281" s="17" t="s">
        <v>910</v>
      </c>
      <c r="H281" s="44" t="s">
        <v>911</v>
      </c>
      <c r="I281" s="45">
        <v>1.0</v>
      </c>
      <c r="J281" s="45">
        <v>1743.0</v>
      </c>
      <c r="K281" s="45">
        <v>1918.0</v>
      </c>
      <c r="L281" s="45">
        <v>320.0</v>
      </c>
      <c r="M281" s="45">
        <v>49.0</v>
      </c>
      <c r="N281" s="45">
        <v>1743.0</v>
      </c>
      <c r="O281" s="46">
        <v>52.0</v>
      </c>
      <c r="P281" s="46">
        <v>15.0</v>
      </c>
      <c r="Q281" s="46">
        <f>IFERROR(__xludf.DUMMYFUNCTION("""COMPUTED_VALUE"""),0.0)</f>
        <v>0</v>
      </c>
      <c r="R281" s="47">
        <v>175.0</v>
      </c>
    </row>
    <row r="282" ht="22.5" customHeight="1">
      <c r="A282" s="42">
        <v>44551.0</v>
      </c>
      <c r="B282" s="43">
        <v>44551.70842592593</v>
      </c>
      <c r="C282" s="17" t="s">
        <v>78</v>
      </c>
      <c r="D282" s="17" t="s">
        <v>912</v>
      </c>
      <c r="E282" s="17" t="s">
        <v>80</v>
      </c>
      <c r="F282" s="17" t="s">
        <v>55</v>
      </c>
      <c r="G282" s="17" t="s">
        <v>913</v>
      </c>
      <c r="H282" s="44" t="s">
        <v>914</v>
      </c>
      <c r="I282" s="45">
        <v>1.0</v>
      </c>
      <c r="J282" s="45">
        <v>1083.0</v>
      </c>
      <c r="K282" s="45">
        <v>1219.0</v>
      </c>
      <c r="L282" s="45">
        <v>140.0</v>
      </c>
      <c r="M282" s="45">
        <v>75.0</v>
      </c>
      <c r="N282" s="45">
        <v>1083.0</v>
      </c>
      <c r="O282" s="46">
        <v>52.0</v>
      </c>
      <c r="P282" s="46">
        <v>17.0</v>
      </c>
      <c r="Q282" s="46">
        <f>IFERROR(__xludf.DUMMYFUNCTION("""COMPUTED_VALUE"""),0.0)</f>
        <v>0</v>
      </c>
      <c r="R282" s="47">
        <v>136.0</v>
      </c>
    </row>
    <row r="283" ht="22.5" customHeight="1">
      <c r="A283" s="42">
        <v>44551.0</v>
      </c>
      <c r="B283" s="43">
        <v>44551.75001157408</v>
      </c>
      <c r="C283" s="17" t="s">
        <v>78</v>
      </c>
      <c r="D283" s="17" t="s">
        <v>915</v>
      </c>
      <c r="E283" s="17" t="s">
        <v>84</v>
      </c>
      <c r="F283" s="17" t="s">
        <v>50</v>
      </c>
      <c r="G283" s="17" t="s">
        <v>916</v>
      </c>
      <c r="H283" s="44" t="s">
        <v>917</v>
      </c>
      <c r="I283" s="45">
        <v>1.0</v>
      </c>
      <c r="J283" s="45">
        <v>267.0</v>
      </c>
      <c r="K283" s="45">
        <v>274.0</v>
      </c>
      <c r="L283" s="45">
        <v>30.0</v>
      </c>
      <c r="M283" s="45">
        <v>3.0</v>
      </c>
      <c r="N283" s="45">
        <v>267.0</v>
      </c>
      <c r="O283" s="46">
        <v>52.0</v>
      </c>
      <c r="P283" s="46">
        <v>18.0</v>
      </c>
      <c r="Q283" s="46">
        <f>IFERROR(__xludf.DUMMYFUNCTION("""COMPUTED_VALUE"""),0.0)</f>
        <v>0</v>
      </c>
      <c r="R283" s="47">
        <v>7.0</v>
      </c>
    </row>
    <row r="284" ht="22.5" customHeight="1">
      <c r="A284" s="42">
        <v>44551.0</v>
      </c>
      <c r="B284" s="43">
        <v>44551.83335648148</v>
      </c>
      <c r="C284" s="17" t="s">
        <v>78</v>
      </c>
      <c r="D284" s="17" t="s">
        <v>918</v>
      </c>
      <c r="E284" s="17" t="s">
        <v>84</v>
      </c>
      <c r="F284" s="17" t="s">
        <v>50</v>
      </c>
      <c r="G284" s="17" t="s">
        <v>919</v>
      </c>
      <c r="H284" s="44" t="s">
        <v>920</v>
      </c>
      <c r="I284" s="45">
        <v>1.0</v>
      </c>
      <c r="J284" s="45">
        <v>4414.0</v>
      </c>
      <c r="K284" s="45">
        <v>4541.0</v>
      </c>
      <c r="L284" s="45">
        <v>70.0</v>
      </c>
      <c r="M284" s="45">
        <v>20.0</v>
      </c>
      <c r="N284" s="45">
        <v>4414.0</v>
      </c>
      <c r="O284" s="46">
        <v>52.0</v>
      </c>
      <c r="P284" s="46">
        <v>20.0</v>
      </c>
      <c r="Q284" s="46">
        <f>IFERROR(__xludf.DUMMYFUNCTION("""COMPUTED_VALUE"""),0.0)</f>
        <v>0</v>
      </c>
      <c r="R284" s="47">
        <v>127.0</v>
      </c>
    </row>
    <row r="285" ht="22.5" customHeight="1">
      <c r="A285" s="42">
        <v>44552.0</v>
      </c>
      <c r="B285" s="43">
        <v>44552.333344907405</v>
      </c>
      <c r="C285" s="17" t="s">
        <v>78</v>
      </c>
      <c r="D285" s="17" t="s">
        <v>921</v>
      </c>
      <c r="E285" s="17" t="s">
        <v>84</v>
      </c>
      <c r="F285" s="17" t="s">
        <v>50</v>
      </c>
      <c r="G285" s="17" t="s">
        <v>922</v>
      </c>
      <c r="H285" s="44" t="s">
        <v>923</v>
      </c>
      <c r="I285" s="45">
        <v>1.0</v>
      </c>
      <c r="J285" s="45">
        <v>12386.0</v>
      </c>
      <c r="K285" s="45">
        <v>14789.0</v>
      </c>
      <c r="L285" s="45">
        <v>1307.0</v>
      </c>
      <c r="M285" s="45">
        <v>357.0</v>
      </c>
      <c r="N285" s="45">
        <v>12386.0</v>
      </c>
      <c r="O285" s="46">
        <v>52.0</v>
      </c>
      <c r="P285" s="46">
        <v>8.0</v>
      </c>
      <c r="Q285" s="46">
        <f>IFERROR(__xludf.DUMMYFUNCTION("""COMPUTED_VALUE"""),0.0)</f>
        <v>0</v>
      </c>
      <c r="R285" s="47">
        <v>2403.0</v>
      </c>
    </row>
    <row r="286" ht="22.5" customHeight="1">
      <c r="A286" s="42">
        <v>44552.0</v>
      </c>
      <c r="B286" s="43">
        <v>44552.41667824074</v>
      </c>
      <c r="C286" s="17" t="s">
        <v>78</v>
      </c>
      <c r="D286" s="17" t="s">
        <v>924</v>
      </c>
      <c r="E286" s="17" t="s">
        <v>84</v>
      </c>
      <c r="F286" s="17" t="s">
        <v>50</v>
      </c>
      <c r="G286" s="17" t="s">
        <v>925</v>
      </c>
      <c r="H286" s="44" t="s">
        <v>926</v>
      </c>
      <c r="I286" s="45">
        <v>1.0</v>
      </c>
      <c r="J286" s="45">
        <v>8241.0</v>
      </c>
      <c r="K286" s="45">
        <v>8562.0</v>
      </c>
      <c r="L286" s="45">
        <v>237.0</v>
      </c>
      <c r="M286" s="45">
        <v>88.0</v>
      </c>
      <c r="N286" s="45">
        <v>8241.0</v>
      </c>
      <c r="O286" s="46">
        <v>52.0</v>
      </c>
      <c r="P286" s="46">
        <v>10.0</v>
      </c>
      <c r="Q286" s="46">
        <f>IFERROR(__xludf.DUMMYFUNCTION("""COMPUTED_VALUE"""),0.0)</f>
        <v>0</v>
      </c>
      <c r="R286" s="47">
        <v>321.0</v>
      </c>
    </row>
    <row r="287" ht="22.5" customHeight="1">
      <c r="A287" s="42">
        <v>44552.0</v>
      </c>
      <c r="B287" s="43">
        <v>44552.541666666664</v>
      </c>
      <c r="C287" s="17" t="s">
        <v>78</v>
      </c>
      <c r="D287" s="17" t="s">
        <v>927</v>
      </c>
      <c r="E287" s="17" t="s">
        <v>84</v>
      </c>
      <c r="F287" s="17" t="s">
        <v>47</v>
      </c>
      <c r="G287" s="17" t="s">
        <v>928</v>
      </c>
      <c r="H287" s="44" t="s">
        <v>929</v>
      </c>
      <c r="I287" s="45">
        <v>1.0</v>
      </c>
      <c r="J287" s="45">
        <v>1810.0</v>
      </c>
      <c r="K287" s="45">
        <v>1877.0</v>
      </c>
      <c r="L287" s="45">
        <v>83.0</v>
      </c>
      <c r="M287" s="45">
        <v>44.0</v>
      </c>
      <c r="N287" s="45">
        <v>1810.0</v>
      </c>
      <c r="O287" s="46">
        <v>52.0</v>
      </c>
      <c r="P287" s="46">
        <v>13.0</v>
      </c>
      <c r="Q287" s="46">
        <f>IFERROR(__xludf.DUMMYFUNCTION("""COMPUTED_VALUE"""),0.0)</f>
        <v>0</v>
      </c>
      <c r="R287" s="47">
        <v>67.0</v>
      </c>
    </row>
    <row r="288" ht="22.5" customHeight="1">
      <c r="A288" s="42">
        <v>44552.0</v>
      </c>
      <c r="B288" s="43">
        <v>44552.62501157408</v>
      </c>
      <c r="C288" s="17" t="s">
        <v>78</v>
      </c>
      <c r="D288" s="17" t="s">
        <v>930</v>
      </c>
      <c r="E288" s="17" t="s">
        <v>84</v>
      </c>
      <c r="F288" s="17" t="s">
        <v>50</v>
      </c>
      <c r="G288" s="17" t="s">
        <v>931</v>
      </c>
      <c r="H288" s="44" t="s">
        <v>932</v>
      </c>
      <c r="I288" s="45">
        <v>1.0</v>
      </c>
      <c r="J288" s="45">
        <v>6966.0</v>
      </c>
      <c r="K288" s="45">
        <v>7158.0</v>
      </c>
      <c r="L288" s="45">
        <v>71.0</v>
      </c>
      <c r="M288" s="45">
        <v>59.0</v>
      </c>
      <c r="N288" s="45">
        <v>6966.0</v>
      </c>
      <c r="O288" s="46">
        <v>52.0</v>
      </c>
      <c r="P288" s="46">
        <v>15.0</v>
      </c>
      <c r="Q288" s="46">
        <f>IFERROR(__xludf.DUMMYFUNCTION("""COMPUTED_VALUE"""),0.0)</f>
        <v>0</v>
      </c>
      <c r="R288" s="47">
        <v>192.0</v>
      </c>
    </row>
    <row r="289" ht="22.5" customHeight="1">
      <c r="A289" s="42">
        <v>44552.0</v>
      </c>
      <c r="B289" s="43">
        <v>44552.708344907405</v>
      </c>
      <c r="C289" s="17" t="s">
        <v>78</v>
      </c>
      <c r="D289" s="17" t="s">
        <v>933</v>
      </c>
      <c r="E289" s="17" t="s">
        <v>80</v>
      </c>
      <c r="F289" s="17" t="s">
        <v>55</v>
      </c>
      <c r="G289" s="17" t="s">
        <v>934</v>
      </c>
      <c r="H289" s="44" t="s">
        <v>935</v>
      </c>
      <c r="I289" s="45">
        <v>1.0</v>
      </c>
      <c r="J289" s="45">
        <v>1016.0</v>
      </c>
      <c r="K289" s="45">
        <v>1068.0</v>
      </c>
      <c r="L289" s="45">
        <v>78.0</v>
      </c>
      <c r="M289" s="45">
        <v>30.0</v>
      </c>
      <c r="N289" s="45">
        <v>1016.0</v>
      </c>
      <c r="O289" s="46">
        <v>52.0</v>
      </c>
      <c r="P289" s="46">
        <v>17.0</v>
      </c>
      <c r="Q289" s="46">
        <f>IFERROR(__xludf.DUMMYFUNCTION("""COMPUTED_VALUE"""),0.0)</f>
        <v>0</v>
      </c>
      <c r="R289" s="47">
        <v>52.0</v>
      </c>
    </row>
    <row r="290" ht="22.5" customHeight="1">
      <c r="A290" s="42">
        <v>44552.0</v>
      </c>
      <c r="B290" s="43">
        <v>44552.75001157408</v>
      </c>
      <c r="C290" s="17" t="s">
        <v>78</v>
      </c>
      <c r="D290" s="17" t="s">
        <v>936</v>
      </c>
      <c r="E290" s="17" t="s">
        <v>84</v>
      </c>
      <c r="F290" s="17" t="s">
        <v>50</v>
      </c>
      <c r="G290" s="17" t="s">
        <v>937</v>
      </c>
      <c r="H290" s="44" t="s">
        <v>938</v>
      </c>
      <c r="I290" s="45">
        <v>1.0</v>
      </c>
      <c r="J290" s="45">
        <v>317.0</v>
      </c>
      <c r="K290" s="45">
        <v>320.0</v>
      </c>
      <c r="L290" s="45">
        <v>18.0</v>
      </c>
      <c r="M290" s="45">
        <v>4.0</v>
      </c>
      <c r="N290" s="45">
        <v>317.0</v>
      </c>
      <c r="O290" s="46">
        <v>52.0</v>
      </c>
      <c r="P290" s="46">
        <v>18.0</v>
      </c>
      <c r="Q290" s="46">
        <f>IFERROR(__xludf.DUMMYFUNCTION("""COMPUTED_VALUE"""),0.0)</f>
        <v>0</v>
      </c>
      <c r="R290" s="47">
        <v>3.0</v>
      </c>
    </row>
    <row r="291" ht="22.5" customHeight="1">
      <c r="A291" s="42">
        <v>44553.0</v>
      </c>
      <c r="B291" s="43">
        <v>44553.333344907405</v>
      </c>
      <c r="C291" s="17" t="s">
        <v>78</v>
      </c>
      <c r="D291" s="17" t="s">
        <v>939</v>
      </c>
      <c r="E291" s="17" t="s">
        <v>84</v>
      </c>
      <c r="F291" s="17" t="s">
        <v>50</v>
      </c>
      <c r="G291" s="17" t="s">
        <v>940</v>
      </c>
      <c r="H291" s="44" t="s">
        <v>941</v>
      </c>
      <c r="I291" s="45">
        <v>1.0</v>
      </c>
      <c r="J291" s="45">
        <v>2773.0</v>
      </c>
      <c r="K291" s="45">
        <v>3058.0</v>
      </c>
      <c r="L291" s="45">
        <v>386.0</v>
      </c>
      <c r="M291" s="45">
        <v>92.0</v>
      </c>
      <c r="N291" s="45">
        <v>2773.0</v>
      </c>
      <c r="O291" s="46">
        <v>52.0</v>
      </c>
      <c r="P291" s="46">
        <v>8.0</v>
      </c>
      <c r="Q291" s="46">
        <f>IFERROR(__xludf.DUMMYFUNCTION("""COMPUTED_VALUE"""),0.0)</f>
        <v>0</v>
      </c>
      <c r="R291" s="47">
        <v>285.0</v>
      </c>
    </row>
    <row r="292" ht="22.5" customHeight="1">
      <c r="A292" s="42">
        <v>44553.0</v>
      </c>
      <c r="B292" s="43">
        <v>44553.375</v>
      </c>
      <c r="C292" s="17" t="s">
        <v>78</v>
      </c>
      <c r="D292" s="17" t="s">
        <v>942</v>
      </c>
      <c r="E292" s="17" t="s">
        <v>84</v>
      </c>
      <c r="F292" s="17" t="s">
        <v>50</v>
      </c>
      <c r="G292" s="17" t="s">
        <v>943</v>
      </c>
      <c r="H292" s="44" t="s">
        <v>944</v>
      </c>
      <c r="I292" s="45">
        <v>1.0</v>
      </c>
      <c r="J292" s="45">
        <v>909.0</v>
      </c>
      <c r="K292" s="45">
        <v>1012.0</v>
      </c>
      <c r="L292" s="45">
        <v>97.0</v>
      </c>
      <c r="M292" s="45">
        <v>13.0</v>
      </c>
      <c r="N292" s="45">
        <v>909.0</v>
      </c>
      <c r="O292" s="46">
        <v>52.0</v>
      </c>
      <c r="P292" s="46">
        <v>9.0</v>
      </c>
      <c r="Q292" s="46">
        <f>IFERROR(__xludf.DUMMYFUNCTION("""COMPUTED_VALUE"""),0.0)</f>
        <v>0</v>
      </c>
      <c r="R292" s="47">
        <v>103.0</v>
      </c>
    </row>
    <row r="293" ht="22.5" customHeight="1">
      <c r="A293" s="42">
        <v>44553.0</v>
      </c>
      <c r="B293" s="43">
        <v>44553.416666666664</v>
      </c>
      <c r="C293" s="17" t="s">
        <v>78</v>
      </c>
      <c r="D293" s="17" t="s">
        <v>945</v>
      </c>
      <c r="E293" s="17" t="s">
        <v>84</v>
      </c>
      <c r="F293" s="17" t="s">
        <v>50</v>
      </c>
      <c r="G293" s="17" t="s">
        <v>946</v>
      </c>
      <c r="H293" s="44" t="s">
        <v>947</v>
      </c>
      <c r="I293" s="45">
        <v>1.0</v>
      </c>
      <c r="J293" s="45">
        <v>177.0</v>
      </c>
      <c r="K293" s="45">
        <v>180.0</v>
      </c>
      <c r="L293" s="45">
        <v>16.0</v>
      </c>
      <c r="N293" s="45">
        <v>177.0</v>
      </c>
      <c r="O293" s="46">
        <v>52.0</v>
      </c>
      <c r="P293" s="46">
        <v>10.0</v>
      </c>
      <c r="Q293" s="46">
        <f>IFERROR(__xludf.DUMMYFUNCTION("""COMPUTED_VALUE"""),1.0)</f>
        <v>1</v>
      </c>
      <c r="R293" s="47">
        <v>3.0</v>
      </c>
    </row>
    <row r="294" ht="22.5" customHeight="1">
      <c r="A294" s="42">
        <v>44553.0</v>
      </c>
      <c r="B294" s="43">
        <v>44553.5</v>
      </c>
      <c r="C294" s="17" t="s">
        <v>78</v>
      </c>
      <c r="D294" s="17" t="s">
        <v>948</v>
      </c>
      <c r="E294" s="17" t="s">
        <v>84</v>
      </c>
      <c r="F294" s="17" t="s">
        <v>50</v>
      </c>
      <c r="G294" s="17" t="s">
        <v>949</v>
      </c>
      <c r="H294" s="44" t="s">
        <v>950</v>
      </c>
      <c r="I294" s="45">
        <v>1.0</v>
      </c>
      <c r="J294" s="45">
        <v>4476.0</v>
      </c>
      <c r="K294" s="45">
        <v>4845.0</v>
      </c>
      <c r="L294" s="45">
        <v>735.0</v>
      </c>
      <c r="M294" s="45">
        <v>658.0</v>
      </c>
      <c r="N294" s="45">
        <v>4476.0</v>
      </c>
      <c r="O294" s="46">
        <v>52.0</v>
      </c>
      <c r="P294" s="46">
        <v>12.0</v>
      </c>
      <c r="Q294" s="46">
        <f>IFERROR(__xludf.DUMMYFUNCTION("""COMPUTED_VALUE"""),0.0)</f>
        <v>0</v>
      </c>
      <c r="R294" s="47">
        <v>369.0</v>
      </c>
    </row>
    <row r="295" ht="22.5" customHeight="1">
      <c r="A295" s="42">
        <v>44553.0</v>
      </c>
      <c r="B295" s="43">
        <v>44553.583333333336</v>
      </c>
      <c r="C295" s="17" t="s">
        <v>78</v>
      </c>
      <c r="D295" s="17" t="s">
        <v>951</v>
      </c>
      <c r="E295" s="17" t="s">
        <v>84</v>
      </c>
      <c r="F295" s="17" t="s">
        <v>50</v>
      </c>
      <c r="G295" s="17" t="s">
        <v>952</v>
      </c>
      <c r="H295" s="44" t="s">
        <v>953</v>
      </c>
      <c r="I295" s="45">
        <v>1.0</v>
      </c>
      <c r="J295" s="45">
        <v>4518.0</v>
      </c>
      <c r="K295" s="45">
        <v>4546.0</v>
      </c>
      <c r="L295" s="45">
        <v>29.0</v>
      </c>
      <c r="M295" s="45">
        <v>18.0</v>
      </c>
      <c r="N295" s="45">
        <v>4518.0</v>
      </c>
      <c r="O295" s="46">
        <v>52.0</v>
      </c>
      <c r="P295" s="46">
        <v>14.0</v>
      </c>
      <c r="Q295" s="46">
        <f>IFERROR(__xludf.DUMMYFUNCTION("""COMPUTED_VALUE"""),0.0)</f>
        <v>0</v>
      </c>
      <c r="R295" s="47">
        <v>28.0</v>
      </c>
    </row>
    <row r="296" ht="22.5" customHeight="1">
      <c r="A296" s="42">
        <v>44553.0</v>
      </c>
      <c r="B296" s="43">
        <v>44553.66668981482</v>
      </c>
      <c r="C296" s="17" t="s">
        <v>78</v>
      </c>
      <c r="D296" s="17" t="s">
        <v>954</v>
      </c>
      <c r="E296" s="17" t="s">
        <v>80</v>
      </c>
      <c r="F296" s="17" t="s">
        <v>55</v>
      </c>
      <c r="G296" s="17" t="s">
        <v>955</v>
      </c>
      <c r="H296" s="44" t="s">
        <v>956</v>
      </c>
      <c r="I296" s="45">
        <v>1.0</v>
      </c>
      <c r="J296" s="45">
        <v>612.0</v>
      </c>
      <c r="K296" s="45">
        <v>665.0</v>
      </c>
      <c r="L296" s="45">
        <v>39.0</v>
      </c>
      <c r="M296" s="45">
        <v>7.0</v>
      </c>
      <c r="N296" s="45">
        <v>612.0</v>
      </c>
      <c r="O296" s="46">
        <v>52.0</v>
      </c>
      <c r="P296" s="46">
        <v>16.0</v>
      </c>
      <c r="Q296" s="46">
        <f>IFERROR(__xludf.DUMMYFUNCTION("""COMPUTED_VALUE"""),0.0)</f>
        <v>0</v>
      </c>
      <c r="R296" s="47">
        <v>53.0</v>
      </c>
    </row>
    <row r="297" ht="22.5" customHeight="1">
      <c r="A297" s="42">
        <v>44553.0</v>
      </c>
      <c r="B297" s="43">
        <v>44553.75001157408</v>
      </c>
      <c r="C297" s="17" t="s">
        <v>78</v>
      </c>
      <c r="D297" s="17" t="s">
        <v>957</v>
      </c>
      <c r="E297" s="17" t="s">
        <v>84</v>
      </c>
      <c r="F297" s="17" t="s">
        <v>50</v>
      </c>
      <c r="G297" s="17" t="s">
        <v>958</v>
      </c>
      <c r="H297" s="44" t="s">
        <v>959</v>
      </c>
      <c r="I297" s="45">
        <v>1.0</v>
      </c>
      <c r="J297" s="45">
        <v>273.0</v>
      </c>
      <c r="K297" s="45">
        <v>277.0</v>
      </c>
      <c r="L297" s="45">
        <v>10.0</v>
      </c>
      <c r="M297" s="45">
        <v>3.0</v>
      </c>
      <c r="N297" s="45">
        <v>273.0</v>
      </c>
      <c r="O297" s="46">
        <v>52.0</v>
      </c>
      <c r="P297" s="46">
        <v>18.0</v>
      </c>
      <c r="Q297" s="46">
        <f>IFERROR(__xludf.DUMMYFUNCTION("""COMPUTED_VALUE"""),0.0)</f>
        <v>0</v>
      </c>
      <c r="R297" s="47">
        <v>4.0</v>
      </c>
    </row>
    <row r="298" ht="22.5" customHeight="1">
      <c r="A298" s="42">
        <v>44553.0</v>
      </c>
      <c r="B298" s="43">
        <v>44553.83335648148</v>
      </c>
      <c r="C298" s="17" t="s">
        <v>78</v>
      </c>
      <c r="D298" s="17" t="s">
        <v>960</v>
      </c>
      <c r="E298" s="17" t="s">
        <v>80</v>
      </c>
      <c r="F298" s="17" t="s">
        <v>55</v>
      </c>
      <c r="G298" s="17" t="s">
        <v>961</v>
      </c>
      <c r="H298" s="44" t="s">
        <v>962</v>
      </c>
      <c r="I298" s="45">
        <v>1.0</v>
      </c>
      <c r="J298" s="45">
        <v>402.0</v>
      </c>
      <c r="K298" s="45">
        <v>445.0</v>
      </c>
      <c r="L298" s="45">
        <v>13.0</v>
      </c>
      <c r="M298" s="45">
        <v>7.0</v>
      </c>
      <c r="N298" s="45">
        <v>402.0</v>
      </c>
      <c r="O298" s="46">
        <v>52.0</v>
      </c>
      <c r="P298" s="46">
        <v>20.0</v>
      </c>
      <c r="Q298" s="46">
        <f>IFERROR(__xludf.DUMMYFUNCTION("""COMPUTED_VALUE"""),0.0)</f>
        <v>0</v>
      </c>
      <c r="R298" s="47">
        <v>43.0</v>
      </c>
    </row>
    <row r="299" ht="22.5" customHeight="1">
      <c r="A299" s="42">
        <v>44554.0</v>
      </c>
      <c r="B299" s="43">
        <v>44554.333333333336</v>
      </c>
      <c r="C299" s="17" t="s">
        <v>78</v>
      </c>
      <c r="D299" s="17" t="s">
        <v>963</v>
      </c>
      <c r="E299" s="17" t="s">
        <v>84</v>
      </c>
      <c r="F299" s="17" t="s">
        <v>50</v>
      </c>
      <c r="G299" s="17" t="s">
        <v>964</v>
      </c>
      <c r="H299" s="44" t="s">
        <v>965</v>
      </c>
      <c r="I299" s="45">
        <v>1.0</v>
      </c>
      <c r="J299" s="45">
        <v>12209.0</v>
      </c>
      <c r="K299" s="45">
        <v>12962.0</v>
      </c>
      <c r="L299" s="45">
        <v>451.0</v>
      </c>
      <c r="M299" s="45">
        <v>248.0</v>
      </c>
      <c r="N299" s="45">
        <v>12209.0</v>
      </c>
      <c r="O299" s="46">
        <v>52.0</v>
      </c>
      <c r="P299" s="46">
        <v>8.0</v>
      </c>
      <c r="Q299" s="46">
        <f>IFERROR(__xludf.DUMMYFUNCTION("""COMPUTED_VALUE"""),0.0)</f>
        <v>0</v>
      </c>
      <c r="R299" s="47">
        <v>753.0</v>
      </c>
    </row>
    <row r="300" ht="22.5" customHeight="1">
      <c r="A300" s="42">
        <v>44554.0</v>
      </c>
      <c r="B300" s="43">
        <v>44554.375</v>
      </c>
      <c r="C300" s="17" t="s">
        <v>78</v>
      </c>
      <c r="D300" s="17" t="s">
        <v>966</v>
      </c>
      <c r="E300" s="17" t="s">
        <v>84</v>
      </c>
      <c r="F300" s="17" t="s">
        <v>50</v>
      </c>
      <c r="G300" s="17" t="s">
        <v>967</v>
      </c>
      <c r="H300" s="44" t="s">
        <v>968</v>
      </c>
      <c r="I300" s="45">
        <v>1.0</v>
      </c>
      <c r="J300" s="45">
        <v>10863.0</v>
      </c>
      <c r="K300" s="45">
        <v>11260.0</v>
      </c>
      <c r="L300" s="45">
        <v>404.0</v>
      </c>
      <c r="M300" s="45">
        <v>109.0</v>
      </c>
      <c r="N300" s="45">
        <v>10863.0</v>
      </c>
      <c r="O300" s="46">
        <v>52.0</v>
      </c>
      <c r="P300" s="46">
        <v>9.0</v>
      </c>
      <c r="Q300" s="46">
        <f>IFERROR(__xludf.DUMMYFUNCTION("""COMPUTED_VALUE"""),0.0)</f>
        <v>0</v>
      </c>
      <c r="R300" s="47">
        <v>397.0</v>
      </c>
    </row>
    <row r="301" ht="22.5" customHeight="1">
      <c r="A301" s="42">
        <v>44554.0</v>
      </c>
      <c r="B301" s="43">
        <v>44554.54167824074</v>
      </c>
      <c r="C301" s="17" t="s">
        <v>78</v>
      </c>
      <c r="D301" s="17" t="s">
        <v>969</v>
      </c>
      <c r="E301" s="17" t="s">
        <v>80</v>
      </c>
      <c r="F301" s="17" t="s">
        <v>55</v>
      </c>
      <c r="G301" s="17" t="s">
        <v>970</v>
      </c>
      <c r="H301" s="44" t="s">
        <v>971</v>
      </c>
      <c r="I301" s="45">
        <v>1.0</v>
      </c>
      <c r="J301" s="45">
        <v>1550.0</v>
      </c>
      <c r="K301" s="45">
        <v>1777.0</v>
      </c>
      <c r="L301" s="45">
        <v>113.0</v>
      </c>
      <c r="M301" s="45">
        <v>36.0</v>
      </c>
      <c r="N301" s="45">
        <v>1550.0</v>
      </c>
      <c r="O301" s="46">
        <v>52.0</v>
      </c>
      <c r="P301" s="46">
        <v>13.0</v>
      </c>
      <c r="Q301" s="46">
        <f>IFERROR(__xludf.DUMMYFUNCTION("""COMPUTED_VALUE"""),0.0)</f>
        <v>0</v>
      </c>
      <c r="R301" s="47">
        <v>227.0</v>
      </c>
    </row>
    <row r="302" ht="22.5" customHeight="1">
      <c r="O302" s="46"/>
      <c r="P302" s="46"/>
      <c r="Q302" s="59"/>
      <c r="R302" s="60"/>
    </row>
    <row r="303" ht="22.5" customHeight="1">
      <c r="O303" s="46"/>
      <c r="P303" s="46"/>
      <c r="Q303" s="59"/>
      <c r="R303" s="60"/>
    </row>
    <row r="304" ht="22.5" customHeight="1">
      <c r="O304" s="46"/>
      <c r="P304" s="46"/>
      <c r="Q304" s="59"/>
      <c r="R304" s="60"/>
    </row>
    <row r="305" ht="22.5" customHeight="1">
      <c r="O305" s="46"/>
      <c r="P305" s="46"/>
      <c r="Q305" s="59"/>
      <c r="R305" s="60"/>
    </row>
    <row r="306" ht="22.5" customHeight="1">
      <c r="O306" s="46"/>
      <c r="P306" s="46"/>
      <c r="Q306" s="59"/>
      <c r="R306" s="60"/>
    </row>
    <row r="307" ht="22.5" customHeight="1">
      <c r="O307" s="46"/>
      <c r="P307" s="46"/>
      <c r="Q307" s="59"/>
      <c r="R307" s="60"/>
    </row>
    <row r="308" ht="22.5" customHeight="1">
      <c r="O308" s="46"/>
      <c r="P308" s="46"/>
      <c r="Q308" s="59"/>
      <c r="R308" s="60"/>
    </row>
    <row r="309" ht="22.5" customHeight="1">
      <c r="O309" s="46"/>
      <c r="P309" s="46"/>
      <c r="Q309" s="59"/>
      <c r="R309" s="60"/>
    </row>
    <row r="310" ht="22.5" customHeight="1">
      <c r="O310" s="46"/>
      <c r="P310" s="46"/>
      <c r="Q310" s="59"/>
      <c r="R310" s="60"/>
    </row>
    <row r="311" ht="22.5" customHeight="1">
      <c r="O311" s="46"/>
      <c r="P311" s="46"/>
      <c r="Q311" s="59"/>
      <c r="R311" s="60"/>
    </row>
    <row r="312" ht="22.5" customHeight="1">
      <c r="O312" s="46"/>
      <c r="P312" s="46"/>
      <c r="Q312" s="59"/>
      <c r="R312" s="60"/>
    </row>
    <row r="313" ht="22.5" customHeight="1">
      <c r="O313" s="46"/>
      <c r="P313" s="46"/>
      <c r="Q313" s="59"/>
      <c r="R313" s="60"/>
    </row>
    <row r="314" ht="22.5" customHeight="1">
      <c r="O314" s="46"/>
      <c r="P314" s="46"/>
      <c r="Q314" s="59"/>
      <c r="R314" s="60"/>
    </row>
    <row r="315" ht="22.5" customHeight="1">
      <c r="O315" s="46"/>
      <c r="P315" s="46"/>
      <c r="Q315" s="59"/>
      <c r="R315" s="60"/>
    </row>
    <row r="316" ht="22.5" customHeight="1">
      <c r="O316" s="46"/>
      <c r="P316" s="46"/>
      <c r="Q316" s="59"/>
      <c r="R316" s="60"/>
    </row>
    <row r="317" ht="22.5" customHeight="1">
      <c r="O317" s="46"/>
      <c r="P317" s="46"/>
      <c r="Q317" s="59"/>
      <c r="R317" s="60"/>
    </row>
    <row r="318" ht="22.5" customHeight="1">
      <c r="O318" s="46"/>
      <c r="P318" s="46"/>
      <c r="Q318" s="59"/>
      <c r="R318" s="60"/>
    </row>
    <row r="319" ht="22.5" customHeight="1">
      <c r="O319" s="46"/>
      <c r="P319" s="46"/>
      <c r="Q319" s="59"/>
      <c r="R319" s="60"/>
    </row>
    <row r="320" ht="22.5" customHeight="1">
      <c r="O320" s="46"/>
      <c r="P320" s="46"/>
      <c r="Q320" s="59"/>
      <c r="R320" s="60"/>
    </row>
    <row r="321" ht="22.5" customHeight="1">
      <c r="O321" s="46"/>
      <c r="P321" s="46"/>
      <c r="Q321" s="59"/>
      <c r="R321" s="60"/>
    </row>
    <row r="322" ht="22.5" customHeight="1">
      <c r="O322" s="46"/>
      <c r="P322" s="46"/>
      <c r="Q322" s="59"/>
      <c r="R322" s="60"/>
    </row>
    <row r="323" ht="22.5" customHeight="1">
      <c r="O323" s="46"/>
      <c r="P323" s="46"/>
      <c r="Q323" s="59"/>
      <c r="R323" s="60"/>
    </row>
    <row r="324" ht="22.5" customHeight="1">
      <c r="O324" s="46"/>
      <c r="P324" s="46"/>
      <c r="Q324" s="59"/>
      <c r="R324" s="60"/>
    </row>
    <row r="325" ht="22.5" customHeight="1">
      <c r="O325" s="46"/>
      <c r="P325" s="46"/>
      <c r="Q325" s="59"/>
      <c r="R325" s="60"/>
    </row>
    <row r="326" ht="22.5" customHeight="1">
      <c r="O326" s="46"/>
      <c r="P326" s="46"/>
      <c r="Q326" s="59"/>
      <c r="R326" s="60"/>
    </row>
    <row r="327" ht="22.5" customHeight="1">
      <c r="O327" s="46"/>
      <c r="P327" s="46"/>
      <c r="Q327" s="59"/>
      <c r="R327" s="60"/>
    </row>
    <row r="328" ht="22.5" customHeight="1">
      <c r="O328" s="46"/>
      <c r="P328" s="46"/>
      <c r="Q328" s="59"/>
      <c r="R328" s="60"/>
    </row>
    <row r="329" ht="22.5" customHeight="1">
      <c r="O329" s="46"/>
      <c r="P329" s="46"/>
      <c r="Q329" s="59"/>
      <c r="R329" s="60"/>
    </row>
    <row r="330" ht="22.5" customHeight="1">
      <c r="O330" s="46"/>
      <c r="P330" s="46"/>
      <c r="Q330" s="59"/>
      <c r="R330" s="60"/>
    </row>
    <row r="331" ht="22.5" customHeight="1">
      <c r="O331" s="46"/>
      <c r="P331" s="46"/>
      <c r="Q331" s="59"/>
      <c r="R331" s="60"/>
    </row>
    <row r="332" ht="22.5" customHeight="1">
      <c r="O332" s="46"/>
      <c r="P332" s="46"/>
      <c r="Q332" s="59"/>
      <c r="R332" s="60"/>
    </row>
    <row r="333" ht="22.5" customHeight="1">
      <c r="O333" s="46"/>
      <c r="P333" s="46"/>
      <c r="Q333" s="59"/>
      <c r="R333" s="60"/>
    </row>
    <row r="334" ht="22.5" customHeight="1">
      <c r="O334" s="46"/>
      <c r="P334" s="46"/>
      <c r="Q334" s="59"/>
      <c r="R334" s="60"/>
    </row>
    <row r="335" ht="22.5" customHeight="1">
      <c r="O335" s="46"/>
      <c r="P335" s="46"/>
      <c r="Q335" s="59"/>
      <c r="R335" s="60"/>
    </row>
    <row r="336" ht="22.5" customHeight="1">
      <c r="O336" s="46"/>
      <c r="P336" s="46"/>
      <c r="Q336" s="59"/>
      <c r="R336" s="60"/>
    </row>
    <row r="337" ht="22.5" customHeight="1">
      <c r="O337" s="46"/>
      <c r="P337" s="46"/>
      <c r="Q337" s="59"/>
      <c r="R337" s="60"/>
    </row>
    <row r="338" ht="22.5" customHeight="1">
      <c r="O338" s="46"/>
      <c r="P338" s="46"/>
      <c r="Q338" s="59"/>
      <c r="R338" s="60"/>
    </row>
    <row r="339" ht="22.5" customHeight="1">
      <c r="O339" s="46"/>
      <c r="P339" s="46"/>
      <c r="Q339" s="59"/>
      <c r="R339" s="60"/>
    </row>
    <row r="340" ht="22.5" customHeight="1">
      <c r="O340" s="46"/>
      <c r="P340" s="46"/>
      <c r="Q340" s="59"/>
      <c r="R340" s="60"/>
    </row>
    <row r="341" ht="22.5" customHeight="1">
      <c r="O341" s="46"/>
      <c r="P341" s="46"/>
      <c r="Q341" s="59"/>
      <c r="R341" s="60"/>
    </row>
    <row r="342" ht="22.5" customHeight="1">
      <c r="O342" s="46"/>
      <c r="P342" s="46"/>
      <c r="Q342" s="59"/>
      <c r="R342" s="60"/>
    </row>
    <row r="343" ht="22.5" customHeight="1">
      <c r="O343" s="46"/>
      <c r="P343" s="46"/>
      <c r="Q343" s="59"/>
      <c r="R343" s="60"/>
    </row>
    <row r="344" ht="22.5" customHeight="1">
      <c r="O344" s="46"/>
      <c r="P344" s="46"/>
      <c r="Q344" s="59"/>
      <c r="R344" s="60"/>
    </row>
    <row r="345" ht="22.5" customHeight="1">
      <c r="O345" s="46"/>
      <c r="P345" s="46"/>
      <c r="Q345" s="59"/>
      <c r="R345" s="60"/>
    </row>
    <row r="346" ht="22.5" customHeight="1">
      <c r="O346" s="46"/>
      <c r="P346" s="46"/>
      <c r="Q346" s="59"/>
      <c r="R346" s="60"/>
    </row>
    <row r="347" ht="22.5" customHeight="1">
      <c r="O347" s="46"/>
      <c r="P347" s="46"/>
      <c r="Q347" s="59"/>
      <c r="R347" s="60"/>
    </row>
    <row r="348" ht="22.5" customHeight="1">
      <c r="O348" s="46"/>
      <c r="P348" s="46"/>
      <c r="Q348" s="59"/>
      <c r="R348" s="60"/>
    </row>
    <row r="349" ht="22.5" customHeight="1">
      <c r="O349" s="46"/>
      <c r="P349" s="46"/>
      <c r="Q349" s="59"/>
      <c r="R349" s="60"/>
    </row>
    <row r="350" ht="22.5" customHeight="1">
      <c r="O350" s="46"/>
      <c r="P350" s="46"/>
      <c r="Q350" s="59"/>
      <c r="R350" s="60"/>
    </row>
    <row r="351" ht="22.5" customHeight="1">
      <c r="O351" s="46"/>
      <c r="P351" s="46"/>
      <c r="Q351" s="59"/>
      <c r="R351" s="60"/>
    </row>
    <row r="352" ht="22.5" customHeight="1">
      <c r="O352" s="46"/>
      <c r="P352" s="46"/>
      <c r="Q352" s="59"/>
      <c r="R352" s="60"/>
    </row>
    <row r="353" ht="22.5" customHeight="1">
      <c r="O353" s="46"/>
      <c r="P353" s="46"/>
      <c r="Q353" s="59"/>
      <c r="R353" s="60"/>
    </row>
    <row r="354" ht="22.5" customHeight="1">
      <c r="O354" s="46"/>
      <c r="P354" s="46"/>
      <c r="Q354" s="59"/>
      <c r="R354" s="60"/>
    </row>
    <row r="355" ht="22.5" customHeight="1">
      <c r="O355" s="46"/>
      <c r="P355" s="46"/>
      <c r="Q355" s="59"/>
      <c r="R355" s="60"/>
    </row>
    <row r="356" ht="22.5" customHeight="1">
      <c r="O356" s="46"/>
      <c r="P356" s="46"/>
      <c r="Q356" s="59"/>
      <c r="R356" s="60"/>
    </row>
    <row r="357" ht="22.5" customHeight="1">
      <c r="O357" s="46"/>
      <c r="P357" s="46"/>
      <c r="Q357" s="59"/>
      <c r="R357" s="60"/>
    </row>
    <row r="358" ht="22.5" customHeight="1">
      <c r="O358" s="46"/>
      <c r="P358" s="46"/>
      <c r="Q358" s="59"/>
      <c r="R358" s="60"/>
    </row>
    <row r="359" ht="22.5" customHeight="1">
      <c r="O359" s="46"/>
      <c r="P359" s="46"/>
      <c r="Q359" s="59"/>
      <c r="R359" s="60"/>
    </row>
    <row r="360" ht="22.5" customHeight="1">
      <c r="O360" s="46"/>
      <c r="P360" s="46"/>
      <c r="Q360" s="59"/>
      <c r="R360" s="60"/>
    </row>
    <row r="361" ht="22.5" customHeight="1">
      <c r="O361" s="46"/>
      <c r="P361" s="46"/>
      <c r="Q361" s="59"/>
      <c r="R361" s="60"/>
    </row>
    <row r="362" ht="22.5" customHeight="1">
      <c r="O362" s="46"/>
      <c r="P362" s="46"/>
      <c r="Q362" s="59"/>
      <c r="R362" s="60"/>
    </row>
    <row r="363" ht="22.5" customHeight="1">
      <c r="O363" s="46"/>
      <c r="P363" s="46"/>
      <c r="Q363" s="59"/>
      <c r="R363" s="60"/>
    </row>
    <row r="364" ht="22.5" customHeight="1">
      <c r="O364" s="46"/>
      <c r="P364" s="46"/>
      <c r="Q364" s="59"/>
      <c r="R364" s="60"/>
    </row>
    <row r="365" ht="22.5" customHeight="1">
      <c r="O365" s="46"/>
      <c r="P365" s="46"/>
      <c r="Q365" s="59"/>
      <c r="R365" s="60"/>
    </row>
    <row r="366" ht="22.5" customHeight="1">
      <c r="O366" s="46"/>
      <c r="P366" s="46"/>
      <c r="Q366" s="59"/>
      <c r="R366" s="60"/>
    </row>
    <row r="367" ht="22.5" customHeight="1">
      <c r="O367" s="46"/>
      <c r="P367" s="46"/>
      <c r="Q367" s="59"/>
      <c r="R367" s="60"/>
    </row>
    <row r="368" ht="22.5" customHeight="1">
      <c r="O368" s="46"/>
      <c r="P368" s="46"/>
      <c r="Q368" s="59"/>
      <c r="R368" s="60"/>
    </row>
    <row r="369" ht="22.5" customHeight="1">
      <c r="O369" s="46"/>
      <c r="P369" s="46"/>
      <c r="Q369" s="59"/>
      <c r="R369" s="60"/>
    </row>
    <row r="370" ht="22.5" customHeight="1">
      <c r="O370" s="46"/>
      <c r="P370" s="46"/>
      <c r="Q370" s="59"/>
      <c r="R370" s="60"/>
    </row>
    <row r="371" ht="22.5" customHeight="1">
      <c r="O371" s="46"/>
      <c r="P371" s="46"/>
      <c r="Q371" s="59"/>
      <c r="R371" s="60"/>
    </row>
    <row r="372" ht="22.5" customHeight="1">
      <c r="O372" s="46"/>
      <c r="P372" s="46"/>
      <c r="Q372" s="59"/>
      <c r="R372" s="60"/>
    </row>
    <row r="373" ht="22.5" customHeight="1">
      <c r="O373" s="46"/>
      <c r="P373" s="46"/>
      <c r="Q373" s="59"/>
      <c r="R373" s="60"/>
    </row>
    <row r="374" ht="22.5" customHeight="1">
      <c r="O374" s="46"/>
      <c r="P374" s="46"/>
      <c r="Q374" s="59"/>
      <c r="R374" s="60"/>
    </row>
    <row r="375" ht="22.5" customHeight="1">
      <c r="O375" s="46"/>
      <c r="P375" s="46"/>
      <c r="Q375" s="59"/>
      <c r="R375" s="60"/>
    </row>
    <row r="376" ht="22.5" customHeight="1">
      <c r="O376" s="46"/>
      <c r="P376" s="46"/>
      <c r="Q376" s="59"/>
      <c r="R376" s="60"/>
    </row>
    <row r="377" ht="22.5" customHeight="1">
      <c r="O377" s="46"/>
      <c r="P377" s="46"/>
      <c r="Q377" s="59"/>
      <c r="R377" s="60"/>
    </row>
    <row r="378" ht="22.5" customHeight="1">
      <c r="O378" s="46"/>
      <c r="P378" s="46"/>
      <c r="Q378" s="59"/>
      <c r="R378" s="60"/>
    </row>
    <row r="379" ht="22.5" customHeight="1">
      <c r="O379" s="46"/>
      <c r="P379" s="46"/>
      <c r="Q379" s="59"/>
      <c r="R379" s="60"/>
    </row>
    <row r="380" ht="22.5" customHeight="1">
      <c r="O380" s="46"/>
      <c r="P380" s="46"/>
      <c r="Q380" s="59"/>
      <c r="R380" s="60"/>
    </row>
    <row r="381" ht="22.5" customHeight="1">
      <c r="O381" s="46"/>
      <c r="P381" s="46"/>
      <c r="Q381" s="59"/>
      <c r="R381" s="60"/>
    </row>
    <row r="382" ht="22.5" customHeight="1">
      <c r="O382" s="46"/>
      <c r="P382" s="46"/>
      <c r="Q382" s="59"/>
      <c r="R382" s="60"/>
    </row>
    <row r="383" ht="22.5" customHeight="1">
      <c r="O383" s="46"/>
      <c r="P383" s="46"/>
      <c r="Q383" s="59"/>
      <c r="R383" s="60"/>
    </row>
    <row r="384" ht="22.5" customHeight="1">
      <c r="O384" s="46"/>
      <c r="P384" s="46"/>
      <c r="Q384" s="59"/>
      <c r="R384" s="60"/>
    </row>
    <row r="385" ht="22.5" customHeight="1">
      <c r="O385" s="46"/>
      <c r="P385" s="46"/>
      <c r="Q385" s="59"/>
      <c r="R385" s="60"/>
    </row>
    <row r="386" ht="22.5" customHeight="1">
      <c r="O386" s="46"/>
      <c r="P386" s="46"/>
      <c r="Q386" s="59"/>
      <c r="R386" s="60"/>
    </row>
    <row r="387" ht="22.5" customHeight="1">
      <c r="O387" s="46"/>
      <c r="P387" s="46"/>
      <c r="Q387" s="59"/>
      <c r="R387" s="60"/>
    </row>
    <row r="388" ht="22.5" customHeight="1">
      <c r="O388" s="46"/>
      <c r="P388" s="46"/>
      <c r="Q388" s="59"/>
      <c r="R388" s="60"/>
    </row>
    <row r="389" ht="22.5" customHeight="1">
      <c r="O389" s="46"/>
      <c r="P389" s="46"/>
      <c r="Q389" s="59"/>
      <c r="R389" s="60"/>
    </row>
    <row r="390" ht="22.5" customHeight="1">
      <c r="O390" s="46"/>
      <c r="P390" s="46"/>
      <c r="Q390" s="59"/>
      <c r="R390" s="60"/>
    </row>
    <row r="391" ht="22.5" customHeight="1">
      <c r="O391" s="46"/>
      <c r="P391" s="46"/>
      <c r="Q391" s="59"/>
      <c r="R391" s="60"/>
    </row>
    <row r="392" ht="22.5" customHeight="1">
      <c r="O392" s="46"/>
      <c r="P392" s="46"/>
      <c r="Q392" s="59"/>
      <c r="R392" s="60"/>
    </row>
    <row r="393" ht="22.5" customHeight="1">
      <c r="O393" s="46"/>
      <c r="P393" s="46"/>
      <c r="Q393" s="59"/>
      <c r="R393" s="60"/>
    </row>
    <row r="394" ht="22.5" customHeight="1">
      <c r="O394" s="46"/>
      <c r="P394" s="46"/>
      <c r="Q394" s="59"/>
      <c r="R394" s="60"/>
    </row>
    <row r="395" ht="22.5" customHeight="1">
      <c r="O395" s="46"/>
      <c r="P395" s="46"/>
      <c r="Q395" s="59"/>
      <c r="R395" s="60"/>
    </row>
    <row r="396" ht="22.5" customHeight="1">
      <c r="O396" s="46"/>
      <c r="P396" s="46"/>
      <c r="Q396" s="59"/>
      <c r="R396" s="60"/>
    </row>
    <row r="397" ht="22.5" customHeight="1">
      <c r="O397" s="46"/>
      <c r="P397" s="46"/>
      <c r="Q397" s="59"/>
      <c r="R397" s="60"/>
    </row>
    <row r="398" ht="22.5" customHeight="1">
      <c r="O398" s="46"/>
      <c r="P398" s="46"/>
      <c r="Q398" s="59"/>
      <c r="R398" s="60"/>
    </row>
    <row r="399" ht="22.5" customHeight="1">
      <c r="O399" s="46"/>
      <c r="P399" s="46"/>
      <c r="Q399" s="59"/>
      <c r="R399" s="60"/>
    </row>
    <row r="400" ht="22.5" customHeight="1">
      <c r="O400" s="46"/>
      <c r="P400" s="46"/>
      <c r="Q400" s="59"/>
      <c r="R400" s="60"/>
    </row>
    <row r="401" ht="22.5" customHeight="1">
      <c r="O401" s="46"/>
      <c r="P401" s="46"/>
      <c r="Q401" s="59"/>
      <c r="R401" s="60"/>
    </row>
    <row r="402" ht="22.5" customHeight="1">
      <c r="O402" s="46"/>
      <c r="P402" s="46"/>
      <c r="Q402" s="59"/>
      <c r="R402" s="60"/>
    </row>
    <row r="403" ht="22.5" customHeight="1">
      <c r="O403" s="46"/>
      <c r="P403" s="46"/>
      <c r="Q403" s="59"/>
      <c r="R403" s="60"/>
    </row>
    <row r="404" ht="22.5" customHeight="1">
      <c r="O404" s="46"/>
      <c r="P404" s="46"/>
      <c r="Q404" s="59"/>
      <c r="R404" s="60"/>
    </row>
    <row r="405" ht="22.5" customHeight="1">
      <c r="O405" s="46"/>
      <c r="P405" s="46"/>
      <c r="Q405" s="59"/>
      <c r="R405" s="60"/>
    </row>
    <row r="406" ht="22.5" customHeight="1">
      <c r="O406" s="46"/>
      <c r="P406" s="46"/>
      <c r="Q406" s="59"/>
      <c r="R406" s="60"/>
    </row>
    <row r="407" ht="22.5" customHeight="1">
      <c r="O407" s="46"/>
      <c r="P407" s="46"/>
      <c r="Q407" s="59"/>
      <c r="R407" s="60"/>
    </row>
    <row r="408" ht="22.5" customHeight="1">
      <c r="O408" s="46"/>
      <c r="P408" s="46"/>
      <c r="Q408" s="59"/>
      <c r="R408" s="60"/>
    </row>
    <row r="409" ht="22.5" customHeight="1">
      <c r="O409" s="46"/>
      <c r="P409" s="46"/>
      <c r="Q409" s="59"/>
      <c r="R409" s="60"/>
    </row>
    <row r="410" ht="22.5" customHeight="1">
      <c r="O410" s="46"/>
      <c r="P410" s="46"/>
      <c r="Q410" s="59"/>
      <c r="R410" s="60"/>
    </row>
    <row r="411" ht="22.5" customHeight="1">
      <c r="O411" s="46"/>
      <c r="P411" s="46"/>
      <c r="Q411" s="59"/>
      <c r="R411" s="60"/>
    </row>
    <row r="412" ht="22.5" customHeight="1">
      <c r="O412" s="46"/>
      <c r="P412" s="46"/>
      <c r="Q412" s="59"/>
      <c r="R412" s="60"/>
    </row>
    <row r="413" ht="22.5" customHeight="1">
      <c r="O413" s="46"/>
      <c r="P413" s="46"/>
      <c r="Q413" s="59"/>
      <c r="R413" s="60"/>
    </row>
    <row r="414" ht="22.5" customHeight="1">
      <c r="O414" s="46"/>
      <c r="P414" s="46"/>
      <c r="Q414" s="59"/>
      <c r="R414" s="60"/>
    </row>
    <row r="415" ht="22.5" customHeight="1">
      <c r="O415" s="46"/>
      <c r="P415" s="46"/>
      <c r="Q415" s="59"/>
      <c r="R415" s="60"/>
    </row>
    <row r="416" ht="22.5" customHeight="1">
      <c r="O416" s="46"/>
      <c r="P416" s="46"/>
      <c r="Q416" s="59"/>
      <c r="R416" s="60"/>
    </row>
    <row r="417" ht="22.5" customHeight="1">
      <c r="O417" s="46"/>
      <c r="P417" s="46"/>
      <c r="Q417" s="59"/>
      <c r="R417" s="60"/>
    </row>
    <row r="418" ht="22.5" customHeight="1">
      <c r="O418" s="46"/>
      <c r="P418" s="46"/>
      <c r="Q418" s="59"/>
      <c r="R418" s="60"/>
    </row>
    <row r="419" ht="22.5" customHeight="1">
      <c r="O419" s="46"/>
      <c r="P419" s="46"/>
      <c r="Q419" s="59"/>
      <c r="R419" s="60"/>
    </row>
    <row r="420" ht="22.5" customHeight="1">
      <c r="O420" s="46"/>
      <c r="P420" s="46"/>
      <c r="Q420" s="59"/>
      <c r="R420" s="60"/>
    </row>
    <row r="421" ht="22.5" customHeight="1">
      <c r="O421" s="46"/>
      <c r="P421" s="46"/>
      <c r="Q421" s="59"/>
      <c r="R421" s="60"/>
    </row>
    <row r="422" ht="22.5" customHeight="1">
      <c r="O422" s="46"/>
      <c r="P422" s="46"/>
      <c r="Q422" s="59"/>
      <c r="R422" s="60"/>
    </row>
    <row r="423" ht="22.5" customHeight="1">
      <c r="O423" s="46"/>
      <c r="P423" s="46"/>
      <c r="Q423" s="59"/>
      <c r="R423" s="60"/>
    </row>
    <row r="424" ht="22.5" customHeight="1">
      <c r="O424" s="46"/>
      <c r="P424" s="46"/>
      <c r="Q424" s="59"/>
      <c r="R424" s="60"/>
    </row>
    <row r="425" ht="22.5" customHeight="1">
      <c r="O425" s="46"/>
      <c r="P425" s="46"/>
      <c r="Q425" s="59"/>
      <c r="R425" s="60"/>
    </row>
    <row r="426" ht="22.5" customHeight="1">
      <c r="O426" s="46"/>
      <c r="P426" s="46"/>
      <c r="Q426" s="59"/>
      <c r="R426" s="60"/>
    </row>
    <row r="427" ht="22.5" customHeight="1">
      <c r="O427" s="46"/>
      <c r="P427" s="46"/>
      <c r="Q427" s="59"/>
      <c r="R427" s="60"/>
    </row>
    <row r="428" ht="22.5" customHeight="1">
      <c r="O428" s="46"/>
      <c r="P428" s="46"/>
      <c r="Q428" s="59"/>
      <c r="R428" s="60"/>
    </row>
    <row r="429" ht="22.5" customHeight="1">
      <c r="O429" s="46"/>
      <c r="P429" s="46"/>
      <c r="Q429" s="59"/>
      <c r="R429" s="60"/>
    </row>
    <row r="430" ht="22.5" customHeight="1">
      <c r="O430" s="46"/>
      <c r="P430" s="46"/>
      <c r="Q430" s="59"/>
      <c r="R430" s="60"/>
    </row>
    <row r="431" ht="22.5" customHeight="1">
      <c r="O431" s="46"/>
      <c r="P431" s="46"/>
      <c r="Q431" s="59"/>
      <c r="R431" s="60"/>
    </row>
    <row r="432" ht="22.5" customHeight="1">
      <c r="O432" s="46"/>
      <c r="P432" s="46"/>
      <c r="Q432" s="59"/>
      <c r="R432" s="60"/>
    </row>
    <row r="433" ht="22.5" customHeight="1">
      <c r="O433" s="46"/>
      <c r="P433" s="46"/>
      <c r="Q433" s="59"/>
      <c r="R433" s="60"/>
    </row>
    <row r="434" ht="22.5" customHeight="1">
      <c r="O434" s="46"/>
      <c r="P434" s="46"/>
      <c r="Q434" s="59"/>
      <c r="R434" s="60"/>
    </row>
    <row r="435" ht="22.5" customHeight="1">
      <c r="O435" s="46"/>
      <c r="P435" s="46"/>
      <c r="Q435" s="59"/>
      <c r="R435" s="60"/>
    </row>
    <row r="436" ht="22.5" customHeight="1">
      <c r="O436" s="46"/>
      <c r="P436" s="46"/>
      <c r="Q436" s="59"/>
      <c r="R436" s="60"/>
    </row>
    <row r="437" ht="22.5" customHeight="1">
      <c r="O437" s="46"/>
      <c r="P437" s="46"/>
      <c r="Q437" s="59"/>
      <c r="R437" s="60"/>
    </row>
    <row r="438" ht="22.5" customHeight="1">
      <c r="O438" s="46"/>
      <c r="P438" s="46"/>
      <c r="Q438" s="59"/>
      <c r="R438" s="60"/>
    </row>
    <row r="439" ht="22.5" customHeight="1">
      <c r="O439" s="46"/>
      <c r="P439" s="46"/>
      <c r="Q439" s="59"/>
      <c r="R439" s="60"/>
    </row>
    <row r="440" ht="22.5" customHeight="1">
      <c r="O440" s="46"/>
      <c r="P440" s="46"/>
      <c r="Q440" s="59"/>
      <c r="R440" s="60"/>
    </row>
    <row r="441" ht="22.5" customHeight="1">
      <c r="O441" s="46"/>
      <c r="P441" s="46"/>
      <c r="Q441" s="59"/>
      <c r="R441" s="60"/>
    </row>
    <row r="442" ht="22.5" customHeight="1">
      <c r="O442" s="46"/>
      <c r="P442" s="46"/>
      <c r="Q442" s="59"/>
      <c r="R442" s="60"/>
    </row>
    <row r="443" ht="22.5" customHeight="1">
      <c r="O443" s="46"/>
      <c r="P443" s="46"/>
      <c r="Q443" s="59"/>
      <c r="R443" s="60"/>
    </row>
    <row r="444" ht="22.5" customHeight="1">
      <c r="O444" s="46"/>
      <c r="P444" s="46"/>
      <c r="Q444" s="59"/>
      <c r="R444" s="60"/>
    </row>
    <row r="445" ht="22.5" customHeight="1">
      <c r="O445" s="46"/>
      <c r="P445" s="46"/>
      <c r="Q445" s="59"/>
      <c r="R445" s="60"/>
    </row>
    <row r="446" ht="22.5" customHeight="1">
      <c r="O446" s="46"/>
      <c r="P446" s="46"/>
      <c r="Q446" s="59"/>
      <c r="R446" s="60"/>
    </row>
    <row r="447" ht="22.5" customHeight="1">
      <c r="O447" s="46"/>
      <c r="P447" s="46"/>
      <c r="Q447" s="59"/>
      <c r="R447" s="60"/>
    </row>
    <row r="448" ht="22.5" customHeight="1">
      <c r="O448" s="46"/>
      <c r="P448" s="46"/>
      <c r="Q448" s="59"/>
      <c r="R448" s="60"/>
    </row>
    <row r="449" ht="22.5" customHeight="1">
      <c r="O449" s="46"/>
      <c r="P449" s="46"/>
      <c r="Q449" s="59"/>
      <c r="R449" s="60"/>
    </row>
    <row r="450" ht="22.5" customHeight="1">
      <c r="O450" s="46"/>
      <c r="P450" s="46"/>
      <c r="Q450" s="59"/>
      <c r="R450" s="60"/>
    </row>
    <row r="451" ht="22.5" customHeight="1">
      <c r="O451" s="46"/>
      <c r="P451" s="46"/>
      <c r="Q451" s="59"/>
      <c r="R451" s="60"/>
    </row>
    <row r="452" ht="22.5" customHeight="1">
      <c r="O452" s="46"/>
      <c r="P452" s="46"/>
      <c r="Q452" s="59"/>
      <c r="R452" s="60"/>
    </row>
    <row r="453" ht="22.5" customHeight="1">
      <c r="O453" s="46"/>
      <c r="P453" s="46"/>
      <c r="Q453" s="59"/>
      <c r="R453" s="60"/>
    </row>
    <row r="454" ht="22.5" customHeight="1">
      <c r="O454" s="46"/>
      <c r="P454" s="46"/>
      <c r="Q454" s="59"/>
      <c r="R454" s="60"/>
    </row>
    <row r="455" ht="22.5" customHeight="1">
      <c r="O455" s="46"/>
      <c r="P455" s="46"/>
      <c r="Q455" s="59"/>
      <c r="R455" s="60"/>
    </row>
    <row r="456" ht="22.5" customHeight="1">
      <c r="O456" s="46"/>
      <c r="P456" s="46"/>
      <c r="Q456" s="59"/>
      <c r="R456" s="60"/>
    </row>
    <row r="457" ht="22.5" customHeight="1">
      <c r="O457" s="46"/>
      <c r="P457" s="46"/>
      <c r="Q457" s="59"/>
      <c r="R457" s="60"/>
    </row>
    <row r="458" ht="22.5" customHeight="1">
      <c r="O458" s="46"/>
      <c r="P458" s="46"/>
      <c r="Q458" s="59"/>
      <c r="R458" s="60"/>
    </row>
    <row r="459" ht="22.5" customHeight="1">
      <c r="O459" s="46"/>
      <c r="P459" s="46"/>
      <c r="Q459" s="59"/>
      <c r="R459" s="60"/>
    </row>
    <row r="460" ht="22.5" customHeight="1">
      <c r="O460" s="46"/>
      <c r="P460" s="46"/>
      <c r="Q460" s="59"/>
      <c r="R460" s="60"/>
    </row>
    <row r="461" ht="22.5" customHeight="1">
      <c r="O461" s="46"/>
      <c r="P461" s="46"/>
      <c r="Q461" s="59"/>
      <c r="R461" s="60"/>
    </row>
    <row r="462" ht="22.5" customHeight="1">
      <c r="O462" s="46"/>
      <c r="P462" s="46"/>
      <c r="Q462" s="59"/>
      <c r="R462" s="60"/>
    </row>
    <row r="463" ht="22.5" customHeight="1">
      <c r="O463" s="46"/>
      <c r="P463" s="46"/>
      <c r="Q463" s="59"/>
      <c r="R463" s="60"/>
    </row>
    <row r="464" ht="22.5" customHeight="1">
      <c r="O464" s="46"/>
      <c r="P464" s="46"/>
      <c r="Q464" s="59"/>
      <c r="R464" s="60"/>
    </row>
    <row r="465" ht="22.5" customHeight="1">
      <c r="O465" s="46"/>
      <c r="P465" s="46"/>
      <c r="Q465" s="59"/>
      <c r="R465" s="60"/>
    </row>
    <row r="466" ht="22.5" customHeight="1">
      <c r="O466" s="46"/>
      <c r="P466" s="46"/>
      <c r="Q466" s="59"/>
      <c r="R466" s="60"/>
    </row>
    <row r="467" ht="22.5" customHeight="1">
      <c r="O467" s="46"/>
      <c r="P467" s="46"/>
      <c r="Q467" s="59"/>
      <c r="R467" s="60"/>
    </row>
    <row r="468" ht="22.5" customHeight="1">
      <c r="O468" s="46"/>
      <c r="P468" s="46"/>
      <c r="Q468" s="59"/>
      <c r="R468" s="60"/>
    </row>
    <row r="469" ht="22.5" customHeight="1">
      <c r="O469" s="46"/>
      <c r="P469" s="46"/>
      <c r="Q469" s="59"/>
      <c r="R469" s="60"/>
    </row>
    <row r="470" ht="22.5" customHeight="1">
      <c r="O470" s="46"/>
      <c r="P470" s="46"/>
      <c r="Q470" s="59"/>
      <c r="R470" s="60"/>
    </row>
    <row r="471" ht="22.5" customHeight="1">
      <c r="O471" s="46"/>
      <c r="P471" s="46"/>
      <c r="Q471" s="59"/>
      <c r="R471" s="60"/>
    </row>
    <row r="472" ht="22.5" customHeight="1">
      <c r="O472" s="46"/>
      <c r="P472" s="46"/>
      <c r="Q472" s="59"/>
      <c r="R472" s="60"/>
    </row>
    <row r="473" ht="22.5" customHeight="1">
      <c r="O473" s="46"/>
      <c r="P473" s="46"/>
      <c r="Q473" s="59"/>
      <c r="R473" s="60"/>
    </row>
    <row r="474" ht="22.5" customHeight="1">
      <c r="O474" s="46"/>
      <c r="P474" s="46"/>
      <c r="Q474" s="59"/>
      <c r="R474" s="60"/>
    </row>
    <row r="475" ht="22.5" customHeight="1">
      <c r="O475" s="46"/>
      <c r="P475" s="46"/>
      <c r="Q475" s="59"/>
      <c r="R475" s="60"/>
    </row>
    <row r="476" ht="22.5" customHeight="1">
      <c r="O476" s="46"/>
      <c r="P476" s="46"/>
      <c r="Q476" s="59"/>
      <c r="R476" s="60"/>
    </row>
    <row r="477" ht="22.5" customHeight="1">
      <c r="O477" s="46"/>
      <c r="P477" s="46"/>
      <c r="Q477" s="59"/>
      <c r="R477" s="60"/>
    </row>
    <row r="478" ht="22.5" customHeight="1">
      <c r="O478" s="46"/>
      <c r="P478" s="46"/>
      <c r="Q478" s="59"/>
      <c r="R478" s="60"/>
    </row>
    <row r="479" ht="22.5" customHeight="1">
      <c r="O479" s="46"/>
      <c r="P479" s="46"/>
      <c r="Q479" s="59"/>
      <c r="R479" s="60"/>
    </row>
    <row r="480" ht="22.5" customHeight="1">
      <c r="O480" s="46"/>
      <c r="P480" s="46"/>
      <c r="Q480" s="59"/>
      <c r="R480" s="60"/>
    </row>
    <row r="481" ht="22.5" customHeight="1">
      <c r="O481" s="46"/>
      <c r="P481" s="46"/>
      <c r="Q481" s="59"/>
      <c r="R481" s="60"/>
    </row>
    <row r="482" ht="22.5" customHeight="1">
      <c r="O482" s="46"/>
      <c r="P482" s="46"/>
      <c r="Q482" s="59"/>
      <c r="R482" s="60"/>
    </row>
    <row r="483" ht="22.5" customHeight="1">
      <c r="O483" s="46"/>
      <c r="P483" s="46"/>
      <c r="Q483" s="59"/>
      <c r="R483" s="60"/>
    </row>
    <row r="484" ht="22.5" customHeight="1">
      <c r="O484" s="46"/>
      <c r="P484" s="46"/>
      <c r="Q484" s="59"/>
      <c r="R484" s="60"/>
    </row>
    <row r="485" ht="22.5" customHeight="1">
      <c r="O485" s="46"/>
      <c r="P485" s="46"/>
      <c r="Q485" s="59"/>
      <c r="R485" s="60"/>
    </row>
    <row r="486" ht="22.5" customHeight="1">
      <c r="O486" s="46"/>
      <c r="P486" s="46"/>
      <c r="Q486" s="59"/>
      <c r="R486" s="60"/>
    </row>
    <row r="487" ht="22.5" customHeight="1">
      <c r="O487" s="46"/>
      <c r="P487" s="46"/>
      <c r="Q487" s="59"/>
      <c r="R487" s="60"/>
    </row>
    <row r="488" ht="22.5" customHeight="1">
      <c r="O488" s="46"/>
      <c r="P488" s="46"/>
      <c r="Q488" s="59"/>
      <c r="R488" s="60"/>
    </row>
    <row r="489" ht="22.5" customHeight="1">
      <c r="O489" s="46"/>
      <c r="P489" s="46"/>
      <c r="Q489" s="59"/>
      <c r="R489" s="60"/>
    </row>
    <row r="490" ht="22.5" customHeight="1">
      <c r="O490" s="46"/>
      <c r="P490" s="46"/>
      <c r="Q490" s="59"/>
      <c r="R490" s="60"/>
    </row>
    <row r="491" ht="22.5" customHeight="1">
      <c r="O491" s="46"/>
      <c r="P491" s="46"/>
      <c r="Q491" s="59"/>
      <c r="R491" s="60"/>
    </row>
    <row r="492" ht="22.5" customHeight="1">
      <c r="O492" s="46"/>
      <c r="P492" s="46"/>
      <c r="Q492" s="59"/>
      <c r="R492" s="60"/>
    </row>
    <row r="493" ht="22.5" customHeight="1">
      <c r="O493" s="46"/>
      <c r="P493" s="46"/>
      <c r="Q493" s="59"/>
      <c r="R493" s="60"/>
    </row>
    <row r="494" ht="22.5" customHeight="1">
      <c r="O494" s="46"/>
      <c r="P494" s="46"/>
      <c r="Q494" s="59"/>
      <c r="R494" s="60"/>
    </row>
    <row r="495" ht="22.5" customHeight="1">
      <c r="O495" s="46"/>
      <c r="P495" s="46"/>
      <c r="Q495" s="59"/>
      <c r="R495" s="60"/>
    </row>
    <row r="496" ht="22.5" customHeight="1">
      <c r="O496" s="46"/>
      <c r="P496" s="46"/>
      <c r="Q496" s="59"/>
      <c r="R496" s="60"/>
    </row>
    <row r="497" ht="22.5" customHeight="1">
      <c r="O497" s="46"/>
      <c r="P497" s="46"/>
      <c r="Q497" s="59"/>
      <c r="R497" s="60"/>
    </row>
    <row r="498" ht="22.5" customHeight="1">
      <c r="O498" s="46"/>
      <c r="P498" s="46"/>
      <c r="Q498" s="59"/>
      <c r="R498" s="60"/>
    </row>
    <row r="499" ht="22.5" customHeight="1">
      <c r="O499" s="46"/>
      <c r="P499" s="46"/>
      <c r="Q499" s="59"/>
      <c r="R499" s="60"/>
    </row>
    <row r="500" ht="22.5" customHeight="1">
      <c r="O500" s="46"/>
      <c r="P500" s="46"/>
      <c r="Q500" s="59"/>
      <c r="R500" s="60"/>
    </row>
    <row r="501" ht="22.5" customHeight="1">
      <c r="O501" s="46"/>
      <c r="P501" s="46"/>
      <c r="Q501" s="59"/>
      <c r="R501" s="60"/>
    </row>
    <row r="502" ht="22.5" customHeight="1">
      <c r="O502" s="46"/>
      <c r="P502" s="46"/>
      <c r="Q502" s="59"/>
      <c r="R502" s="60"/>
    </row>
    <row r="503" ht="22.5" customHeight="1">
      <c r="O503" s="46"/>
      <c r="P503" s="46"/>
      <c r="Q503" s="59"/>
      <c r="R503" s="60"/>
    </row>
    <row r="504" ht="22.5" customHeight="1">
      <c r="O504" s="46"/>
      <c r="P504" s="46"/>
      <c r="Q504" s="59"/>
      <c r="R504" s="60"/>
    </row>
    <row r="505" ht="22.5" customHeight="1">
      <c r="O505" s="46"/>
      <c r="P505" s="46"/>
      <c r="Q505" s="59"/>
      <c r="R505" s="60"/>
    </row>
    <row r="506" ht="22.5" customHeight="1">
      <c r="O506" s="46"/>
      <c r="P506" s="46"/>
      <c r="Q506" s="59"/>
      <c r="R506" s="60"/>
    </row>
    <row r="507" ht="22.5" customHeight="1">
      <c r="O507" s="46"/>
      <c r="P507" s="46"/>
      <c r="Q507" s="59"/>
      <c r="R507" s="60"/>
    </row>
    <row r="508" ht="22.5" customHeight="1">
      <c r="O508" s="46"/>
      <c r="P508" s="46"/>
      <c r="Q508" s="59"/>
      <c r="R508" s="60"/>
    </row>
    <row r="509" ht="22.5" customHeight="1">
      <c r="O509" s="46"/>
      <c r="P509" s="46"/>
      <c r="Q509" s="59"/>
      <c r="R509" s="60"/>
    </row>
    <row r="510" ht="22.5" customHeight="1">
      <c r="O510" s="46"/>
      <c r="P510" s="46"/>
      <c r="Q510" s="59"/>
      <c r="R510" s="60"/>
    </row>
    <row r="511" ht="22.5" customHeight="1">
      <c r="O511" s="46"/>
      <c r="P511" s="46"/>
      <c r="Q511" s="59"/>
      <c r="R511" s="60"/>
    </row>
    <row r="512" ht="22.5" customHeight="1">
      <c r="O512" s="46"/>
      <c r="P512" s="46"/>
      <c r="Q512" s="59"/>
      <c r="R512" s="60"/>
    </row>
    <row r="513" ht="22.5" customHeight="1">
      <c r="O513" s="46"/>
      <c r="P513" s="46"/>
      <c r="Q513" s="59"/>
      <c r="R513" s="60"/>
    </row>
    <row r="514" ht="22.5" customHeight="1">
      <c r="O514" s="46"/>
      <c r="P514" s="46"/>
      <c r="Q514" s="59"/>
      <c r="R514" s="60"/>
    </row>
    <row r="515" ht="22.5" customHeight="1">
      <c r="O515" s="46"/>
      <c r="P515" s="46"/>
      <c r="Q515" s="59"/>
      <c r="R515" s="60"/>
    </row>
    <row r="516" ht="22.5" customHeight="1">
      <c r="O516" s="46"/>
      <c r="P516" s="46"/>
      <c r="Q516" s="59"/>
      <c r="R516" s="60"/>
    </row>
    <row r="517" ht="22.5" customHeight="1">
      <c r="O517" s="46"/>
      <c r="P517" s="46"/>
      <c r="Q517" s="59"/>
      <c r="R517" s="60"/>
    </row>
    <row r="518" ht="22.5" customHeight="1">
      <c r="O518" s="46"/>
      <c r="P518" s="46"/>
      <c r="Q518" s="59"/>
      <c r="R518" s="60"/>
    </row>
    <row r="519" ht="22.5" customHeight="1">
      <c r="O519" s="46"/>
      <c r="P519" s="46"/>
      <c r="Q519" s="59"/>
      <c r="R519" s="60"/>
    </row>
    <row r="520" ht="22.5" customHeight="1">
      <c r="O520" s="46"/>
      <c r="P520" s="46"/>
      <c r="Q520" s="59"/>
      <c r="R520" s="60"/>
    </row>
    <row r="521" ht="22.5" customHeight="1">
      <c r="O521" s="46"/>
      <c r="P521" s="46"/>
      <c r="Q521" s="59"/>
      <c r="R521" s="60"/>
    </row>
    <row r="522" ht="22.5" customHeight="1">
      <c r="O522" s="46"/>
      <c r="P522" s="46"/>
      <c r="Q522" s="59"/>
      <c r="R522" s="60"/>
    </row>
    <row r="523" ht="22.5" customHeight="1">
      <c r="O523" s="46"/>
      <c r="P523" s="46"/>
      <c r="Q523" s="59"/>
      <c r="R523" s="60"/>
    </row>
    <row r="524" ht="22.5" customHeight="1">
      <c r="O524" s="46"/>
      <c r="P524" s="46"/>
      <c r="Q524" s="59"/>
      <c r="R524" s="60"/>
    </row>
    <row r="525" ht="22.5" customHeight="1">
      <c r="O525" s="46"/>
      <c r="P525" s="46"/>
      <c r="Q525" s="59"/>
      <c r="R525" s="60"/>
    </row>
    <row r="526" ht="22.5" customHeight="1">
      <c r="O526" s="46"/>
      <c r="P526" s="46"/>
      <c r="Q526" s="59"/>
      <c r="R526" s="60"/>
    </row>
    <row r="527" ht="22.5" customHeight="1">
      <c r="O527" s="46"/>
      <c r="P527" s="46"/>
      <c r="Q527" s="59"/>
      <c r="R527" s="60"/>
    </row>
    <row r="528" ht="22.5" customHeight="1">
      <c r="O528" s="46"/>
      <c r="P528" s="46"/>
      <c r="Q528" s="59"/>
      <c r="R528" s="60"/>
    </row>
    <row r="529" ht="22.5" customHeight="1">
      <c r="O529" s="46"/>
      <c r="P529" s="46"/>
      <c r="Q529" s="59"/>
      <c r="R529" s="60"/>
    </row>
    <row r="530" ht="22.5" customHeight="1">
      <c r="O530" s="46"/>
      <c r="P530" s="46"/>
      <c r="Q530" s="59"/>
      <c r="R530" s="60"/>
    </row>
    <row r="531" ht="22.5" customHeight="1">
      <c r="O531" s="46"/>
      <c r="P531" s="46"/>
      <c r="Q531" s="59"/>
      <c r="R531" s="60"/>
    </row>
    <row r="532" ht="22.5" customHeight="1">
      <c r="O532" s="46"/>
      <c r="P532" s="46"/>
      <c r="Q532" s="59"/>
      <c r="R532" s="60"/>
    </row>
    <row r="533" ht="22.5" customHeight="1">
      <c r="O533" s="46"/>
      <c r="P533" s="46"/>
      <c r="Q533" s="59"/>
      <c r="R533" s="60"/>
    </row>
    <row r="534" ht="22.5" customHeight="1">
      <c r="O534" s="46"/>
      <c r="P534" s="46"/>
      <c r="Q534" s="59"/>
      <c r="R534" s="60"/>
    </row>
    <row r="535" ht="22.5" customHeight="1">
      <c r="O535" s="46"/>
      <c r="P535" s="46"/>
      <c r="Q535" s="59"/>
      <c r="R535" s="60"/>
    </row>
    <row r="536" ht="22.5" customHeight="1">
      <c r="O536" s="46"/>
      <c r="P536" s="46"/>
      <c r="Q536" s="59"/>
      <c r="R536" s="60"/>
    </row>
    <row r="537" ht="22.5" customHeight="1">
      <c r="O537" s="46"/>
      <c r="P537" s="46"/>
      <c r="Q537" s="59"/>
      <c r="R537" s="60"/>
    </row>
    <row r="538" ht="22.5" customHeight="1">
      <c r="O538" s="46"/>
      <c r="P538" s="46"/>
      <c r="Q538" s="59"/>
      <c r="R538" s="60"/>
    </row>
    <row r="539" ht="22.5" customHeight="1">
      <c r="O539" s="46"/>
      <c r="P539" s="46"/>
      <c r="Q539" s="59"/>
      <c r="R539" s="60"/>
    </row>
    <row r="540" ht="22.5" customHeight="1">
      <c r="O540" s="46"/>
      <c r="P540" s="46"/>
      <c r="Q540" s="59"/>
      <c r="R540" s="60"/>
    </row>
    <row r="541" ht="22.5" customHeight="1">
      <c r="O541" s="46"/>
      <c r="P541" s="46"/>
      <c r="Q541" s="59"/>
      <c r="R541" s="60"/>
    </row>
    <row r="542" ht="22.5" customHeight="1">
      <c r="O542" s="46"/>
      <c r="P542" s="46"/>
      <c r="Q542" s="59"/>
      <c r="R542" s="60"/>
    </row>
    <row r="543" ht="22.5" customHeight="1">
      <c r="O543" s="46"/>
      <c r="P543" s="46"/>
      <c r="Q543" s="59"/>
      <c r="R543" s="60"/>
    </row>
    <row r="544" ht="22.5" customHeight="1">
      <c r="O544" s="46"/>
      <c r="P544" s="46"/>
      <c r="Q544" s="59"/>
      <c r="R544" s="60"/>
    </row>
    <row r="545" ht="22.5" customHeight="1">
      <c r="O545" s="46"/>
      <c r="P545" s="46"/>
      <c r="Q545" s="59"/>
      <c r="R545" s="60"/>
    </row>
    <row r="546" ht="22.5" customHeight="1">
      <c r="O546" s="46"/>
      <c r="P546" s="46"/>
      <c r="Q546" s="59"/>
      <c r="R546" s="60"/>
    </row>
    <row r="547" ht="22.5" customHeight="1">
      <c r="O547" s="46"/>
      <c r="P547" s="46"/>
      <c r="Q547" s="59"/>
      <c r="R547" s="60"/>
    </row>
    <row r="548" ht="22.5" customHeight="1">
      <c r="O548" s="46"/>
      <c r="P548" s="46"/>
      <c r="Q548" s="59"/>
      <c r="R548" s="60"/>
    </row>
    <row r="549" ht="22.5" customHeight="1">
      <c r="O549" s="46"/>
      <c r="P549" s="46"/>
      <c r="Q549" s="59"/>
      <c r="R549" s="60"/>
    </row>
    <row r="550" ht="22.5" customHeight="1">
      <c r="O550" s="46"/>
      <c r="P550" s="46"/>
      <c r="Q550" s="59"/>
      <c r="R550" s="60"/>
    </row>
    <row r="551" ht="22.5" customHeight="1">
      <c r="O551" s="46"/>
      <c r="P551" s="46"/>
      <c r="Q551" s="59"/>
      <c r="R551" s="60"/>
    </row>
    <row r="552" ht="22.5" customHeight="1">
      <c r="O552" s="46"/>
      <c r="P552" s="46"/>
      <c r="Q552" s="59"/>
      <c r="R552" s="60"/>
    </row>
    <row r="553" ht="22.5" customHeight="1">
      <c r="O553" s="46"/>
      <c r="P553" s="46"/>
      <c r="Q553" s="59"/>
      <c r="R553" s="60"/>
    </row>
    <row r="554" ht="22.5" customHeight="1">
      <c r="O554" s="46"/>
      <c r="P554" s="46"/>
      <c r="Q554" s="59"/>
      <c r="R554" s="60"/>
    </row>
    <row r="555" ht="22.5" customHeight="1">
      <c r="O555" s="46"/>
      <c r="P555" s="46"/>
      <c r="Q555" s="59"/>
      <c r="R555" s="60"/>
    </row>
    <row r="556" ht="22.5" customHeight="1">
      <c r="O556" s="46"/>
      <c r="P556" s="46"/>
      <c r="Q556" s="59"/>
      <c r="R556" s="60"/>
    </row>
    <row r="557" ht="22.5" customHeight="1">
      <c r="O557" s="46"/>
      <c r="P557" s="46"/>
      <c r="Q557" s="59"/>
      <c r="R557" s="60"/>
    </row>
    <row r="558" ht="22.5" customHeight="1">
      <c r="O558" s="46"/>
      <c r="P558" s="46"/>
      <c r="Q558" s="59"/>
      <c r="R558" s="60"/>
    </row>
    <row r="559" ht="22.5" customHeight="1">
      <c r="O559" s="46"/>
      <c r="P559" s="46"/>
      <c r="Q559" s="59"/>
      <c r="R559" s="60"/>
    </row>
    <row r="560" ht="22.5" customHeight="1">
      <c r="O560" s="46"/>
      <c r="P560" s="46"/>
      <c r="Q560" s="59"/>
      <c r="R560" s="60"/>
    </row>
    <row r="561" ht="22.5" customHeight="1">
      <c r="O561" s="46"/>
      <c r="P561" s="46"/>
      <c r="Q561" s="59"/>
      <c r="R561" s="60"/>
    </row>
    <row r="562" ht="22.5" customHeight="1">
      <c r="O562" s="46"/>
      <c r="P562" s="46"/>
      <c r="Q562" s="59"/>
      <c r="R562" s="60"/>
    </row>
    <row r="563" ht="22.5" customHeight="1">
      <c r="O563" s="46"/>
      <c r="P563" s="46"/>
      <c r="Q563" s="59"/>
      <c r="R563" s="60"/>
    </row>
    <row r="564" ht="22.5" customHeight="1">
      <c r="O564" s="46"/>
      <c r="P564" s="46"/>
      <c r="Q564" s="59"/>
      <c r="R564" s="60"/>
    </row>
    <row r="565" ht="22.5" customHeight="1">
      <c r="O565" s="46"/>
      <c r="P565" s="46"/>
      <c r="Q565" s="59"/>
      <c r="R565" s="60"/>
    </row>
    <row r="566" ht="22.5" customHeight="1">
      <c r="O566" s="46"/>
      <c r="P566" s="46"/>
      <c r="Q566" s="59"/>
      <c r="R566" s="60"/>
    </row>
    <row r="567" ht="22.5" customHeight="1">
      <c r="O567" s="46"/>
      <c r="P567" s="46"/>
      <c r="Q567" s="59"/>
      <c r="R567" s="60"/>
    </row>
    <row r="568" ht="22.5" customHeight="1">
      <c r="O568" s="46"/>
      <c r="P568" s="46"/>
      <c r="Q568" s="59"/>
      <c r="R568" s="60"/>
    </row>
    <row r="569" ht="22.5" customHeight="1">
      <c r="O569" s="46"/>
      <c r="P569" s="46"/>
      <c r="Q569" s="59"/>
      <c r="R569" s="60"/>
    </row>
    <row r="570" ht="22.5" customHeight="1">
      <c r="O570" s="46"/>
      <c r="P570" s="46"/>
      <c r="Q570" s="59"/>
      <c r="R570" s="60"/>
    </row>
    <row r="571" ht="22.5" customHeight="1">
      <c r="O571" s="46"/>
      <c r="P571" s="46"/>
      <c r="Q571" s="59"/>
      <c r="R571" s="60"/>
    </row>
    <row r="572" ht="22.5" customHeight="1">
      <c r="O572" s="46"/>
      <c r="P572" s="46"/>
      <c r="Q572" s="59"/>
      <c r="R572" s="60"/>
    </row>
    <row r="573" ht="22.5" customHeight="1">
      <c r="O573" s="46"/>
      <c r="P573" s="46"/>
      <c r="Q573" s="59"/>
      <c r="R573" s="60"/>
    </row>
    <row r="574" ht="22.5" customHeight="1">
      <c r="O574" s="46"/>
      <c r="P574" s="46"/>
      <c r="Q574" s="59"/>
      <c r="R574" s="60"/>
    </row>
    <row r="575" ht="22.5" customHeight="1">
      <c r="O575" s="46"/>
      <c r="P575" s="46"/>
      <c r="Q575" s="59"/>
      <c r="R575" s="60"/>
    </row>
    <row r="576" ht="22.5" customHeight="1">
      <c r="O576" s="46"/>
      <c r="P576" s="46"/>
      <c r="Q576" s="59"/>
      <c r="R576" s="60"/>
    </row>
    <row r="577" ht="22.5" customHeight="1">
      <c r="O577" s="46"/>
      <c r="P577" s="46"/>
      <c r="Q577" s="59"/>
      <c r="R577" s="60"/>
    </row>
    <row r="578" ht="22.5" customHeight="1">
      <c r="O578" s="46"/>
      <c r="P578" s="46"/>
      <c r="Q578" s="59"/>
      <c r="R578" s="60"/>
    </row>
    <row r="579" ht="22.5" customHeight="1">
      <c r="O579" s="46"/>
      <c r="P579" s="46"/>
      <c r="Q579" s="59"/>
      <c r="R579" s="60"/>
    </row>
    <row r="580" ht="22.5" customHeight="1">
      <c r="O580" s="46"/>
      <c r="P580" s="46"/>
      <c r="Q580" s="59"/>
      <c r="R580" s="60"/>
    </row>
    <row r="581" ht="22.5" customHeight="1">
      <c r="O581" s="46"/>
      <c r="P581" s="46"/>
      <c r="Q581" s="59"/>
      <c r="R581" s="60"/>
    </row>
    <row r="582" ht="22.5" customHeight="1">
      <c r="O582" s="46"/>
      <c r="P582" s="46"/>
      <c r="Q582" s="59"/>
      <c r="R582" s="60"/>
    </row>
    <row r="583" ht="22.5" customHeight="1">
      <c r="O583" s="46"/>
      <c r="P583" s="46"/>
      <c r="Q583" s="59"/>
      <c r="R583" s="60"/>
    </row>
    <row r="584" ht="22.5" customHeight="1">
      <c r="O584" s="46"/>
      <c r="P584" s="46"/>
      <c r="Q584" s="59"/>
      <c r="R584" s="60"/>
    </row>
    <row r="585" ht="22.5" customHeight="1">
      <c r="O585" s="46"/>
      <c r="P585" s="46"/>
      <c r="Q585" s="59"/>
      <c r="R585" s="60"/>
    </row>
    <row r="586" ht="22.5" customHeight="1">
      <c r="O586" s="46"/>
      <c r="P586" s="46"/>
      <c r="Q586" s="59"/>
      <c r="R586" s="60"/>
    </row>
    <row r="587" ht="22.5" customHeight="1">
      <c r="O587" s="46"/>
      <c r="P587" s="46"/>
      <c r="Q587" s="59"/>
      <c r="R587" s="60"/>
    </row>
    <row r="588" ht="22.5" customHeight="1">
      <c r="O588" s="46"/>
      <c r="P588" s="46"/>
      <c r="Q588" s="59"/>
      <c r="R588" s="60"/>
    </row>
    <row r="589" ht="22.5" customHeight="1">
      <c r="O589" s="46"/>
      <c r="P589" s="46"/>
      <c r="Q589" s="59"/>
      <c r="R589" s="60"/>
    </row>
    <row r="590" ht="22.5" customHeight="1">
      <c r="O590" s="46"/>
      <c r="P590" s="46"/>
      <c r="Q590" s="59"/>
      <c r="R590" s="60"/>
    </row>
    <row r="591" ht="22.5" customHeight="1">
      <c r="O591" s="46"/>
      <c r="P591" s="46"/>
      <c r="Q591" s="59"/>
      <c r="R591" s="60"/>
    </row>
    <row r="592" ht="22.5" customHeight="1">
      <c r="O592" s="46"/>
      <c r="P592" s="46"/>
      <c r="Q592" s="59"/>
      <c r="R592" s="60"/>
    </row>
    <row r="593" ht="22.5" customHeight="1">
      <c r="O593" s="46"/>
      <c r="P593" s="46"/>
      <c r="Q593" s="59"/>
      <c r="R593" s="60"/>
    </row>
    <row r="594" ht="22.5" customHeight="1">
      <c r="O594" s="46"/>
      <c r="P594" s="46"/>
      <c r="Q594" s="59"/>
      <c r="R594" s="60"/>
    </row>
    <row r="595" ht="22.5" customHeight="1">
      <c r="O595" s="46"/>
      <c r="P595" s="46"/>
      <c r="Q595" s="59"/>
      <c r="R595" s="60"/>
    </row>
    <row r="596" ht="22.5" customHeight="1">
      <c r="O596" s="46"/>
      <c r="P596" s="46"/>
      <c r="Q596" s="59"/>
      <c r="R596" s="60"/>
    </row>
    <row r="597" ht="22.5" customHeight="1">
      <c r="O597" s="46"/>
      <c r="P597" s="46"/>
      <c r="Q597" s="59"/>
      <c r="R597" s="60"/>
    </row>
    <row r="598" ht="22.5" customHeight="1">
      <c r="O598" s="46"/>
      <c r="P598" s="46"/>
      <c r="Q598" s="59"/>
      <c r="R598" s="60"/>
    </row>
    <row r="599" ht="22.5" customHeight="1">
      <c r="O599" s="46"/>
      <c r="P599" s="46"/>
      <c r="Q599" s="59"/>
      <c r="R599" s="60"/>
    </row>
    <row r="600" ht="22.5" customHeight="1">
      <c r="O600" s="46"/>
      <c r="P600" s="46"/>
      <c r="Q600" s="59"/>
      <c r="R600" s="60"/>
    </row>
    <row r="601" ht="22.5" customHeight="1">
      <c r="O601" s="46"/>
      <c r="P601" s="46"/>
      <c r="Q601" s="59"/>
      <c r="R601" s="60"/>
    </row>
    <row r="602" ht="22.5" customHeight="1">
      <c r="O602" s="46"/>
      <c r="P602" s="46"/>
      <c r="Q602" s="59"/>
      <c r="R602" s="60"/>
    </row>
    <row r="603" ht="22.5" customHeight="1">
      <c r="O603" s="46"/>
      <c r="P603" s="46"/>
      <c r="Q603" s="59"/>
      <c r="R603" s="60"/>
    </row>
    <row r="604" ht="22.5" customHeight="1">
      <c r="O604" s="46"/>
      <c r="P604" s="46"/>
      <c r="Q604" s="59"/>
      <c r="R604" s="60"/>
    </row>
    <row r="605" ht="22.5" customHeight="1">
      <c r="O605" s="46"/>
      <c r="P605" s="46"/>
      <c r="Q605" s="59"/>
      <c r="R605" s="60"/>
    </row>
    <row r="606" ht="22.5" customHeight="1">
      <c r="O606" s="46"/>
      <c r="P606" s="46"/>
      <c r="Q606" s="59"/>
      <c r="R606" s="60"/>
    </row>
    <row r="607" ht="22.5" customHeight="1">
      <c r="O607" s="46"/>
      <c r="P607" s="46"/>
      <c r="Q607" s="59"/>
      <c r="R607" s="60"/>
    </row>
    <row r="608" ht="22.5" customHeight="1">
      <c r="O608" s="46"/>
      <c r="P608" s="46"/>
      <c r="Q608" s="59"/>
      <c r="R608" s="60"/>
    </row>
    <row r="609" ht="22.5" customHeight="1">
      <c r="O609" s="46"/>
      <c r="P609" s="46"/>
      <c r="Q609" s="59"/>
      <c r="R609" s="60"/>
    </row>
    <row r="610" ht="22.5" customHeight="1">
      <c r="O610" s="46"/>
      <c r="P610" s="46"/>
      <c r="Q610" s="59"/>
      <c r="R610" s="60"/>
    </row>
    <row r="611" ht="22.5" customHeight="1">
      <c r="O611" s="46"/>
      <c r="P611" s="46"/>
      <c r="Q611" s="59"/>
      <c r="R611" s="60"/>
    </row>
    <row r="612" ht="22.5" customHeight="1">
      <c r="O612" s="46"/>
      <c r="P612" s="46"/>
      <c r="Q612" s="59"/>
      <c r="R612" s="60"/>
    </row>
    <row r="613" ht="22.5" customHeight="1">
      <c r="O613" s="46"/>
      <c r="P613" s="46"/>
      <c r="Q613" s="59"/>
      <c r="R613" s="60"/>
    </row>
    <row r="614" ht="22.5" customHeight="1">
      <c r="O614" s="46"/>
      <c r="P614" s="46"/>
      <c r="Q614" s="59"/>
      <c r="R614" s="60"/>
    </row>
    <row r="615" ht="22.5" customHeight="1">
      <c r="O615" s="46"/>
      <c r="P615" s="46"/>
      <c r="Q615" s="59"/>
      <c r="R615" s="60"/>
    </row>
    <row r="616" ht="22.5" customHeight="1">
      <c r="O616" s="46"/>
      <c r="P616" s="46"/>
      <c r="Q616" s="59"/>
      <c r="R616" s="60"/>
    </row>
    <row r="617" ht="22.5" customHeight="1">
      <c r="O617" s="46"/>
      <c r="P617" s="46"/>
      <c r="Q617" s="59"/>
      <c r="R617" s="60"/>
    </row>
    <row r="618" ht="22.5" customHeight="1">
      <c r="O618" s="46"/>
      <c r="P618" s="46"/>
      <c r="Q618" s="59"/>
      <c r="R618" s="60"/>
    </row>
    <row r="619" ht="22.5" customHeight="1">
      <c r="O619" s="46"/>
      <c r="P619" s="46"/>
      <c r="Q619" s="59"/>
      <c r="R619" s="60"/>
    </row>
    <row r="620" ht="22.5" customHeight="1">
      <c r="O620" s="46"/>
      <c r="P620" s="46"/>
      <c r="Q620" s="59"/>
      <c r="R620" s="60"/>
    </row>
    <row r="621" ht="22.5" customHeight="1">
      <c r="O621" s="46"/>
      <c r="P621" s="46"/>
      <c r="Q621" s="59"/>
      <c r="R621" s="60"/>
    </row>
    <row r="622" ht="22.5" customHeight="1">
      <c r="O622" s="46"/>
      <c r="P622" s="46"/>
      <c r="Q622" s="59"/>
      <c r="R622" s="60"/>
    </row>
    <row r="623" ht="22.5" customHeight="1">
      <c r="O623" s="46"/>
      <c r="P623" s="46"/>
      <c r="Q623" s="59"/>
      <c r="R623" s="60"/>
    </row>
    <row r="624" ht="22.5" customHeight="1">
      <c r="O624" s="46"/>
      <c r="P624" s="46"/>
      <c r="Q624" s="59"/>
      <c r="R624" s="60"/>
    </row>
    <row r="625" ht="22.5" customHeight="1">
      <c r="O625" s="46"/>
      <c r="P625" s="46"/>
      <c r="Q625" s="59"/>
      <c r="R625" s="60"/>
    </row>
    <row r="626" ht="22.5" customHeight="1">
      <c r="O626" s="46"/>
      <c r="P626" s="46"/>
      <c r="Q626" s="59"/>
      <c r="R626" s="60"/>
    </row>
    <row r="627" ht="22.5" customHeight="1">
      <c r="O627" s="46"/>
      <c r="P627" s="46"/>
      <c r="Q627" s="59"/>
      <c r="R627" s="60"/>
    </row>
    <row r="628" ht="22.5" customHeight="1">
      <c r="O628" s="46"/>
      <c r="P628" s="46"/>
      <c r="Q628" s="59"/>
      <c r="R628" s="60"/>
    </row>
    <row r="629" ht="22.5" customHeight="1">
      <c r="O629" s="46"/>
      <c r="P629" s="46"/>
      <c r="Q629" s="59"/>
      <c r="R629" s="60"/>
    </row>
    <row r="630" ht="22.5" customHeight="1">
      <c r="O630" s="46"/>
      <c r="P630" s="46"/>
      <c r="Q630" s="59"/>
      <c r="R630" s="60"/>
    </row>
    <row r="631" ht="22.5" customHeight="1">
      <c r="O631" s="46"/>
      <c r="P631" s="46"/>
      <c r="Q631" s="59"/>
      <c r="R631" s="60"/>
    </row>
    <row r="632" ht="22.5" customHeight="1">
      <c r="O632" s="46"/>
      <c r="P632" s="46"/>
      <c r="Q632" s="59"/>
      <c r="R632" s="60"/>
    </row>
    <row r="633" ht="22.5" customHeight="1">
      <c r="O633" s="46"/>
      <c r="P633" s="46"/>
      <c r="Q633" s="59"/>
      <c r="R633" s="60"/>
    </row>
    <row r="634" ht="22.5" customHeight="1">
      <c r="O634" s="46"/>
      <c r="P634" s="46"/>
      <c r="Q634" s="59"/>
      <c r="R634" s="60"/>
    </row>
    <row r="635" ht="22.5" customHeight="1">
      <c r="O635" s="46"/>
      <c r="P635" s="46"/>
      <c r="Q635" s="59"/>
      <c r="R635" s="60"/>
    </row>
    <row r="636" ht="22.5" customHeight="1">
      <c r="O636" s="46"/>
      <c r="P636" s="46"/>
      <c r="Q636" s="59"/>
      <c r="R636" s="60"/>
    </row>
    <row r="637" ht="22.5" customHeight="1">
      <c r="O637" s="46"/>
      <c r="P637" s="46"/>
      <c r="Q637" s="59"/>
      <c r="R637" s="60"/>
    </row>
    <row r="638" ht="22.5" customHeight="1">
      <c r="O638" s="46"/>
      <c r="P638" s="46"/>
      <c r="Q638" s="59"/>
      <c r="R638" s="60"/>
    </row>
    <row r="639" ht="22.5" customHeight="1">
      <c r="O639" s="46"/>
      <c r="P639" s="46"/>
      <c r="Q639" s="59"/>
      <c r="R639" s="60"/>
    </row>
    <row r="640" ht="22.5" customHeight="1">
      <c r="O640" s="46"/>
      <c r="P640" s="46"/>
      <c r="Q640" s="59"/>
      <c r="R640" s="60"/>
    </row>
    <row r="641" ht="22.5" customHeight="1">
      <c r="O641" s="46"/>
      <c r="P641" s="46"/>
      <c r="Q641" s="59"/>
      <c r="R641" s="60"/>
    </row>
    <row r="642" ht="22.5" customHeight="1">
      <c r="O642" s="46"/>
      <c r="P642" s="46"/>
      <c r="Q642" s="59"/>
      <c r="R642" s="60"/>
    </row>
    <row r="643" ht="22.5" customHeight="1">
      <c r="O643" s="46"/>
      <c r="P643" s="46"/>
      <c r="Q643" s="59"/>
      <c r="R643" s="60"/>
    </row>
    <row r="644" ht="22.5" customHeight="1">
      <c r="O644" s="46"/>
      <c r="P644" s="46"/>
      <c r="Q644" s="59"/>
      <c r="R644" s="60"/>
    </row>
    <row r="645" ht="22.5" customHeight="1">
      <c r="O645" s="46"/>
      <c r="P645" s="46"/>
      <c r="Q645" s="59"/>
      <c r="R645" s="60"/>
    </row>
    <row r="646" ht="22.5" customHeight="1">
      <c r="O646" s="46"/>
      <c r="P646" s="46"/>
      <c r="Q646" s="59"/>
      <c r="R646" s="60"/>
    </row>
    <row r="647" ht="22.5" customHeight="1">
      <c r="O647" s="46"/>
      <c r="P647" s="46"/>
      <c r="Q647" s="59"/>
      <c r="R647" s="60"/>
    </row>
    <row r="648" ht="22.5" customHeight="1">
      <c r="O648" s="46"/>
      <c r="P648" s="46"/>
      <c r="Q648" s="59"/>
      <c r="R648" s="60"/>
    </row>
    <row r="649" ht="22.5" customHeight="1">
      <c r="O649" s="46"/>
      <c r="P649" s="46"/>
      <c r="Q649" s="59"/>
      <c r="R649" s="60"/>
    </row>
    <row r="650" ht="22.5" customHeight="1">
      <c r="O650" s="46"/>
      <c r="P650" s="46"/>
      <c r="Q650" s="59"/>
      <c r="R650" s="60"/>
    </row>
    <row r="651" ht="22.5" customHeight="1">
      <c r="O651" s="46"/>
      <c r="P651" s="46"/>
      <c r="Q651" s="59"/>
      <c r="R651" s="60"/>
    </row>
    <row r="652" ht="22.5" customHeight="1">
      <c r="O652" s="46"/>
      <c r="P652" s="46"/>
      <c r="Q652" s="59"/>
      <c r="R652" s="60"/>
    </row>
    <row r="653" ht="22.5" customHeight="1">
      <c r="O653" s="46"/>
      <c r="P653" s="46"/>
      <c r="Q653" s="59"/>
      <c r="R653" s="60"/>
    </row>
    <row r="654" ht="22.5" customHeight="1">
      <c r="O654" s="46"/>
      <c r="P654" s="46"/>
      <c r="Q654" s="59"/>
      <c r="R654" s="60"/>
    </row>
    <row r="655" ht="22.5" customHeight="1">
      <c r="O655" s="46"/>
      <c r="P655" s="46"/>
      <c r="Q655" s="59"/>
      <c r="R655" s="60"/>
    </row>
    <row r="656" ht="22.5" customHeight="1">
      <c r="O656" s="46"/>
      <c r="P656" s="46"/>
      <c r="Q656" s="59"/>
      <c r="R656" s="60"/>
    </row>
    <row r="657" ht="22.5" customHeight="1">
      <c r="O657" s="46"/>
      <c r="P657" s="46"/>
      <c r="Q657" s="59"/>
      <c r="R657" s="60"/>
    </row>
    <row r="658" ht="22.5" customHeight="1">
      <c r="O658" s="46"/>
      <c r="P658" s="46"/>
      <c r="Q658" s="59"/>
      <c r="R658" s="60"/>
    </row>
    <row r="659" ht="22.5" customHeight="1">
      <c r="O659" s="46"/>
      <c r="P659" s="46"/>
      <c r="Q659" s="59"/>
      <c r="R659" s="60"/>
    </row>
    <row r="660" ht="22.5" customHeight="1">
      <c r="O660" s="46"/>
      <c r="P660" s="46"/>
      <c r="Q660" s="59"/>
      <c r="R660" s="60"/>
    </row>
    <row r="661" ht="22.5" customHeight="1">
      <c r="O661" s="46"/>
      <c r="P661" s="46"/>
      <c r="Q661" s="59"/>
      <c r="R661" s="60"/>
    </row>
    <row r="662" ht="22.5" customHeight="1">
      <c r="O662" s="46"/>
      <c r="P662" s="46"/>
      <c r="Q662" s="59"/>
      <c r="R662" s="60"/>
    </row>
    <row r="663" ht="22.5" customHeight="1">
      <c r="O663" s="46"/>
      <c r="P663" s="46"/>
      <c r="Q663" s="59"/>
      <c r="R663" s="60"/>
    </row>
    <row r="664" ht="22.5" customHeight="1">
      <c r="O664" s="46"/>
      <c r="P664" s="46"/>
      <c r="Q664" s="59"/>
      <c r="R664" s="60"/>
    </row>
    <row r="665" ht="22.5" customHeight="1">
      <c r="O665" s="46"/>
      <c r="P665" s="46"/>
      <c r="Q665" s="59"/>
      <c r="R665" s="60"/>
    </row>
    <row r="666" ht="22.5" customHeight="1">
      <c r="O666" s="46"/>
      <c r="P666" s="46"/>
      <c r="Q666" s="59"/>
      <c r="R666" s="60"/>
    </row>
    <row r="667" ht="22.5" customHeight="1">
      <c r="O667" s="46"/>
      <c r="P667" s="46"/>
      <c r="Q667" s="59"/>
      <c r="R667" s="60"/>
    </row>
    <row r="668" ht="22.5" customHeight="1">
      <c r="O668" s="46"/>
      <c r="P668" s="46"/>
      <c r="Q668" s="59"/>
      <c r="R668" s="60"/>
    </row>
    <row r="669" ht="22.5" customHeight="1">
      <c r="O669" s="46"/>
      <c r="P669" s="46"/>
      <c r="Q669" s="59"/>
      <c r="R669" s="60"/>
    </row>
    <row r="670" ht="22.5" customHeight="1">
      <c r="O670" s="46"/>
      <c r="P670" s="46"/>
      <c r="Q670" s="59"/>
      <c r="R670" s="60"/>
    </row>
    <row r="671" ht="22.5" customHeight="1">
      <c r="O671" s="46"/>
      <c r="P671" s="46"/>
      <c r="Q671" s="59"/>
      <c r="R671" s="60"/>
    </row>
    <row r="672" ht="22.5" customHeight="1">
      <c r="O672" s="46"/>
      <c r="P672" s="46"/>
      <c r="Q672" s="59"/>
      <c r="R672" s="60"/>
    </row>
    <row r="673" ht="22.5" customHeight="1">
      <c r="O673" s="46"/>
      <c r="P673" s="46"/>
      <c r="Q673" s="59"/>
      <c r="R673" s="60"/>
    </row>
    <row r="674" ht="22.5" customHeight="1">
      <c r="O674" s="46"/>
      <c r="P674" s="46"/>
      <c r="Q674" s="59"/>
      <c r="R674" s="60"/>
    </row>
    <row r="675" ht="22.5" customHeight="1">
      <c r="O675" s="46"/>
      <c r="P675" s="46"/>
      <c r="Q675" s="59"/>
      <c r="R675" s="60"/>
    </row>
    <row r="676" ht="22.5" customHeight="1">
      <c r="O676" s="46"/>
      <c r="P676" s="46"/>
      <c r="Q676" s="59"/>
      <c r="R676" s="60"/>
    </row>
    <row r="677" ht="22.5" customHeight="1">
      <c r="O677" s="46"/>
      <c r="P677" s="46"/>
      <c r="Q677" s="59"/>
      <c r="R677" s="60"/>
    </row>
    <row r="678" ht="22.5" customHeight="1">
      <c r="O678" s="46"/>
      <c r="P678" s="46"/>
      <c r="Q678" s="59"/>
      <c r="R678" s="60"/>
    </row>
    <row r="679" ht="22.5" customHeight="1">
      <c r="O679" s="46"/>
      <c r="P679" s="46"/>
      <c r="Q679" s="59"/>
      <c r="R679" s="60"/>
    </row>
    <row r="680" ht="22.5" customHeight="1">
      <c r="O680" s="46"/>
      <c r="P680" s="46"/>
      <c r="Q680" s="59"/>
      <c r="R680" s="60"/>
    </row>
    <row r="681" ht="22.5" customHeight="1">
      <c r="O681" s="46"/>
      <c r="P681" s="46"/>
      <c r="Q681" s="59"/>
      <c r="R681" s="60"/>
    </row>
    <row r="682" ht="22.5" customHeight="1">
      <c r="O682" s="46"/>
      <c r="P682" s="46"/>
      <c r="Q682" s="59"/>
      <c r="R682" s="60"/>
    </row>
    <row r="683" ht="22.5" customHeight="1">
      <c r="O683" s="46"/>
      <c r="P683" s="46"/>
      <c r="Q683" s="59"/>
      <c r="R683" s="60"/>
    </row>
    <row r="684" ht="22.5" customHeight="1">
      <c r="O684" s="46"/>
      <c r="P684" s="46"/>
      <c r="Q684" s="59"/>
      <c r="R684" s="60"/>
    </row>
    <row r="685" ht="22.5" customHeight="1">
      <c r="O685" s="46"/>
      <c r="P685" s="46"/>
      <c r="Q685" s="59"/>
      <c r="R685" s="60"/>
    </row>
    <row r="686" ht="22.5" customHeight="1">
      <c r="O686" s="46"/>
      <c r="P686" s="46"/>
      <c r="Q686" s="59"/>
      <c r="R686" s="60"/>
    </row>
    <row r="687" ht="22.5" customHeight="1">
      <c r="O687" s="46"/>
      <c r="P687" s="46"/>
      <c r="Q687" s="59"/>
      <c r="R687" s="60"/>
    </row>
    <row r="688" ht="22.5" customHeight="1">
      <c r="O688" s="46"/>
      <c r="P688" s="46"/>
      <c r="Q688" s="59"/>
      <c r="R688" s="60"/>
    </row>
    <row r="689" ht="22.5" customHeight="1">
      <c r="O689" s="46"/>
      <c r="P689" s="46"/>
      <c r="Q689" s="59"/>
      <c r="R689" s="60"/>
    </row>
    <row r="690" ht="22.5" customHeight="1">
      <c r="O690" s="46"/>
      <c r="P690" s="46"/>
      <c r="Q690" s="59"/>
      <c r="R690" s="60"/>
    </row>
    <row r="691" ht="22.5" customHeight="1">
      <c r="O691" s="46"/>
      <c r="P691" s="46"/>
      <c r="Q691" s="59"/>
      <c r="R691" s="60"/>
    </row>
    <row r="692" ht="22.5" customHeight="1">
      <c r="O692" s="46"/>
      <c r="P692" s="46"/>
      <c r="Q692" s="59"/>
      <c r="R692" s="60"/>
    </row>
    <row r="693" ht="22.5" customHeight="1">
      <c r="O693" s="46"/>
      <c r="P693" s="46"/>
      <c r="Q693" s="59"/>
      <c r="R693" s="60"/>
    </row>
    <row r="694" ht="22.5" customHeight="1">
      <c r="O694" s="46"/>
      <c r="P694" s="46"/>
      <c r="Q694" s="59"/>
      <c r="R694" s="60"/>
    </row>
    <row r="695" ht="22.5" customHeight="1">
      <c r="O695" s="46"/>
      <c r="P695" s="46"/>
      <c r="Q695" s="59"/>
      <c r="R695" s="60"/>
    </row>
    <row r="696" ht="22.5" customHeight="1">
      <c r="O696" s="46"/>
      <c r="P696" s="46"/>
      <c r="Q696" s="59"/>
      <c r="R696" s="60"/>
    </row>
    <row r="697" ht="22.5" customHeight="1">
      <c r="O697" s="46"/>
      <c r="P697" s="46"/>
      <c r="Q697" s="59"/>
      <c r="R697" s="60"/>
    </row>
    <row r="698" ht="22.5" customHeight="1">
      <c r="O698" s="46"/>
      <c r="P698" s="46"/>
      <c r="Q698" s="59"/>
      <c r="R698" s="60"/>
    </row>
    <row r="699" ht="22.5" customHeight="1">
      <c r="O699" s="46"/>
      <c r="P699" s="46"/>
      <c r="Q699" s="59"/>
      <c r="R699" s="60"/>
    </row>
    <row r="700" ht="22.5" customHeight="1">
      <c r="O700" s="46"/>
      <c r="P700" s="46"/>
      <c r="Q700" s="59"/>
      <c r="R700" s="60"/>
    </row>
    <row r="701" ht="22.5" customHeight="1">
      <c r="O701" s="46"/>
      <c r="P701" s="46"/>
      <c r="Q701" s="59"/>
      <c r="R701" s="60"/>
    </row>
    <row r="702" ht="22.5" customHeight="1">
      <c r="O702" s="46"/>
      <c r="P702" s="46"/>
      <c r="Q702" s="59"/>
      <c r="R702" s="60"/>
    </row>
    <row r="703" ht="22.5" customHeight="1">
      <c r="O703" s="46"/>
      <c r="P703" s="46"/>
      <c r="Q703" s="59"/>
      <c r="R703" s="60"/>
    </row>
    <row r="704" ht="22.5" customHeight="1">
      <c r="O704" s="46"/>
      <c r="P704" s="46"/>
      <c r="Q704" s="59"/>
      <c r="R704" s="60"/>
    </row>
    <row r="705" ht="22.5" customHeight="1">
      <c r="O705" s="46"/>
      <c r="P705" s="46"/>
      <c r="Q705" s="59"/>
      <c r="R705" s="60"/>
    </row>
    <row r="706" ht="22.5" customHeight="1">
      <c r="O706" s="46"/>
      <c r="P706" s="46"/>
      <c r="Q706" s="59"/>
      <c r="R706" s="60"/>
    </row>
    <row r="707" ht="22.5" customHeight="1">
      <c r="O707" s="46"/>
      <c r="P707" s="46"/>
      <c r="Q707" s="59"/>
      <c r="R707" s="60"/>
    </row>
    <row r="708" ht="22.5" customHeight="1">
      <c r="O708" s="46"/>
      <c r="P708" s="46"/>
      <c r="Q708" s="59"/>
      <c r="R708" s="60"/>
    </row>
    <row r="709" ht="22.5" customHeight="1">
      <c r="O709" s="46"/>
      <c r="P709" s="46"/>
      <c r="Q709" s="59"/>
      <c r="R709" s="60"/>
    </row>
    <row r="710" ht="22.5" customHeight="1">
      <c r="O710" s="46"/>
      <c r="P710" s="46"/>
      <c r="Q710" s="59"/>
      <c r="R710" s="60"/>
    </row>
    <row r="711" ht="22.5" customHeight="1">
      <c r="O711" s="46"/>
      <c r="P711" s="46"/>
      <c r="Q711" s="59"/>
      <c r="R711" s="60"/>
    </row>
    <row r="712" ht="22.5" customHeight="1">
      <c r="O712" s="46"/>
      <c r="P712" s="46"/>
      <c r="Q712" s="59"/>
      <c r="R712" s="60"/>
    </row>
    <row r="713" ht="22.5" customHeight="1">
      <c r="O713" s="46"/>
      <c r="P713" s="46"/>
      <c r="Q713" s="59"/>
      <c r="R713" s="60"/>
    </row>
    <row r="714" ht="22.5" customHeight="1">
      <c r="O714" s="46"/>
      <c r="P714" s="46"/>
      <c r="Q714" s="59"/>
      <c r="R714" s="60"/>
    </row>
    <row r="715" ht="22.5" customHeight="1">
      <c r="O715" s="46"/>
      <c r="P715" s="46"/>
      <c r="Q715" s="59"/>
      <c r="R715" s="60"/>
    </row>
    <row r="716" ht="22.5" customHeight="1">
      <c r="O716" s="46"/>
      <c r="P716" s="46"/>
      <c r="Q716" s="59"/>
      <c r="R716" s="60"/>
    </row>
    <row r="717" ht="22.5" customHeight="1">
      <c r="O717" s="46"/>
      <c r="P717" s="46"/>
      <c r="Q717" s="59"/>
      <c r="R717" s="60"/>
    </row>
    <row r="718" ht="22.5" customHeight="1">
      <c r="O718" s="46"/>
      <c r="P718" s="46"/>
      <c r="Q718" s="59"/>
      <c r="R718" s="60"/>
    </row>
    <row r="719" ht="22.5" customHeight="1">
      <c r="O719" s="46"/>
      <c r="P719" s="46"/>
      <c r="Q719" s="59"/>
      <c r="R719" s="60"/>
    </row>
    <row r="720" ht="22.5" customHeight="1">
      <c r="O720" s="46"/>
      <c r="P720" s="46"/>
      <c r="Q720" s="59"/>
      <c r="R720" s="60"/>
    </row>
    <row r="721" ht="22.5" customHeight="1">
      <c r="O721" s="46"/>
      <c r="P721" s="46"/>
      <c r="Q721" s="59"/>
      <c r="R721" s="60"/>
    </row>
    <row r="722" ht="22.5" customHeight="1">
      <c r="O722" s="46"/>
      <c r="P722" s="46"/>
      <c r="Q722" s="59"/>
      <c r="R722" s="60"/>
    </row>
    <row r="723" ht="22.5" customHeight="1">
      <c r="O723" s="46"/>
      <c r="P723" s="46"/>
      <c r="Q723" s="59"/>
      <c r="R723" s="60"/>
    </row>
    <row r="724" ht="22.5" customHeight="1">
      <c r="O724" s="46"/>
      <c r="P724" s="46"/>
      <c r="Q724" s="59"/>
      <c r="R724" s="60"/>
    </row>
    <row r="725" ht="22.5" customHeight="1">
      <c r="O725" s="46"/>
      <c r="P725" s="46"/>
      <c r="Q725" s="59"/>
      <c r="R725" s="60"/>
    </row>
    <row r="726" ht="22.5" customHeight="1">
      <c r="O726" s="46"/>
      <c r="P726" s="46"/>
      <c r="Q726" s="59"/>
      <c r="R726" s="60"/>
    </row>
    <row r="727" ht="22.5" customHeight="1">
      <c r="O727" s="46"/>
      <c r="P727" s="46"/>
      <c r="Q727" s="59"/>
      <c r="R727" s="60"/>
    </row>
    <row r="728" ht="22.5" customHeight="1">
      <c r="O728" s="46"/>
      <c r="P728" s="46"/>
      <c r="Q728" s="59"/>
      <c r="R728" s="60"/>
    </row>
    <row r="729" ht="22.5" customHeight="1">
      <c r="O729" s="46"/>
      <c r="P729" s="46"/>
      <c r="Q729" s="59"/>
      <c r="R729" s="60"/>
    </row>
    <row r="730" ht="22.5" customHeight="1">
      <c r="O730" s="46"/>
      <c r="P730" s="46"/>
      <c r="Q730" s="59"/>
      <c r="R730" s="60"/>
    </row>
    <row r="731" ht="22.5" customHeight="1">
      <c r="O731" s="46"/>
      <c r="P731" s="46"/>
      <c r="Q731" s="59"/>
      <c r="R731" s="60"/>
    </row>
    <row r="732" ht="22.5" customHeight="1">
      <c r="O732" s="46"/>
      <c r="P732" s="46"/>
      <c r="Q732" s="59"/>
      <c r="R732" s="60"/>
    </row>
    <row r="733" ht="22.5" customHeight="1">
      <c r="O733" s="46"/>
      <c r="P733" s="46"/>
      <c r="Q733" s="59"/>
      <c r="R733" s="60"/>
    </row>
    <row r="734" ht="22.5" customHeight="1">
      <c r="O734" s="46"/>
      <c r="P734" s="46"/>
      <c r="Q734" s="59"/>
      <c r="R734" s="60"/>
    </row>
    <row r="735" ht="22.5" customHeight="1">
      <c r="O735" s="46"/>
      <c r="P735" s="46"/>
      <c r="Q735" s="59"/>
      <c r="R735" s="60"/>
    </row>
    <row r="736" ht="22.5" customHeight="1">
      <c r="O736" s="46"/>
      <c r="P736" s="46"/>
      <c r="Q736" s="59"/>
      <c r="R736" s="60"/>
    </row>
    <row r="737" ht="22.5" customHeight="1">
      <c r="O737" s="46"/>
      <c r="P737" s="46"/>
      <c r="Q737" s="59"/>
      <c r="R737" s="60"/>
    </row>
    <row r="738" ht="22.5" customHeight="1">
      <c r="O738" s="46"/>
      <c r="P738" s="46"/>
      <c r="Q738" s="59"/>
      <c r="R738" s="60"/>
    </row>
    <row r="739" ht="22.5" customHeight="1">
      <c r="O739" s="46"/>
      <c r="P739" s="46"/>
      <c r="Q739" s="59"/>
      <c r="R739" s="60"/>
    </row>
    <row r="740" ht="22.5" customHeight="1">
      <c r="O740" s="46"/>
      <c r="P740" s="46"/>
      <c r="Q740" s="59"/>
      <c r="R740" s="60"/>
    </row>
    <row r="741" ht="22.5" customHeight="1">
      <c r="O741" s="46"/>
      <c r="P741" s="46"/>
      <c r="Q741" s="59"/>
      <c r="R741" s="60"/>
    </row>
    <row r="742" ht="22.5" customHeight="1">
      <c r="O742" s="46"/>
      <c r="P742" s="46"/>
      <c r="Q742" s="59"/>
      <c r="R742" s="60"/>
    </row>
    <row r="743" ht="22.5" customHeight="1">
      <c r="O743" s="46"/>
      <c r="P743" s="46"/>
      <c r="Q743" s="59"/>
      <c r="R743" s="60"/>
    </row>
    <row r="744" ht="22.5" customHeight="1">
      <c r="O744" s="46"/>
      <c r="P744" s="46"/>
      <c r="Q744" s="59"/>
      <c r="R744" s="60"/>
    </row>
    <row r="745" ht="22.5" customHeight="1">
      <c r="O745" s="46"/>
      <c r="P745" s="46"/>
      <c r="Q745" s="59"/>
      <c r="R745" s="60"/>
    </row>
    <row r="746" ht="22.5" customHeight="1">
      <c r="O746" s="46"/>
      <c r="P746" s="46"/>
      <c r="Q746" s="59"/>
      <c r="R746" s="60"/>
    </row>
    <row r="747" ht="22.5" customHeight="1">
      <c r="O747" s="46"/>
      <c r="P747" s="46"/>
      <c r="Q747" s="59"/>
      <c r="R747" s="60"/>
    </row>
    <row r="748" ht="22.5" customHeight="1">
      <c r="O748" s="46"/>
      <c r="P748" s="46"/>
      <c r="Q748" s="59"/>
      <c r="R748" s="60"/>
    </row>
    <row r="749" ht="22.5" customHeight="1">
      <c r="O749" s="46"/>
      <c r="P749" s="46"/>
      <c r="Q749" s="59"/>
      <c r="R749" s="60"/>
    </row>
    <row r="750" ht="22.5" customHeight="1">
      <c r="O750" s="46"/>
      <c r="P750" s="46"/>
      <c r="Q750" s="59"/>
      <c r="R750" s="60"/>
    </row>
    <row r="751" ht="22.5" customHeight="1">
      <c r="O751" s="46"/>
      <c r="P751" s="46"/>
      <c r="Q751" s="59"/>
      <c r="R751" s="60"/>
    </row>
    <row r="752" ht="22.5" customHeight="1">
      <c r="O752" s="46"/>
      <c r="P752" s="46"/>
      <c r="Q752" s="59"/>
      <c r="R752" s="60"/>
    </row>
    <row r="753" ht="22.5" customHeight="1">
      <c r="O753" s="46"/>
      <c r="P753" s="46"/>
      <c r="Q753" s="59"/>
      <c r="R753" s="60"/>
    </row>
    <row r="754" ht="22.5" customHeight="1">
      <c r="O754" s="46"/>
      <c r="P754" s="46"/>
      <c r="Q754" s="59"/>
      <c r="R754" s="60"/>
    </row>
    <row r="755" ht="22.5" customHeight="1">
      <c r="O755" s="46"/>
      <c r="P755" s="46"/>
      <c r="Q755" s="59"/>
      <c r="R755" s="60"/>
    </row>
    <row r="756" ht="22.5" customHeight="1">
      <c r="O756" s="46"/>
      <c r="P756" s="46"/>
      <c r="Q756" s="59"/>
      <c r="R756" s="60"/>
    </row>
    <row r="757" ht="22.5" customHeight="1">
      <c r="O757" s="46"/>
      <c r="P757" s="46"/>
      <c r="Q757" s="59"/>
      <c r="R757" s="60"/>
    </row>
    <row r="758" ht="22.5" customHeight="1">
      <c r="O758" s="46"/>
      <c r="P758" s="46"/>
      <c r="Q758" s="59"/>
      <c r="R758" s="60"/>
    </row>
    <row r="759" ht="22.5" customHeight="1">
      <c r="O759" s="46"/>
      <c r="P759" s="46"/>
      <c r="Q759" s="59"/>
      <c r="R759" s="60"/>
    </row>
    <row r="760" ht="22.5" customHeight="1">
      <c r="O760" s="46"/>
      <c r="P760" s="46"/>
      <c r="Q760" s="59"/>
      <c r="R760" s="60"/>
    </row>
    <row r="761" ht="22.5" customHeight="1">
      <c r="O761" s="46"/>
      <c r="P761" s="46"/>
      <c r="Q761" s="59"/>
      <c r="R761" s="60"/>
    </row>
    <row r="762" ht="22.5" customHeight="1">
      <c r="O762" s="46"/>
      <c r="P762" s="46"/>
      <c r="Q762" s="59"/>
      <c r="R762" s="60"/>
    </row>
    <row r="763" ht="22.5" customHeight="1">
      <c r="O763" s="46"/>
      <c r="P763" s="46"/>
      <c r="Q763" s="59"/>
      <c r="R763" s="60"/>
    </row>
    <row r="764" ht="22.5" customHeight="1">
      <c r="O764" s="46"/>
      <c r="P764" s="46"/>
      <c r="Q764" s="59"/>
      <c r="R764" s="60"/>
    </row>
    <row r="765" ht="22.5" customHeight="1">
      <c r="O765" s="46"/>
      <c r="P765" s="46"/>
      <c r="Q765" s="59"/>
      <c r="R765" s="60"/>
    </row>
    <row r="766" ht="22.5" customHeight="1">
      <c r="O766" s="46"/>
      <c r="P766" s="46"/>
      <c r="Q766" s="59"/>
      <c r="R766" s="60"/>
    </row>
    <row r="767" ht="22.5" customHeight="1">
      <c r="O767" s="46"/>
      <c r="P767" s="46"/>
      <c r="Q767" s="59"/>
      <c r="R767" s="60"/>
    </row>
    <row r="768" ht="22.5" customHeight="1">
      <c r="O768" s="46"/>
      <c r="P768" s="46"/>
      <c r="Q768" s="59"/>
      <c r="R768" s="60"/>
    </row>
    <row r="769" ht="22.5" customHeight="1">
      <c r="O769" s="46"/>
      <c r="P769" s="46"/>
      <c r="Q769" s="59"/>
      <c r="R769" s="60"/>
    </row>
    <row r="770" ht="22.5" customHeight="1">
      <c r="O770" s="46"/>
      <c r="P770" s="46"/>
      <c r="Q770" s="59"/>
      <c r="R770" s="60"/>
    </row>
    <row r="771" ht="22.5" customHeight="1">
      <c r="O771" s="46"/>
      <c r="P771" s="46"/>
      <c r="Q771" s="59"/>
      <c r="R771" s="60"/>
    </row>
    <row r="772" ht="22.5" customHeight="1">
      <c r="O772" s="46"/>
      <c r="P772" s="46"/>
      <c r="Q772" s="59"/>
      <c r="R772" s="60"/>
    </row>
    <row r="773" ht="22.5" customHeight="1">
      <c r="O773" s="46"/>
      <c r="P773" s="46"/>
      <c r="Q773" s="59"/>
      <c r="R773" s="60"/>
    </row>
    <row r="774" ht="22.5" customHeight="1">
      <c r="O774" s="46"/>
      <c r="P774" s="46"/>
      <c r="Q774" s="59"/>
      <c r="R774" s="60"/>
    </row>
    <row r="775" ht="22.5" customHeight="1">
      <c r="O775" s="46"/>
      <c r="P775" s="46"/>
      <c r="Q775" s="59"/>
      <c r="R775" s="60"/>
    </row>
    <row r="776" ht="22.5" customHeight="1">
      <c r="O776" s="46"/>
      <c r="P776" s="46"/>
      <c r="Q776" s="59"/>
      <c r="R776" s="60"/>
    </row>
    <row r="777" ht="22.5" customHeight="1">
      <c r="O777" s="46"/>
      <c r="P777" s="46"/>
      <c r="Q777" s="59"/>
      <c r="R777" s="60"/>
    </row>
    <row r="778" ht="22.5" customHeight="1">
      <c r="O778" s="46"/>
      <c r="P778" s="46"/>
      <c r="Q778" s="59"/>
      <c r="R778" s="60"/>
    </row>
    <row r="779" ht="22.5" customHeight="1">
      <c r="O779" s="46"/>
      <c r="P779" s="46"/>
      <c r="Q779" s="59"/>
      <c r="R779" s="60"/>
    </row>
    <row r="780" ht="22.5" customHeight="1">
      <c r="O780" s="46"/>
      <c r="P780" s="46"/>
      <c r="Q780" s="59"/>
      <c r="R780" s="60"/>
    </row>
    <row r="781" ht="22.5" customHeight="1">
      <c r="O781" s="46"/>
      <c r="P781" s="46"/>
      <c r="Q781" s="59"/>
      <c r="R781" s="60"/>
    </row>
    <row r="782" ht="22.5" customHeight="1">
      <c r="O782" s="46"/>
      <c r="P782" s="46"/>
      <c r="Q782" s="59"/>
      <c r="R782" s="60"/>
    </row>
    <row r="783" ht="22.5" customHeight="1">
      <c r="O783" s="46"/>
      <c r="P783" s="46"/>
      <c r="Q783" s="59"/>
      <c r="R783" s="60"/>
    </row>
    <row r="784" ht="22.5" customHeight="1">
      <c r="O784" s="46"/>
      <c r="P784" s="46"/>
      <c r="Q784" s="59"/>
      <c r="R784" s="60"/>
    </row>
    <row r="785" ht="22.5" customHeight="1">
      <c r="O785" s="46"/>
      <c r="P785" s="46"/>
      <c r="Q785" s="59"/>
      <c r="R785" s="60"/>
    </row>
    <row r="786" ht="22.5" customHeight="1">
      <c r="O786" s="46"/>
      <c r="P786" s="46"/>
      <c r="Q786" s="59"/>
      <c r="R786" s="60"/>
    </row>
    <row r="787" ht="22.5" customHeight="1">
      <c r="O787" s="46"/>
      <c r="P787" s="46"/>
      <c r="Q787" s="59"/>
      <c r="R787" s="60"/>
    </row>
    <row r="788" ht="22.5" customHeight="1">
      <c r="O788" s="46"/>
      <c r="P788" s="46"/>
      <c r="Q788" s="59"/>
      <c r="R788" s="60"/>
    </row>
    <row r="789" ht="22.5" customHeight="1">
      <c r="O789" s="46"/>
      <c r="P789" s="46"/>
      <c r="Q789" s="59"/>
      <c r="R789" s="60"/>
    </row>
    <row r="790" ht="22.5" customHeight="1">
      <c r="O790" s="46"/>
      <c r="P790" s="46"/>
      <c r="Q790" s="59"/>
      <c r="R790" s="60"/>
    </row>
    <row r="791" ht="22.5" customHeight="1">
      <c r="O791" s="46"/>
      <c r="P791" s="46"/>
      <c r="Q791" s="59"/>
      <c r="R791" s="60"/>
    </row>
    <row r="792" ht="22.5" customHeight="1">
      <c r="O792" s="46"/>
      <c r="P792" s="46"/>
      <c r="Q792" s="59"/>
      <c r="R792" s="60"/>
    </row>
    <row r="793" ht="22.5" customHeight="1">
      <c r="O793" s="46"/>
      <c r="P793" s="46"/>
      <c r="Q793" s="59"/>
      <c r="R793" s="60"/>
    </row>
    <row r="794" ht="22.5" customHeight="1">
      <c r="O794" s="46"/>
      <c r="P794" s="46"/>
      <c r="Q794" s="59"/>
      <c r="R794" s="60"/>
    </row>
    <row r="795" ht="22.5" customHeight="1">
      <c r="O795" s="46"/>
      <c r="P795" s="46"/>
      <c r="Q795" s="59"/>
      <c r="R795" s="60"/>
    </row>
    <row r="796" ht="22.5" customHeight="1">
      <c r="O796" s="46"/>
      <c r="P796" s="46"/>
      <c r="Q796" s="59"/>
      <c r="R796" s="60"/>
    </row>
    <row r="797" ht="22.5" customHeight="1">
      <c r="O797" s="46"/>
      <c r="P797" s="46"/>
      <c r="Q797" s="59"/>
      <c r="R797" s="60"/>
    </row>
    <row r="798" ht="22.5" customHeight="1">
      <c r="O798" s="46"/>
      <c r="P798" s="46"/>
      <c r="Q798" s="59"/>
      <c r="R798" s="60"/>
    </row>
    <row r="799" ht="22.5" customHeight="1">
      <c r="O799" s="46"/>
      <c r="P799" s="46"/>
      <c r="Q799" s="59"/>
      <c r="R799" s="60"/>
    </row>
    <row r="800" ht="22.5" customHeight="1">
      <c r="O800" s="46"/>
      <c r="P800" s="46"/>
      <c r="Q800" s="59"/>
      <c r="R800" s="60"/>
    </row>
    <row r="801" ht="22.5" customHeight="1">
      <c r="O801" s="46"/>
      <c r="P801" s="46"/>
      <c r="Q801" s="59"/>
      <c r="R801" s="60"/>
    </row>
    <row r="802" ht="22.5" customHeight="1">
      <c r="O802" s="46"/>
      <c r="P802" s="46"/>
      <c r="Q802" s="59"/>
      <c r="R802" s="60"/>
    </row>
    <row r="803" ht="22.5" customHeight="1">
      <c r="O803" s="46"/>
      <c r="P803" s="46"/>
      <c r="Q803" s="59"/>
      <c r="R803" s="60"/>
    </row>
    <row r="804" ht="22.5" customHeight="1">
      <c r="O804" s="46"/>
      <c r="P804" s="46"/>
      <c r="Q804" s="59"/>
      <c r="R804" s="60"/>
    </row>
    <row r="805" ht="22.5" customHeight="1">
      <c r="O805" s="46"/>
      <c r="P805" s="46"/>
      <c r="Q805" s="59"/>
      <c r="R805" s="60"/>
    </row>
    <row r="806" ht="22.5" customHeight="1">
      <c r="O806" s="46"/>
      <c r="P806" s="46"/>
      <c r="Q806" s="59"/>
      <c r="R806" s="60"/>
    </row>
    <row r="807" ht="22.5" customHeight="1">
      <c r="O807" s="46"/>
      <c r="P807" s="46"/>
      <c r="Q807" s="59"/>
      <c r="R807" s="60"/>
    </row>
    <row r="808" ht="22.5" customHeight="1">
      <c r="O808" s="46"/>
      <c r="P808" s="46"/>
      <c r="Q808" s="59"/>
      <c r="R808" s="60"/>
    </row>
    <row r="809" ht="22.5" customHeight="1">
      <c r="O809" s="46"/>
      <c r="P809" s="46"/>
      <c r="Q809" s="59"/>
      <c r="R809" s="60"/>
    </row>
    <row r="810" ht="22.5" customHeight="1">
      <c r="O810" s="46"/>
      <c r="P810" s="46"/>
      <c r="Q810" s="59"/>
      <c r="R810" s="60"/>
    </row>
    <row r="811" ht="22.5" customHeight="1">
      <c r="O811" s="46"/>
      <c r="P811" s="46"/>
      <c r="Q811" s="59"/>
      <c r="R811" s="60"/>
    </row>
    <row r="812" ht="22.5" customHeight="1">
      <c r="O812" s="46"/>
      <c r="P812" s="46"/>
      <c r="Q812" s="59"/>
      <c r="R812" s="60"/>
    </row>
    <row r="813" ht="22.5" customHeight="1">
      <c r="O813" s="46"/>
      <c r="P813" s="46"/>
      <c r="Q813" s="59"/>
      <c r="R813" s="60"/>
    </row>
    <row r="814" ht="22.5" customHeight="1">
      <c r="O814" s="46"/>
      <c r="P814" s="46"/>
      <c r="Q814" s="59"/>
      <c r="R814" s="60"/>
    </row>
    <row r="815" ht="22.5" customHeight="1">
      <c r="O815" s="46"/>
      <c r="P815" s="46"/>
      <c r="Q815" s="59"/>
      <c r="R815" s="60"/>
    </row>
    <row r="816" ht="22.5" customHeight="1">
      <c r="O816" s="46"/>
      <c r="P816" s="46"/>
      <c r="Q816" s="59"/>
      <c r="R816" s="60"/>
    </row>
    <row r="817" ht="22.5" customHeight="1">
      <c r="O817" s="46"/>
      <c r="P817" s="46"/>
      <c r="Q817" s="59"/>
      <c r="R817" s="60"/>
    </row>
    <row r="818" ht="22.5" customHeight="1">
      <c r="O818" s="46"/>
      <c r="P818" s="46"/>
      <c r="Q818" s="59"/>
      <c r="R818" s="60"/>
    </row>
    <row r="819" ht="22.5" customHeight="1">
      <c r="O819" s="46"/>
      <c r="P819" s="46"/>
      <c r="Q819" s="59"/>
      <c r="R819" s="60"/>
    </row>
    <row r="820" ht="22.5" customHeight="1">
      <c r="O820" s="46"/>
      <c r="P820" s="46"/>
      <c r="Q820" s="59"/>
      <c r="R820" s="60"/>
    </row>
    <row r="821" ht="22.5" customHeight="1">
      <c r="O821" s="46"/>
      <c r="P821" s="46"/>
      <c r="Q821" s="59"/>
      <c r="R821" s="60"/>
    </row>
    <row r="822" ht="22.5" customHeight="1">
      <c r="O822" s="46"/>
      <c r="P822" s="46"/>
      <c r="Q822" s="59"/>
      <c r="R822" s="60"/>
    </row>
    <row r="823" ht="22.5" customHeight="1">
      <c r="O823" s="46"/>
      <c r="P823" s="46"/>
      <c r="Q823" s="59"/>
      <c r="R823" s="60"/>
    </row>
    <row r="824" ht="22.5" customHeight="1">
      <c r="O824" s="46"/>
      <c r="P824" s="46"/>
      <c r="Q824" s="59"/>
      <c r="R824" s="60"/>
    </row>
    <row r="825" ht="22.5" customHeight="1">
      <c r="O825" s="46"/>
      <c r="P825" s="46"/>
      <c r="Q825" s="59"/>
      <c r="R825" s="60"/>
    </row>
    <row r="826" ht="22.5" customHeight="1">
      <c r="O826" s="46"/>
      <c r="P826" s="46"/>
      <c r="Q826" s="59"/>
      <c r="R826" s="60"/>
    </row>
    <row r="827" ht="22.5" customHeight="1">
      <c r="O827" s="46"/>
      <c r="P827" s="46"/>
      <c r="Q827" s="59"/>
      <c r="R827" s="60"/>
    </row>
    <row r="828" ht="22.5" customHeight="1">
      <c r="O828" s="46"/>
      <c r="P828" s="46"/>
      <c r="Q828" s="59"/>
      <c r="R828" s="60"/>
    </row>
    <row r="829" ht="22.5" customHeight="1">
      <c r="O829" s="46"/>
      <c r="P829" s="46"/>
      <c r="Q829" s="59"/>
      <c r="R829" s="60"/>
    </row>
    <row r="830" ht="22.5" customHeight="1">
      <c r="O830" s="46"/>
      <c r="P830" s="46"/>
      <c r="Q830" s="59"/>
      <c r="R830" s="60"/>
    </row>
    <row r="831" ht="22.5" customHeight="1">
      <c r="O831" s="46"/>
      <c r="P831" s="46"/>
      <c r="Q831" s="59"/>
      <c r="R831" s="60"/>
    </row>
    <row r="832" ht="22.5" customHeight="1">
      <c r="O832" s="46"/>
      <c r="P832" s="46"/>
      <c r="Q832" s="59"/>
      <c r="R832" s="60"/>
    </row>
    <row r="833" ht="22.5" customHeight="1">
      <c r="O833" s="46"/>
      <c r="P833" s="46"/>
      <c r="Q833" s="59"/>
      <c r="R833" s="60"/>
    </row>
    <row r="834" ht="22.5" customHeight="1">
      <c r="O834" s="46"/>
      <c r="P834" s="46"/>
      <c r="Q834" s="59"/>
      <c r="R834" s="60"/>
    </row>
    <row r="835" ht="22.5" customHeight="1">
      <c r="O835" s="46"/>
      <c r="P835" s="46"/>
      <c r="Q835" s="59"/>
      <c r="R835" s="60"/>
    </row>
    <row r="836" ht="22.5" customHeight="1">
      <c r="O836" s="46"/>
      <c r="P836" s="46"/>
      <c r="Q836" s="59"/>
      <c r="R836" s="60"/>
    </row>
    <row r="837" ht="22.5" customHeight="1">
      <c r="O837" s="46"/>
      <c r="P837" s="46"/>
      <c r="Q837" s="59"/>
      <c r="R837" s="60"/>
    </row>
    <row r="838" ht="22.5" customHeight="1">
      <c r="O838" s="46"/>
      <c r="P838" s="46"/>
      <c r="Q838" s="59"/>
      <c r="R838" s="60"/>
    </row>
    <row r="839" ht="22.5" customHeight="1">
      <c r="O839" s="46"/>
      <c r="P839" s="46"/>
      <c r="Q839" s="59"/>
      <c r="R839" s="60"/>
    </row>
    <row r="840" ht="22.5" customHeight="1">
      <c r="O840" s="46"/>
      <c r="P840" s="46"/>
      <c r="Q840" s="59"/>
      <c r="R840" s="60"/>
    </row>
    <row r="841" ht="22.5" customHeight="1">
      <c r="O841" s="46"/>
      <c r="P841" s="46"/>
      <c r="Q841" s="59"/>
      <c r="R841" s="60"/>
    </row>
    <row r="842" ht="22.5" customHeight="1">
      <c r="O842" s="46"/>
      <c r="P842" s="46"/>
      <c r="Q842" s="59"/>
      <c r="R842" s="60"/>
    </row>
    <row r="843" ht="22.5" customHeight="1">
      <c r="O843" s="46"/>
      <c r="P843" s="46"/>
      <c r="Q843" s="59"/>
      <c r="R843" s="60"/>
    </row>
    <row r="844" ht="22.5" customHeight="1">
      <c r="O844" s="46"/>
      <c r="P844" s="46"/>
      <c r="Q844" s="59"/>
      <c r="R844" s="60"/>
    </row>
    <row r="845" ht="22.5" customHeight="1">
      <c r="O845" s="46"/>
      <c r="P845" s="46"/>
      <c r="Q845" s="59"/>
      <c r="R845" s="60"/>
    </row>
    <row r="846" ht="22.5" customHeight="1">
      <c r="O846" s="46"/>
      <c r="P846" s="46"/>
      <c r="Q846" s="59"/>
      <c r="R846" s="60"/>
    </row>
    <row r="847" ht="22.5" customHeight="1">
      <c r="O847" s="46"/>
      <c r="P847" s="46"/>
      <c r="Q847" s="59"/>
      <c r="R847" s="60"/>
    </row>
    <row r="848" ht="22.5" customHeight="1">
      <c r="O848" s="46"/>
      <c r="P848" s="46"/>
      <c r="Q848" s="59"/>
      <c r="R848" s="60"/>
    </row>
    <row r="849" ht="22.5" customHeight="1">
      <c r="O849" s="46"/>
      <c r="P849" s="46"/>
      <c r="Q849" s="59"/>
      <c r="R849" s="60"/>
    </row>
    <row r="850" ht="22.5" customHeight="1">
      <c r="O850" s="46"/>
      <c r="P850" s="46"/>
      <c r="Q850" s="59"/>
      <c r="R850" s="60"/>
    </row>
    <row r="851" ht="22.5" customHeight="1">
      <c r="O851" s="46"/>
      <c r="P851" s="46"/>
      <c r="Q851" s="59"/>
      <c r="R851" s="60"/>
    </row>
    <row r="852" ht="22.5" customHeight="1">
      <c r="O852" s="46"/>
      <c r="P852" s="46"/>
      <c r="Q852" s="59"/>
      <c r="R852" s="60"/>
    </row>
    <row r="853" ht="22.5" customHeight="1">
      <c r="O853" s="46"/>
      <c r="P853" s="46"/>
      <c r="Q853" s="59"/>
      <c r="R853" s="60"/>
    </row>
    <row r="854" ht="22.5" customHeight="1">
      <c r="O854" s="46"/>
      <c r="P854" s="46"/>
      <c r="Q854" s="59"/>
      <c r="R854" s="60"/>
    </row>
    <row r="855" ht="22.5" customHeight="1">
      <c r="O855" s="46"/>
      <c r="P855" s="46"/>
      <c r="Q855" s="59"/>
      <c r="R855" s="60"/>
    </row>
    <row r="856" ht="22.5" customHeight="1">
      <c r="O856" s="46"/>
      <c r="P856" s="46"/>
      <c r="Q856" s="59"/>
      <c r="R856" s="60"/>
    </row>
    <row r="857" ht="22.5" customHeight="1">
      <c r="O857" s="46"/>
      <c r="P857" s="46"/>
      <c r="Q857" s="59"/>
      <c r="R857" s="60"/>
    </row>
    <row r="858" ht="22.5" customHeight="1">
      <c r="O858" s="46"/>
      <c r="P858" s="46"/>
      <c r="Q858" s="59"/>
      <c r="R858" s="60"/>
    </row>
    <row r="859" ht="22.5" customHeight="1">
      <c r="O859" s="46"/>
      <c r="P859" s="46"/>
      <c r="Q859" s="59"/>
      <c r="R859" s="60"/>
    </row>
    <row r="860" ht="22.5" customHeight="1">
      <c r="O860" s="46"/>
      <c r="P860" s="46"/>
      <c r="Q860" s="59"/>
      <c r="R860" s="60"/>
    </row>
    <row r="861" ht="22.5" customHeight="1">
      <c r="O861" s="46"/>
      <c r="P861" s="46"/>
      <c r="Q861" s="59"/>
      <c r="R861" s="60"/>
    </row>
    <row r="862" ht="22.5" customHeight="1">
      <c r="O862" s="46"/>
      <c r="P862" s="46"/>
      <c r="Q862" s="59"/>
      <c r="R862" s="60"/>
    </row>
    <row r="863" ht="22.5" customHeight="1">
      <c r="O863" s="46"/>
      <c r="P863" s="46"/>
      <c r="Q863" s="59"/>
      <c r="R863" s="60"/>
    </row>
    <row r="864" ht="22.5" customHeight="1">
      <c r="O864" s="46"/>
      <c r="P864" s="46"/>
      <c r="Q864" s="59"/>
      <c r="R864" s="60"/>
    </row>
    <row r="865" ht="22.5" customHeight="1">
      <c r="O865" s="46"/>
      <c r="P865" s="46"/>
      <c r="Q865" s="59"/>
      <c r="R865" s="60"/>
    </row>
    <row r="866" ht="22.5" customHeight="1">
      <c r="O866" s="46"/>
      <c r="P866" s="46"/>
      <c r="Q866" s="59"/>
      <c r="R866" s="60"/>
    </row>
    <row r="867" ht="22.5" customHeight="1">
      <c r="O867" s="46"/>
      <c r="P867" s="46"/>
      <c r="Q867" s="59"/>
      <c r="R867" s="60"/>
    </row>
    <row r="868" ht="22.5" customHeight="1">
      <c r="O868" s="46"/>
      <c r="P868" s="46"/>
      <c r="Q868" s="59"/>
      <c r="R868" s="60"/>
    </row>
    <row r="869" ht="22.5" customHeight="1">
      <c r="O869" s="46"/>
      <c r="P869" s="46"/>
      <c r="Q869" s="59"/>
      <c r="R869" s="60"/>
    </row>
    <row r="870" ht="22.5" customHeight="1">
      <c r="O870" s="46"/>
      <c r="P870" s="46"/>
      <c r="Q870" s="59"/>
      <c r="R870" s="60"/>
    </row>
    <row r="871" ht="22.5" customHeight="1">
      <c r="O871" s="46"/>
      <c r="P871" s="46"/>
      <c r="Q871" s="59"/>
      <c r="R871" s="60"/>
    </row>
    <row r="872" ht="22.5" customHeight="1">
      <c r="O872" s="46"/>
      <c r="P872" s="46"/>
      <c r="Q872" s="59"/>
      <c r="R872" s="60"/>
    </row>
    <row r="873" ht="22.5" customHeight="1">
      <c r="O873" s="46"/>
      <c r="P873" s="46"/>
      <c r="Q873" s="59"/>
      <c r="R873" s="60"/>
    </row>
    <row r="874" ht="22.5" customHeight="1">
      <c r="O874" s="46"/>
      <c r="P874" s="46"/>
      <c r="Q874" s="59"/>
      <c r="R874" s="60"/>
    </row>
    <row r="875" ht="22.5" customHeight="1">
      <c r="O875" s="46"/>
      <c r="P875" s="46"/>
      <c r="Q875" s="59"/>
      <c r="R875" s="60"/>
    </row>
    <row r="876" ht="22.5" customHeight="1">
      <c r="O876" s="46"/>
      <c r="P876" s="46"/>
      <c r="Q876" s="59"/>
      <c r="R876" s="60"/>
    </row>
    <row r="877" ht="22.5" customHeight="1">
      <c r="O877" s="46"/>
      <c r="P877" s="46"/>
      <c r="Q877" s="59"/>
      <c r="R877" s="60"/>
    </row>
    <row r="878" ht="22.5" customHeight="1">
      <c r="O878" s="46"/>
      <c r="P878" s="46"/>
      <c r="Q878" s="59"/>
      <c r="R878" s="60"/>
    </row>
    <row r="879" ht="22.5" customHeight="1">
      <c r="O879" s="46"/>
      <c r="P879" s="46"/>
      <c r="Q879" s="59"/>
      <c r="R879" s="60"/>
    </row>
    <row r="880" ht="22.5" customHeight="1">
      <c r="O880" s="46"/>
      <c r="P880" s="46"/>
      <c r="Q880" s="59"/>
      <c r="R880" s="60"/>
    </row>
    <row r="881" ht="22.5" customHeight="1">
      <c r="O881" s="46"/>
      <c r="P881" s="46"/>
      <c r="Q881" s="59"/>
      <c r="R881" s="60"/>
    </row>
    <row r="882" ht="22.5" customHeight="1">
      <c r="O882" s="46"/>
      <c r="P882" s="46"/>
      <c r="Q882" s="59"/>
      <c r="R882" s="60"/>
    </row>
    <row r="883" ht="22.5" customHeight="1">
      <c r="O883" s="46"/>
      <c r="P883" s="46"/>
      <c r="Q883" s="59"/>
      <c r="R883" s="60"/>
    </row>
    <row r="884" ht="22.5" customHeight="1">
      <c r="O884" s="46"/>
      <c r="P884" s="46"/>
      <c r="Q884" s="59"/>
      <c r="R884" s="60"/>
    </row>
    <row r="885" ht="22.5" customHeight="1">
      <c r="O885" s="46"/>
      <c r="P885" s="46"/>
      <c r="Q885" s="59"/>
      <c r="R885" s="60"/>
    </row>
    <row r="886" ht="22.5" customHeight="1">
      <c r="O886" s="46"/>
      <c r="P886" s="46"/>
      <c r="Q886" s="59"/>
      <c r="R886" s="60"/>
    </row>
    <row r="887" ht="22.5" customHeight="1">
      <c r="O887" s="46"/>
      <c r="P887" s="46"/>
      <c r="Q887" s="59"/>
      <c r="R887" s="60"/>
    </row>
    <row r="888" ht="22.5" customHeight="1">
      <c r="O888" s="46"/>
      <c r="P888" s="46"/>
      <c r="Q888" s="59"/>
      <c r="R888" s="60"/>
    </row>
    <row r="889" ht="22.5" customHeight="1">
      <c r="O889" s="46"/>
      <c r="P889" s="46"/>
      <c r="Q889" s="59"/>
      <c r="R889" s="60"/>
    </row>
    <row r="890" ht="22.5" customHeight="1">
      <c r="O890" s="46"/>
      <c r="P890" s="46"/>
      <c r="Q890" s="59"/>
      <c r="R890" s="60"/>
    </row>
    <row r="891" ht="22.5" customHeight="1">
      <c r="O891" s="46"/>
      <c r="P891" s="46"/>
      <c r="Q891" s="59"/>
      <c r="R891" s="60"/>
    </row>
    <row r="892" ht="22.5" customHeight="1">
      <c r="O892" s="46"/>
      <c r="P892" s="46"/>
      <c r="Q892" s="59"/>
      <c r="R892" s="60"/>
    </row>
    <row r="893" ht="22.5" customHeight="1">
      <c r="O893" s="46"/>
      <c r="P893" s="46"/>
      <c r="Q893" s="59"/>
      <c r="R893" s="60"/>
    </row>
    <row r="894" ht="22.5" customHeight="1">
      <c r="O894" s="46"/>
      <c r="P894" s="46"/>
      <c r="Q894" s="59"/>
      <c r="R894" s="60"/>
    </row>
    <row r="895" ht="22.5" customHeight="1">
      <c r="O895" s="46"/>
      <c r="P895" s="46"/>
      <c r="Q895" s="59"/>
      <c r="R895" s="60"/>
    </row>
    <row r="896" ht="22.5" customHeight="1">
      <c r="O896" s="46"/>
      <c r="P896" s="46"/>
      <c r="Q896" s="59"/>
      <c r="R896" s="60"/>
    </row>
    <row r="897" ht="22.5" customHeight="1">
      <c r="O897" s="46"/>
      <c r="P897" s="46"/>
      <c r="Q897" s="59"/>
      <c r="R897" s="60"/>
    </row>
    <row r="898" ht="22.5" customHeight="1">
      <c r="O898" s="46"/>
      <c r="P898" s="46"/>
      <c r="Q898" s="59"/>
      <c r="R898" s="60"/>
    </row>
    <row r="899" ht="22.5" customHeight="1">
      <c r="O899" s="46"/>
      <c r="P899" s="46"/>
      <c r="Q899" s="59"/>
      <c r="R899" s="60"/>
    </row>
    <row r="900" ht="22.5" customHeight="1">
      <c r="O900" s="46"/>
      <c r="P900" s="46"/>
      <c r="Q900" s="59"/>
      <c r="R900" s="60"/>
    </row>
    <row r="901" ht="22.5" customHeight="1">
      <c r="O901" s="46"/>
      <c r="P901" s="46"/>
      <c r="Q901" s="59"/>
      <c r="R901" s="60"/>
    </row>
    <row r="902" ht="22.5" customHeight="1">
      <c r="O902" s="46"/>
      <c r="P902" s="46"/>
      <c r="Q902" s="59"/>
      <c r="R902" s="60"/>
    </row>
    <row r="903" ht="22.5" customHeight="1">
      <c r="O903" s="46"/>
      <c r="P903" s="46"/>
      <c r="Q903" s="59"/>
      <c r="R903" s="60"/>
    </row>
    <row r="904" ht="22.5" customHeight="1">
      <c r="O904" s="46"/>
      <c r="P904" s="46"/>
      <c r="Q904" s="59"/>
      <c r="R904" s="60"/>
    </row>
    <row r="905" ht="22.5" customHeight="1">
      <c r="O905" s="46"/>
      <c r="P905" s="46"/>
      <c r="Q905" s="59"/>
      <c r="R905" s="60"/>
    </row>
    <row r="906" ht="22.5" customHeight="1">
      <c r="O906" s="46"/>
      <c r="P906" s="46"/>
      <c r="Q906" s="59"/>
      <c r="R906" s="60"/>
    </row>
    <row r="907" ht="22.5" customHeight="1">
      <c r="O907" s="46"/>
      <c r="P907" s="46"/>
      <c r="Q907" s="59"/>
      <c r="R907" s="60"/>
    </row>
    <row r="908" ht="22.5" customHeight="1">
      <c r="O908" s="46"/>
      <c r="P908" s="46"/>
      <c r="Q908" s="59"/>
      <c r="R908" s="60"/>
    </row>
    <row r="909" ht="22.5" customHeight="1">
      <c r="O909" s="46"/>
      <c r="P909" s="46"/>
      <c r="Q909" s="59"/>
      <c r="R909" s="60"/>
    </row>
    <row r="910" ht="22.5" customHeight="1">
      <c r="O910" s="46"/>
      <c r="P910" s="46"/>
      <c r="Q910" s="59"/>
      <c r="R910" s="60"/>
    </row>
    <row r="911" ht="22.5" customHeight="1">
      <c r="O911" s="46"/>
      <c r="P911" s="46"/>
      <c r="Q911" s="59"/>
      <c r="R911" s="60"/>
    </row>
    <row r="912" ht="22.5" customHeight="1">
      <c r="O912" s="46"/>
      <c r="P912" s="46"/>
      <c r="Q912" s="59"/>
      <c r="R912" s="60"/>
    </row>
    <row r="913" ht="22.5" customHeight="1">
      <c r="O913" s="46"/>
      <c r="P913" s="46"/>
      <c r="Q913" s="59"/>
      <c r="R913" s="60"/>
    </row>
    <row r="914" ht="22.5" customHeight="1">
      <c r="O914" s="46"/>
      <c r="P914" s="46"/>
      <c r="Q914" s="59"/>
      <c r="R914" s="60"/>
    </row>
    <row r="915" ht="22.5" customHeight="1">
      <c r="O915" s="46"/>
      <c r="P915" s="46"/>
      <c r="Q915" s="59"/>
      <c r="R915" s="60"/>
    </row>
    <row r="916" ht="22.5" customHeight="1">
      <c r="O916" s="46"/>
      <c r="P916" s="46"/>
      <c r="Q916" s="59"/>
      <c r="R916" s="60"/>
    </row>
    <row r="917" ht="22.5" customHeight="1">
      <c r="O917" s="46"/>
      <c r="P917" s="46"/>
      <c r="Q917" s="59"/>
      <c r="R917" s="60"/>
    </row>
    <row r="918" ht="22.5" customHeight="1">
      <c r="O918" s="46"/>
      <c r="P918" s="46"/>
      <c r="Q918" s="59"/>
      <c r="R918" s="60"/>
    </row>
    <row r="919" ht="22.5" customHeight="1">
      <c r="O919" s="46"/>
      <c r="P919" s="46"/>
      <c r="Q919" s="59"/>
      <c r="R919" s="60"/>
    </row>
    <row r="920" ht="22.5" customHeight="1">
      <c r="O920" s="46"/>
      <c r="P920" s="46"/>
      <c r="Q920" s="59"/>
      <c r="R920" s="60"/>
    </row>
    <row r="921" ht="22.5" customHeight="1">
      <c r="O921" s="46"/>
      <c r="P921" s="46"/>
      <c r="Q921" s="59"/>
      <c r="R921" s="60"/>
    </row>
    <row r="922" ht="22.5" customHeight="1">
      <c r="O922" s="46"/>
      <c r="P922" s="46"/>
      <c r="Q922" s="59"/>
      <c r="R922" s="60"/>
    </row>
    <row r="923" ht="22.5" customHeight="1">
      <c r="O923" s="46"/>
      <c r="P923" s="46"/>
      <c r="Q923" s="59"/>
      <c r="R923" s="60"/>
    </row>
    <row r="924" ht="22.5" customHeight="1">
      <c r="O924" s="46"/>
      <c r="P924" s="46"/>
      <c r="Q924" s="59"/>
      <c r="R924" s="60"/>
    </row>
    <row r="925" ht="22.5" customHeight="1">
      <c r="O925" s="46"/>
      <c r="P925" s="46"/>
      <c r="Q925" s="59"/>
      <c r="R925" s="60"/>
    </row>
    <row r="926" ht="22.5" customHeight="1">
      <c r="O926" s="46"/>
      <c r="P926" s="46"/>
      <c r="Q926" s="59"/>
      <c r="R926" s="60"/>
    </row>
    <row r="927" ht="22.5" customHeight="1">
      <c r="O927" s="46"/>
      <c r="P927" s="46"/>
      <c r="Q927" s="59"/>
      <c r="R927" s="60"/>
    </row>
    <row r="928" ht="22.5" customHeight="1">
      <c r="O928" s="46"/>
      <c r="P928" s="46"/>
      <c r="Q928" s="59"/>
      <c r="R928" s="60"/>
    </row>
    <row r="929" ht="22.5" customHeight="1">
      <c r="O929" s="46"/>
      <c r="P929" s="46"/>
      <c r="Q929" s="59"/>
      <c r="R929" s="60"/>
    </row>
    <row r="930" ht="22.5" customHeight="1">
      <c r="O930" s="46"/>
      <c r="P930" s="46"/>
      <c r="Q930" s="59"/>
      <c r="R930" s="60"/>
    </row>
    <row r="931" ht="22.5" customHeight="1">
      <c r="O931" s="46"/>
      <c r="P931" s="46"/>
      <c r="Q931" s="59"/>
      <c r="R931" s="60"/>
    </row>
    <row r="932" ht="22.5" customHeight="1">
      <c r="O932" s="46"/>
      <c r="P932" s="46"/>
      <c r="Q932" s="59"/>
      <c r="R932" s="60"/>
    </row>
    <row r="933" ht="22.5" customHeight="1">
      <c r="O933" s="46"/>
      <c r="P933" s="46"/>
      <c r="Q933" s="59"/>
      <c r="R933" s="60"/>
    </row>
    <row r="934" ht="22.5" customHeight="1">
      <c r="O934" s="46"/>
      <c r="P934" s="46"/>
      <c r="Q934" s="59"/>
      <c r="R934" s="60"/>
    </row>
    <row r="935" ht="22.5" customHeight="1">
      <c r="O935" s="46"/>
      <c r="P935" s="46"/>
      <c r="Q935" s="59"/>
      <c r="R935" s="60"/>
    </row>
    <row r="936" ht="22.5" customHeight="1">
      <c r="O936" s="46"/>
      <c r="P936" s="46"/>
      <c r="Q936" s="59"/>
      <c r="R936" s="60"/>
    </row>
    <row r="937" ht="22.5" customHeight="1">
      <c r="O937" s="46"/>
      <c r="P937" s="46"/>
      <c r="Q937" s="59"/>
      <c r="R937" s="60"/>
    </row>
    <row r="938" ht="22.5" customHeight="1">
      <c r="O938" s="46"/>
      <c r="P938" s="46"/>
      <c r="Q938" s="59"/>
      <c r="R938" s="60"/>
    </row>
    <row r="939" ht="22.5" customHeight="1">
      <c r="O939" s="46"/>
      <c r="P939" s="46"/>
      <c r="Q939" s="59"/>
      <c r="R939" s="60"/>
    </row>
    <row r="940" ht="22.5" customHeight="1">
      <c r="O940" s="46"/>
      <c r="P940" s="46"/>
      <c r="Q940" s="59"/>
      <c r="R940" s="60"/>
    </row>
    <row r="941" ht="22.5" customHeight="1">
      <c r="O941" s="46"/>
      <c r="P941" s="46"/>
      <c r="Q941" s="59"/>
      <c r="R941" s="60"/>
    </row>
    <row r="942" ht="22.5" customHeight="1">
      <c r="O942" s="46"/>
      <c r="P942" s="46"/>
      <c r="Q942" s="59"/>
      <c r="R942" s="60"/>
    </row>
    <row r="943" ht="22.5" customHeight="1">
      <c r="O943" s="46"/>
      <c r="P943" s="46"/>
      <c r="Q943" s="59"/>
      <c r="R943" s="60"/>
    </row>
    <row r="944" ht="22.5" customHeight="1">
      <c r="O944" s="46"/>
      <c r="P944" s="46"/>
      <c r="Q944" s="59"/>
      <c r="R944" s="60"/>
    </row>
    <row r="945" ht="22.5" customHeight="1">
      <c r="O945" s="46"/>
      <c r="P945" s="46"/>
      <c r="Q945" s="59"/>
      <c r="R945" s="60"/>
    </row>
    <row r="946" ht="22.5" customHeight="1">
      <c r="O946" s="46"/>
      <c r="P946" s="46"/>
      <c r="Q946" s="59"/>
      <c r="R946" s="60"/>
    </row>
    <row r="947" ht="22.5" customHeight="1">
      <c r="O947" s="46"/>
      <c r="P947" s="46"/>
      <c r="Q947" s="59"/>
      <c r="R947" s="60"/>
    </row>
    <row r="948" ht="22.5" customHeight="1">
      <c r="O948" s="46"/>
      <c r="P948" s="46"/>
      <c r="Q948" s="59"/>
      <c r="R948" s="60"/>
    </row>
    <row r="949" ht="22.5" customHeight="1">
      <c r="O949" s="46"/>
      <c r="P949" s="46"/>
      <c r="Q949" s="59"/>
      <c r="R949" s="60"/>
    </row>
    <row r="950" ht="22.5" customHeight="1">
      <c r="O950" s="46"/>
      <c r="P950" s="46"/>
      <c r="Q950" s="59"/>
      <c r="R950" s="60"/>
    </row>
    <row r="951" ht="22.5" customHeight="1">
      <c r="O951" s="46"/>
      <c r="P951" s="46"/>
      <c r="Q951" s="59"/>
      <c r="R951" s="60"/>
    </row>
    <row r="952" ht="22.5" customHeight="1">
      <c r="O952" s="46"/>
      <c r="P952" s="46"/>
      <c r="Q952" s="59"/>
      <c r="R952" s="60"/>
    </row>
    <row r="953" ht="22.5" customHeight="1">
      <c r="O953" s="46"/>
      <c r="P953" s="46"/>
      <c r="Q953" s="59"/>
      <c r="R953" s="60"/>
    </row>
    <row r="954" ht="22.5" customHeight="1">
      <c r="O954" s="46"/>
      <c r="P954" s="46"/>
      <c r="Q954" s="59"/>
      <c r="R954" s="60"/>
    </row>
    <row r="955" ht="22.5" customHeight="1">
      <c r="O955" s="46"/>
      <c r="P955" s="46"/>
      <c r="Q955" s="59"/>
      <c r="R955" s="60"/>
    </row>
    <row r="956" ht="22.5" customHeight="1">
      <c r="O956" s="46"/>
      <c r="P956" s="46"/>
      <c r="Q956" s="59"/>
      <c r="R956" s="60"/>
    </row>
    <row r="957" ht="22.5" customHeight="1">
      <c r="O957" s="46"/>
      <c r="P957" s="46"/>
      <c r="Q957" s="59"/>
      <c r="R957" s="60"/>
    </row>
    <row r="958" ht="22.5" customHeight="1">
      <c r="O958" s="46"/>
      <c r="P958" s="46"/>
      <c r="Q958" s="59"/>
      <c r="R958" s="60"/>
    </row>
    <row r="959" ht="22.5" customHeight="1">
      <c r="O959" s="46"/>
      <c r="P959" s="46"/>
      <c r="Q959" s="59"/>
      <c r="R959" s="60"/>
    </row>
    <row r="960" ht="22.5" customHeight="1">
      <c r="O960" s="46"/>
      <c r="P960" s="46"/>
      <c r="Q960" s="59"/>
      <c r="R960" s="60"/>
    </row>
    <row r="961" ht="22.5" customHeight="1">
      <c r="O961" s="46"/>
      <c r="P961" s="46"/>
      <c r="Q961" s="59"/>
      <c r="R961" s="60"/>
    </row>
    <row r="962" ht="22.5" customHeight="1">
      <c r="O962" s="46"/>
      <c r="P962" s="46"/>
      <c r="Q962" s="59"/>
      <c r="R962" s="60"/>
    </row>
    <row r="963" ht="22.5" customHeight="1">
      <c r="O963" s="46"/>
      <c r="P963" s="46"/>
      <c r="Q963" s="59"/>
      <c r="R963" s="60"/>
    </row>
    <row r="964" ht="22.5" customHeight="1">
      <c r="O964" s="46"/>
      <c r="P964" s="46"/>
      <c r="Q964" s="59"/>
      <c r="R964" s="60"/>
    </row>
    <row r="965" ht="22.5" customHeight="1">
      <c r="O965" s="46"/>
      <c r="P965" s="46"/>
      <c r="Q965" s="59"/>
      <c r="R965" s="60"/>
    </row>
    <row r="966" ht="22.5" customHeight="1">
      <c r="O966" s="46"/>
      <c r="P966" s="46"/>
      <c r="Q966" s="59"/>
      <c r="R966" s="60"/>
    </row>
    <row r="967" ht="22.5" customHeight="1">
      <c r="O967" s="46"/>
      <c r="P967" s="46"/>
      <c r="Q967" s="59"/>
      <c r="R967" s="60"/>
    </row>
    <row r="968" ht="22.5" customHeight="1">
      <c r="O968" s="46"/>
      <c r="P968" s="46"/>
      <c r="Q968" s="59"/>
      <c r="R968" s="60"/>
    </row>
    <row r="969" ht="22.5" customHeight="1">
      <c r="O969" s="46"/>
      <c r="P969" s="46"/>
      <c r="Q969" s="59"/>
      <c r="R969" s="60"/>
    </row>
    <row r="970" ht="22.5" customHeight="1">
      <c r="O970" s="46"/>
      <c r="P970" s="46"/>
      <c r="Q970" s="59"/>
      <c r="R970" s="60"/>
    </row>
    <row r="971" ht="22.5" customHeight="1">
      <c r="O971" s="46"/>
      <c r="P971" s="46"/>
      <c r="Q971" s="59"/>
      <c r="R971" s="60"/>
    </row>
    <row r="972" ht="22.5" customHeight="1">
      <c r="O972" s="46"/>
      <c r="P972" s="46"/>
      <c r="Q972" s="59"/>
      <c r="R972" s="60"/>
    </row>
    <row r="973" ht="22.5" customHeight="1">
      <c r="O973" s="46"/>
      <c r="P973" s="46"/>
      <c r="Q973" s="59"/>
      <c r="R973" s="60"/>
    </row>
    <row r="974" ht="22.5" customHeight="1">
      <c r="O974" s="46"/>
      <c r="P974" s="46"/>
      <c r="Q974" s="59"/>
      <c r="R974" s="60"/>
    </row>
    <row r="975" ht="22.5" customHeight="1">
      <c r="O975" s="46"/>
      <c r="P975" s="46"/>
      <c r="Q975" s="59"/>
      <c r="R975" s="60"/>
    </row>
    <row r="976" ht="22.5" customHeight="1">
      <c r="O976" s="46"/>
      <c r="P976" s="46"/>
      <c r="Q976" s="59"/>
      <c r="R976" s="60"/>
    </row>
    <row r="977" ht="22.5" customHeight="1">
      <c r="O977" s="46"/>
      <c r="P977" s="46"/>
      <c r="Q977" s="59"/>
      <c r="R977" s="60"/>
    </row>
    <row r="978" ht="22.5" customHeight="1">
      <c r="O978" s="46"/>
      <c r="P978" s="46"/>
      <c r="Q978" s="59"/>
      <c r="R978" s="60"/>
    </row>
    <row r="979" ht="22.5" customHeight="1">
      <c r="O979" s="46"/>
      <c r="P979" s="46"/>
      <c r="Q979" s="59"/>
      <c r="R979" s="60"/>
    </row>
    <row r="980" ht="22.5" customHeight="1">
      <c r="O980" s="46"/>
      <c r="P980" s="46"/>
      <c r="Q980" s="59"/>
      <c r="R980" s="60"/>
    </row>
    <row r="981" ht="22.5" customHeight="1">
      <c r="O981" s="46"/>
      <c r="P981" s="46"/>
      <c r="Q981" s="59"/>
      <c r="R981" s="60"/>
    </row>
    <row r="982" ht="22.5" customHeight="1">
      <c r="O982" s="46"/>
      <c r="P982" s="46"/>
      <c r="Q982" s="59"/>
      <c r="R982" s="60"/>
    </row>
    <row r="983" ht="22.5" customHeight="1">
      <c r="O983" s="46"/>
      <c r="P983" s="46"/>
      <c r="Q983" s="59"/>
      <c r="R983" s="60"/>
    </row>
    <row r="984" ht="22.5" customHeight="1">
      <c r="O984" s="46"/>
      <c r="P984" s="46"/>
      <c r="Q984" s="59"/>
      <c r="R984" s="60"/>
    </row>
    <row r="985" ht="22.5" customHeight="1">
      <c r="O985" s="46"/>
      <c r="P985" s="46"/>
      <c r="Q985" s="59"/>
      <c r="R985" s="60"/>
    </row>
    <row r="986" ht="22.5" customHeight="1">
      <c r="O986" s="46"/>
      <c r="P986" s="46"/>
      <c r="Q986" s="59"/>
      <c r="R986" s="60"/>
    </row>
    <row r="987" ht="22.5" customHeight="1">
      <c r="O987" s="46"/>
      <c r="P987" s="46"/>
      <c r="Q987" s="59"/>
      <c r="R987" s="60"/>
    </row>
    <row r="988" ht="22.5" customHeight="1">
      <c r="O988" s="46"/>
      <c r="P988" s="46"/>
      <c r="Q988" s="59"/>
      <c r="R988" s="60"/>
    </row>
    <row r="989" ht="22.5" customHeight="1">
      <c r="O989" s="46"/>
      <c r="P989" s="46"/>
      <c r="Q989" s="59"/>
      <c r="R989" s="60"/>
    </row>
    <row r="990" ht="22.5" customHeight="1">
      <c r="O990" s="46"/>
      <c r="P990" s="46"/>
      <c r="Q990" s="59"/>
      <c r="R990" s="60"/>
    </row>
    <row r="991" ht="22.5" customHeight="1">
      <c r="O991" s="46"/>
      <c r="P991" s="46"/>
      <c r="Q991" s="59"/>
      <c r="R991" s="60"/>
    </row>
    <row r="992" ht="22.5" customHeight="1">
      <c r="O992" s="46"/>
      <c r="P992" s="46"/>
      <c r="Q992" s="59"/>
      <c r="R992" s="60"/>
    </row>
    <row r="993" ht="22.5" customHeight="1">
      <c r="O993" s="46"/>
      <c r="P993" s="46"/>
      <c r="Q993" s="59"/>
      <c r="R993" s="60"/>
    </row>
    <row r="994" ht="22.5" customHeight="1">
      <c r="O994" s="46"/>
      <c r="P994" s="46"/>
      <c r="Q994" s="59"/>
      <c r="R994" s="60"/>
    </row>
    <row r="995" ht="22.5" customHeight="1">
      <c r="O995" s="46"/>
      <c r="P995" s="46"/>
      <c r="Q995" s="59"/>
      <c r="R995" s="60"/>
    </row>
    <row r="996" ht="22.5" customHeight="1">
      <c r="O996" s="46"/>
      <c r="P996" s="46"/>
      <c r="Q996" s="59"/>
      <c r="R996" s="60"/>
    </row>
    <row r="997" ht="22.5" customHeight="1">
      <c r="O997" s="46"/>
      <c r="P997" s="46"/>
      <c r="Q997" s="59"/>
      <c r="R997" s="60"/>
    </row>
    <row r="998" ht="22.5" customHeight="1">
      <c r="O998" s="46"/>
      <c r="P998" s="46"/>
      <c r="Q998" s="59"/>
      <c r="R998" s="60"/>
    </row>
    <row r="999" ht="22.5" customHeight="1">
      <c r="O999" s="46"/>
      <c r="P999" s="46"/>
      <c r="Q999" s="59"/>
      <c r="R999" s="60"/>
    </row>
    <row r="1000" ht="22.5" customHeight="1">
      <c r="O1000" s="46"/>
      <c r="P1000" s="46"/>
      <c r="Q1000" s="59"/>
      <c r="R1000" s="60"/>
    </row>
  </sheetData>
  <customSheetViews>
    <customSheetView guid="{8F2E7E27-8319-4556-9AB2-7C5468732A3B}" filter="1" showAutoFilter="1">
      <autoFilter ref="$A$1:$T$301"/>
    </customSheetView>
  </customSheetViews>
  <hyperlinks>
    <hyperlink r:id="rId1" ref="H2"/>
    <hyperlink r:id="rId2" ref="AA2"/>
    <hyperlink r:id="rId3" ref="H3"/>
    <hyperlink r:id="rId4" ref="AA3"/>
    <hyperlink r:id="rId5" ref="H4"/>
    <hyperlink r:id="rId6" ref="AA4"/>
    <hyperlink r:id="rId7" ref="H5"/>
    <hyperlink r:id="rId8" ref="AA5"/>
    <hyperlink r:id="rId9" ref="H6"/>
    <hyperlink r:id="rId10" ref="AA6"/>
    <hyperlink r:id="rId11" ref="H7"/>
    <hyperlink r:id="rId12" ref="AA7"/>
    <hyperlink r:id="rId13" ref="H8"/>
    <hyperlink r:id="rId14" ref="AA8"/>
    <hyperlink r:id="rId15" ref="H9"/>
    <hyperlink r:id="rId16" ref="AA9"/>
    <hyperlink r:id="rId17" ref="H10"/>
    <hyperlink r:id="rId18" ref="AA10"/>
    <hyperlink r:id="rId19" ref="H11"/>
    <hyperlink r:id="rId20" ref="AA11"/>
    <hyperlink r:id="rId21" ref="H12"/>
    <hyperlink r:id="rId22" ref="AA12"/>
    <hyperlink r:id="rId23" ref="H13"/>
    <hyperlink r:id="rId24" ref="AA13"/>
    <hyperlink r:id="rId25" ref="H14"/>
    <hyperlink r:id="rId26" ref="AA14"/>
    <hyperlink r:id="rId27" ref="H15"/>
    <hyperlink r:id="rId28" ref="AA15"/>
    <hyperlink r:id="rId29" ref="H16"/>
    <hyperlink r:id="rId30" ref="AA16"/>
    <hyperlink r:id="rId31" ref="H17"/>
    <hyperlink r:id="rId32" ref="AA17"/>
    <hyperlink r:id="rId33" ref="H18"/>
    <hyperlink r:id="rId34" ref="AA18"/>
    <hyperlink r:id="rId35" ref="H19"/>
    <hyperlink r:id="rId36" ref="AA19"/>
    <hyperlink r:id="rId37" ref="H20"/>
    <hyperlink r:id="rId38" ref="AA20"/>
    <hyperlink r:id="rId39" ref="H21"/>
    <hyperlink r:id="rId40" ref="AA21"/>
    <hyperlink r:id="rId41" ref="H22"/>
    <hyperlink r:id="rId42" ref="AA22"/>
    <hyperlink r:id="rId43" ref="H23"/>
    <hyperlink r:id="rId44" ref="AA23"/>
    <hyperlink r:id="rId45" ref="H24"/>
    <hyperlink r:id="rId46" ref="AA24"/>
    <hyperlink r:id="rId47" ref="H25"/>
    <hyperlink r:id="rId48" ref="H26"/>
    <hyperlink r:id="rId49" ref="H27"/>
    <hyperlink r:id="rId50" ref="H28"/>
    <hyperlink r:id="rId51" ref="H29"/>
    <hyperlink r:id="rId52" ref="H30"/>
    <hyperlink r:id="rId53" ref="H31"/>
    <hyperlink r:id="rId54" ref="H32"/>
    <hyperlink r:id="rId55" ref="H33"/>
    <hyperlink r:id="rId56" ref="H34"/>
    <hyperlink r:id="rId57" ref="H35"/>
    <hyperlink r:id="rId58" ref="H36"/>
    <hyperlink r:id="rId59" ref="H37"/>
    <hyperlink r:id="rId60" ref="H38"/>
    <hyperlink r:id="rId61" ref="H39"/>
    <hyperlink r:id="rId62" ref="H40"/>
    <hyperlink r:id="rId63" ref="H41"/>
    <hyperlink r:id="rId64" ref="H42"/>
    <hyperlink r:id="rId65" ref="H43"/>
    <hyperlink r:id="rId66" ref="H44"/>
    <hyperlink r:id="rId67" ref="H45"/>
    <hyperlink r:id="rId68" ref="H46"/>
    <hyperlink r:id="rId69" ref="H47"/>
    <hyperlink r:id="rId70" ref="H48"/>
    <hyperlink r:id="rId71" ref="H49"/>
    <hyperlink r:id="rId72" ref="H50"/>
    <hyperlink r:id="rId73" ref="H51"/>
    <hyperlink r:id="rId74" ref="H52"/>
    <hyperlink r:id="rId75" ref="H53"/>
    <hyperlink r:id="rId76" ref="H54"/>
    <hyperlink r:id="rId77" ref="H55"/>
    <hyperlink r:id="rId78" ref="H56"/>
    <hyperlink r:id="rId79" ref="H57"/>
    <hyperlink r:id="rId80" ref="H58"/>
    <hyperlink r:id="rId81" ref="H59"/>
    <hyperlink r:id="rId82" ref="H60"/>
    <hyperlink r:id="rId83" ref="H61"/>
    <hyperlink r:id="rId84" ref="H62"/>
    <hyperlink r:id="rId85" ref="H63"/>
    <hyperlink r:id="rId86" ref="H64"/>
    <hyperlink r:id="rId87" ref="H65"/>
    <hyperlink r:id="rId88" ref="H66"/>
    <hyperlink r:id="rId89" ref="H67"/>
    <hyperlink r:id="rId90" ref="H68"/>
    <hyperlink r:id="rId91" ref="H69"/>
    <hyperlink r:id="rId92" ref="H70"/>
    <hyperlink r:id="rId93" ref="H71"/>
    <hyperlink r:id="rId94" ref="H72"/>
    <hyperlink r:id="rId95" ref="H73"/>
    <hyperlink r:id="rId96" ref="H74"/>
    <hyperlink r:id="rId97" ref="H75"/>
    <hyperlink r:id="rId98" ref="H76"/>
    <hyperlink r:id="rId99" ref="H77"/>
    <hyperlink r:id="rId100" ref="H78"/>
    <hyperlink r:id="rId101" ref="H79"/>
    <hyperlink r:id="rId102" ref="H80"/>
    <hyperlink r:id="rId103" ref="H81"/>
    <hyperlink r:id="rId104" ref="H82"/>
    <hyperlink r:id="rId105" ref="H83"/>
    <hyperlink r:id="rId106" ref="H84"/>
    <hyperlink r:id="rId107" ref="H85"/>
    <hyperlink r:id="rId108" ref="H86"/>
    <hyperlink r:id="rId109" ref="H87"/>
    <hyperlink r:id="rId110" ref="H88"/>
    <hyperlink r:id="rId111" ref="H89"/>
    <hyperlink r:id="rId112" ref="H90"/>
    <hyperlink r:id="rId113" ref="H91"/>
    <hyperlink r:id="rId114" ref="H92"/>
    <hyperlink r:id="rId115" ref="H93"/>
    <hyperlink r:id="rId116" ref="H94"/>
    <hyperlink r:id="rId117" ref="H95"/>
    <hyperlink r:id="rId118" ref="H96"/>
    <hyperlink r:id="rId119" ref="H97"/>
    <hyperlink r:id="rId120" ref="H98"/>
    <hyperlink r:id="rId121" ref="H99"/>
    <hyperlink r:id="rId122" ref="H100"/>
    <hyperlink r:id="rId123" ref="H101"/>
    <hyperlink r:id="rId124" ref="H102"/>
    <hyperlink r:id="rId125" ref="H103"/>
    <hyperlink r:id="rId126" ref="H104"/>
    <hyperlink r:id="rId127" ref="H105"/>
    <hyperlink r:id="rId128" ref="H106"/>
    <hyperlink r:id="rId129" ref="H107"/>
    <hyperlink r:id="rId130" ref="H108"/>
    <hyperlink r:id="rId131" ref="H109"/>
    <hyperlink r:id="rId132" ref="H110"/>
    <hyperlink r:id="rId133" ref="H111"/>
    <hyperlink r:id="rId134" ref="H112"/>
    <hyperlink r:id="rId135" ref="H113"/>
    <hyperlink r:id="rId136" ref="H114"/>
    <hyperlink r:id="rId137" ref="H115"/>
    <hyperlink r:id="rId138" ref="H116"/>
    <hyperlink r:id="rId139" ref="H117"/>
    <hyperlink r:id="rId140" ref="H118"/>
    <hyperlink r:id="rId141" ref="H119"/>
    <hyperlink r:id="rId142" ref="H120"/>
    <hyperlink r:id="rId143" ref="H121"/>
    <hyperlink r:id="rId144" ref="H122"/>
    <hyperlink r:id="rId145" ref="H123"/>
    <hyperlink r:id="rId146" ref="H124"/>
    <hyperlink r:id="rId147" ref="H125"/>
    <hyperlink r:id="rId148" ref="H126"/>
    <hyperlink r:id="rId149" ref="H127"/>
    <hyperlink r:id="rId150" ref="H128"/>
    <hyperlink r:id="rId151" ref="H129"/>
    <hyperlink r:id="rId152" ref="H130"/>
    <hyperlink r:id="rId153" ref="H131"/>
    <hyperlink r:id="rId154" ref="H132"/>
    <hyperlink r:id="rId155" ref="H133"/>
    <hyperlink r:id="rId156" ref="H134"/>
    <hyperlink r:id="rId157" ref="H135"/>
    <hyperlink r:id="rId158" ref="H136"/>
    <hyperlink r:id="rId159" ref="H137"/>
    <hyperlink r:id="rId160" ref="H138"/>
    <hyperlink r:id="rId161" ref="H139"/>
    <hyperlink r:id="rId162" ref="H140"/>
    <hyperlink r:id="rId163" ref="H141"/>
    <hyperlink r:id="rId164" ref="H142"/>
    <hyperlink r:id="rId165" ref="H143"/>
    <hyperlink r:id="rId166" ref="H144"/>
    <hyperlink r:id="rId167" ref="H145"/>
    <hyperlink r:id="rId168" ref="H146"/>
    <hyperlink r:id="rId169" ref="H147"/>
    <hyperlink r:id="rId170" ref="H148"/>
    <hyperlink r:id="rId171" ref="H149"/>
    <hyperlink r:id="rId172" ref="H150"/>
    <hyperlink r:id="rId173" ref="H151"/>
    <hyperlink r:id="rId174" ref="H152"/>
    <hyperlink r:id="rId175" ref="H153"/>
    <hyperlink r:id="rId176" ref="H154"/>
    <hyperlink r:id="rId177" ref="H155"/>
    <hyperlink r:id="rId178" ref="H156"/>
    <hyperlink r:id="rId179" ref="H157"/>
    <hyperlink r:id="rId180" ref="H158"/>
    <hyperlink r:id="rId181" ref="H159"/>
    <hyperlink r:id="rId182" ref="H160"/>
    <hyperlink r:id="rId183" ref="H161"/>
    <hyperlink r:id="rId184" ref="H162"/>
    <hyperlink r:id="rId185" ref="H163"/>
    <hyperlink r:id="rId186" ref="H164"/>
    <hyperlink r:id="rId187" ref="H165"/>
    <hyperlink r:id="rId188" ref="H166"/>
    <hyperlink r:id="rId189" ref="H167"/>
    <hyperlink r:id="rId190" ref="H168"/>
    <hyperlink r:id="rId191" ref="H169"/>
    <hyperlink r:id="rId192" ref="H170"/>
    <hyperlink r:id="rId193" ref="H171"/>
    <hyperlink r:id="rId194" ref="H172"/>
    <hyperlink r:id="rId195" ref="H173"/>
    <hyperlink r:id="rId196" ref="H174"/>
    <hyperlink r:id="rId197" ref="H175"/>
    <hyperlink r:id="rId198" ref="H176"/>
    <hyperlink r:id="rId199" ref="H177"/>
    <hyperlink r:id="rId200" ref="H178"/>
    <hyperlink r:id="rId201" ref="H179"/>
    <hyperlink r:id="rId202" ref="H180"/>
    <hyperlink r:id="rId203" ref="H181"/>
    <hyperlink r:id="rId204" ref="H182"/>
    <hyperlink r:id="rId205" ref="H183"/>
    <hyperlink r:id="rId206" ref="H184"/>
    <hyperlink r:id="rId207" ref="H185"/>
    <hyperlink r:id="rId208" ref="H186"/>
    <hyperlink r:id="rId209" ref="H187"/>
    <hyperlink r:id="rId210" ref="H188"/>
    <hyperlink r:id="rId211" ref="H189"/>
    <hyperlink r:id="rId212" ref="H190"/>
    <hyperlink r:id="rId213" ref="H191"/>
    <hyperlink r:id="rId214" ref="H192"/>
    <hyperlink r:id="rId215" ref="H193"/>
    <hyperlink r:id="rId216" ref="H194"/>
    <hyperlink r:id="rId217" ref="H195"/>
    <hyperlink r:id="rId218" ref="H196"/>
    <hyperlink r:id="rId219" ref="H197"/>
    <hyperlink r:id="rId220" ref="H198"/>
    <hyperlink r:id="rId221" ref="H199"/>
    <hyperlink r:id="rId222" ref="H200"/>
    <hyperlink r:id="rId223" ref="H201"/>
    <hyperlink r:id="rId224" ref="H202"/>
    <hyperlink r:id="rId225" ref="H203"/>
    <hyperlink r:id="rId226" ref="H204"/>
    <hyperlink r:id="rId227" ref="H205"/>
    <hyperlink r:id="rId228" ref="H206"/>
    <hyperlink r:id="rId229" ref="H207"/>
    <hyperlink r:id="rId230" ref="H208"/>
    <hyperlink r:id="rId231" ref="H209"/>
    <hyperlink r:id="rId232" ref="H210"/>
    <hyperlink r:id="rId233" ref="H211"/>
    <hyperlink r:id="rId234" ref="H212"/>
    <hyperlink r:id="rId235" ref="H213"/>
    <hyperlink r:id="rId236" ref="H214"/>
    <hyperlink r:id="rId237" ref="H215"/>
    <hyperlink r:id="rId238" ref="H216"/>
    <hyperlink r:id="rId239" ref="H217"/>
    <hyperlink r:id="rId240" ref="H218"/>
    <hyperlink r:id="rId241" ref="H219"/>
    <hyperlink r:id="rId242" ref="H220"/>
    <hyperlink r:id="rId243" ref="H221"/>
    <hyperlink r:id="rId244" ref="H222"/>
    <hyperlink r:id="rId245" ref="H223"/>
    <hyperlink r:id="rId246" ref="H224"/>
    <hyperlink r:id="rId247" ref="H225"/>
    <hyperlink r:id="rId248" ref="H226"/>
    <hyperlink r:id="rId249" ref="H227"/>
    <hyperlink r:id="rId250" ref="H228"/>
    <hyperlink r:id="rId251" ref="H229"/>
    <hyperlink r:id="rId252" ref="H230"/>
    <hyperlink r:id="rId253" ref="H231"/>
    <hyperlink r:id="rId254" ref="H232"/>
    <hyperlink r:id="rId255" ref="H233"/>
    <hyperlink r:id="rId256" ref="H234"/>
    <hyperlink r:id="rId257" ref="H235"/>
    <hyperlink r:id="rId258" ref="H236"/>
    <hyperlink r:id="rId259" ref="H237"/>
    <hyperlink r:id="rId260" ref="H238"/>
    <hyperlink r:id="rId261" ref="H239"/>
    <hyperlink r:id="rId262" ref="H240"/>
    <hyperlink r:id="rId263" ref="H241"/>
    <hyperlink r:id="rId264" ref="H242"/>
    <hyperlink r:id="rId265" ref="H243"/>
    <hyperlink r:id="rId266" ref="H244"/>
    <hyperlink r:id="rId267" ref="H245"/>
    <hyperlink r:id="rId268" ref="H246"/>
    <hyperlink r:id="rId269" ref="H247"/>
    <hyperlink r:id="rId270" ref="H248"/>
    <hyperlink r:id="rId271" ref="H249"/>
    <hyperlink r:id="rId272" ref="H250"/>
    <hyperlink r:id="rId273" ref="H251"/>
    <hyperlink r:id="rId274" ref="H252"/>
    <hyperlink r:id="rId275" ref="H253"/>
    <hyperlink r:id="rId276" ref="H254"/>
    <hyperlink r:id="rId277" ref="H255"/>
    <hyperlink r:id="rId278" ref="H256"/>
    <hyperlink r:id="rId279" ref="H257"/>
    <hyperlink r:id="rId280" ref="H258"/>
    <hyperlink r:id="rId281" ref="H259"/>
    <hyperlink r:id="rId282" ref="H260"/>
    <hyperlink r:id="rId283" ref="H261"/>
    <hyperlink r:id="rId284" ref="H262"/>
    <hyperlink r:id="rId285" ref="H263"/>
    <hyperlink r:id="rId286" ref="H264"/>
    <hyperlink r:id="rId287" ref="H265"/>
    <hyperlink r:id="rId288" ref="H266"/>
    <hyperlink r:id="rId289" ref="H267"/>
    <hyperlink r:id="rId290" ref="H268"/>
    <hyperlink r:id="rId291" ref="H269"/>
    <hyperlink r:id="rId292" ref="H270"/>
    <hyperlink r:id="rId293" ref="H271"/>
    <hyperlink r:id="rId294" ref="H272"/>
    <hyperlink r:id="rId295" ref="H273"/>
    <hyperlink r:id="rId296" ref="H274"/>
    <hyperlink r:id="rId297" ref="H275"/>
    <hyperlink r:id="rId298" ref="H276"/>
    <hyperlink r:id="rId299" ref="H277"/>
    <hyperlink r:id="rId300" ref="H278"/>
    <hyperlink r:id="rId301" ref="H279"/>
    <hyperlink r:id="rId302" ref="H280"/>
    <hyperlink r:id="rId303" ref="H281"/>
    <hyperlink r:id="rId304" ref="H282"/>
    <hyperlink r:id="rId305" ref="H283"/>
    <hyperlink r:id="rId306" ref="H284"/>
    <hyperlink r:id="rId307" ref="H285"/>
    <hyperlink r:id="rId308" ref="H286"/>
    <hyperlink r:id="rId309" ref="H287"/>
    <hyperlink r:id="rId310" ref="H288"/>
    <hyperlink r:id="rId311" ref="H289"/>
    <hyperlink r:id="rId312" ref="H290"/>
    <hyperlink r:id="rId313" ref="H291"/>
    <hyperlink r:id="rId314" ref="H292"/>
    <hyperlink r:id="rId315" ref="H293"/>
    <hyperlink r:id="rId316" ref="H294"/>
    <hyperlink r:id="rId317" ref="H295"/>
    <hyperlink r:id="rId318" ref="H296"/>
    <hyperlink r:id="rId319" ref="H297"/>
    <hyperlink r:id="rId320" ref="H298"/>
    <hyperlink r:id="rId321" ref="H299"/>
    <hyperlink r:id="rId322" ref="H300"/>
    <hyperlink r:id="rId323" ref="H301"/>
  </hyperlinks>
  <drawing r:id="rId324"/>
  <tableParts count="1">
    <tablePart r:id="rId326"/>
  </tableParts>
  <extLst>
    <ext uri="{3A4CF648-6AED-40f4-86FF-DC5316D8AED3}">
      <x14:slicerList>
        <x14:slicer r:id="rId327"/>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31.0"/>
  </cols>
  <sheetData>
    <row r="1" ht="21.0" customHeight="1">
      <c r="A1" s="17" t="s">
        <v>60</v>
      </c>
      <c r="B1" s="17" t="s">
        <v>61</v>
      </c>
      <c r="C1" s="17" t="s">
        <v>62</v>
      </c>
      <c r="D1" s="17" t="s">
        <v>63</v>
      </c>
      <c r="E1" s="17" t="s">
        <v>64</v>
      </c>
      <c r="F1" s="17" t="s">
        <v>42</v>
      </c>
      <c r="G1" s="17" t="s">
        <v>65</v>
      </c>
      <c r="H1" s="17" t="s">
        <v>66</v>
      </c>
      <c r="I1" s="61" t="s">
        <v>67</v>
      </c>
      <c r="J1" s="61" t="s">
        <v>68</v>
      </c>
      <c r="K1" s="61" t="s">
        <v>69</v>
      </c>
      <c r="L1" s="61" t="s">
        <v>70</v>
      </c>
      <c r="M1" s="61" t="s">
        <v>71</v>
      </c>
      <c r="N1" s="61" t="s">
        <v>72</v>
      </c>
      <c r="O1" s="62" t="s">
        <v>73</v>
      </c>
      <c r="P1" s="62" t="s">
        <v>74</v>
      </c>
      <c r="Q1" s="62" t="s">
        <v>75</v>
      </c>
      <c r="R1" s="39" t="s">
        <v>76</v>
      </c>
    </row>
    <row r="2" ht="21.0" customHeight="1">
      <c r="A2" s="42">
        <v>44470.0</v>
      </c>
      <c r="B2" s="43">
        <v>44470.50071759259</v>
      </c>
      <c r="C2" s="17" t="s">
        <v>972</v>
      </c>
      <c r="D2" s="17" t="s">
        <v>973</v>
      </c>
      <c r="E2" s="17" t="s">
        <v>84</v>
      </c>
      <c r="F2" s="17" t="s">
        <v>50</v>
      </c>
      <c r="G2" s="17" t="s">
        <v>974</v>
      </c>
      <c r="H2" s="44" t="s">
        <v>975</v>
      </c>
      <c r="I2" s="63">
        <v>1.0</v>
      </c>
      <c r="J2" s="63">
        <v>1091.0</v>
      </c>
      <c r="K2" s="63">
        <v>1111.0</v>
      </c>
      <c r="L2" s="63">
        <v>13.0</v>
      </c>
      <c r="M2" s="63">
        <v>49.0</v>
      </c>
      <c r="N2" s="63">
        <v>1091.0</v>
      </c>
      <c r="O2" s="46">
        <f t="array" ref="O2:O248">WEEKNUM(A2:A248)</f>
        <v>40</v>
      </c>
      <c r="P2" s="46">
        <f t="array" ref="P2:P248">HOUR(B2:B248)</f>
        <v>12</v>
      </c>
      <c r="Q2" s="46">
        <f>IFERROR(__xludf.DUMMYFUNCTION("ArrayFormula(IF(REGEXMATCH(G2:G248,""โปรโม|ส่วนลด|จ่าย|คุ้ม""),1,0))"),0.0)</f>
        <v>0</v>
      </c>
      <c r="R2" s="64">
        <f t="array" ref="R2:R248">(K2:K248)-(J2:J248)</f>
        <v>20</v>
      </c>
    </row>
    <row r="3" ht="21.0" customHeight="1">
      <c r="A3" s="42">
        <v>44470.0</v>
      </c>
      <c r="B3" s="43">
        <v>44470.625069444446</v>
      </c>
      <c r="C3" s="17" t="s">
        <v>972</v>
      </c>
      <c r="D3" s="17" t="s">
        <v>976</v>
      </c>
      <c r="E3" s="17" t="s">
        <v>84</v>
      </c>
      <c r="F3" s="17" t="s">
        <v>50</v>
      </c>
      <c r="G3" s="17" t="s">
        <v>977</v>
      </c>
      <c r="H3" s="44" t="s">
        <v>978</v>
      </c>
      <c r="I3" s="63">
        <v>1.0</v>
      </c>
      <c r="J3" s="63">
        <v>2465.0</v>
      </c>
      <c r="K3" s="63">
        <v>2758.0</v>
      </c>
      <c r="L3" s="63">
        <v>30.0</v>
      </c>
      <c r="M3" s="63">
        <v>132.0</v>
      </c>
      <c r="N3" s="63">
        <v>2465.0</v>
      </c>
      <c r="O3" s="46">
        <v>40.0</v>
      </c>
      <c r="P3" s="46">
        <v>15.0</v>
      </c>
      <c r="Q3" s="46">
        <f>IFERROR(__xludf.DUMMYFUNCTION("""COMPUTED_VALUE"""),0.0)</f>
        <v>0</v>
      </c>
      <c r="R3" s="64">
        <v>293.0</v>
      </c>
    </row>
    <row r="4" ht="21.0" customHeight="1">
      <c r="A4" s="42">
        <v>44470.0</v>
      </c>
      <c r="B4" s="43">
        <v>44470.66672453703</v>
      </c>
      <c r="C4" s="17" t="s">
        <v>972</v>
      </c>
      <c r="D4" s="17" t="s">
        <v>979</v>
      </c>
      <c r="E4" s="17" t="s">
        <v>84</v>
      </c>
      <c r="F4" s="17" t="s">
        <v>50</v>
      </c>
      <c r="G4" s="17" t="s">
        <v>980</v>
      </c>
      <c r="H4" s="44" t="s">
        <v>981</v>
      </c>
      <c r="I4" s="63">
        <v>1.0</v>
      </c>
      <c r="J4" s="63">
        <v>108.0</v>
      </c>
      <c r="K4" s="63">
        <v>109.0</v>
      </c>
      <c r="L4" s="63">
        <v>0.0</v>
      </c>
      <c r="M4" s="65"/>
      <c r="N4" s="63">
        <v>108.0</v>
      </c>
      <c r="O4" s="46">
        <v>40.0</v>
      </c>
      <c r="P4" s="46">
        <v>16.0</v>
      </c>
      <c r="Q4" s="46">
        <f>IFERROR(__xludf.DUMMYFUNCTION("""COMPUTED_VALUE"""),0.0)</f>
        <v>0</v>
      </c>
      <c r="R4" s="64">
        <v>1.0</v>
      </c>
    </row>
    <row r="5" ht="21.0" customHeight="1">
      <c r="A5" s="42">
        <v>44470.0</v>
      </c>
      <c r="B5" s="43">
        <v>44470.93457175926</v>
      </c>
      <c r="C5" s="17" t="s">
        <v>972</v>
      </c>
      <c r="D5" s="17" t="s">
        <v>982</v>
      </c>
      <c r="E5" s="17" t="s">
        <v>84</v>
      </c>
      <c r="F5" s="17" t="s">
        <v>50</v>
      </c>
      <c r="G5" s="17" t="s">
        <v>983</v>
      </c>
      <c r="H5" s="44" t="s">
        <v>984</v>
      </c>
      <c r="I5" s="63">
        <v>1.0</v>
      </c>
      <c r="J5" s="63">
        <v>1034.0</v>
      </c>
      <c r="K5" s="63">
        <v>1049.0</v>
      </c>
      <c r="L5" s="63">
        <v>27.0</v>
      </c>
      <c r="M5" s="63">
        <v>14.0</v>
      </c>
      <c r="N5" s="63">
        <v>1034.0</v>
      </c>
      <c r="O5" s="46">
        <v>40.0</v>
      </c>
      <c r="P5" s="46">
        <v>22.0</v>
      </c>
      <c r="Q5" s="46">
        <f>IFERROR(__xludf.DUMMYFUNCTION("""COMPUTED_VALUE"""),0.0)</f>
        <v>0</v>
      </c>
      <c r="R5" s="64">
        <v>15.0</v>
      </c>
    </row>
    <row r="6" ht="21.0" customHeight="1">
      <c r="A6" s="42">
        <v>44470.0</v>
      </c>
      <c r="B6" s="43">
        <v>44470.93769675926</v>
      </c>
      <c r="C6" s="17" t="s">
        <v>972</v>
      </c>
      <c r="D6" s="17" t="s">
        <v>985</v>
      </c>
      <c r="E6" s="17" t="s">
        <v>84</v>
      </c>
      <c r="F6" s="17" t="s">
        <v>50</v>
      </c>
      <c r="G6" s="17" t="s">
        <v>986</v>
      </c>
      <c r="H6" s="44" t="s">
        <v>987</v>
      </c>
      <c r="I6" s="63">
        <v>1.0</v>
      </c>
      <c r="J6" s="63">
        <v>4684.0</v>
      </c>
      <c r="K6" s="63">
        <v>5203.0</v>
      </c>
      <c r="L6" s="63">
        <v>55.0</v>
      </c>
      <c r="M6" s="63">
        <v>545.0</v>
      </c>
      <c r="N6" s="63">
        <v>4684.0</v>
      </c>
      <c r="O6" s="46">
        <v>40.0</v>
      </c>
      <c r="P6" s="46">
        <v>22.0</v>
      </c>
      <c r="Q6" s="46">
        <f>IFERROR(__xludf.DUMMYFUNCTION("""COMPUTED_VALUE"""),0.0)</f>
        <v>0</v>
      </c>
      <c r="R6" s="64">
        <v>519.0</v>
      </c>
    </row>
    <row r="7" ht="21.0" customHeight="1">
      <c r="A7" s="42">
        <v>44471.0</v>
      </c>
      <c r="B7" s="43">
        <v>44471.62509259259</v>
      </c>
      <c r="C7" s="17" t="s">
        <v>972</v>
      </c>
      <c r="D7" s="17" t="s">
        <v>988</v>
      </c>
      <c r="E7" s="17" t="s">
        <v>84</v>
      </c>
      <c r="F7" s="17" t="s">
        <v>50</v>
      </c>
      <c r="G7" s="17" t="s">
        <v>989</v>
      </c>
      <c r="H7" s="44" t="s">
        <v>990</v>
      </c>
      <c r="I7" s="63">
        <v>1.0</v>
      </c>
      <c r="J7" s="63">
        <v>2952.0</v>
      </c>
      <c r="K7" s="63">
        <v>3015.0</v>
      </c>
      <c r="L7" s="63">
        <v>43.0</v>
      </c>
      <c r="M7" s="63">
        <v>130.0</v>
      </c>
      <c r="N7" s="63">
        <v>2952.0</v>
      </c>
      <c r="O7" s="46">
        <v>40.0</v>
      </c>
      <c r="P7" s="46">
        <v>15.0</v>
      </c>
      <c r="Q7" s="46">
        <f>IFERROR(__xludf.DUMMYFUNCTION("""COMPUTED_VALUE"""),0.0)</f>
        <v>0</v>
      </c>
      <c r="R7" s="64">
        <v>63.0</v>
      </c>
    </row>
    <row r="8" ht="21.0" customHeight="1">
      <c r="A8" s="42">
        <v>44471.0</v>
      </c>
      <c r="B8" s="43">
        <v>44471.675520833334</v>
      </c>
      <c r="C8" s="17" t="s">
        <v>972</v>
      </c>
      <c r="D8" s="17" t="s">
        <v>991</v>
      </c>
      <c r="E8" s="17" t="s">
        <v>80</v>
      </c>
      <c r="F8" s="17" t="s">
        <v>55</v>
      </c>
      <c r="G8" s="17" t="s">
        <v>992</v>
      </c>
      <c r="H8" s="44" t="s">
        <v>993</v>
      </c>
      <c r="I8" s="63">
        <v>1.0</v>
      </c>
      <c r="J8" s="63">
        <v>517.0</v>
      </c>
      <c r="K8" s="63">
        <v>549.0</v>
      </c>
      <c r="L8" s="63">
        <v>16.0</v>
      </c>
      <c r="M8" s="63">
        <v>48.0</v>
      </c>
      <c r="N8" s="63">
        <v>517.0</v>
      </c>
      <c r="O8" s="46">
        <v>40.0</v>
      </c>
      <c r="P8" s="46">
        <v>16.0</v>
      </c>
      <c r="Q8" s="46">
        <f>IFERROR(__xludf.DUMMYFUNCTION("""COMPUTED_VALUE"""),1.0)</f>
        <v>1</v>
      </c>
      <c r="R8" s="64">
        <v>32.0</v>
      </c>
    </row>
    <row r="9" ht="21.0" customHeight="1">
      <c r="A9" s="42">
        <v>44471.0</v>
      </c>
      <c r="B9" s="43">
        <v>44471.8803125</v>
      </c>
      <c r="C9" s="17" t="s">
        <v>972</v>
      </c>
      <c r="D9" s="17" t="s">
        <v>994</v>
      </c>
      <c r="E9" s="17" t="s">
        <v>84</v>
      </c>
      <c r="F9" s="17" t="s">
        <v>50</v>
      </c>
      <c r="G9" s="17" t="s">
        <v>995</v>
      </c>
      <c r="H9" s="44" t="s">
        <v>996</v>
      </c>
      <c r="I9" s="63">
        <v>1.0</v>
      </c>
      <c r="J9" s="63">
        <v>482.0</v>
      </c>
      <c r="K9" s="63">
        <v>483.0</v>
      </c>
      <c r="L9" s="63">
        <v>7.0</v>
      </c>
      <c r="M9" s="63">
        <v>5.0</v>
      </c>
      <c r="N9" s="63">
        <v>482.0</v>
      </c>
      <c r="O9" s="46">
        <v>40.0</v>
      </c>
      <c r="P9" s="46">
        <v>21.0</v>
      </c>
      <c r="Q9" s="46">
        <f>IFERROR(__xludf.DUMMYFUNCTION("""COMPUTED_VALUE"""),0.0)</f>
        <v>0</v>
      </c>
      <c r="R9" s="64">
        <v>1.0</v>
      </c>
    </row>
    <row r="10" ht="21.0" customHeight="1">
      <c r="A10" s="42">
        <v>44472.0</v>
      </c>
      <c r="B10" s="43">
        <v>44472.679930555554</v>
      </c>
      <c r="C10" s="17" t="s">
        <v>972</v>
      </c>
      <c r="D10" s="17" t="s">
        <v>997</v>
      </c>
      <c r="E10" s="17" t="s">
        <v>80</v>
      </c>
      <c r="F10" s="17" t="s">
        <v>55</v>
      </c>
      <c r="G10" s="17" t="s">
        <v>998</v>
      </c>
      <c r="H10" s="44" t="s">
        <v>999</v>
      </c>
      <c r="I10" s="63">
        <v>1.0</v>
      </c>
      <c r="J10" s="63">
        <v>461.0</v>
      </c>
      <c r="K10" s="63">
        <v>493.0</v>
      </c>
      <c r="L10" s="63">
        <v>16.0</v>
      </c>
      <c r="M10" s="63">
        <v>40.0</v>
      </c>
      <c r="N10" s="63">
        <v>461.0</v>
      </c>
      <c r="O10" s="46">
        <v>41.0</v>
      </c>
      <c r="P10" s="46">
        <v>16.0</v>
      </c>
      <c r="Q10" s="46">
        <f>IFERROR(__xludf.DUMMYFUNCTION("""COMPUTED_VALUE"""),1.0)</f>
        <v>1</v>
      </c>
      <c r="R10" s="64">
        <v>32.0</v>
      </c>
    </row>
    <row r="11" ht="21.0" customHeight="1">
      <c r="A11" s="42">
        <v>44472.0</v>
      </c>
      <c r="B11" s="43">
        <v>44472.88178240741</v>
      </c>
      <c r="C11" s="17" t="s">
        <v>972</v>
      </c>
      <c r="D11" s="17" t="s">
        <v>1000</v>
      </c>
      <c r="E11" s="17" t="s">
        <v>84</v>
      </c>
      <c r="F11" s="17" t="s">
        <v>47</v>
      </c>
      <c r="G11" s="17" t="s">
        <v>1001</v>
      </c>
      <c r="H11" s="44" t="s">
        <v>1002</v>
      </c>
      <c r="I11" s="63">
        <v>1.0</v>
      </c>
      <c r="J11" s="63">
        <v>229.0</v>
      </c>
      <c r="K11" s="63">
        <v>231.0</v>
      </c>
      <c r="L11" s="63">
        <v>4.0</v>
      </c>
      <c r="M11" s="63">
        <v>3.0</v>
      </c>
      <c r="N11" s="63">
        <v>229.0</v>
      </c>
      <c r="O11" s="46">
        <v>41.0</v>
      </c>
      <c r="P11" s="46">
        <v>21.0</v>
      </c>
      <c r="Q11" s="46">
        <f>IFERROR(__xludf.DUMMYFUNCTION("""COMPUTED_VALUE"""),0.0)</f>
        <v>0</v>
      </c>
      <c r="R11" s="64">
        <v>2.0</v>
      </c>
    </row>
    <row r="12" ht="21.0" customHeight="1">
      <c r="A12" s="42">
        <v>44472.0</v>
      </c>
      <c r="B12" s="43">
        <v>44472.89579861111</v>
      </c>
      <c r="C12" s="17" t="s">
        <v>972</v>
      </c>
      <c r="D12" s="17" t="s">
        <v>1003</v>
      </c>
      <c r="E12" s="17" t="s">
        <v>84</v>
      </c>
      <c r="F12" s="17" t="s">
        <v>50</v>
      </c>
      <c r="G12" s="17" t="s">
        <v>1004</v>
      </c>
      <c r="H12" s="44" t="s">
        <v>1005</v>
      </c>
      <c r="I12" s="63">
        <v>1.0</v>
      </c>
      <c r="J12" s="63">
        <v>447.0</v>
      </c>
      <c r="K12" s="63">
        <v>451.0</v>
      </c>
      <c r="L12" s="63">
        <v>3.0</v>
      </c>
      <c r="M12" s="63">
        <v>6.0</v>
      </c>
      <c r="N12" s="63">
        <v>447.0</v>
      </c>
      <c r="O12" s="46">
        <v>41.0</v>
      </c>
      <c r="P12" s="46">
        <v>21.0</v>
      </c>
      <c r="Q12" s="46">
        <f>IFERROR(__xludf.DUMMYFUNCTION("""COMPUTED_VALUE"""),0.0)</f>
        <v>0</v>
      </c>
      <c r="R12" s="64">
        <v>4.0</v>
      </c>
    </row>
    <row r="13" ht="21.0" customHeight="1">
      <c r="A13" s="42">
        <v>44474.0</v>
      </c>
      <c r="B13" s="43">
        <v>44474.42178240741</v>
      </c>
      <c r="C13" s="17" t="s">
        <v>972</v>
      </c>
      <c r="D13" s="17" t="s">
        <v>1006</v>
      </c>
      <c r="E13" s="17" t="s">
        <v>84</v>
      </c>
      <c r="F13" s="17" t="s">
        <v>50</v>
      </c>
      <c r="G13" s="17" t="s">
        <v>1007</v>
      </c>
      <c r="H13" s="44" t="s">
        <v>1008</v>
      </c>
      <c r="I13" s="63">
        <v>1.0</v>
      </c>
      <c r="J13" s="63">
        <v>74.0</v>
      </c>
      <c r="K13" s="63">
        <v>74.0</v>
      </c>
      <c r="L13" s="63">
        <v>3.0</v>
      </c>
      <c r="M13" s="65"/>
      <c r="N13" s="63">
        <v>74.0</v>
      </c>
      <c r="O13" s="46">
        <v>41.0</v>
      </c>
      <c r="P13" s="46">
        <v>10.0</v>
      </c>
      <c r="Q13" s="46">
        <f>IFERROR(__xludf.DUMMYFUNCTION("""COMPUTED_VALUE"""),0.0)</f>
        <v>0</v>
      </c>
      <c r="R13" s="64">
        <v>0.0</v>
      </c>
    </row>
    <row r="14" ht="21.0" customHeight="1">
      <c r="A14" s="42">
        <v>44474.0</v>
      </c>
      <c r="B14" s="43">
        <v>44474.67722222222</v>
      </c>
      <c r="C14" s="17" t="s">
        <v>972</v>
      </c>
      <c r="D14" s="17" t="s">
        <v>1009</v>
      </c>
      <c r="E14" s="17" t="s">
        <v>80</v>
      </c>
      <c r="F14" s="17" t="s">
        <v>55</v>
      </c>
      <c r="G14" s="17" t="s">
        <v>1010</v>
      </c>
      <c r="H14" s="44" t="s">
        <v>1011</v>
      </c>
      <c r="I14" s="63">
        <v>1.0</v>
      </c>
      <c r="J14" s="63">
        <v>1271.0</v>
      </c>
      <c r="K14" s="63">
        <v>1321.0</v>
      </c>
      <c r="L14" s="63">
        <v>15.0</v>
      </c>
      <c r="M14" s="63">
        <v>61.0</v>
      </c>
      <c r="N14" s="63">
        <v>1271.0</v>
      </c>
      <c r="O14" s="46">
        <v>41.0</v>
      </c>
      <c r="P14" s="46">
        <v>16.0</v>
      </c>
      <c r="Q14" s="46">
        <f>IFERROR(__xludf.DUMMYFUNCTION("""COMPUTED_VALUE"""),0.0)</f>
        <v>0</v>
      </c>
      <c r="R14" s="64">
        <v>50.0</v>
      </c>
    </row>
    <row r="15" ht="21.0" customHeight="1">
      <c r="A15" s="42">
        <v>44474.0</v>
      </c>
      <c r="B15" s="43">
        <v>44474.750081018516</v>
      </c>
      <c r="C15" s="17" t="s">
        <v>972</v>
      </c>
      <c r="D15" s="17" t="s">
        <v>1012</v>
      </c>
      <c r="E15" s="17" t="s">
        <v>80</v>
      </c>
      <c r="F15" s="17" t="s">
        <v>55</v>
      </c>
      <c r="G15" s="17" t="s">
        <v>1013</v>
      </c>
      <c r="H15" s="44" t="s">
        <v>1014</v>
      </c>
      <c r="I15" s="63">
        <v>1.0</v>
      </c>
      <c r="J15" s="63">
        <v>163.0</v>
      </c>
      <c r="K15" s="63">
        <v>165.0</v>
      </c>
      <c r="L15" s="63">
        <v>0.0</v>
      </c>
      <c r="M15" s="63">
        <v>3.0</v>
      </c>
      <c r="N15" s="63">
        <v>163.0</v>
      </c>
      <c r="O15" s="46">
        <v>41.0</v>
      </c>
      <c r="P15" s="46">
        <v>18.0</v>
      </c>
      <c r="Q15" s="46">
        <f>IFERROR(__xludf.DUMMYFUNCTION("""COMPUTED_VALUE"""),0.0)</f>
        <v>0</v>
      </c>
      <c r="R15" s="64">
        <v>2.0</v>
      </c>
    </row>
    <row r="16" ht="21.0" customHeight="1">
      <c r="A16" s="42">
        <v>44474.0</v>
      </c>
      <c r="B16" s="43">
        <v>44474.87501157408</v>
      </c>
      <c r="C16" s="17" t="s">
        <v>972</v>
      </c>
      <c r="D16" s="17" t="s">
        <v>1015</v>
      </c>
      <c r="E16" s="17" t="s">
        <v>84</v>
      </c>
      <c r="F16" s="17" t="s">
        <v>50</v>
      </c>
      <c r="G16" s="17" t="s">
        <v>1016</v>
      </c>
      <c r="H16" s="44" t="s">
        <v>1017</v>
      </c>
      <c r="I16" s="63">
        <v>1.0</v>
      </c>
      <c r="J16" s="63">
        <v>218.0</v>
      </c>
      <c r="K16" s="63">
        <v>225.0</v>
      </c>
      <c r="L16" s="63">
        <v>20.0</v>
      </c>
      <c r="M16" s="63">
        <v>11.0</v>
      </c>
      <c r="N16" s="63">
        <v>218.0</v>
      </c>
      <c r="O16" s="46">
        <v>41.0</v>
      </c>
      <c r="P16" s="46">
        <v>21.0</v>
      </c>
      <c r="Q16" s="46">
        <f>IFERROR(__xludf.DUMMYFUNCTION("""COMPUTED_VALUE"""),0.0)</f>
        <v>0</v>
      </c>
      <c r="R16" s="64">
        <v>7.0</v>
      </c>
    </row>
    <row r="17" ht="21.0" customHeight="1">
      <c r="A17" s="42">
        <v>44475.0</v>
      </c>
      <c r="B17" s="43">
        <v>44475.409270833334</v>
      </c>
      <c r="C17" s="17" t="s">
        <v>972</v>
      </c>
      <c r="D17" s="17" t="s">
        <v>1018</v>
      </c>
      <c r="E17" s="17" t="s">
        <v>109</v>
      </c>
      <c r="F17" s="17" t="s">
        <v>50</v>
      </c>
      <c r="G17" s="17" t="s">
        <v>1019</v>
      </c>
      <c r="H17" s="44" t="s">
        <v>1020</v>
      </c>
      <c r="I17" s="63">
        <v>1.0</v>
      </c>
      <c r="J17" s="63">
        <v>250.0</v>
      </c>
      <c r="K17" s="63">
        <v>250.0</v>
      </c>
      <c r="L17" s="63">
        <v>4.0</v>
      </c>
      <c r="M17" s="63">
        <v>14.0</v>
      </c>
      <c r="N17" s="63">
        <v>250.0</v>
      </c>
      <c r="O17" s="46">
        <v>41.0</v>
      </c>
      <c r="P17" s="46">
        <v>9.0</v>
      </c>
      <c r="Q17" s="46">
        <f>IFERROR(__xludf.DUMMYFUNCTION("""COMPUTED_VALUE"""),0.0)</f>
        <v>0</v>
      </c>
      <c r="R17" s="64">
        <v>0.0</v>
      </c>
    </row>
    <row r="18" ht="21.0" customHeight="1">
      <c r="A18" s="42">
        <v>44475.0</v>
      </c>
      <c r="B18" s="43">
        <v>44475.65335648148</v>
      </c>
      <c r="C18" s="17" t="s">
        <v>972</v>
      </c>
      <c r="D18" s="17" t="s">
        <v>1021</v>
      </c>
      <c r="E18" s="17" t="s">
        <v>80</v>
      </c>
      <c r="F18" s="17" t="s">
        <v>55</v>
      </c>
      <c r="G18" s="17" t="s">
        <v>1022</v>
      </c>
      <c r="H18" s="44" t="s">
        <v>1023</v>
      </c>
      <c r="I18" s="63">
        <v>1.0</v>
      </c>
      <c r="J18" s="63">
        <v>628.0</v>
      </c>
      <c r="K18" s="63">
        <v>642.0</v>
      </c>
      <c r="L18" s="63">
        <v>7.0</v>
      </c>
      <c r="M18" s="63">
        <v>33.0</v>
      </c>
      <c r="N18" s="63">
        <v>628.0</v>
      </c>
      <c r="O18" s="46">
        <v>41.0</v>
      </c>
      <c r="P18" s="46">
        <v>15.0</v>
      </c>
      <c r="Q18" s="46">
        <f>IFERROR(__xludf.DUMMYFUNCTION("""COMPUTED_VALUE"""),0.0)</f>
        <v>0</v>
      </c>
      <c r="R18" s="64">
        <v>14.0</v>
      </c>
    </row>
    <row r="19" ht="21.0" customHeight="1">
      <c r="A19" s="42">
        <v>44475.0</v>
      </c>
      <c r="B19" s="43">
        <v>44475.68817129629</v>
      </c>
      <c r="C19" s="17" t="s">
        <v>972</v>
      </c>
      <c r="D19" s="17" t="s">
        <v>1024</v>
      </c>
      <c r="E19" s="17" t="s">
        <v>84</v>
      </c>
      <c r="F19" s="17" t="s">
        <v>47</v>
      </c>
      <c r="G19" s="17" t="s">
        <v>1025</v>
      </c>
      <c r="H19" s="44" t="s">
        <v>1026</v>
      </c>
      <c r="I19" s="63">
        <v>1.0</v>
      </c>
      <c r="J19" s="63">
        <v>1139.0</v>
      </c>
      <c r="K19" s="63">
        <v>1164.0</v>
      </c>
      <c r="L19" s="63">
        <v>55.0</v>
      </c>
      <c r="M19" s="63">
        <v>157.0</v>
      </c>
      <c r="N19" s="63">
        <v>1139.0</v>
      </c>
      <c r="O19" s="46">
        <v>41.0</v>
      </c>
      <c r="P19" s="46">
        <v>16.0</v>
      </c>
      <c r="Q19" s="46">
        <f>IFERROR(__xludf.DUMMYFUNCTION("""COMPUTED_VALUE"""),0.0)</f>
        <v>0</v>
      </c>
      <c r="R19" s="64">
        <v>25.0</v>
      </c>
    </row>
    <row r="20" ht="21.0" customHeight="1">
      <c r="A20" s="42">
        <v>44475.0</v>
      </c>
      <c r="B20" s="43">
        <v>44475.750625</v>
      </c>
      <c r="C20" s="17" t="s">
        <v>972</v>
      </c>
      <c r="D20" s="17" t="s">
        <v>1027</v>
      </c>
      <c r="E20" s="17" t="s">
        <v>84</v>
      </c>
      <c r="F20" s="17" t="s">
        <v>50</v>
      </c>
      <c r="G20" s="17" t="s">
        <v>1028</v>
      </c>
      <c r="H20" s="44" t="s">
        <v>1029</v>
      </c>
      <c r="I20" s="63">
        <v>1.0</v>
      </c>
      <c r="J20" s="63">
        <v>1831.0</v>
      </c>
      <c r="K20" s="63">
        <v>1872.0</v>
      </c>
      <c r="L20" s="63">
        <v>44.0</v>
      </c>
      <c r="M20" s="63">
        <v>222.0</v>
      </c>
      <c r="N20" s="63">
        <v>1831.0</v>
      </c>
      <c r="O20" s="46">
        <v>41.0</v>
      </c>
      <c r="P20" s="46">
        <v>18.0</v>
      </c>
      <c r="Q20" s="46">
        <f>IFERROR(__xludf.DUMMYFUNCTION("""COMPUTED_VALUE"""),0.0)</f>
        <v>0</v>
      </c>
      <c r="R20" s="64">
        <v>41.0</v>
      </c>
    </row>
    <row r="21" ht="21.0" customHeight="1">
      <c r="A21" s="42">
        <v>44476.0</v>
      </c>
      <c r="B21" s="43">
        <v>44476.48962962963</v>
      </c>
      <c r="C21" s="17" t="s">
        <v>972</v>
      </c>
      <c r="D21" s="17" t="s">
        <v>1030</v>
      </c>
      <c r="E21" s="17" t="s">
        <v>80</v>
      </c>
      <c r="F21" s="17" t="s">
        <v>55</v>
      </c>
      <c r="G21" s="17" t="s">
        <v>1031</v>
      </c>
      <c r="H21" s="44" t="s">
        <v>1032</v>
      </c>
      <c r="I21" s="63">
        <v>1.0</v>
      </c>
      <c r="J21" s="63">
        <v>261.0</v>
      </c>
      <c r="K21" s="63">
        <v>268.0</v>
      </c>
      <c r="L21" s="63">
        <v>0.0</v>
      </c>
      <c r="M21" s="63">
        <v>8.0</v>
      </c>
      <c r="N21" s="63">
        <v>261.0</v>
      </c>
      <c r="O21" s="46">
        <v>41.0</v>
      </c>
      <c r="P21" s="46">
        <v>11.0</v>
      </c>
      <c r="Q21" s="46">
        <f>IFERROR(__xludf.DUMMYFUNCTION("""COMPUTED_VALUE"""),0.0)</f>
        <v>0</v>
      </c>
      <c r="R21" s="64">
        <v>7.0</v>
      </c>
    </row>
    <row r="22" ht="21.0" customHeight="1">
      <c r="A22" s="42">
        <v>44476.0</v>
      </c>
      <c r="B22" s="43">
        <v>44476.583715277775</v>
      </c>
      <c r="C22" s="17" t="s">
        <v>972</v>
      </c>
      <c r="D22" s="17" t="s">
        <v>1033</v>
      </c>
      <c r="E22" s="17" t="s">
        <v>80</v>
      </c>
      <c r="F22" s="17" t="s">
        <v>55</v>
      </c>
      <c r="G22" s="17" t="s">
        <v>1034</v>
      </c>
      <c r="H22" s="44" t="s">
        <v>1035</v>
      </c>
      <c r="I22" s="63">
        <v>1.0</v>
      </c>
      <c r="J22" s="63">
        <v>145.0</v>
      </c>
      <c r="K22" s="63">
        <v>148.0</v>
      </c>
      <c r="L22" s="63">
        <v>0.0</v>
      </c>
      <c r="M22" s="63">
        <v>2.0</v>
      </c>
      <c r="N22" s="63">
        <v>145.0</v>
      </c>
      <c r="O22" s="46">
        <v>41.0</v>
      </c>
      <c r="P22" s="46">
        <v>14.0</v>
      </c>
      <c r="Q22" s="46">
        <f>IFERROR(__xludf.DUMMYFUNCTION("""COMPUTED_VALUE"""),0.0)</f>
        <v>0</v>
      </c>
      <c r="R22" s="64">
        <v>3.0</v>
      </c>
    </row>
    <row r="23" ht="21.0" customHeight="1">
      <c r="A23" s="42">
        <v>44476.0</v>
      </c>
      <c r="B23" s="43">
        <v>44476.63263888889</v>
      </c>
      <c r="C23" s="17" t="s">
        <v>972</v>
      </c>
      <c r="D23" s="17" t="s">
        <v>1036</v>
      </c>
      <c r="E23" s="17" t="s">
        <v>109</v>
      </c>
      <c r="F23" s="17" t="s">
        <v>50</v>
      </c>
      <c r="G23" s="17" t="s">
        <v>1037</v>
      </c>
      <c r="H23" s="44" t="s">
        <v>1038</v>
      </c>
      <c r="I23" s="63">
        <v>1.0</v>
      </c>
      <c r="J23" s="63">
        <v>1252.0</v>
      </c>
      <c r="K23" s="63">
        <v>1259.0</v>
      </c>
      <c r="L23" s="63">
        <v>18.0</v>
      </c>
      <c r="M23" s="63">
        <v>75.0</v>
      </c>
      <c r="N23" s="63">
        <v>1252.0</v>
      </c>
      <c r="O23" s="46">
        <v>41.0</v>
      </c>
      <c r="P23" s="46">
        <v>15.0</v>
      </c>
      <c r="Q23" s="46">
        <f>IFERROR(__xludf.DUMMYFUNCTION("""COMPUTED_VALUE"""),0.0)</f>
        <v>0</v>
      </c>
      <c r="R23" s="64">
        <v>7.0</v>
      </c>
    </row>
    <row r="24" ht="21.0" customHeight="1">
      <c r="A24" s="42">
        <v>44476.0</v>
      </c>
      <c r="B24" s="43">
        <v>44476.69006944444</v>
      </c>
      <c r="C24" s="17" t="s">
        <v>972</v>
      </c>
      <c r="D24" s="17" t="s">
        <v>1039</v>
      </c>
      <c r="E24" s="17" t="s">
        <v>109</v>
      </c>
      <c r="G24" s="17" t="s">
        <v>1040</v>
      </c>
      <c r="H24" s="44" t="s">
        <v>1041</v>
      </c>
      <c r="I24" s="63">
        <v>1.0</v>
      </c>
      <c r="J24" s="63">
        <v>63.0</v>
      </c>
      <c r="K24" s="63">
        <v>63.0</v>
      </c>
      <c r="L24" s="63">
        <v>0.0</v>
      </c>
      <c r="M24" s="63">
        <v>7.0</v>
      </c>
      <c r="N24" s="63">
        <v>63.0</v>
      </c>
      <c r="O24" s="46">
        <v>41.0</v>
      </c>
      <c r="P24" s="46">
        <v>16.0</v>
      </c>
      <c r="Q24" s="46">
        <f>IFERROR(__xludf.DUMMYFUNCTION("""COMPUTED_VALUE"""),0.0)</f>
        <v>0</v>
      </c>
      <c r="R24" s="64">
        <v>0.0</v>
      </c>
    </row>
    <row r="25" ht="21.0" customHeight="1">
      <c r="A25" s="42">
        <v>44477.0</v>
      </c>
      <c r="B25" s="43">
        <v>44477.489583333336</v>
      </c>
      <c r="C25" s="17" t="s">
        <v>972</v>
      </c>
      <c r="D25" s="17" t="s">
        <v>1042</v>
      </c>
      <c r="E25" s="17" t="s">
        <v>80</v>
      </c>
      <c r="F25" s="17" t="s">
        <v>55</v>
      </c>
      <c r="G25" s="17" t="s">
        <v>1043</v>
      </c>
      <c r="H25" s="44" t="s">
        <v>1044</v>
      </c>
      <c r="I25" s="63">
        <v>1.0</v>
      </c>
      <c r="J25" s="63">
        <v>141.0</v>
      </c>
      <c r="K25" s="63">
        <v>145.0</v>
      </c>
      <c r="L25" s="63">
        <v>2.0</v>
      </c>
      <c r="M25" s="63">
        <v>1.0</v>
      </c>
      <c r="N25" s="63">
        <v>141.0</v>
      </c>
      <c r="O25" s="46">
        <v>41.0</v>
      </c>
      <c r="P25" s="46">
        <v>11.0</v>
      </c>
      <c r="Q25" s="46">
        <f>IFERROR(__xludf.DUMMYFUNCTION("""COMPUTED_VALUE"""),0.0)</f>
        <v>0</v>
      </c>
      <c r="R25" s="64">
        <v>4.0</v>
      </c>
    </row>
    <row r="26" ht="21.0" customHeight="1">
      <c r="A26" s="42">
        <v>44477.0</v>
      </c>
      <c r="B26" s="43">
        <v>44477.58351851852</v>
      </c>
      <c r="C26" s="17" t="s">
        <v>972</v>
      </c>
      <c r="D26" s="17" t="s">
        <v>1045</v>
      </c>
      <c r="E26" s="17" t="s">
        <v>84</v>
      </c>
      <c r="F26" s="17" t="s">
        <v>50</v>
      </c>
      <c r="G26" s="17" t="s">
        <v>1046</v>
      </c>
      <c r="H26" s="44" t="s">
        <v>1047</v>
      </c>
      <c r="I26" s="63">
        <v>1.0</v>
      </c>
      <c r="J26" s="63">
        <v>584.0</v>
      </c>
      <c r="K26" s="63">
        <v>597.0</v>
      </c>
      <c r="L26" s="63">
        <v>10.0</v>
      </c>
      <c r="M26" s="63">
        <v>14.0</v>
      </c>
      <c r="N26" s="63">
        <v>584.0</v>
      </c>
      <c r="O26" s="46">
        <v>41.0</v>
      </c>
      <c r="P26" s="46">
        <v>14.0</v>
      </c>
      <c r="Q26" s="46">
        <f>IFERROR(__xludf.DUMMYFUNCTION("""COMPUTED_VALUE"""),0.0)</f>
        <v>0</v>
      </c>
      <c r="R26" s="64">
        <v>13.0</v>
      </c>
    </row>
    <row r="27" ht="21.0" customHeight="1">
      <c r="A27" s="42">
        <v>44477.0</v>
      </c>
      <c r="B27" s="43">
        <v>44477.64596064815</v>
      </c>
      <c r="C27" s="17" t="s">
        <v>972</v>
      </c>
      <c r="D27" s="17" t="s">
        <v>1048</v>
      </c>
      <c r="E27" s="17" t="s">
        <v>84</v>
      </c>
      <c r="F27" s="17" t="s">
        <v>50</v>
      </c>
      <c r="G27" s="17" t="s">
        <v>1049</v>
      </c>
      <c r="H27" s="44" t="s">
        <v>1050</v>
      </c>
      <c r="I27" s="63">
        <v>1.0</v>
      </c>
      <c r="J27" s="63">
        <v>451.0</v>
      </c>
      <c r="K27" s="63">
        <v>465.0</v>
      </c>
      <c r="L27" s="63">
        <v>1.0</v>
      </c>
      <c r="M27" s="63">
        <v>26.0</v>
      </c>
      <c r="N27" s="63">
        <v>451.0</v>
      </c>
      <c r="O27" s="46">
        <v>41.0</v>
      </c>
      <c r="P27" s="46">
        <v>15.0</v>
      </c>
      <c r="Q27" s="46">
        <f>IFERROR(__xludf.DUMMYFUNCTION("""COMPUTED_VALUE"""),0.0)</f>
        <v>0</v>
      </c>
      <c r="R27" s="64">
        <v>14.0</v>
      </c>
    </row>
    <row r="28" ht="21.0" customHeight="1">
      <c r="A28" s="42">
        <v>44477.0</v>
      </c>
      <c r="B28" s="43">
        <v>44477.722233796296</v>
      </c>
      <c r="C28" s="17" t="s">
        <v>972</v>
      </c>
      <c r="D28" s="17" t="s">
        <v>1051</v>
      </c>
      <c r="E28" s="17" t="s">
        <v>109</v>
      </c>
      <c r="G28" s="17" t="s">
        <v>1052</v>
      </c>
      <c r="H28" s="44" t="s">
        <v>1053</v>
      </c>
      <c r="I28" s="63">
        <v>1.0</v>
      </c>
      <c r="J28" s="63">
        <v>93.0</v>
      </c>
      <c r="K28" s="63">
        <v>93.0</v>
      </c>
      <c r="L28" s="63">
        <v>1.0</v>
      </c>
      <c r="M28" s="63">
        <v>1.0</v>
      </c>
      <c r="N28" s="63">
        <v>93.0</v>
      </c>
      <c r="O28" s="46">
        <v>41.0</v>
      </c>
      <c r="P28" s="46">
        <v>17.0</v>
      </c>
      <c r="Q28" s="46">
        <f>IFERROR(__xludf.DUMMYFUNCTION("""COMPUTED_VALUE"""),0.0)</f>
        <v>0</v>
      </c>
      <c r="R28" s="64">
        <v>0.0</v>
      </c>
    </row>
    <row r="29" ht="21.0" customHeight="1">
      <c r="A29" s="42">
        <v>44478.0</v>
      </c>
      <c r="B29" s="43">
        <v>44478.64129629629</v>
      </c>
      <c r="C29" s="17" t="s">
        <v>972</v>
      </c>
      <c r="D29" s="17" t="s">
        <v>1054</v>
      </c>
      <c r="E29" s="17" t="s">
        <v>109</v>
      </c>
      <c r="F29" s="17" t="s">
        <v>50</v>
      </c>
      <c r="G29" s="17" t="s">
        <v>1055</v>
      </c>
      <c r="H29" s="44" t="s">
        <v>1056</v>
      </c>
      <c r="I29" s="63">
        <v>1.0</v>
      </c>
      <c r="J29" s="63">
        <v>1089.0</v>
      </c>
      <c r="K29" s="63">
        <v>1108.0</v>
      </c>
      <c r="L29" s="63">
        <v>34.0</v>
      </c>
      <c r="M29" s="63">
        <v>23.0</v>
      </c>
      <c r="N29" s="63">
        <v>1089.0</v>
      </c>
      <c r="O29" s="46">
        <v>41.0</v>
      </c>
      <c r="P29" s="46">
        <v>15.0</v>
      </c>
      <c r="Q29" s="46">
        <f>IFERROR(__xludf.DUMMYFUNCTION("""COMPUTED_VALUE"""),0.0)</f>
        <v>0</v>
      </c>
      <c r="R29" s="64">
        <v>19.0</v>
      </c>
    </row>
    <row r="30" ht="21.0" customHeight="1">
      <c r="A30" s="42">
        <v>44478.0</v>
      </c>
      <c r="B30" s="43">
        <v>44478.71833333333</v>
      </c>
      <c r="C30" s="17" t="s">
        <v>972</v>
      </c>
      <c r="D30" s="17" t="s">
        <v>1057</v>
      </c>
      <c r="E30" s="17" t="s">
        <v>109</v>
      </c>
      <c r="G30" s="17" t="s">
        <v>1058</v>
      </c>
      <c r="H30" s="44" t="s">
        <v>1059</v>
      </c>
      <c r="I30" s="63">
        <v>1.0</v>
      </c>
      <c r="J30" s="63">
        <v>39.0</v>
      </c>
      <c r="K30" s="63">
        <v>39.0</v>
      </c>
      <c r="L30" s="63">
        <v>0.0</v>
      </c>
      <c r="M30" s="63">
        <v>3.0</v>
      </c>
      <c r="N30" s="63">
        <v>39.0</v>
      </c>
      <c r="O30" s="46">
        <v>41.0</v>
      </c>
      <c r="P30" s="46">
        <v>17.0</v>
      </c>
      <c r="Q30" s="46">
        <f>IFERROR(__xludf.DUMMYFUNCTION("""COMPUTED_VALUE"""),0.0)</f>
        <v>0</v>
      </c>
      <c r="R30" s="64">
        <v>0.0</v>
      </c>
    </row>
    <row r="31" ht="21.0" customHeight="1">
      <c r="A31" s="42">
        <v>44479.0</v>
      </c>
      <c r="B31" s="43">
        <v>44479.640173611115</v>
      </c>
      <c r="C31" s="17" t="s">
        <v>972</v>
      </c>
      <c r="D31" s="17" t="s">
        <v>1060</v>
      </c>
      <c r="E31" s="17" t="s">
        <v>80</v>
      </c>
      <c r="F31" s="17" t="s">
        <v>55</v>
      </c>
      <c r="G31" s="17" t="s">
        <v>1061</v>
      </c>
      <c r="H31" s="44" t="s">
        <v>1062</v>
      </c>
      <c r="I31" s="63">
        <v>1.0</v>
      </c>
      <c r="J31" s="63">
        <v>141.0</v>
      </c>
      <c r="K31" s="63">
        <v>147.0</v>
      </c>
      <c r="L31" s="63">
        <v>2.0</v>
      </c>
      <c r="M31" s="63">
        <v>2.0</v>
      </c>
      <c r="N31" s="63">
        <v>141.0</v>
      </c>
      <c r="O31" s="46">
        <v>42.0</v>
      </c>
      <c r="P31" s="46">
        <v>15.0</v>
      </c>
      <c r="Q31" s="46">
        <f>IFERROR(__xludf.DUMMYFUNCTION("""COMPUTED_VALUE"""),0.0)</f>
        <v>0</v>
      </c>
      <c r="R31" s="64">
        <v>6.0</v>
      </c>
    </row>
    <row r="32" ht="21.0" customHeight="1">
      <c r="A32" s="42">
        <v>44480.0</v>
      </c>
      <c r="B32" s="43">
        <v>44480.512083333335</v>
      </c>
      <c r="C32" s="17" t="s">
        <v>972</v>
      </c>
      <c r="D32" s="17" t="s">
        <v>1063</v>
      </c>
      <c r="E32" s="17" t="s">
        <v>109</v>
      </c>
      <c r="F32" s="17" t="s">
        <v>50</v>
      </c>
      <c r="G32" s="17" t="s">
        <v>1064</v>
      </c>
      <c r="H32" s="44" t="s">
        <v>1065</v>
      </c>
      <c r="I32" s="63">
        <v>1.0</v>
      </c>
      <c r="J32" s="63">
        <v>1579.0</v>
      </c>
      <c r="K32" s="63">
        <v>1613.0</v>
      </c>
      <c r="L32" s="63">
        <v>4.0</v>
      </c>
      <c r="M32" s="63">
        <v>30.0</v>
      </c>
      <c r="N32" s="63">
        <v>1579.0</v>
      </c>
      <c r="O32" s="46">
        <v>42.0</v>
      </c>
      <c r="P32" s="46">
        <v>12.0</v>
      </c>
      <c r="Q32" s="46">
        <f>IFERROR(__xludf.DUMMYFUNCTION("""COMPUTED_VALUE"""),0.0)</f>
        <v>0</v>
      </c>
      <c r="R32" s="64">
        <v>34.0</v>
      </c>
    </row>
    <row r="33" ht="21.0" customHeight="1">
      <c r="A33" s="42">
        <v>44481.0</v>
      </c>
      <c r="B33" s="43">
        <v>44481.62594907408</v>
      </c>
      <c r="C33" s="17" t="s">
        <v>972</v>
      </c>
      <c r="D33" s="17" t="s">
        <v>1066</v>
      </c>
      <c r="E33" s="17" t="s">
        <v>84</v>
      </c>
      <c r="F33" s="17" t="s">
        <v>50</v>
      </c>
      <c r="G33" s="17" t="s">
        <v>1067</v>
      </c>
      <c r="H33" s="44" t="s">
        <v>1068</v>
      </c>
      <c r="I33" s="63">
        <v>1.0</v>
      </c>
      <c r="J33" s="63">
        <v>571.0</v>
      </c>
      <c r="K33" s="63">
        <v>577.0</v>
      </c>
      <c r="L33" s="63">
        <v>75.0</v>
      </c>
      <c r="M33" s="63">
        <v>25.0</v>
      </c>
      <c r="N33" s="63">
        <v>571.0</v>
      </c>
      <c r="O33" s="46">
        <v>42.0</v>
      </c>
      <c r="P33" s="46">
        <v>15.0</v>
      </c>
      <c r="Q33" s="46">
        <f>IFERROR(__xludf.DUMMYFUNCTION("""COMPUTED_VALUE"""),0.0)</f>
        <v>0</v>
      </c>
      <c r="R33" s="64">
        <v>6.0</v>
      </c>
    </row>
    <row r="34" ht="21.0" customHeight="1">
      <c r="A34" s="42">
        <v>44481.0</v>
      </c>
      <c r="B34" s="43">
        <v>44481.66730324074</v>
      </c>
      <c r="C34" s="17" t="s">
        <v>972</v>
      </c>
      <c r="D34" s="17" t="s">
        <v>1069</v>
      </c>
      <c r="E34" s="17" t="s">
        <v>84</v>
      </c>
      <c r="F34" s="17" t="s">
        <v>50</v>
      </c>
      <c r="G34" s="17" t="s">
        <v>1070</v>
      </c>
      <c r="H34" s="44" t="s">
        <v>1071</v>
      </c>
      <c r="I34" s="63">
        <v>1.0</v>
      </c>
      <c r="J34" s="63">
        <v>238.0</v>
      </c>
      <c r="K34" s="63">
        <v>242.0</v>
      </c>
      <c r="L34" s="63">
        <v>4.0</v>
      </c>
      <c r="M34" s="63">
        <v>3.0</v>
      </c>
      <c r="N34" s="63">
        <v>238.0</v>
      </c>
      <c r="O34" s="46">
        <v>42.0</v>
      </c>
      <c r="P34" s="46">
        <v>16.0</v>
      </c>
      <c r="Q34" s="46">
        <f>IFERROR(__xludf.DUMMYFUNCTION("""COMPUTED_VALUE"""),0.0)</f>
        <v>0</v>
      </c>
      <c r="R34" s="64">
        <v>4.0</v>
      </c>
    </row>
    <row r="35" ht="21.0" customHeight="1">
      <c r="A35" s="42">
        <v>44481.0</v>
      </c>
      <c r="B35" s="43">
        <v>44481.750289351854</v>
      </c>
      <c r="C35" s="17" t="s">
        <v>972</v>
      </c>
      <c r="D35" s="17" t="s">
        <v>1072</v>
      </c>
      <c r="E35" s="17" t="s">
        <v>84</v>
      </c>
      <c r="F35" s="17" t="s">
        <v>47</v>
      </c>
      <c r="G35" s="17" t="s">
        <v>1073</v>
      </c>
      <c r="H35" s="44" t="s">
        <v>1074</v>
      </c>
      <c r="I35" s="63">
        <v>1.0</v>
      </c>
      <c r="J35" s="63">
        <v>151.0</v>
      </c>
      <c r="K35" s="63">
        <v>152.0</v>
      </c>
      <c r="L35" s="63">
        <v>4.0</v>
      </c>
      <c r="M35" s="63">
        <v>4.0</v>
      </c>
      <c r="N35" s="63">
        <v>151.0</v>
      </c>
      <c r="O35" s="46">
        <v>42.0</v>
      </c>
      <c r="P35" s="46">
        <v>18.0</v>
      </c>
      <c r="Q35" s="46">
        <f>IFERROR(__xludf.DUMMYFUNCTION("""COMPUTED_VALUE"""),0.0)</f>
        <v>0</v>
      </c>
      <c r="R35" s="64">
        <v>1.0</v>
      </c>
    </row>
    <row r="36" ht="21.0" customHeight="1">
      <c r="A36" s="42">
        <v>44482.0</v>
      </c>
      <c r="B36" s="43">
        <v>44482.58341435185</v>
      </c>
      <c r="C36" s="17" t="s">
        <v>972</v>
      </c>
      <c r="D36" s="17" t="s">
        <v>1075</v>
      </c>
      <c r="E36" s="17" t="s">
        <v>80</v>
      </c>
      <c r="F36" s="17" t="s">
        <v>55</v>
      </c>
      <c r="G36" s="17" t="s">
        <v>1076</v>
      </c>
      <c r="H36" s="44" t="s">
        <v>1077</v>
      </c>
      <c r="I36" s="63">
        <v>1.0</v>
      </c>
      <c r="J36" s="63">
        <v>382.0</v>
      </c>
      <c r="K36" s="63">
        <v>389.0</v>
      </c>
      <c r="L36" s="63">
        <v>15.0</v>
      </c>
      <c r="M36" s="63">
        <v>29.0</v>
      </c>
      <c r="N36" s="63">
        <v>382.0</v>
      </c>
      <c r="O36" s="46">
        <v>42.0</v>
      </c>
      <c r="P36" s="46">
        <v>14.0</v>
      </c>
      <c r="Q36" s="46">
        <f>IFERROR(__xludf.DUMMYFUNCTION("""COMPUTED_VALUE"""),0.0)</f>
        <v>0</v>
      </c>
      <c r="R36" s="64">
        <v>7.0</v>
      </c>
    </row>
    <row r="37" ht="21.0" customHeight="1">
      <c r="A37" s="42">
        <v>44484.0</v>
      </c>
      <c r="B37" s="43">
        <v>44484.64619212963</v>
      </c>
      <c r="C37" s="17" t="s">
        <v>972</v>
      </c>
      <c r="D37" s="17" t="s">
        <v>1078</v>
      </c>
      <c r="E37" s="17" t="s">
        <v>84</v>
      </c>
      <c r="F37" s="17" t="s">
        <v>50</v>
      </c>
      <c r="G37" s="17" t="s">
        <v>1079</v>
      </c>
      <c r="H37" s="44" t="s">
        <v>1080</v>
      </c>
      <c r="I37" s="63">
        <v>1.0</v>
      </c>
      <c r="J37" s="63">
        <v>278.0</v>
      </c>
      <c r="K37" s="63">
        <v>282.0</v>
      </c>
      <c r="L37" s="63">
        <v>9.0</v>
      </c>
      <c r="M37" s="63">
        <v>5.0</v>
      </c>
      <c r="N37" s="63">
        <v>278.0</v>
      </c>
      <c r="O37" s="46">
        <v>42.0</v>
      </c>
      <c r="P37" s="46">
        <v>15.0</v>
      </c>
      <c r="Q37" s="46">
        <f>IFERROR(__xludf.DUMMYFUNCTION("""COMPUTED_VALUE"""),0.0)</f>
        <v>0</v>
      </c>
      <c r="R37" s="64">
        <v>4.0</v>
      </c>
    </row>
    <row r="38" ht="21.0" customHeight="1">
      <c r="A38" s="42">
        <v>44486.0</v>
      </c>
      <c r="B38" s="43">
        <v>44486.60789351852</v>
      </c>
      <c r="C38" s="17" t="s">
        <v>972</v>
      </c>
      <c r="D38" s="17" t="s">
        <v>1081</v>
      </c>
      <c r="E38" s="17" t="s">
        <v>84</v>
      </c>
      <c r="F38" s="17" t="s">
        <v>50</v>
      </c>
      <c r="G38" s="17" t="s">
        <v>1082</v>
      </c>
      <c r="H38" s="44" t="s">
        <v>1083</v>
      </c>
      <c r="I38" s="63">
        <v>1.0</v>
      </c>
      <c r="J38" s="63">
        <v>103.0</v>
      </c>
      <c r="K38" s="63">
        <v>106.0</v>
      </c>
      <c r="L38" s="63">
        <v>0.0</v>
      </c>
      <c r="M38" s="63">
        <v>3.0</v>
      </c>
      <c r="N38" s="63">
        <v>103.0</v>
      </c>
      <c r="O38" s="46">
        <v>43.0</v>
      </c>
      <c r="P38" s="46">
        <v>14.0</v>
      </c>
      <c r="Q38" s="46">
        <f>IFERROR(__xludf.DUMMYFUNCTION("""COMPUTED_VALUE"""),0.0)</f>
        <v>0</v>
      </c>
      <c r="R38" s="64">
        <v>3.0</v>
      </c>
    </row>
    <row r="39" ht="21.0" customHeight="1">
      <c r="A39" s="42">
        <v>44486.0</v>
      </c>
      <c r="B39" s="43">
        <v>44486.667291666665</v>
      </c>
      <c r="C39" s="17" t="s">
        <v>972</v>
      </c>
      <c r="D39" s="17" t="s">
        <v>1084</v>
      </c>
      <c r="E39" s="17" t="s">
        <v>84</v>
      </c>
      <c r="F39" s="17" t="s">
        <v>50</v>
      </c>
      <c r="G39" s="17" t="s">
        <v>1085</v>
      </c>
      <c r="H39" s="44" t="s">
        <v>1086</v>
      </c>
      <c r="I39" s="63">
        <v>1.0</v>
      </c>
      <c r="J39" s="63">
        <v>94.0</v>
      </c>
      <c r="K39" s="63">
        <v>96.0</v>
      </c>
      <c r="L39" s="63">
        <v>3.0</v>
      </c>
      <c r="M39" s="63">
        <v>3.0</v>
      </c>
      <c r="N39" s="63">
        <v>94.0</v>
      </c>
      <c r="O39" s="46">
        <v>43.0</v>
      </c>
      <c r="P39" s="46">
        <v>16.0</v>
      </c>
      <c r="Q39" s="46">
        <f>IFERROR(__xludf.DUMMYFUNCTION("""COMPUTED_VALUE"""),0.0)</f>
        <v>0</v>
      </c>
      <c r="R39" s="64">
        <v>2.0</v>
      </c>
    </row>
    <row r="40" ht="21.0" customHeight="1">
      <c r="A40" s="42">
        <v>44487.0</v>
      </c>
      <c r="B40" s="43">
        <v>44487.58388888889</v>
      </c>
      <c r="C40" s="17" t="s">
        <v>972</v>
      </c>
      <c r="D40" s="17" t="s">
        <v>1087</v>
      </c>
      <c r="E40" s="17" t="s">
        <v>84</v>
      </c>
      <c r="F40" s="17" t="s">
        <v>50</v>
      </c>
      <c r="G40" s="17" t="s">
        <v>1088</v>
      </c>
      <c r="H40" s="44" t="s">
        <v>1089</v>
      </c>
      <c r="I40" s="63">
        <v>1.0</v>
      </c>
      <c r="J40" s="63">
        <v>110.0</v>
      </c>
      <c r="K40" s="63">
        <v>111.0</v>
      </c>
      <c r="L40" s="63">
        <v>0.0</v>
      </c>
      <c r="M40" s="63">
        <v>5.0</v>
      </c>
      <c r="N40" s="63">
        <v>110.0</v>
      </c>
      <c r="O40" s="46">
        <v>43.0</v>
      </c>
      <c r="P40" s="46">
        <v>14.0</v>
      </c>
      <c r="Q40" s="46">
        <f>IFERROR(__xludf.DUMMYFUNCTION("""COMPUTED_VALUE"""),0.0)</f>
        <v>0</v>
      </c>
      <c r="R40" s="64">
        <v>1.0</v>
      </c>
    </row>
    <row r="41" ht="21.0" customHeight="1">
      <c r="A41" s="42">
        <v>44488.0</v>
      </c>
      <c r="B41" s="43">
        <v>44488.58363425926</v>
      </c>
      <c r="C41" s="17" t="s">
        <v>972</v>
      </c>
      <c r="D41" s="17" t="s">
        <v>1090</v>
      </c>
      <c r="E41" s="17" t="s">
        <v>84</v>
      </c>
      <c r="F41" s="17" t="s">
        <v>50</v>
      </c>
      <c r="G41" s="17" t="s">
        <v>1091</v>
      </c>
      <c r="H41" s="44" t="s">
        <v>1092</v>
      </c>
      <c r="I41" s="63">
        <v>1.0</v>
      </c>
      <c r="J41" s="63">
        <v>91.0</v>
      </c>
      <c r="K41" s="63">
        <v>92.0</v>
      </c>
      <c r="L41" s="63">
        <v>0.0</v>
      </c>
      <c r="M41" s="65"/>
      <c r="N41" s="63">
        <v>91.0</v>
      </c>
      <c r="O41" s="46">
        <v>43.0</v>
      </c>
      <c r="P41" s="46">
        <v>14.0</v>
      </c>
      <c r="Q41" s="46">
        <f>IFERROR(__xludf.DUMMYFUNCTION("""COMPUTED_VALUE"""),0.0)</f>
        <v>0</v>
      </c>
      <c r="R41" s="64">
        <v>1.0</v>
      </c>
    </row>
    <row r="42" ht="21.0" customHeight="1">
      <c r="A42" s="42">
        <v>44488.0</v>
      </c>
      <c r="B42" s="43">
        <v>44488.87501157408</v>
      </c>
      <c r="C42" s="17" t="s">
        <v>972</v>
      </c>
      <c r="D42" s="17" t="s">
        <v>1093</v>
      </c>
      <c r="E42" s="17" t="s">
        <v>84</v>
      </c>
      <c r="F42" s="17" t="s">
        <v>50</v>
      </c>
      <c r="G42" s="17" t="s">
        <v>1094</v>
      </c>
      <c r="H42" s="44" t="s">
        <v>1095</v>
      </c>
      <c r="I42" s="63">
        <v>1.0</v>
      </c>
      <c r="J42" s="63">
        <v>124.0</v>
      </c>
      <c r="K42" s="63">
        <v>126.0</v>
      </c>
      <c r="L42" s="63">
        <v>5.0</v>
      </c>
      <c r="M42" s="63">
        <v>5.0</v>
      </c>
      <c r="N42" s="63">
        <v>124.0</v>
      </c>
      <c r="O42" s="46">
        <v>43.0</v>
      </c>
      <c r="P42" s="46">
        <v>21.0</v>
      </c>
      <c r="Q42" s="46">
        <f>IFERROR(__xludf.DUMMYFUNCTION("""COMPUTED_VALUE"""),0.0)</f>
        <v>0</v>
      </c>
      <c r="R42" s="64">
        <v>2.0</v>
      </c>
    </row>
    <row r="43" ht="21.0" customHeight="1">
      <c r="A43" s="42">
        <v>44489.0</v>
      </c>
      <c r="B43" s="43">
        <v>44489.56886574074</v>
      </c>
      <c r="C43" s="17" t="s">
        <v>972</v>
      </c>
      <c r="D43" s="17" t="s">
        <v>1096</v>
      </c>
      <c r="E43" s="17" t="s">
        <v>80</v>
      </c>
      <c r="F43" s="17" t="s">
        <v>55</v>
      </c>
      <c r="G43" s="17" t="s">
        <v>1097</v>
      </c>
      <c r="H43" s="44" t="s">
        <v>1098</v>
      </c>
      <c r="I43" s="63">
        <v>1.0</v>
      </c>
      <c r="J43" s="63">
        <v>571.0</v>
      </c>
      <c r="K43" s="63">
        <v>592.0</v>
      </c>
      <c r="L43" s="63">
        <v>14.0</v>
      </c>
      <c r="M43" s="63">
        <v>29.0</v>
      </c>
      <c r="N43" s="63">
        <v>571.0</v>
      </c>
      <c r="O43" s="46">
        <v>43.0</v>
      </c>
      <c r="P43" s="46">
        <v>13.0</v>
      </c>
      <c r="Q43" s="46">
        <f>IFERROR(__xludf.DUMMYFUNCTION("""COMPUTED_VALUE"""),0.0)</f>
        <v>0</v>
      </c>
      <c r="R43" s="64">
        <v>21.0</v>
      </c>
    </row>
    <row r="44" ht="21.0" customHeight="1">
      <c r="A44" s="42">
        <v>44489.0</v>
      </c>
      <c r="B44" s="43">
        <v>44489.67017361111</v>
      </c>
      <c r="C44" s="17" t="s">
        <v>972</v>
      </c>
      <c r="D44" s="17" t="s">
        <v>1099</v>
      </c>
      <c r="E44" s="17" t="s">
        <v>84</v>
      </c>
      <c r="F44" s="17" t="s">
        <v>47</v>
      </c>
      <c r="G44" s="17" t="s">
        <v>1100</v>
      </c>
      <c r="H44" s="44" t="s">
        <v>1101</v>
      </c>
      <c r="I44" s="63">
        <v>1.0</v>
      </c>
      <c r="J44" s="63">
        <v>512.0</v>
      </c>
      <c r="K44" s="63">
        <v>518.0</v>
      </c>
      <c r="L44" s="63">
        <v>6.0</v>
      </c>
      <c r="M44" s="63">
        <v>15.0</v>
      </c>
      <c r="N44" s="63">
        <v>512.0</v>
      </c>
      <c r="O44" s="46">
        <v>43.0</v>
      </c>
      <c r="P44" s="46">
        <v>16.0</v>
      </c>
      <c r="Q44" s="46">
        <f>IFERROR(__xludf.DUMMYFUNCTION("""COMPUTED_VALUE"""),0.0)</f>
        <v>0</v>
      </c>
      <c r="R44" s="64">
        <v>6.0</v>
      </c>
    </row>
    <row r="45" ht="21.0" customHeight="1">
      <c r="A45" s="42">
        <v>44489.0</v>
      </c>
      <c r="B45" s="43">
        <v>44489.75</v>
      </c>
      <c r="C45" s="17" t="s">
        <v>972</v>
      </c>
      <c r="D45" s="17" t="s">
        <v>1102</v>
      </c>
      <c r="E45" s="17" t="s">
        <v>80</v>
      </c>
      <c r="F45" s="17" t="s">
        <v>55</v>
      </c>
      <c r="G45" s="17" t="s">
        <v>1103</v>
      </c>
      <c r="H45" s="44" t="s">
        <v>1104</v>
      </c>
      <c r="I45" s="63">
        <v>1.0</v>
      </c>
      <c r="J45" s="63">
        <v>1389.0</v>
      </c>
      <c r="K45" s="63">
        <v>1459.0</v>
      </c>
      <c r="L45" s="63">
        <v>6.0</v>
      </c>
      <c r="M45" s="63">
        <v>79.0</v>
      </c>
      <c r="N45" s="63">
        <v>1389.0</v>
      </c>
      <c r="O45" s="46">
        <v>43.0</v>
      </c>
      <c r="P45" s="46">
        <v>18.0</v>
      </c>
      <c r="Q45" s="46">
        <f>IFERROR(__xludf.DUMMYFUNCTION("""COMPUTED_VALUE"""),0.0)</f>
        <v>0</v>
      </c>
      <c r="R45" s="64">
        <v>70.0</v>
      </c>
    </row>
    <row r="46" ht="21.0" customHeight="1">
      <c r="A46" s="42">
        <v>44495.0</v>
      </c>
      <c r="B46" s="43">
        <v>44495.472916666666</v>
      </c>
      <c r="C46" s="17" t="s">
        <v>972</v>
      </c>
      <c r="D46" s="17" t="s">
        <v>1105</v>
      </c>
      <c r="E46" s="17" t="s">
        <v>84</v>
      </c>
      <c r="F46" s="17" t="s">
        <v>50</v>
      </c>
      <c r="G46" s="17" t="s">
        <v>1106</v>
      </c>
      <c r="H46" s="44" t="s">
        <v>1107</v>
      </c>
      <c r="I46" s="63">
        <v>1.0</v>
      </c>
      <c r="J46" s="63">
        <v>1179.0</v>
      </c>
      <c r="K46" s="63">
        <v>1204.0</v>
      </c>
      <c r="L46" s="63">
        <v>17.0</v>
      </c>
      <c r="M46" s="63">
        <v>57.0</v>
      </c>
      <c r="N46" s="63">
        <v>1179.0</v>
      </c>
      <c r="O46" s="46">
        <v>44.0</v>
      </c>
      <c r="P46" s="46">
        <v>11.0</v>
      </c>
      <c r="Q46" s="46">
        <f>IFERROR(__xludf.DUMMYFUNCTION("""COMPUTED_VALUE"""),0.0)</f>
        <v>0</v>
      </c>
      <c r="R46" s="64">
        <v>25.0</v>
      </c>
    </row>
    <row r="47" ht="21.0" customHeight="1">
      <c r="A47" s="42">
        <v>44496.0</v>
      </c>
      <c r="B47" s="43">
        <v>44496.60428240741</v>
      </c>
      <c r="C47" s="17" t="s">
        <v>972</v>
      </c>
      <c r="D47" s="17" t="s">
        <v>1108</v>
      </c>
      <c r="E47" s="17" t="s">
        <v>80</v>
      </c>
      <c r="F47" s="17" t="s">
        <v>55</v>
      </c>
      <c r="G47" s="17" t="s">
        <v>1109</v>
      </c>
      <c r="H47" s="44" t="s">
        <v>1110</v>
      </c>
      <c r="I47" s="63">
        <v>1.0</v>
      </c>
      <c r="J47" s="63">
        <v>5307.0</v>
      </c>
      <c r="K47" s="63">
        <v>5448.0</v>
      </c>
      <c r="L47" s="63">
        <v>92.0</v>
      </c>
      <c r="M47" s="63">
        <v>514.0</v>
      </c>
      <c r="N47" s="63">
        <v>5307.0</v>
      </c>
      <c r="O47" s="46">
        <v>44.0</v>
      </c>
      <c r="P47" s="46">
        <v>14.0</v>
      </c>
      <c r="Q47" s="46">
        <f>IFERROR(__xludf.DUMMYFUNCTION("""COMPUTED_VALUE"""),0.0)</f>
        <v>0</v>
      </c>
      <c r="R47" s="64">
        <v>141.0</v>
      </c>
    </row>
    <row r="48" ht="21.0" customHeight="1">
      <c r="A48" s="42">
        <v>44496.0</v>
      </c>
      <c r="B48" s="43">
        <v>44496.70836805556</v>
      </c>
      <c r="C48" s="17" t="s">
        <v>972</v>
      </c>
      <c r="D48" s="17" t="s">
        <v>1111</v>
      </c>
      <c r="E48" s="17" t="s">
        <v>84</v>
      </c>
      <c r="F48" s="17" t="s">
        <v>47</v>
      </c>
      <c r="G48" s="17" t="s">
        <v>1112</v>
      </c>
      <c r="H48" s="44" t="s">
        <v>1113</v>
      </c>
      <c r="I48" s="63">
        <v>1.0</v>
      </c>
      <c r="J48" s="63">
        <v>227.0</v>
      </c>
      <c r="K48" s="63">
        <v>231.0</v>
      </c>
      <c r="L48" s="63">
        <v>7.0</v>
      </c>
      <c r="M48" s="63">
        <v>11.0</v>
      </c>
      <c r="N48" s="63">
        <v>227.0</v>
      </c>
      <c r="O48" s="46">
        <v>44.0</v>
      </c>
      <c r="P48" s="46">
        <v>17.0</v>
      </c>
      <c r="Q48" s="46">
        <f>IFERROR(__xludf.DUMMYFUNCTION("""COMPUTED_VALUE"""),0.0)</f>
        <v>0</v>
      </c>
      <c r="R48" s="64">
        <v>4.0</v>
      </c>
    </row>
    <row r="49" ht="21.0" customHeight="1">
      <c r="A49" s="42">
        <v>44496.0</v>
      </c>
      <c r="B49" s="43">
        <v>44496.75682870371</v>
      </c>
      <c r="C49" s="17" t="s">
        <v>972</v>
      </c>
      <c r="D49" s="17" t="s">
        <v>1114</v>
      </c>
      <c r="E49" s="17" t="s">
        <v>84</v>
      </c>
      <c r="F49" s="17" t="s">
        <v>48</v>
      </c>
      <c r="H49" s="44" t="s">
        <v>1115</v>
      </c>
      <c r="I49" s="63">
        <v>1.0</v>
      </c>
      <c r="J49" s="63">
        <v>353.0</v>
      </c>
      <c r="K49" s="63">
        <v>359.0</v>
      </c>
      <c r="L49" s="63">
        <v>4.0</v>
      </c>
      <c r="M49" s="63">
        <v>2.0</v>
      </c>
      <c r="N49" s="63">
        <v>353.0</v>
      </c>
      <c r="O49" s="46">
        <v>44.0</v>
      </c>
      <c r="P49" s="46">
        <v>18.0</v>
      </c>
      <c r="Q49" s="46">
        <f>IFERROR(__xludf.DUMMYFUNCTION("""COMPUTED_VALUE"""),0.0)</f>
        <v>0</v>
      </c>
      <c r="R49" s="64">
        <v>6.0</v>
      </c>
    </row>
    <row r="50" ht="21.0" customHeight="1">
      <c r="A50" s="42">
        <v>44496.0</v>
      </c>
      <c r="B50" s="43">
        <v>44496.85076388889</v>
      </c>
      <c r="C50" s="17" t="s">
        <v>972</v>
      </c>
      <c r="D50" s="17" t="s">
        <v>1116</v>
      </c>
      <c r="E50" s="17" t="s">
        <v>109</v>
      </c>
      <c r="F50" s="17" t="s">
        <v>55</v>
      </c>
      <c r="G50" s="17" t="s">
        <v>1117</v>
      </c>
      <c r="H50" s="44" t="s">
        <v>1118</v>
      </c>
      <c r="I50" s="63">
        <v>1.0</v>
      </c>
      <c r="J50" s="63">
        <v>628.0</v>
      </c>
      <c r="K50" s="63">
        <v>643.0</v>
      </c>
      <c r="L50" s="63">
        <v>2.0</v>
      </c>
      <c r="M50" s="63">
        <v>29.0</v>
      </c>
      <c r="N50" s="63">
        <v>628.0</v>
      </c>
      <c r="O50" s="46">
        <v>44.0</v>
      </c>
      <c r="P50" s="46">
        <v>20.0</v>
      </c>
      <c r="Q50" s="46">
        <f>IFERROR(__xludf.DUMMYFUNCTION("""COMPUTED_VALUE"""),0.0)</f>
        <v>0</v>
      </c>
      <c r="R50" s="64">
        <v>15.0</v>
      </c>
    </row>
    <row r="51" ht="21.0" customHeight="1">
      <c r="A51" s="42">
        <v>44497.0</v>
      </c>
      <c r="B51" s="43">
        <v>44497.42607638889</v>
      </c>
      <c r="C51" s="17" t="s">
        <v>972</v>
      </c>
      <c r="D51" s="17" t="s">
        <v>1119</v>
      </c>
      <c r="E51" s="17" t="s">
        <v>84</v>
      </c>
      <c r="F51" s="17" t="s">
        <v>50</v>
      </c>
      <c r="G51" s="17" t="s">
        <v>1120</v>
      </c>
      <c r="H51" s="44" t="s">
        <v>1121</v>
      </c>
      <c r="I51" s="63">
        <v>1.0</v>
      </c>
      <c r="J51" s="63">
        <v>4064.0</v>
      </c>
      <c r="K51" s="63">
        <v>4392.0</v>
      </c>
      <c r="L51" s="63">
        <v>20.0</v>
      </c>
      <c r="M51" s="63">
        <v>184.0</v>
      </c>
      <c r="N51" s="63">
        <v>4064.0</v>
      </c>
      <c r="O51" s="46">
        <v>44.0</v>
      </c>
      <c r="P51" s="46">
        <v>10.0</v>
      </c>
      <c r="Q51" s="46">
        <f>IFERROR(__xludf.DUMMYFUNCTION("""COMPUTED_VALUE"""),0.0)</f>
        <v>0</v>
      </c>
      <c r="R51" s="64">
        <v>328.0</v>
      </c>
    </row>
    <row r="52" ht="21.0" customHeight="1">
      <c r="A52" s="42">
        <v>44499.0</v>
      </c>
      <c r="B52" s="43">
        <v>44499.58362268518</v>
      </c>
      <c r="C52" s="17" t="s">
        <v>972</v>
      </c>
      <c r="D52" s="17" t="s">
        <v>1122</v>
      </c>
      <c r="E52" s="17" t="s">
        <v>80</v>
      </c>
      <c r="F52" s="17" t="s">
        <v>55</v>
      </c>
      <c r="G52" s="17" t="s">
        <v>1123</v>
      </c>
      <c r="H52" s="44" t="s">
        <v>1124</v>
      </c>
      <c r="I52" s="63">
        <v>1.0</v>
      </c>
      <c r="J52" s="63">
        <v>387.0</v>
      </c>
      <c r="K52" s="63">
        <v>439.0</v>
      </c>
      <c r="L52" s="63">
        <v>6.0</v>
      </c>
      <c r="M52" s="63">
        <v>24.0</v>
      </c>
      <c r="N52" s="63">
        <v>387.0</v>
      </c>
      <c r="O52" s="46">
        <v>44.0</v>
      </c>
      <c r="P52" s="46">
        <v>14.0</v>
      </c>
      <c r="Q52" s="46">
        <f>IFERROR(__xludf.DUMMYFUNCTION("""COMPUTED_VALUE"""),0.0)</f>
        <v>0</v>
      </c>
      <c r="R52" s="64">
        <v>52.0</v>
      </c>
    </row>
    <row r="53" ht="21.0" customHeight="1">
      <c r="A53" s="42">
        <v>44500.0</v>
      </c>
      <c r="B53" s="43">
        <v>44500.68800925926</v>
      </c>
      <c r="C53" s="17" t="s">
        <v>972</v>
      </c>
      <c r="D53" s="17" t="s">
        <v>1125</v>
      </c>
      <c r="E53" s="17" t="s">
        <v>84</v>
      </c>
      <c r="F53" s="17" t="s">
        <v>50</v>
      </c>
      <c r="G53" s="17" t="s">
        <v>1126</v>
      </c>
      <c r="H53" s="44" t="s">
        <v>1127</v>
      </c>
      <c r="I53" s="63">
        <v>1.0</v>
      </c>
      <c r="J53" s="63">
        <v>172.0</v>
      </c>
      <c r="K53" s="63">
        <v>176.0</v>
      </c>
      <c r="L53" s="63">
        <v>1.0</v>
      </c>
      <c r="M53" s="63">
        <v>4.0</v>
      </c>
      <c r="N53" s="63">
        <v>172.0</v>
      </c>
      <c r="O53" s="46">
        <v>45.0</v>
      </c>
      <c r="P53" s="46">
        <v>16.0</v>
      </c>
      <c r="Q53" s="46">
        <f>IFERROR(__xludf.DUMMYFUNCTION("""COMPUTED_VALUE"""),0.0)</f>
        <v>0</v>
      </c>
      <c r="R53" s="64">
        <v>4.0</v>
      </c>
    </row>
    <row r="54" ht="21.0" customHeight="1">
      <c r="A54" s="42">
        <v>44501.0</v>
      </c>
      <c r="B54" s="43">
        <v>44501.75001157408</v>
      </c>
      <c r="C54" s="17" t="s">
        <v>972</v>
      </c>
      <c r="D54" s="17" t="s">
        <v>1128</v>
      </c>
      <c r="E54" s="17" t="s">
        <v>84</v>
      </c>
      <c r="F54" s="17" t="s">
        <v>50</v>
      </c>
      <c r="G54" s="17" t="s">
        <v>1129</v>
      </c>
      <c r="H54" s="44" t="s">
        <v>1130</v>
      </c>
      <c r="I54" s="63">
        <v>1.0</v>
      </c>
      <c r="J54" s="63">
        <v>383.0</v>
      </c>
      <c r="K54" s="63">
        <v>387.0</v>
      </c>
      <c r="L54" s="63">
        <v>4.0</v>
      </c>
      <c r="M54" s="63">
        <v>29.0</v>
      </c>
      <c r="N54" s="63">
        <v>383.0</v>
      </c>
      <c r="O54" s="46">
        <v>45.0</v>
      </c>
      <c r="P54" s="46">
        <v>18.0</v>
      </c>
      <c r="Q54" s="46">
        <f>IFERROR(__xludf.DUMMYFUNCTION("""COMPUTED_VALUE"""),0.0)</f>
        <v>0</v>
      </c>
      <c r="R54" s="64">
        <v>4.0</v>
      </c>
    </row>
    <row r="55" ht="21.0" customHeight="1">
      <c r="A55" s="42">
        <v>44502.0</v>
      </c>
      <c r="B55" s="43">
        <v>44502.41569444445</v>
      </c>
      <c r="C55" s="17" t="s">
        <v>972</v>
      </c>
      <c r="D55" s="17" t="s">
        <v>1131</v>
      </c>
      <c r="E55" s="17" t="s">
        <v>84</v>
      </c>
      <c r="F55" s="17" t="s">
        <v>50</v>
      </c>
      <c r="G55" s="17" t="s">
        <v>1132</v>
      </c>
      <c r="H55" s="44" t="s">
        <v>1133</v>
      </c>
      <c r="I55" s="63">
        <v>1.0</v>
      </c>
      <c r="J55" s="63">
        <v>2273.0</v>
      </c>
      <c r="K55" s="63">
        <v>2313.0</v>
      </c>
      <c r="L55" s="63">
        <v>44.0</v>
      </c>
      <c r="M55" s="63">
        <v>177.0</v>
      </c>
      <c r="N55" s="63">
        <v>2273.0</v>
      </c>
      <c r="O55" s="46">
        <v>45.0</v>
      </c>
      <c r="P55" s="46">
        <v>9.0</v>
      </c>
      <c r="Q55" s="46">
        <f>IFERROR(__xludf.DUMMYFUNCTION("""COMPUTED_VALUE"""),0.0)</f>
        <v>0</v>
      </c>
      <c r="R55" s="64">
        <v>40.0</v>
      </c>
    </row>
    <row r="56" ht="21.0" customHeight="1">
      <c r="A56" s="42">
        <v>44502.0</v>
      </c>
      <c r="B56" s="43">
        <v>44502.77284722222</v>
      </c>
      <c r="C56" s="17" t="s">
        <v>972</v>
      </c>
      <c r="D56" s="17" t="s">
        <v>1134</v>
      </c>
      <c r="E56" s="17" t="s">
        <v>80</v>
      </c>
      <c r="F56" s="17" t="s">
        <v>55</v>
      </c>
      <c r="G56" s="17" t="s">
        <v>1135</v>
      </c>
      <c r="H56" s="44" t="s">
        <v>1136</v>
      </c>
      <c r="I56" s="63">
        <v>1.0</v>
      </c>
      <c r="J56" s="63">
        <v>1327.0</v>
      </c>
      <c r="K56" s="63">
        <v>1740.0</v>
      </c>
      <c r="L56" s="63">
        <v>742.0</v>
      </c>
      <c r="M56" s="63">
        <v>268.0</v>
      </c>
      <c r="N56" s="63">
        <v>1327.0</v>
      </c>
      <c r="O56" s="46">
        <v>45.0</v>
      </c>
      <c r="P56" s="46">
        <v>18.0</v>
      </c>
      <c r="Q56" s="46">
        <f>IFERROR(__xludf.DUMMYFUNCTION("""COMPUTED_VALUE"""),0.0)</f>
        <v>0</v>
      </c>
      <c r="R56" s="64">
        <v>413.0</v>
      </c>
    </row>
    <row r="57" ht="21.0" customHeight="1">
      <c r="A57" s="42">
        <v>44502.0</v>
      </c>
      <c r="B57" s="43">
        <v>44502.875023148146</v>
      </c>
      <c r="C57" s="17" t="s">
        <v>972</v>
      </c>
      <c r="D57" s="17" t="s">
        <v>1137</v>
      </c>
      <c r="E57" s="17" t="s">
        <v>84</v>
      </c>
      <c r="F57" s="17" t="s">
        <v>50</v>
      </c>
      <c r="G57" s="17" t="s">
        <v>1138</v>
      </c>
      <c r="H57" s="44" t="s">
        <v>1139</v>
      </c>
      <c r="I57" s="63">
        <v>1.0</v>
      </c>
      <c r="J57" s="63">
        <v>195.0</v>
      </c>
      <c r="K57" s="63">
        <v>200.0</v>
      </c>
      <c r="L57" s="63">
        <v>11.0</v>
      </c>
      <c r="M57" s="63">
        <v>5.0</v>
      </c>
      <c r="N57" s="63">
        <v>195.0</v>
      </c>
      <c r="O57" s="46">
        <v>45.0</v>
      </c>
      <c r="P57" s="46">
        <v>21.0</v>
      </c>
      <c r="Q57" s="46">
        <f>IFERROR(__xludf.DUMMYFUNCTION("""COMPUTED_VALUE"""),0.0)</f>
        <v>0</v>
      </c>
      <c r="R57" s="64">
        <v>5.0</v>
      </c>
    </row>
    <row r="58" ht="21.0" customHeight="1">
      <c r="A58" s="42">
        <v>44503.0</v>
      </c>
      <c r="B58" s="43">
        <v>44503.575844907406</v>
      </c>
      <c r="C58" s="17" t="s">
        <v>972</v>
      </c>
      <c r="D58" s="17" t="s">
        <v>1140</v>
      </c>
      <c r="E58" s="17" t="s">
        <v>84</v>
      </c>
      <c r="F58" s="17" t="s">
        <v>48</v>
      </c>
      <c r="H58" s="44" t="s">
        <v>1141</v>
      </c>
      <c r="I58" s="63">
        <v>1.0</v>
      </c>
      <c r="J58" s="63">
        <v>247.0</v>
      </c>
      <c r="K58" s="63">
        <v>253.0</v>
      </c>
      <c r="L58" s="63">
        <v>3.0</v>
      </c>
      <c r="M58" s="63">
        <v>2.0</v>
      </c>
      <c r="N58" s="63">
        <v>247.0</v>
      </c>
      <c r="O58" s="46">
        <v>45.0</v>
      </c>
      <c r="P58" s="46">
        <v>13.0</v>
      </c>
      <c r="Q58" s="46">
        <f>IFERROR(__xludf.DUMMYFUNCTION("""COMPUTED_VALUE"""),0.0)</f>
        <v>0</v>
      </c>
      <c r="R58" s="64">
        <v>6.0</v>
      </c>
    </row>
    <row r="59" ht="21.0" customHeight="1">
      <c r="A59" s="42">
        <v>44503.0</v>
      </c>
      <c r="B59" s="43">
        <v>44503.65280092593</v>
      </c>
      <c r="C59" s="17" t="s">
        <v>972</v>
      </c>
      <c r="D59" s="17" t="s">
        <v>1142</v>
      </c>
      <c r="E59" s="17" t="s">
        <v>84</v>
      </c>
      <c r="F59" s="17" t="s">
        <v>50</v>
      </c>
      <c r="G59" s="17" t="s">
        <v>1143</v>
      </c>
      <c r="H59" s="44" t="s">
        <v>1144</v>
      </c>
      <c r="I59" s="63">
        <v>1.0</v>
      </c>
      <c r="J59" s="63">
        <v>655.0</v>
      </c>
      <c r="K59" s="63">
        <v>661.0</v>
      </c>
      <c r="L59" s="63">
        <v>4.0</v>
      </c>
      <c r="M59" s="63">
        <v>7.0</v>
      </c>
      <c r="N59" s="63">
        <v>655.0</v>
      </c>
      <c r="O59" s="46">
        <v>45.0</v>
      </c>
      <c r="P59" s="46">
        <v>15.0</v>
      </c>
      <c r="Q59" s="46">
        <f>IFERROR(__xludf.DUMMYFUNCTION("""COMPUTED_VALUE"""),0.0)</f>
        <v>0</v>
      </c>
      <c r="R59" s="64">
        <v>6.0</v>
      </c>
    </row>
    <row r="60" ht="21.0" customHeight="1">
      <c r="A60" s="42">
        <v>44503.0</v>
      </c>
      <c r="B60" s="43">
        <v>44503.66706018519</v>
      </c>
      <c r="C60" s="17" t="s">
        <v>972</v>
      </c>
      <c r="D60" s="17" t="s">
        <v>1145</v>
      </c>
      <c r="E60" s="17" t="s">
        <v>80</v>
      </c>
      <c r="F60" s="17" t="s">
        <v>55</v>
      </c>
      <c r="G60" s="17" t="s">
        <v>1146</v>
      </c>
      <c r="H60" s="44" t="s">
        <v>1147</v>
      </c>
      <c r="I60" s="63">
        <v>1.0</v>
      </c>
      <c r="J60" s="63">
        <v>478.0</v>
      </c>
      <c r="K60" s="63">
        <v>484.0</v>
      </c>
      <c r="L60" s="63">
        <v>5.0</v>
      </c>
      <c r="M60" s="63">
        <v>18.0</v>
      </c>
      <c r="N60" s="63">
        <v>478.0</v>
      </c>
      <c r="O60" s="46">
        <v>45.0</v>
      </c>
      <c r="P60" s="46">
        <v>16.0</v>
      </c>
      <c r="Q60" s="46">
        <f>IFERROR(__xludf.DUMMYFUNCTION("""COMPUTED_VALUE"""),0.0)</f>
        <v>0</v>
      </c>
      <c r="R60" s="64">
        <v>6.0</v>
      </c>
    </row>
    <row r="61" ht="21.0" customHeight="1">
      <c r="A61" s="42">
        <v>44503.0</v>
      </c>
      <c r="B61" s="43">
        <v>44503.69159722222</v>
      </c>
      <c r="C61" s="17" t="s">
        <v>972</v>
      </c>
      <c r="D61" s="17" t="s">
        <v>1148</v>
      </c>
      <c r="E61" s="17" t="s">
        <v>84</v>
      </c>
      <c r="F61" s="17" t="s">
        <v>47</v>
      </c>
      <c r="G61" s="17" t="s">
        <v>1149</v>
      </c>
      <c r="H61" s="44" t="s">
        <v>1150</v>
      </c>
      <c r="I61" s="63">
        <v>1.0</v>
      </c>
      <c r="J61" s="63">
        <v>914.0</v>
      </c>
      <c r="K61" s="63">
        <v>930.0</v>
      </c>
      <c r="L61" s="63">
        <v>32.0</v>
      </c>
      <c r="M61" s="63">
        <v>114.0</v>
      </c>
      <c r="N61" s="63">
        <v>914.0</v>
      </c>
      <c r="O61" s="46">
        <v>45.0</v>
      </c>
      <c r="P61" s="46">
        <v>16.0</v>
      </c>
      <c r="Q61" s="46">
        <f>IFERROR(__xludf.DUMMYFUNCTION("""COMPUTED_VALUE"""),0.0)</f>
        <v>0</v>
      </c>
      <c r="R61" s="64">
        <v>16.0</v>
      </c>
    </row>
    <row r="62" ht="21.0" customHeight="1">
      <c r="A62" s="42">
        <v>44503.0</v>
      </c>
      <c r="B62" s="43">
        <v>44503.77442129629</v>
      </c>
      <c r="C62" s="17" t="s">
        <v>972</v>
      </c>
      <c r="D62" s="17" t="s">
        <v>1151</v>
      </c>
      <c r="E62" s="17" t="s">
        <v>80</v>
      </c>
      <c r="F62" s="17" t="s">
        <v>55</v>
      </c>
      <c r="G62" s="17" t="s">
        <v>1152</v>
      </c>
      <c r="H62" s="44" t="s">
        <v>1153</v>
      </c>
      <c r="I62" s="63">
        <v>1.0</v>
      </c>
      <c r="J62" s="63">
        <v>1103.0</v>
      </c>
      <c r="K62" s="63">
        <v>1558.0</v>
      </c>
      <c r="L62" s="63">
        <v>717.0</v>
      </c>
      <c r="M62" s="63">
        <v>192.0</v>
      </c>
      <c r="N62" s="63">
        <v>1103.0</v>
      </c>
      <c r="O62" s="46">
        <v>45.0</v>
      </c>
      <c r="P62" s="46">
        <v>18.0</v>
      </c>
      <c r="Q62" s="46">
        <f>IFERROR(__xludf.DUMMYFUNCTION("""COMPUTED_VALUE"""),0.0)</f>
        <v>0</v>
      </c>
      <c r="R62" s="64">
        <v>455.0</v>
      </c>
    </row>
    <row r="63" ht="21.0" customHeight="1">
      <c r="A63" s="42">
        <v>44504.0</v>
      </c>
      <c r="B63" s="43">
        <v>44504.7671875</v>
      </c>
      <c r="C63" s="17" t="s">
        <v>972</v>
      </c>
      <c r="D63" s="17" t="s">
        <v>1154</v>
      </c>
      <c r="E63" s="17" t="s">
        <v>80</v>
      </c>
      <c r="F63" s="17" t="s">
        <v>55</v>
      </c>
      <c r="G63" s="17" t="s">
        <v>1155</v>
      </c>
      <c r="H63" s="44" t="s">
        <v>1156</v>
      </c>
      <c r="I63" s="63">
        <v>1.0</v>
      </c>
      <c r="J63" s="63">
        <v>959.0</v>
      </c>
      <c r="K63" s="63">
        <v>1289.0</v>
      </c>
      <c r="L63" s="63">
        <v>919.0</v>
      </c>
      <c r="M63" s="63">
        <v>145.0</v>
      </c>
      <c r="N63" s="63">
        <v>959.0</v>
      </c>
      <c r="O63" s="46">
        <v>45.0</v>
      </c>
      <c r="P63" s="46">
        <v>18.0</v>
      </c>
      <c r="Q63" s="46">
        <f>IFERROR(__xludf.DUMMYFUNCTION("""COMPUTED_VALUE"""),0.0)</f>
        <v>0</v>
      </c>
      <c r="R63" s="64">
        <v>330.0</v>
      </c>
    </row>
    <row r="64" ht="21.0" customHeight="1">
      <c r="A64" s="42">
        <v>44505.0</v>
      </c>
      <c r="B64" s="43">
        <v>44505.57957175926</v>
      </c>
      <c r="C64" s="17" t="s">
        <v>972</v>
      </c>
      <c r="D64" s="17" t="s">
        <v>1157</v>
      </c>
      <c r="E64" s="17" t="s">
        <v>80</v>
      </c>
      <c r="F64" s="17" t="s">
        <v>55</v>
      </c>
      <c r="G64" s="17" t="s">
        <v>1158</v>
      </c>
      <c r="H64" s="44" t="s">
        <v>1159</v>
      </c>
      <c r="I64" s="63">
        <v>1.0</v>
      </c>
      <c r="J64" s="63">
        <v>1545.0</v>
      </c>
      <c r="K64" s="63">
        <v>1570.0</v>
      </c>
      <c r="L64" s="63">
        <v>20.0</v>
      </c>
      <c r="M64" s="63">
        <v>69.0</v>
      </c>
      <c r="N64" s="63">
        <v>1545.0</v>
      </c>
      <c r="O64" s="46">
        <v>45.0</v>
      </c>
      <c r="P64" s="46">
        <v>13.0</v>
      </c>
      <c r="Q64" s="46">
        <f>IFERROR(__xludf.DUMMYFUNCTION("""COMPUTED_VALUE"""),0.0)</f>
        <v>0</v>
      </c>
      <c r="R64" s="64">
        <v>25.0</v>
      </c>
    </row>
    <row r="65" ht="21.0" customHeight="1">
      <c r="A65" s="42">
        <v>44505.0</v>
      </c>
      <c r="B65" s="43">
        <v>44505.66677083333</v>
      </c>
      <c r="C65" s="17" t="s">
        <v>972</v>
      </c>
      <c r="D65" s="17" t="s">
        <v>1160</v>
      </c>
      <c r="E65" s="17" t="s">
        <v>80</v>
      </c>
      <c r="F65" s="17" t="s">
        <v>55</v>
      </c>
      <c r="G65" s="17" t="s">
        <v>1161</v>
      </c>
      <c r="H65" s="44" t="s">
        <v>1162</v>
      </c>
      <c r="I65" s="63">
        <v>1.0</v>
      </c>
      <c r="J65" s="63">
        <v>133.0</v>
      </c>
      <c r="K65" s="63">
        <v>136.0</v>
      </c>
      <c r="L65" s="63">
        <v>2.0</v>
      </c>
      <c r="M65" s="63">
        <v>8.0</v>
      </c>
      <c r="N65" s="63">
        <v>133.0</v>
      </c>
      <c r="O65" s="46">
        <v>45.0</v>
      </c>
      <c r="P65" s="46">
        <v>16.0</v>
      </c>
      <c r="Q65" s="46">
        <f>IFERROR(__xludf.DUMMYFUNCTION("""COMPUTED_VALUE"""),0.0)</f>
        <v>0</v>
      </c>
      <c r="R65" s="64">
        <v>3.0</v>
      </c>
    </row>
    <row r="66" ht="21.0" customHeight="1">
      <c r="A66" s="42">
        <v>44505.0</v>
      </c>
      <c r="B66" s="43">
        <v>44505.767696759256</v>
      </c>
      <c r="C66" s="17" t="s">
        <v>972</v>
      </c>
      <c r="D66" s="17" t="s">
        <v>1163</v>
      </c>
      <c r="E66" s="17" t="s">
        <v>80</v>
      </c>
      <c r="F66" s="17" t="s">
        <v>55</v>
      </c>
      <c r="G66" s="17" t="s">
        <v>1164</v>
      </c>
      <c r="H66" s="44" t="s">
        <v>1165</v>
      </c>
      <c r="I66" s="63">
        <v>1.0</v>
      </c>
      <c r="J66" s="63">
        <v>591.0</v>
      </c>
      <c r="K66" s="63">
        <v>843.0</v>
      </c>
      <c r="L66" s="63">
        <v>317.0</v>
      </c>
      <c r="M66" s="63">
        <v>98.0</v>
      </c>
      <c r="N66" s="63">
        <v>591.0</v>
      </c>
      <c r="O66" s="46">
        <v>45.0</v>
      </c>
      <c r="P66" s="46">
        <v>18.0</v>
      </c>
      <c r="Q66" s="46">
        <f>IFERROR(__xludf.DUMMYFUNCTION("""COMPUTED_VALUE"""),0.0)</f>
        <v>0</v>
      </c>
      <c r="R66" s="64">
        <v>252.0</v>
      </c>
    </row>
    <row r="67" ht="21.0" customHeight="1">
      <c r="A67" s="42">
        <v>44505.0</v>
      </c>
      <c r="B67" s="43">
        <v>44505.87105324074</v>
      </c>
      <c r="C67" s="17" t="s">
        <v>972</v>
      </c>
      <c r="D67" s="17" t="s">
        <v>1166</v>
      </c>
      <c r="E67" s="17" t="s">
        <v>80</v>
      </c>
      <c r="F67" s="17" t="s">
        <v>55</v>
      </c>
      <c r="G67" s="17" t="s">
        <v>1164</v>
      </c>
      <c r="H67" s="44" t="s">
        <v>1167</v>
      </c>
      <c r="I67" s="63">
        <v>1.0</v>
      </c>
      <c r="J67" s="63">
        <v>665.0</v>
      </c>
      <c r="K67" s="63">
        <v>817.0</v>
      </c>
      <c r="L67" s="63">
        <v>312.0</v>
      </c>
      <c r="M67" s="63">
        <v>49.0</v>
      </c>
      <c r="N67" s="63">
        <v>665.0</v>
      </c>
      <c r="O67" s="46">
        <v>45.0</v>
      </c>
      <c r="P67" s="46">
        <v>20.0</v>
      </c>
      <c r="Q67" s="46">
        <f>IFERROR(__xludf.DUMMYFUNCTION("""COMPUTED_VALUE"""),0.0)</f>
        <v>0</v>
      </c>
      <c r="R67" s="64">
        <v>152.0</v>
      </c>
    </row>
    <row r="68" ht="21.0" customHeight="1">
      <c r="A68" s="42">
        <v>44506.0</v>
      </c>
      <c r="B68" s="43">
        <v>44506.49736111111</v>
      </c>
      <c r="C68" s="17" t="s">
        <v>972</v>
      </c>
      <c r="D68" s="17" t="s">
        <v>1168</v>
      </c>
      <c r="E68" s="17" t="s">
        <v>84</v>
      </c>
      <c r="F68" s="17" t="s">
        <v>50</v>
      </c>
      <c r="G68" s="17" t="s">
        <v>1169</v>
      </c>
      <c r="H68" s="44" t="s">
        <v>1170</v>
      </c>
      <c r="I68" s="63">
        <v>1.0</v>
      </c>
      <c r="J68" s="63">
        <v>931.0</v>
      </c>
      <c r="K68" s="63">
        <v>943.0</v>
      </c>
      <c r="L68" s="63">
        <v>19.0</v>
      </c>
      <c r="M68" s="63">
        <v>20.0</v>
      </c>
      <c r="N68" s="63">
        <v>931.0</v>
      </c>
      <c r="O68" s="46">
        <v>45.0</v>
      </c>
      <c r="P68" s="46">
        <v>11.0</v>
      </c>
      <c r="Q68" s="46">
        <f>IFERROR(__xludf.DUMMYFUNCTION("""COMPUTED_VALUE"""),0.0)</f>
        <v>0</v>
      </c>
      <c r="R68" s="64">
        <v>12.0</v>
      </c>
    </row>
    <row r="69" ht="21.0" customHeight="1">
      <c r="A69" s="42">
        <v>44506.0</v>
      </c>
      <c r="B69" s="43">
        <v>44506.762025462966</v>
      </c>
      <c r="C69" s="17" t="s">
        <v>972</v>
      </c>
      <c r="D69" s="17" t="s">
        <v>1171</v>
      </c>
      <c r="E69" s="17" t="s">
        <v>80</v>
      </c>
      <c r="F69" s="17" t="s">
        <v>55</v>
      </c>
      <c r="G69" s="17" t="s">
        <v>1172</v>
      </c>
      <c r="H69" s="44" t="s">
        <v>1173</v>
      </c>
      <c r="I69" s="63">
        <v>1.0</v>
      </c>
      <c r="J69" s="63">
        <v>731.0</v>
      </c>
      <c r="K69" s="63">
        <v>975.0</v>
      </c>
      <c r="L69" s="63">
        <v>347.0</v>
      </c>
      <c r="M69" s="63">
        <v>113.0</v>
      </c>
      <c r="N69" s="63">
        <v>731.0</v>
      </c>
      <c r="O69" s="46">
        <v>45.0</v>
      </c>
      <c r="P69" s="46">
        <v>18.0</v>
      </c>
      <c r="Q69" s="46">
        <f>IFERROR(__xludf.DUMMYFUNCTION("""COMPUTED_VALUE"""),0.0)</f>
        <v>0</v>
      </c>
      <c r="R69" s="64">
        <v>244.0</v>
      </c>
    </row>
    <row r="70" ht="21.0" customHeight="1">
      <c r="A70" s="42">
        <v>44507.0</v>
      </c>
      <c r="B70" s="43">
        <v>44507.759375</v>
      </c>
      <c r="C70" s="17" t="s">
        <v>972</v>
      </c>
      <c r="D70" s="17" t="s">
        <v>1174</v>
      </c>
      <c r="E70" s="17" t="s">
        <v>80</v>
      </c>
      <c r="F70" s="17" t="s">
        <v>55</v>
      </c>
      <c r="G70" s="17" t="s">
        <v>1175</v>
      </c>
      <c r="H70" s="44" t="s">
        <v>1176</v>
      </c>
      <c r="I70" s="63">
        <v>1.0</v>
      </c>
      <c r="J70" s="63">
        <v>675.0</v>
      </c>
      <c r="K70" s="63">
        <v>893.0</v>
      </c>
      <c r="L70" s="63">
        <v>412.0</v>
      </c>
      <c r="M70" s="63">
        <v>99.0</v>
      </c>
      <c r="N70" s="63">
        <v>675.0</v>
      </c>
      <c r="O70" s="46">
        <v>46.0</v>
      </c>
      <c r="P70" s="46">
        <v>18.0</v>
      </c>
      <c r="Q70" s="46">
        <f>IFERROR(__xludf.DUMMYFUNCTION("""COMPUTED_VALUE"""),0.0)</f>
        <v>0</v>
      </c>
      <c r="R70" s="64">
        <v>218.0</v>
      </c>
    </row>
    <row r="71" ht="21.0" customHeight="1">
      <c r="A71" s="42">
        <v>44507.0</v>
      </c>
      <c r="B71" s="43">
        <v>44507.88118055555</v>
      </c>
      <c r="C71" s="17" t="s">
        <v>972</v>
      </c>
      <c r="D71" s="17" t="s">
        <v>1177</v>
      </c>
      <c r="E71" s="17" t="s">
        <v>80</v>
      </c>
      <c r="F71" s="17" t="s">
        <v>55</v>
      </c>
      <c r="G71" s="17" t="s">
        <v>1175</v>
      </c>
      <c r="H71" s="44" t="s">
        <v>1178</v>
      </c>
      <c r="I71" s="63">
        <v>1.0</v>
      </c>
      <c r="J71" s="63">
        <v>876.0</v>
      </c>
      <c r="K71" s="63">
        <v>1323.0</v>
      </c>
      <c r="L71" s="63">
        <v>760.0</v>
      </c>
      <c r="M71" s="63">
        <v>71.0</v>
      </c>
      <c r="N71" s="63">
        <v>876.0</v>
      </c>
      <c r="O71" s="46">
        <v>46.0</v>
      </c>
      <c r="P71" s="46">
        <v>21.0</v>
      </c>
      <c r="Q71" s="46">
        <f>IFERROR(__xludf.DUMMYFUNCTION("""COMPUTED_VALUE"""),0.0)</f>
        <v>0</v>
      </c>
      <c r="R71" s="64">
        <v>447.0</v>
      </c>
    </row>
    <row r="72" ht="21.0" customHeight="1">
      <c r="A72" s="42">
        <v>44508.0</v>
      </c>
      <c r="B72" s="43">
        <v>44508.54001157408</v>
      </c>
      <c r="C72" s="17" t="s">
        <v>972</v>
      </c>
      <c r="D72" s="17" t="s">
        <v>1179</v>
      </c>
      <c r="E72" s="17" t="s">
        <v>84</v>
      </c>
      <c r="F72" s="17" t="s">
        <v>47</v>
      </c>
      <c r="G72" s="17" t="s">
        <v>1180</v>
      </c>
      <c r="H72" s="44" t="s">
        <v>1181</v>
      </c>
      <c r="I72" s="63">
        <v>1.0</v>
      </c>
      <c r="J72" s="63">
        <v>2988.0</v>
      </c>
      <c r="K72" s="63">
        <v>3060.0</v>
      </c>
      <c r="L72" s="63">
        <v>40.0</v>
      </c>
      <c r="M72" s="63">
        <v>67.0</v>
      </c>
      <c r="N72" s="63">
        <v>2988.0</v>
      </c>
      <c r="O72" s="46">
        <v>46.0</v>
      </c>
      <c r="P72" s="46">
        <v>12.0</v>
      </c>
      <c r="Q72" s="46">
        <f>IFERROR(__xludf.DUMMYFUNCTION("""COMPUTED_VALUE"""),0.0)</f>
        <v>0</v>
      </c>
      <c r="R72" s="64">
        <v>72.0</v>
      </c>
    </row>
    <row r="73" ht="21.0" customHeight="1">
      <c r="A73" s="42">
        <v>44509.0</v>
      </c>
      <c r="B73" s="43">
        <v>44509.39586805556</v>
      </c>
      <c r="C73" s="17" t="s">
        <v>972</v>
      </c>
      <c r="D73" s="17" t="s">
        <v>1182</v>
      </c>
      <c r="E73" s="17" t="s">
        <v>84</v>
      </c>
      <c r="F73" s="17" t="s">
        <v>50</v>
      </c>
      <c r="G73" s="17" t="s">
        <v>1183</v>
      </c>
      <c r="H73" s="44" t="s">
        <v>1184</v>
      </c>
      <c r="I73" s="63">
        <v>1.0</v>
      </c>
      <c r="J73" s="63">
        <v>1602.0</v>
      </c>
      <c r="K73" s="63">
        <v>1623.0</v>
      </c>
      <c r="L73" s="63">
        <v>43.0</v>
      </c>
      <c r="M73" s="63">
        <v>283.0</v>
      </c>
      <c r="N73" s="63">
        <v>1602.0</v>
      </c>
      <c r="O73" s="46">
        <v>46.0</v>
      </c>
      <c r="P73" s="46">
        <v>9.0</v>
      </c>
      <c r="Q73" s="46">
        <f>IFERROR(__xludf.DUMMYFUNCTION("""COMPUTED_VALUE"""),0.0)</f>
        <v>0</v>
      </c>
      <c r="R73" s="64">
        <v>21.0</v>
      </c>
    </row>
    <row r="74" ht="21.0" customHeight="1">
      <c r="A74" s="42">
        <v>44509.0</v>
      </c>
      <c r="B74" s="43">
        <v>44509.607465277775</v>
      </c>
      <c r="C74" s="17" t="s">
        <v>972</v>
      </c>
      <c r="D74" s="17" t="s">
        <v>1185</v>
      </c>
      <c r="E74" s="17" t="s">
        <v>84</v>
      </c>
      <c r="F74" s="17" t="s">
        <v>50</v>
      </c>
      <c r="G74" s="17" t="s">
        <v>1186</v>
      </c>
      <c r="H74" s="44" t="s">
        <v>1187</v>
      </c>
      <c r="I74" s="63">
        <v>1.0</v>
      </c>
      <c r="J74" s="63">
        <v>1106.0</v>
      </c>
      <c r="K74" s="63">
        <v>1275.0</v>
      </c>
      <c r="L74" s="63">
        <v>4.0</v>
      </c>
      <c r="M74" s="63">
        <v>28.0</v>
      </c>
      <c r="N74" s="63">
        <v>1106.0</v>
      </c>
      <c r="O74" s="46">
        <v>46.0</v>
      </c>
      <c r="P74" s="46">
        <v>14.0</v>
      </c>
      <c r="Q74" s="46">
        <f>IFERROR(__xludf.DUMMYFUNCTION("""COMPUTED_VALUE"""),0.0)</f>
        <v>0</v>
      </c>
      <c r="R74" s="64">
        <v>169.0</v>
      </c>
    </row>
    <row r="75" ht="21.0" customHeight="1">
      <c r="A75" s="42">
        <v>44510.0</v>
      </c>
      <c r="B75" s="43">
        <v>44510.58400462963</v>
      </c>
      <c r="C75" s="17" t="s">
        <v>972</v>
      </c>
      <c r="D75" s="17" t="s">
        <v>1188</v>
      </c>
      <c r="E75" s="17" t="s">
        <v>84</v>
      </c>
      <c r="F75" s="17" t="s">
        <v>47</v>
      </c>
      <c r="G75" s="17" t="s">
        <v>1189</v>
      </c>
      <c r="H75" s="44" t="s">
        <v>1190</v>
      </c>
      <c r="I75" s="63">
        <v>1.0</v>
      </c>
      <c r="J75" s="63">
        <v>303.0</v>
      </c>
      <c r="K75" s="63">
        <v>307.0</v>
      </c>
      <c r="L75" s="63">
        <v>7.0</v>
      </c>
      <c r="M75" s="63">
        <v>20.0</v>
      </c>
      <c r="N75" s="63">
        <v>303.0</v>
      </c>
      <c r="O75" s="46">
        <v>46.0</v>
      </c>
      <c r="P75" s="46">
        <v>14.0</v>
      </c>
      <c r="Q75" s="46">
        <f>IFERROR(__xludf.DUMMYFUNCTION("""COMPUTED_VALUE"""),0.0)</f>
        <v>0</v>
      </c>
      <c r="R75" s="64">
        <v>4.0</v>
      </c>
    </row>
    <row r="76" ht="21.0" customHeight="1">
      <c r="A76" s="42">
        <v>44510.0</v>
      </c>
      <c r="B76" s="43">
        <v>44510.75318287037</v>
      </c>
      <c r="C76" s="17" t="s">
        <v>972</v>
      </c>
      <c r="D76" s="17" t="s">
        <v>1191</v>
      </c>
      <c r="E76" s="17" t="s">
        <v>80</v>
      </c>
      <c r="F76" s="17" t="s">
        <v>55</v>
      </c>
      <c r="G76" s="17" t="s">
        <v>1192</v>
      </c>
      <c r="H76" s="44" t="s">
        <v>1193</v>
      </c>
      <c r="I76" s="63">
        <v>1.0</v>
      </c>
      <c r="J76" s="63">
        <v>436.0</v>
      </c>
      <c r="K76" s="63">
        <v>450.0</v>
      </c>
      <c r="L76" s="63">
        <v>15.0</v>
      </c>
      <c r="M76" s="63">
        <v>60.0</v>
      </c>
      <c r="N76" s="63">
        <v>436.0</v>
      </c>
      <c r="O76" s="46">
        <v>46.0</v>
      </c>
      <c r="P76" s="46">
        <v>18.0</v>
      </c>
      <c r="Q76" s="46">
        <f>IFERROR(__xludf.DUMMYFUNCTION("""COMPUTED_VALUE"""),0.0)</f>
        <v>0</v>
      </c>
      <c r="R76" s="64">
        <v>14.0</v>
      </c>
    </row>
    <row r="77" ht="21.0" customHeight="1">
      <c r="A77" s="42">
        <v>44511.0</v>
      </c>
      <c r="B77" s="43">
        <v>44511.5834837963</v>
      </c>
      <c r="C77" s="17" t="s">
        <v>972</v>
      </c>
      <c r="D77" s="17" t="s">
        <v>1194</v>
      </c>
      <c r="E77" s="17" t="s">
        <v>84</v>
      </c>
      <c r="F77" s="17" t="s">
        <v>50</v>
      </c>
      <c r="G77" s="17" t="s">
        <v>1195</v>
      </c>
      <c r="H77" s="44" t="s">
        <v>1196</v>
      </c>
      <c r="I77" s="63">
        <v>1.0</v>
      </c>
      <c r="J77" s="63">
        <v>329.0</v>
      </c>
      <c r="K77" s="63">
        <v>334.0</v>
      </c>
      <c r="L77" s="63">
        <v>25.0</v>
      </c>
      <c r="M77" s="63">
        <v>32.0</v>
      </c>
      <c r="N77" s="63">
        <v>329.0</v>
      </c>
      <c r="O77" s="46">
        <v>46.0</v>
      </c>
      <c r="P77" s="46">
        <v>14.0</v>
      </c>
      <c r="Q77" s="46">
        <f>IFERROR(__xludf.DUMMYFUNCTION("""COMPUTED_VALUE"""),1.0)</f>
        <v>1</v>
      </c>
      <c r="R77" s="64">
        <v>5.0</v>
      </c>
    </row>
    <row r="78" ht="21.0" customHeight="1">
      <c r="A78" s="42">
        <v>44511.0</v>
      </c>
      <c r="B78" s="43">
        <v>44511.66704861111</v>
      </c>
      <c r="C78" s="17" t="s">
        <v>972</v>
      </c>
      <c r="D78" s="17" t="s">
        <v>1197</v>
      </c>
      <c r="E78" s="17" t="s">
        <v>80</v>
      </c>
      <c r="F78" s="17" t="s">
        <v>55</v>
      </c>
      <c r="G78" s="17" t="s">
        <v>1198</v>
      </c>
      <c r="H78" s="44" t="s">
        <v>1199</v>
      </c>
      <c r="I78" s="63">
        <v>1.0</v>
      </c>
      <c r="J78" s="63">
        <v>611.0</v>
      </c>
      <c r="K78" s="63">
        <v>623.0</v>
      </c>
      <c r="L78" s="63">
        <v>7.0</v>
      </c>
      <c r="M78" s="63">
        <v>6.0</v>
      </c>
      <c r="N78" s="63">
        <v>611.0</v>
      </c>
      <c r="O78" s="46">
        <v>46.0</v>
      </c>
      <c r="P78" s="46">
        <v>16.0</v>
      </c>
      <c r="Q78" s="46">
        <f>IFERROR(__xludf.DUMMYFUNCTION("""COMPUTED_VALUE"""),1.0)</f>
        <v>1</v>
      </c>
      <c r="R78" s="64">
        <v>12.0</v>
      </c>
    </row>
    <row r="79" ht="21.0" customHeight="1">
      <c r="A79" s="42">
        <v>44512.0</v>
      </c>
      <c r="B79" s="43">
        <v>44512.61215277778</v>
      </c>
      <c r="C79" s="17" t="s">
        <v>972</v>
      </c>
      <c r="D79" s="17" t="s">
        <v>1200</v>
      </c>
      <c r="E79" s="17" t="s">
        <v>84</v>
      </c>
      <c r="F79" s="17" t="s">
        <v>50</v>
      </c>
      <c r="G79" s="17" t="s">
        <v>1201</v>
      </c>
      <c r="H79" s="44" t="s">
        <v>1202</v>
      </c>
      <c r="I79" s="63">
        <v>1.0</v>
      </c>
      <c r="J79" s="63">
        <v>322.0</v>
      </c>
      <c r="K79" s="63">
        <v>324.0</v>
      </c>
      <c r="L79" s="63">
        <v>3.0</v>
      </c>
      <c r="M79" s="63">
        <v>5.0</v>
      </c>
      <c r="N79" s="63">
        <v>322.0</v>
      </c>
      <c r="O79" s="46">
        <v>46.0</v>
      </c>
      <c r="P79" s="46">
        <v>14.0</v>
      </c>
      <c r="Q79" s="46">
        <f>IFERROR(__xludf.DUMMYFUNCTION("""COMPUTED_VALUE"""),0.0)</f>
        <v>0</v>
      </c>
      <c r="R79" s="64">
        <v>2.0</v>
      </c>
    </row>
    <row r="80" ht="21.0" customHeight="1">
      <c r="A80" s="42">
        <v>44512.0</v>
      </c>
      <c r="B80" s="43">
        <v>44512.888136574074</v>
      </c>
      <c r="C80" s="17" t="s">
        <v>972</v>
      </c>
      <c r="D80" s="17" t="s">
        <v>1203</v>
      </c>
      <c r="E80" s="17" t="s">
        <v>109</v>
      </c>
      <c r="F80" s="17" t="s">
        <v>55</v>
      </c>
      <c r="G80" s="17" t="s">
        <v>1204</v>
      </c>
      <c r="H80" s="44" t="s">
        <v>1205</v>
      </c>
      <c r="I80" s="63">
        <v>1.0</v>
      </c>
      <c r="J80" s="63">
        <v>185.0</v>
      </c>
      <c r="K80" s="63">
        <v>211.0</v>
      </c>
      <c r="L80" s="63">
        <v>3.0</v>
      </c>
      <c r="M80" s="63">
        <v>1.0</v>
      </c>
      <c r="N80" s="63">
        <v>185.0</v>
      </c>
      <c r="O80" s="46">
        <v>46.0</v>
      </c>
      <c r="P80" s="46">
        <v>21.0</v>
      </c>
      <c r="Q80" s="46">
        <f>IFERROR(__xludf.DUMMYFUNCTION("""COMPUTED_VALUE"""),0.0)</f>
        <v>0</v>
      </c>
      <c r="R80" s="64">
        <v>26.0</v>
      </c>
    </row>
    <row r="81" ht="21.0" customHeight="1">
      <c r="A81" s="42">
        <v>44513.0</v>
      </c>
      <c r="B81" s="43">
        <v>44513.582708333335</v>
      </c>
      <c r="C81" s="17" t="s">
        <v>972</v>
      </c>
      <c r="D81" s="17" t="s">
        <v>1206</v>
      </c>
      <c r="E81" s="17" t="s">
        <v>84</v>
      </c>
      <c r="F81" s="17" t="s">
        <v>50</v>
      </c>
      <c r="G81" s="17" t="s">
        <v>1207</v>
      </c>
      <c r="H81" s="44" t="s">
        <v>1208</v>
      </c>
      <c r="I81" s="63">
        <v>1.0</v>
      </c>
      <c r="J81" s="63">
        <v>2917.0</v>
      </c>
      <c r="K81" s="63">
        <v>2995.0</v>
      </c>
      <c r="L81" s="63">
        <v>21.0</v>
      </c>
      <c r="M81" s="63">
        <v>222.0</v>
      </c>
      <c r="N81" s="63">
        <v>2917.0</v>
      </c>
      <c r="O81" s="46">
        <v>46.0</v>
      </c>
      <c r="P81" s="46">
        <v>13.0</v>
      </c>
      <c r="Q81" s="46">
        <f>IFERROR(__xludf.DUMMYFUNCTION("""COMPUTED_VALUE"""),0.0)</f>
        <v>0</v>
      </c>
      <c r="R81" s="64">
        <v>78.0</v>
      </c>
    </row>
    <row r="82" ht="21.0" customHeight="1">
      <c r="A82" s="42">
        <v>44514.0</v>
      </c>
      <c r="B82" s="43">
        <v>44514.558912037035</v>
      </c>
      <c r="C82" s="17" t="s">
        <v>972</v>
      </c>
      <c r="D82" s="17" t="s">
        <v>1209</v>
      </c>
      <c r="E82" s="17" t="s">
        <v>84</v>
      </c>
      <c r="F82" s="17" t="s">
        <v>47</v>
      </c>
      <c r="G82" s="17" t="s">
        <v>1210</v>
      </c>
      <c r="H82" s="44" t="s">
        <v>1211</v>
      </c>
      <c r="I82" s="63">
        <v>1.0</v>
      </c>
      <c r="J82" s="63">
        <v>2476.0</v>
      </c>
      <c r="K82" s="63">
        <v>2529.0</v>
      </c>
      <c r="L82" s="63">
        <v>4.0</v>
      </c>
      <c r="M82" s="63">
        <v>211.0</v>
      </c>
      <c r="N82" s="63">
        <v>2476.0</v>
      </c>
      <c r="O82" s="46">
        <v>47.0</v>
      </c>
      <c r="P82" s="46">
        <v>13.0</v>
      </c>
      <c r="Q82" s="46">
        <f>IFERROR(__xludf.DUMMYFUNCTION("""COMPUTED_VALUE"""),0.0)</f>
        <v>0</v>
      </c>
      <c r="R82" s="64">
        <v>53.0</v>
      </c>
    </row>
    <row r="83" ht="21.0" customHeight="1">
      <c r="A83" s="42">
        <v>44514.0</v>
      </c>
      <c r="B83" s="43">
        <v>44514.708344907405</v>
      </c>
      <c r="C83" s="17" t="s">
        <v>972</v>
      </c>
      <c r="D83" s="17" t="s">
        <v>1212</v>
      </c>
      <c r="E83" s="17" t="s">
        <v>84</v>
      </c>
      <c r="F83" s="17" t="s">
        <v>50</v>
      </c>
      <c r="G83" s="17" t="s">
        <v>1213</v>
      </c>
      <c r="H83" s="44" t="s">
        <v>1214</v>
      </c>
      <c r="I83" s="63">
        <v>1.0</v>
      </c>
      <c r="J83" s="63">
        <v>1306.0</v>
      </c>
      <c r="K83" s="63">
        <v>1324.0</v>
      </c>
      <c r="L83" s="63">
        <v>15.0</v>
      </c>
      <c r="M83" s="63">
        <v>33.0</v>
      </c>
      <c r="N83" s="63">
        <v>1306.0</v>
      </c>
      <c r="O83" s="46">
        <v>47.0</v>
      </c>
      <c r="P83" s="46">
        <v>17.0</v>
      </c>
      <c r="Q83" s="46">
        <f>IFERROR(__xludf.DUMMYFUNCTION("""COMPUTED_VALUE"""),0.0)</f>
        <v>0</v>
      </c>
      <c r="R83" s="64">
        <v>18.0</v>
      </c>
    </row>
    <row r="84" ht="21.0" customHeight="1">
      <c r="A84" s="42">
        <v>44515.0</v>
      </c>
      <c r="B84" s="43">
        <v>44515.54982638889</v>
      </c>
      <c r="C84" s="17" t="s">
        <v>972</v>
      </c>
      <c r="D84" s="17" t="s">
        <v>1215</v>
      </c>
      <c r="E84" s="17" t="s">
        <v>80</v>
      </c>
      <c r="F84" s="17" t="s">
        <v>55</v>
      </c>
      <c r="G84" s="17" t="s">
        <v>1216</v>
      </c>
      <c r="H84" s="44" t="s">
        <v>1217</v>
      </c>
      <c r="I84" s="63">
        <v>1.0</v>
      </c>
      <c r="J84" s="63">
        <v>422.0</v>
      </c>
      <c r="K84" s="63">
        <v>432.0</v>
      </c>
      <c r="L84" s="63">
        <v>10.0</v>
      </c>
      <c r="M84" s="63">
        <v>16.0</v>
      </c>
      <c r="N84" s="63">
        <v>422.0</v>
      </c>
      <c r="O84" s="46">
        <v>47.0</v>
      </c>
      <c r="P84" s="46">
        <v>13.0</v>
      </c>
      <c r="Q84" s="46">
        <f>IFERROR(__xludf.DUMMYFUNCTION("""COMPUTED_VALUE"""),0.0)</f>
        <v>0</v>
      </c>
      <c r="R84" s="64">
        <v>10.0</v>
      </c>
    </row>
    <row r="85" ht="21.0" customHeight="1">
      <c r="A85" s="42">
        <v>44515.0</v>
      </c>
      <c r="B85" s="43">
        <v>44515.60471064815</v>
      </c>
      <c r="C85" s="17" t="s">
        <v>972</v>
      </c>
      <c r="D85" s="17" t="s">
        <v>1218</v>
      </c>
      <c r="E85" s="17" t="s">
        <v>84</v>
      </c>
      <c r="F85" s="17" t="s">
        <v>50</v>
      </c>
      <c r="G85" s="17" t="s">
        <v>1219</v>
      </c>
      <c r="H85" s="44" t="s">
        <v>1220</v>
      </c>
      <c r="I85" s="63">
        <v>1.0</v>
      </c>
      <c r="J85" s="63">
        <v>1049.0</v>
      </c>
      <c r="K85" s="63">
        <v>1061.0</v>
      </c>
      <c r="L85" s="63">
        <v>7.0</v>
      </c>
      <c r="M85" s="63">
        <v>9.0</v>
      </c>
      <c r="N85" s="63">
        <v>1049.0</v>
      </c>
      <c r="O85" s="46">
        <v>47.0</v>
      </c>
      <c r="P85" s="46">
        <v>14.0</v>
      </c>
      <c r="Q85" s="46">
        <f>IFERROR(__xludf.DUMMYFUNCTION("""COMPUTED_VALUE"""),0.0)</f>
        <v>0</v>
      </c>
      <c r="R85" s="64">
        <v>12.0</v>
      </c>
    </row>
    <row r="86" ht="21.0" customHeight="1">
      <c r="A86" s="42">
        <v>44515.0</v>
      </c>
      <c r="B86" s="43">
        <v>44515.64865740741</v>
      </c>
      <c r="C86" s="17" t="s">
        <v>972</v>
      </c>
      <c r="D86" s="17" t="s">
        <v>1221</v>
      </c>
      <c r="E86" s="17" t="s">
        <v>80</v>
      </c>
      <c r="F86" s="17" t="s">
        <v>55</v>
      </c>
      <c r="G86" s="17" t="s">
        <v>1222</v>
      </c>
      <c r="H86" s="44" t="s">
        <v>1223</v>
      </c>
      <c r="I86" s="63">
        <v>1.0</v>
      </c>
      <c r="J86" s="63">
        <v>1450.0</v>
      </c>
      <c r="K86" s="63">
        <v>1724.0</v>
      </c>
      <c r="L86" s="63">
        <v>246.0</v>
      </c>
      <c r="M86" s="63">
        <v>194.0</v>
      </c>
      <c r="N86" s="63">
        <v>1450.0</v>
      </c>
      <c r="O86" s="46">
        <v>47.0</v>
      </c>
      <c r="P86" s="46">
        <v>15.0</v>
      </c>
      <c r="Q86" s="46">
        <f>IFERROR(__xludf.DUMMYFUNCTION("""COMPUTED_VALUE"""),0.0)</f>
        <v>0</v>
      </c>
      <c r="R86" s="64">
        <v>274.0</v>
      </c>
    </row>
    <row r="87" ht="21.0" customHeight="1">
      <c r="A87" s="42">
        <v>44515.0</v>
      </c>
      <c r="B87" s="43">
        <v>44515.65321759259</v>
      </c>
      <c r="C87" s="17" t="s">
        <v>972</v>
      </c>
      <c r="D87" s="17" t="s">
        <v>1224</v>
      </c>
      <c r="E87" s="17" t="s">
        <v>84</v>
      </c>
      <c r="F87" s="17" t="s">
        <v>50</v>
      </c>
      <c r="G87" s="17" t="s">
        <v>1225</v>
      </c>
      <c r="H87" s="44" t="s">
        <v>1226</v>
      </c>
      <c r="I87" s="63">
        <v>1.0</v>
      </c>
      <c r="J87" s="63">
        <v>482.0</v>
      </c>
      <c r="K87" s="63">
        <v>489.0</v>
      </c>
      <c r="L87" s="63">
        <v>0.0</v>
      </c>
      <c r="M87" s="63">
        <v>6.0</v>
      </c>
      <c r="N87" s="63">
        <v>482.0</v>
      </c>
      <c r="O87" s="46">
        <v>47.0</v>
      </c>
      <c r="P87" s="46">
        <v>15.0</v>
      </c>
      <c r="Q87" s="46">
        <f>IFERROR(__xludf.DUMMYFUNCTION("""COMPUTED_VALUE"""),0.0)</f>
        <v>0</v>
      </c>
      <c r="R87" s="64">
        <v>7.0</v>
      </c>
    </row>
    <row r="88" ht="21.0" customHeight="1">
      <c r="A88" s="42">
        <v>44516.0</v>
      </c>
      <c r="B88" s="43">
        <v>44516.46184027778</v>
      </c>
      <c r="C88" s="17" t="s">
        <v>972</v>
      </c>
      <c r="D88" s="17" t="s">
        <v>1227</v>
      </c>
      <c r="E88" s="17" t="s">
        <v>84</v>
      </c>
      <c r="F88" s="17" t="s">
        <v>50</v>
      </c>
      <c r="G88" s="17" t="s">
        <v>1228</v>
      </c>
      <c r="H88" s="44" t="s">
        <v>1229</v>
      </c>
      <c r="I88" s="63">
        <v>1.0</v>
      </c>
      <c r="J88" s="63">
        <v>1661.0</v>
      </c>
      <c r="K88" s="63">
        <v>1885.0</v>
      </c>
      <c r="L88" s="63">
        <v>39.0</v>
      </c>
      <c r="M88" s="63">
        <v>86.0</v>
      </c>
      <c r="N88" s="63">
        <v>1661.0</v>
      </c>
      <c r="O88" s="46">
        <v>47.0</v>
      </c>
      <c r="P88" s="46">
        <v>11.0</v>
      </c>
      <c r="Q88" s="46">
        <f>IFERROR(__xludf.DUMMYFUNCTION("""COMPUTED_VALUE"""),0.0)</f>
        <v>0</v>
      </c>
      <c r="R88" s="64">
        <v>224.0</v>
      </c>
    </row>
    <row r="89" ht="21.0" customHeight="1">
      <c r="A89" s="42">
        <v>44516.0</v>
      </c>
      <c r="B89" s="43">
        <v>44516.62501157408</v>
      </c>
      <c r="C89" s="17" t="s">
        <v>972</v>
      </c>
      <c r="D89" s="17" t="s">
        <v>1230</v>
      </c>
      <c r="E89" s="17" t="s">
        <v>84</v>
      </c>
      <c r="F89" s="17" t="s">
        <v>47</v>
      </c>
      <c r="G89" s="17" t="s">
        <v>1231</v>
      </c>
      <c r="H89" s="44" t="s">
        <v>1232</v>
      </c>
      <c r="I89" s="63">
        <v>1.0</v>
      </c>
      <c r="J89" s="63">
        <v>2390.0</v>
      </c>
      <c r="K89" s="63">
        <v>2429.0</v>
      </c>
      <c r="L89" s="63">
        <v>5.0</v>
      </c>
      <c r="M89" s="63">
        <v>17.0</v>
      </c>
      <c r="N89" s="63">
        <v>2390.0</v>
      </c>
      <c r="O89" s="46">
        <v>47.0</v>
      </c>
      <c r="P89" s="46">
        <v>15.0</v>
      </c>
      <c r="Q89" s="46">
        <f>IFERROR(__xludf.DUMMYFUNCTION("""COMPUTED_VALUE"""),0.0)</f>
        <v>0</v>
      </c>
      <c r="R89" s="64">
        <v>39.0</v>
      </c>
    </row>
    <row r="90" ht="21.0" customHeight="1">
      <c r="A90" s="42">
        <v>44516.0</v>
      </c>
      <c r="B90" s="43">
        <v>44516.750023148146</v>
      </c>
      <c r="C90" s="17" t="s">
        <v>972</v>
      </c>
      <c r="D90" s="17" t="s">
        <v>1233</v>
      </c>
      <c r="E90" s="17" t="s">
        <v>80</v>
      </c>
      <c r="F90" s="17" t="s">
        <v>55</v>
      </c>
      <c r="G90" s="17" t="s">
        <v>1234</v>
      </c>
      <c r="H90" s="44" t="s">
        <v>1235</v>
      </c>
      <c r="I90" s="63">
        <v>1.0</v>
      </c>
      <c r="J90" s="63">
        <v>493.0</v>
      </c>
      <c r="K90" s="63">
        <v>501.0</v>
      </c>
      <c r="L90" s="63">
        <v>10.0</v>
      </c>
      <c r="M90" s="63">
        <v>41.0</v>
      </c>
      <c r="N90" s="63">
        <v>493.0</v>
      </c>
      <c r="O90" s="46">
        <v>47.0</v>
      </c>
      <c r="P90" s="46">
        <v>18.0</v>
      </c>
      <c r="Q90" s="46">
        <f>IFERROR(__xludf.DUMMYFUNCTION("""COMPUTED_VALUE"""),0.0)</f>
        <v>0</v>
      </c>
      <c r="R90" s="64">
        <v>8.0</v>
      </c>
    </row>
    <row r="91" ht="21.0" customHeight="1">
      <c r="A91" s="42">
        <v>44516.0</v>
      </c>
      <c r="B91" s="43">
        <v>44516.8055787037</v>
      </c>
      <c r="C91" s="17" t="s">
        <v>972</v>
      </c>
      <c r="D91" s="17" t="s">
        <v>1236</v>
      </c>
      <c r="E91" s="17" t="s">
        <v>84</v>
      </c>
      <c r="F91" s="17" t="s">
        <v>47</v>
      </c>
      <c r="G91" s="17" t="s">
        <v>1237</v>
      </c>
      <c r="H91" s="44" t="s">
        <v>1238</v>
      </c>
      <c r="I91" s="63">
        <v>1.0</v>
      </c>
      <c r="J91" s="63">
        <v>2032.0</v>
      </c>
      <c r="K91" s="63">
        <v>2063.0</v>
      </c>
      <c r="L91" s="63">
        <v>13.0</v>
      </c>
      <c r="M91" s="63">
        <v>14.0</v>
      </c>
      <c r="N91" s="63">
        <v>2032.0</v>
      </c>
      <c r="O91" s="46">
        <v>47.0</v>
      </c>
      <c r="P91" s="46">
        <v>19.0</v>
      </c>
      <c r="Q91" s="46">
        <f>IFERROR(__xludf.DUMMYFUNCTION("""COMPUTED_VALUE"""),0.0)</f>
        <v>0</v>
      </c>
      <c r="R91" s="64">
        <v>31.0</v>
      </c>
    </row>
    <row r="92" ht="21.0" customHeight="1">
      <c r="A92" s="42">
        <v>44516.0</v>
      </c>
      <c r="B92" s="43">
        <v>44516.875023148146</v>
      </c>
      <c r="C92" s="17" t="s">
        <v>972</v>
      </c>
      <c r="D92" s="17" t="s">
        <v>1239</v>
      </c>
      <c r="E92" s="17" t="s">
        <v>84</v>
      </c>
      <c r="F92" s="17" t="s">
        <v>50</v>
      </c>
      <c r="G92" s="17" t="s">
        <v>1240</v>
      </c>
      <c r="H92" s="44" t="s">
        <v>1241</v>
      </c>
      <c r="I92" s="63">
        <v>1.0</v>
      </c>
      <c r="J92" s="63">
        <v>162.0</v>
      </c>
      <c r="K92" s="63">
        <v>164.0</v>
      </c>
      <c r="L92" s="63">
        <v>11.0</v>
      </c>
      <c r="M92" s="63">
        <v>8.0</v>
      </c>
      <c r="N92" s="63">
        <v>162.0</v>
      </c>
      <c r="O92" s="46">
        <v>47.0</v>
      </c>
      <c r="P92" s="46">
        <v>21.0</v>
      </c>
      <c r="Q92" s="46">
        <f>IFERROR(__xludf.DUMMYFUNCTION("""COMPUTED_VALUE"""),0.0)</f>
        <v>0</v>
      </c>
      <c r="R92" s="64">
        <v>2.0</v>
      </c>
    </row>
    <row r="93" ht="21.0" customHeight="1">
      <c r="A93" s="42">
        <v>44517.0</v>
      </c>
      <c r="B93" s="43">
        <v>44517.3750462963</v>
      </c>
      <c r="C93" s="17" t="s">
        <v>972</v>
      </c>
      <c r="D93" s="17" t="s">
        <v>1242</v>
      </c>
      <c r="E93" s="17" t="s">
        <v>84</v>
      </c>
      <c r="F93" s="17" t="s">
        <v>50</v>
      </c>
      <c r="G93" s="17" t="s">
        <v>1243</v>
      </c>
      <c r="H93" s="44" t="s">
        <v>1244</v>
      </c>
      <c r="I93" s="63">
        <v>1.0</v>
      </c>
      <c r="J93" s="63">
        <v>821.0</v>
      </c>
      <c r="K93" s="63">
        <v>827.0</v>
      </c>
      <c r="L93" s="63">
        <v>8.0</v>
      </c>
      <c r="M93" s="63">
        <v>45.0</v>
      </c>
      <c r="N93" s="63">
        <v>821.0</v>
      </c>
      <c r="O93" s="46">
        <v>47.0</v>
      </c>
      <c r="P93" s="46">
        <v>9.0</v>
      </c>
      <c r="Q93" s="46">
        <f>IFERROR(__xludf.DUMMYFUNCTION("""COMPUTED_VALUE"""),0.0)</f>
        <v>0</v>
      </c>
      <c r="R93" s="64">
        <v>6.0</v>
      </c>
    </row>
    <row r="94" ht="21.0" customHeight="1">
      <c r="A94" s="42">
        <v>44517.0</v>
      </c>
      <c r="B94" s="43">
        <v>44517.458344907405</v>
      </c>
      <c r="C94" s="17" t="s">
        <v>972</v>
      </c>
      <c r="D94" s="17" t="s">
        <v>1245</v>
      </c>
      <c r="E94" s="17" t="s">
        <v>84</v>
      </c>
      <c r="F94" s="17" t="s">
        <v>50</v>
      </c>
      <c r="G94" s="17" t="s">
        <v>1246</v>
      </c>
      <c r="H94" s="44" t="s">
        <v>1247</v>
      </c>
      <c r="I94" s="63">
        <v>1.0</v>
      </c>
      <c r="J94" s="63">
        <v>1181.0</v>
      </c>
      <c r="K94" s="63">
        <v>1208.0</v>
      </c>
      <c r="L94" s="63">
        <v>7.0</v>
      </c>
      <c r="M94" s="63">
        <v>22.0</v>
      </c>
      <c r="N94" s="63">
        <v>1181.0</v>
      </c>
      <c r="O94" s="46">
        <v>47.0</v>
      </c>
      <c r="P94" s="46">
        <v>11.0</v>
      </c>
      <c r="Q94" s="46">
        <f>IFERROR(__xludf.DUMMYFUNCTION("""COMPUTED_VALUE"""),0.0)</f>
        <v>0</v>
      </c>
      <c r="R94" s="64">
        <v>27.0</v>
      </c>
    </row>
    <row r="95" ht="21.0" customHeight="1">
      <c r="A95" s="42">
        <v>44517.0</v>
      </c>
      <c r="B95" s="43">
        <v>44517.625023148146</v>
      </c>
      <c r="C95" s="17" t="s">
        <v>972</v>
      </c>
      <c r="D95" s="17" t="s">
        <v>1248</v>
      </c>
      <c r="E95" s="17" t="s">
        <v>80</v>
      </c>
      <c r="F95" s="17" t="s">
        <v>55</v>
      </c>
      <c r="G95" s="17" t="s">
        <v>1249</v>
      </c>
      <c r="H95" s="44" t="s">
        <v>1250</v>
      </c>
      <c r="I95" s="63">
        <v>1.0</v>
      </c>
      <c r="J95" s="63">
        <v>602.0</v>
      </c>
      <c r="K95" s="63">
        <v>612.0</v>
      </c>
      <c r="L95" s="63">
        <v>1.0</v>
      </c>
      <c r="M95" s="63">
        <v>77.0</v>
      </c>
      <c r="N95" s="63">
        <v>602.0</v>
      </c>
      <c r="O95" s="46">
        <v>47.0</v>
      </c>
      <c r="P95" s="46">
        <v>15.0</v>
      </c>
      <c r="Q95" s="46">
        <f>IFERROR(__xludf.DUMMYFUNCTION("""COMPUTED_VALUE"""),0.0)</f>
        <v>0</v>
      </c>
      <c r="R95" s="64">
        <v>10.0</v>
      </c>
    </row>
    <row r="96" ht="21.0" customHeight="1">
      <c r="A96" s="42">
        <v>44517.0</v>
      </c>
      <c r="B96" s="43">
        <v>44517.76175925926</v>
      </c>
      <c r="C96" s="17" t="s">
        <v>972</v>
      </c>
      <c r="D96" s="17" t="s">
        <v>1251</v>
      </c>
      <c r="E96" s="17" t="s">
        <v>84</v>
      </c>
      <c r="F96" s="17" t="s">
        <v>50</v>
      </c>
      <c r="G96" s="17" t="s">
        <v>1252</v>
      </c>
      <c r="H96" s="44" t="s">
        <v>1253</v>
      </c>
      <c r="I96" s="63">
        <v>1.0</v>
      </c>
      <c r="J96" s="63">
        <v>1439.0</v>
      </c>
      <c r="K96" s="63">
        <v>1467.0</v>
      </c>
      <c r="L96" s="63">
        <v>12.0</v>
      </c>
      <c r="M96" s="63">
        <v>51.0</v>
      </c>
      <c r="N96" s="63">
        <v>1439.0</v>
      </c>
      <c r="O96" s="46">
        <v>47.0</v>
      </c>
      <c r="P96" s="46">
        <v>18.0</v>
      </c>
      <c r="Q96" s="46">
        <f>IFERROR(__xludf.DUMMYFUNCTION("""COMPUTED_VALUE"""),0.0)</f>
        <v>0</v>
      </c>
      <c r="R96" s="64">
        <v>28.0</v>
      </c>
    </row>
    <row r="97" ht="21.0" customHeight="1">
      <c r="A97" s="42">
        <v>44518.0</v>
      </c>
      <c r="B97" s="43">
        <v>44518.3750462963</v>
      </c>
      <c r="C97" s="17" t="s">
        <v>972</v>
      </c>
      <c r="D97" s="17" t="s">
        <v>1254</v>
      </c>
      <c r="E97" s="17" t="s">
        <v>84</v>
      </c>
      <c r="F97" s="17" t="s">
        <v>50</v>
      </c>
      <c r="G97" s="17" t="s">
        <v>1255</v>
      </c>
      <c r="H97" s="44" t="s">
        <v>1256</v>
      </c>
      <c r="I97" s="63">
        <v>1.0</v>
      </c>
      <c r="J97" s="63">
        <v>1193.0</v>
      </c>
      <c r="K97" s="63">
        <v>1261.0</v>
      </c>
      <c r="L97" s="63">
        <v>10.0</v>
      </c>
      <c r="M97" s="63">
        <v>57.0</v>
      </c>
      <c r="N97" s="63">
        <v>1193.0</v>
      </c>
      <c r="O97" s="46">
        <v>47.0</v>
      </c>
      <c r="P97" s="46">
        <v>9.0</v>
      </c>
      <c r="Q97" s="46">
        <f>IFERROR(__xludf.DUMMYFUNCTION("""COMPUTED_VALUE"""),0.0)</f>
        <v>0</v>
      </c>
      <c r="R97" s="64">
        <v>68.0</v>
      </c>
    </row>
    <row r="98" ht="21.0" customHeight="1">
      <c r="A98" s="42">
        <v>44518.0</v>
      </c>
      <c r="B98" s="43">
        <v>44518.489583333336</v>
      </c>
      <c r="C98" s="17" t="s">
        <v>972</v>
      </c>
      <c r="D98" s="17" t="s">
        <v>1257</v>
      </c>
      <c r="E98" s="17" t="s">
        <v>80</v>
      </c>
      <c r="F98" s="17" t="s">
        <v>55</v>
      </c>
      <c r="G98" s="17" t="s">
        <v>1258</v>
      </c>
      <c r="H98" s="44" t="s">
        <v>1259</v>
      </c>
      <c r="I98" s="63">
        <v>1.0</v>
      </c>
      <c r="J98" s="63">
        <v>311.0</v>
      </c>
      <c r="K98" s="63">
        <v>315.0</v>
      </c>
      <c r="L98" s="63">
        <v>0.0</v>
      </c>
      <c r="M98" s="63">
        <v>3.0</v>
      </c>
      <c r="N98" s="63">
        <v>311.0</v>
      </c>
      <c r="O98" s="46">
        <v>47.0</v>
      </c>
      <c r="P98" s="46">
        <v>11.0</v>
      </c>
      <c r="Q98" s="46">
        <f>IFERROR(__xludf.DUMMYFUNCTION("""COMPUTED_VALUE"""),0.0)</f>
        <v>0</v>
      </c>
      <c r="R98" s="64">
        <v>4.0</v>
      </c>
    </row>
    <row r="99" ht="21.0" customHeight="1">
      <c r="A99" s="42">
        <v>44518.0</v>
      </c>
      <c r="B99" s="43">
        <v>44518.58329861111</v>
      </c>
      <c r="C99" s="17" t="s">
        <v>972</v>
      </c>
      <c r="D99" s="17" t="s">
        <v>1260</v>
      </c>
      <c r="E99" s="17" t="s">
        <v>84</v>
      </c>
      <c r="F99" s="17" t="s">
        <v>50</v>
      </c>
      <c r="G99" s="17" t="s">
        <v>1261</v>
      </c>
      <c r="H99" s="44" t="s">
        <v>1262</v>
      </c>
      <c r="I99" s="63">
        <v>1.0</v>
      </c>
      <c r="J99" s="63">
        <v>2002.0</v>
      </c>
      <c r="K99" s="63">
        <v>2043.0</v>
      </c>
      <c r="L99" s="63">
        <v>16.0</v>
      </c>
      <c r="M99" s="63">
        <v>367.0</v>
      </c>
      <c r="N99" s="63">
        <v>2002.0</v>
      </c>
      <c r="O99" s="46">
        <v>47.0</v>
      </c>
      <c r="P99" s="46">
        <v>13.0</v>
      </c>
      <c r="Q99" s="46">
        <f>IFERROR(__xludf.DUMMYFUNCTION("""COMPUTED_VALUE"""),0.0)</f>
        <v>0</v>
      </c>
      <c r="R99" s="64">
        <v>41.0</v>
      </c>
    </row>
    <row r="100" ht="21.0" customHeight="1">
      <c r="A100" s="42">
        <v>44518.0</v>
      </c>
      <c r="B100" s="43">
        <v>44518.67832175926</v>
      </c>
      <c r="C100" s="17" t="s">
        <v>972</v>
      </c>
      <c r="D100" s="17" t="s">
        <v>1263</v>
      </c>
      <c r="E100" s="17" t="s">
        <v>84</v>
      </c>
      <c r="F100" s="17" t="s">
        <v>50</v>
      </c>
      <c r="G100" s="17" t="s">
        <v>1264</v>
      </c>
      <c r="H100" s="44" t="s">
        <v>1265</v>
      </c>
      <c r="I100" s="63">
        <v>1.0</v>
      </c>
      <c r="J100" s="63">
        <v>1843.0</v>
      </c>
      <c r="K100" s="63">
        <v>1874.0</v>
      </c>
      <c r="L100" s="63">
        <v>53.0</v>
      </c>
      <c r="M100" s="63">
        <v>49.0</v>
      </c>
      <c r="N100" s="63">
        <v>1843.0</v>
      </c>
      <c r="O100" s="46">
        <v>47.0</v>
      </c>
      <c r="P100" s="46">
        <v>16.0</v>
      </c>
      <c r="Q100" s="46">
        <f>IFERROR(__xludf.DUMMYFUNCTION("""COMPUTED_VALUE"""),0.0)</f>
        <v>0</v>
      </c>
      <c r="R100" s="64">
        <v>31.0</v>
      </c>
    </row>
    <row r="101" ht="21.0" customHeight="1">
      <c r="A101" s="42">
        <v>44518.0</v>
      </c>
      <c r="B101" s="43">
        <v>44518.71876157408</v>
      </c>
      <c r="C101" s="17" t="s">
        <v>972</v>
      </c>
      <c r="D101" s="17" t="s">
        <v>1266</v>
      </c>
      <c r="E101" s="17" t="s">
        <v>84</v>
      </c>
      <c r="F101" s="17" t="s">
        <v>50</v>
      </c>
      <c r="G101" s="17" t="s">
        <v>1267</v>
      </c>
      <c r="H101" s="44" t="s">
        <v>1268</v>
      </c>
      <c r="I101" s="63">
        <v>1.0</v>
      </c>
      <c r="J101" s="63">
        <v>2469.0</v>
      </c>
      <c r="K101" s="63">
        <v>3021.0</v>
      </c>
      <c r="L101" s="63">
        <v>40.0</v>
      </c>
      <c r="M101" s="63">
        <v>104.0</v>
      </c>
      <c r="N101" s="63">
        <v>2469.0</v>
      </c>
      <c r="O101" s="46">
        <v>47.0</v>
      </c>
      <c r="P101" s="46">
        <v>17.0</v>
      </c>
      <c r="Q101" s="46">
        <f>IFERROR(__xludf.DUMMYFUNCTION("""COMPUTED_VALUE"""),0.0)</f>
        <v>0</v>
      </c>
      <c r="R101" s="64">
        <v>552.0</v>
      </c>
    </row>
    <row r="102" ht="21.0" customHeight="1">
      <c r="A102" s="42">
        <v>44518.0</v>
      </c>
      <c r="B102" s="43">
        <v>44518.78136574074</v>
      </c>
      <c r="C102" s="17" t="s">
        <v>972</v>
      </c>
      <c r="D102" s="17" t="s">
        <v>1269</v>
      </c>
      <c r="E102" s="17" t="s">
        <v>80</v>
      </c>
      <c r="F102" s="17" t="s">
        <v>55</v>
      </c>
      <c r="G102" s="17" t="s">
        <v>1270</v>
      </c>
      <c r="H102" s="44" t="s">
        <v>1271</v>
      </c>
      <c r="I102" s="63">
        <v>1.0</v>
      </c>
      <c r="J102" s="63">
        <v>223.0</v>
      </c>
      <c r="K102" s="63">
        <v>225.0</v>
      </c>
      <c r="L102" s="63">
        <v>0.0</v>
      </c>
      <c r="M102" s="63">
        <v>9.0</v>
      </c>
      <c r="N102" s="63">
        <v>223.0</v>
      </c>
      <c r="O102" s="46">
        <v>47.0</v>
      </c>
      <c r="P102" s="46">
        <v>18.0</v>
      </c>
      <c r="Q102" s="46">
        <f>IFERROR(__xludf.DUMMYFUNCTION("""COMPUTED_VALUE"""),0.0)</f>
        <v>0</v>
      </c>
      <c r="R102" s="64">
        <v>2.0</v>
      </c>
    </row>
    <row r="103" ht="21.0" customHeight="1">
      <c r="A103" s="42">
        <v>44518.0</v>
      </c>
      <c r="B103" s="43">
        <v>44518.8403587963</v>
      </c>
      <c r="C103" s="17" t="s">
        <v>972</v>
      </c>
      <c r="D103" s="17" t="s">
        <v>1272</v>
      </c>
      <c r="E103" s="17" t="s">
        <v>84</v>
      </c>
      <c r="F103" s="17" t="s">
        <v>47</v>
      </c>
      <c r="G103" s="17" t="s">
        <v>1273</v>
      </c>
      <c r="H103" s="44" t="s">
        <v>1274</v>
      </c>
      <c r="I103" s="63">
        <v>1.0</v>
      </c>
      <c r="J103" s="63">
        <v>3332.0</v>
      </c>
      <c r="K103" s="63">
        <v>3418.0</v>
      </c>
      <c r="L103" s="63">
        <v>22.0</v>
      </c>
      <c r="M103" s="63">
        <v>123.0</v>
      </c>
      <c r="N103" s="63">
        <v>3332.0</v>
      </c>
      <c r="O103" s="46">
        <v>47.0</v>
      </c>
      <c r="P103" s="46">
        <v>20.0</v>
      </c>
      <c r="Q103" s="46">
        <f>IFERROR(__xludf.DUMMYFUNCTION("""COMPUTED_VALUE"""),0.0)</f>
        <v>0</v>
      </c>
      <c r="R103" s="64">
        <v>86.0</v>
      </c>
    </row>
    <row r="104" ht="21.0" customHeight="1">
      <c r="A104" s="42">
        <v>44519.0</v>
      </c>
      <c r="B104" s="43">
        <v>44519.333391203705</v>
      </c>
      <c r="C104" s="17" t="s">
        <v>972</v>
      </c>
      <c r="D104" s="17" t="s">
        <v>1275</v>
      </c>
      <c r="E104" s="17" t="s">
        <v>84</v>
      </c>
      <c r="F104" s="17" t="s">
        <v>50</v>
      </c>
      <c r="G104" s="17" t="s">
        <v>1276</v>
      </c>
      <c r="H104" s="44" t="s">
        <v>1277</v>
      </c>
      <c r="I104" s="63">
        <v>1.0</v>
      </c>
      <c r="J104" s="63">
        <v>1948.0</v>
      </c>
      <c r="K104" s="63">
        <v>2087.0</v>
      </c>
      <c r="L104" s="63">
        <v>18.0</v>
      </c>
      <c r="M104" s="63">
        <v>359.0</v>
      </c>
      <c r="N104" s="63">
        <v>1948.0</v>
      </c>
      <c r="O104" s="46">
        <v>47.0</v>
      </c>
      <c r="P104" s="46">
        <v>8.0</v>
      </c>
      <c r="Q104" s="46">
        <f>IFERROR(__xludf.DUMMYFUNCTION("""COMPUTED_VALUE"""),0.0)</f>
        <v>0</v>
      </c>
      <c r="R104" s="64">
        <v>139.0</v>
      </c>
    </row>
    <row r="105" ht="21.0" customHeight="1">
      <c r="A105" s="42">
        <v>44519.0</v>
      </c>
      <c r="B105" s="43">
        <v>44519.695543981485</v>
      </c>
      <c r="C105" s="17" t="s">
        <v>972</v>
      </c>
      <c r="D105" s="17" t="s">
        <v>1278</v>
      </c>
      <c r="E105" s="17" t="s">
        <v>84</v>
      </c>
      <c r="F105" s="17" t="s">
        <v>50</v>
      </c>
      <c r="G105" s="17" t="s">
        <v>1279</v>
      </c>
      <c r="H105" s="44" t="s">
        <v>1280</v>
      </c>
      <c r="I105" s="63">
        <v>1.0</v>
      </c>
      <c r="J105" s="63">
        <v>1730.0</v>
      </c>
      <c r="K105" s="63">
        <v>1758.0</v>
      </c>
      <c r="L105" s="63">
        <v>36.0</v>
      </c>
      <c r="M105" s="63">
        <v>75.0</v>
      </c>
      <c r="N105" s="63">
        <v>1730.0</v>
      </c>
      <c r="O105" s="46">
        <v>47.0</v>
      </c>
      <c r="P105" s="46">
        <v>16.0</v>
      </c>
      <c r="Q105" s="46">
        <f>IFERROR(__xludf.DUMMYFUNCTION("""COMPUTED_VALUE"""),0.0)</f>
        <v>0</v>
      </c>
      <c r="R105" s="64">
        <v>28.0</v>
      </c>
    </row>
    <row r="106" ht="21.0" customHeight="1">
      <c r="A106" s="42">
        <v>44519.0</v>
      </c>
      <c r="B106" s="43">
        <v>44519.95097222222</v>
      </c>
      <c r="C106" s="17" t="s">
        <v>972</v>
      </c>
      <c r="D106" s="17" t="s">
        <v>1281</v>
      </c>
      <c r="E106" s="17" t="s">
        <v>84</v>
      </c>
      <c r="F106" s="17" t="s">
        <v>47</v>
      </c>
      <c r="G106" s="17" t="s">
        <v>1282</v>
      </c>
      <c r="H106" s="44" t="s">
        <v>1283</v>
      </c>
      <c r="I106" s="63">
        <v>1.0</v>
      </c>
      <c r="J106" s="63">
        <v>974.0</v>
      </c>
      <c r="K106" s="63">
        <v>986.0</v>
      </c>
      <c r="L106" s="63">
        <v>4.0</v>
      </c>
      <c r="M106" s="63">
        <v>38.0</v>
      </c>
      <c r="N106" s="63">
        <v>974.0</v>
      </c>
      <c r="O106" s="46">
        <v>47.0</v>
      </c>
      <c r="P106" s="46">
        <v>22.0</v>
      </c>
      <c r="Q106" s="46">
        <f>IFERROR(__xludf.DUMMYFUNCTION("""COMPUTED_VALUE"""),0.0)</f>
        <v>0</v>
      </c>
      <c r="R106" s="64">
        <v>12.0</v>
      </c>
    </row>
    <row r="107" ht="21.0" customHeight="1">
      <c r="A107" s="42">
        <v>44520.0</v>
      </c>
      <c r="B107" s="43">
        <v>44520.354166666664</v>
      </c>
      <c r="C107" s="17" t="s">
        <v>972</v>
      </c>
      <c r="D107" s="17" t="s">
        <v>1284</v>
      </c>
      <c r="E107" s="17" t="s">
        <v>84</v>
      </c>
      <c r="F107" s="17" t="s">
        <v>50</v>
      </c>
      <c r="G107" s="17" t="s">
        <v>1285</v>
      </c>
      <c r="H107" s="44" t="s">
        <v>1286</v>
      </c>
      <c r="I107" s="63">
        <v>1.0</v>
      </c>
      <c r="J107" s="63">
        <v>952.0</v>
      </c>
      <c r="K107" s="63">
        <v>971.0</v>
      </c>
      <c r="L107" s="63">
        <v>7.0</v>
      </c>
      <c r="M107" s="63">
        <v>45.0</v>
      </c>
      <c r="N107" s="63">
        <v>952.0</v>
      </c>
      <c r="O107" s="46">
        <v>47.0</v>
      </c>
      <c r="P107" s="46">
        <v>8.0</v>
      </c>
      <c r="Q107" s="46">
        <f>IFERROR(__xludf.DUMMYFUNCTION("""COMPUTED_VALUE"""),0.0)</f>
        <v>0</v>
      </c>
      <c r="R107" s="64">
        <v>19.0</v>
      </c>
    </row>
    <row r="108" ht="21.0" customHeight="1">
      <c r="A108" s="42">
        <v>44520.0</v>
      </c>
      <c r="B108" s="43">
        <v>44520.455671296295</v>
      </c>
      <c r="C108" s="17" t="s">
        <v>972</v>
      </c>
      <c r="D108" s="17" t="s">
        <v>1287</v>
      </c>
      <c r="E108" s="17" t="s">
        <v>84</v>
      </c>
      <c r="F108" s="17" t="s">
        <v>50</v>
      </c>
      <c r="G108" s="17" t="s">
        <v>1288</v>
      </c>
      <c r="H108" s="44" t="s">
        <v>1289</v>
      </c>
      <c r="I108" s="63">
        <v>1.0</v>
      </c>
      <c r="J108" s="63">
        <v>899.0</v>
      </c>
      <c r="K108" s="63">
        <v>1074.0</v>
      </c>
      <c r="L108" s="63">
        <v>10.0</v>
      </c>
      <c r="M108" s="63">
        <v>49.0</v>
      </c>
      <c r="N108" s="63">
        <v>899.0</v>
      </c>
      <c r="O108" s="46">
        <v>47.0</v>
      </c>
      <c r="P108" s="46">
        <v>10.0</v>
      </c>
      <c r="Q108" s="46">
        <f>IFERROR(__xludf.DUMMYFUNCTION("""COMPUTED_VALUE"""),0.0)</f>
        <v>0</v>
      </c>
      <c r="R108" s="64">
        <v>175.0</v>
      </c>
    </row>
    <row r="109" ht="21.0" customHeight="1">
      <c r="A109" s="42">
        <v>44520.0</v>
      </c>
      <c r="B109" s="43">
        <v>44520.68996527778</v>
      </c>
      <c r="C109" s="17" t="s">
        <v>972</v>
      </c>
      <c r="D109" s="17" t="s">
        <v>1290</v>
      </c>
      <c r="E109" s="17" t="s">
        <v>84</v>
      </c>
      <c r="F109" s="17" t="s">
        <v>47</v>
      </c>
      <c r="G109" s="17" t="s">
        <v>1291</v>
      </c>
      <c r="H109" s="44" t="s">
        <v>1292</v>
      </c>
      <c r="I109" s="63">
        <v>1.0</v>
      </c>
      <c r="J109" s="63">
        <v>599.0</v>
      </c>
      <c r="K109" s="63">
        <v>605.0</v>
      </c>
      <c r="L109" s="63">
        <v>7.0</v>
      </c>
      <c r="M109" s="63">
        <v>16.0</v>
      </c>
      <c r="N109" s="63">
        <v>599.0</v>
      </c>
      <c r="O109" s="46">
        <v>47.0</v>
      </c>
      <c r="P109" s="46">
        <v>16.0</v>
      </c>
      <c r="Q109" s="46">
        <f>IFERROR(__xludf.DUMMYFUNCTION("""COMPUTED_VALUE"""),0.0)</f>
        <v>0</v>
      </c>
      <c r="R109" s="64">
        <v>6.0</v>
      </c>
    </row>
    <row r="110" ht="21.0" customHeight="1">
      <c r="A110" s="42">
        <v>44520.0</v>
      </c>
      <c r="B110" s="43">
        <v>44520.786770833336</v>
      </c>
      <c r="C110" s="17" t="s">
        <v>972</v>
      </c>
      <c r="D110" s="17" t="s">
        <v>1293</v>
      </c>
      <c r="E110" s="17" t="s">
        <v>84</v>
      </c>
      <c r="F110" s="17" t="s">
        <v>50</v>
      </c>
      <c r="G110" s="17" t="s">
        <v>1294</v>
      </c>
      <c r="H110" s="44" t="s">
        <v>1295</v>
      </c>
      <c r="I110" s="63">
        <v>1.0</v>
      </c>
      <c r="J110" s="63">
        <v>5022.0</v>
      </c>
      <c r="K110" s="63">
        <v>5572.0</v>
      </c>
      <c r="L110" s="63">
        <v>64.0</v>
      </c>
      <c r="M110" s="63">
        <v>478.0</v>
      </c>
      <c r="N110" s="63">
        <v>5022.0</v>
      </c>
      <c r="O110" s="46">
        <v>47.0</v>
      </c>
      <c r="P110" s="46">
        <v>18.0</v>
      </c>
      <c r="Q110" s="46">
        <f>IFERROR(__xludf.DUMMYFUNCTION("""COMPUTED_VALUE"""),0.0)</f>
        <v>0</v>
      </c>
      <c r="R110" s="64">
        <v>550.0</v>
      </c>
    </row>
    <row r="111" ht="21.0" customHeight="1">
      <c r="A111" s="42">
        <v>44520.0</v>
      </c>
      <c r="B111" s="43">
        <v>44520.91446759259</v>
      </c>
      <c r="C111" s="17" t="s">
        <v>972</v>
      </c>
      <c r="D111" s="17" t="s">
        <v>1296</v>
      </c>
      <c r="E111" s="17" t="s">
        <v>84</v>
      </c>
      <c r="F111" s="17" t="s">
        <v>47</v>
      </c>
      <c r="G111" s="17" t="s">
        <v>1297</v>
      </c>
      <c r="H111" s="44" t="s">
        <v>1298</v>
      </c>
      <c r="I111" s="63">
        <v>1.0</v>
      </c>
      <c r="J111" s="63">
        <v>1212.0</v>
      </c>
      <c r="K111" s="63">
        <v>1281.0</v>
      </c>
      <c r="L111" s="63">
        <v>26.0</v>
      </c>
      <c r="M111" s="63">
        <v>59.0</v>
      </c>
      <c r="N111" s="63">
        <v>1212.0</v>
      </c>
      <c r="O111" s="46">
        <v>47.0</v>
      </c>
      <c r="P111" s="46">
        <v>21.0</v>
      </c>
      <c r="Q111" s="46">
        <f>IFERROR(__xludf.DUMMYFUNCTION("""COMPUTED_VALUE"""),0.0)</f>
        <v>0</v>
      </c>
      <c r="R111" s="64">
        <v>69.0</v>
      </c>
    </row>
    <row r="112" ht="21.0" customHeight="1">
      <c r="A112" s="42">
        <v>44521.0</v>
      </c>
      <c r="B112" s="43">
        <v>44521.35420138889</v>
      </c>
      <c r="C112" s="17" t="s">
        <v>972</v>
      </c>
      <c r="D112" s="17" t="s">
        <v>1299</v>
      </c>
      <c r="E112" s="17" t="s">
        <v>84</v>
      </c>
      <c r="F112" s="17" t="s">
        <v>50</v>
      </c>
      <c r="G112" s="17" t="s">
        <v>1300</v>
      </c>
      <c r="H112" s="44" t="s">
        <v>1301</v>
      </c>
      <c r="I112" s="63">
        <v>1.0</v>
      </c>
      <c r="J112" s="63">
        <v>1156.0</v>
      </c>
      <c r="K112" s="63">
        <v>1180.0</v>
      </c>
      <c r="L112" s="63">
        <v>6.0</v>
      </c>
      <c r="M112" s="63">
        <v>28.0</v>
      </c>
      <c r="N112" s="63">
        <v>1156.0</v>
      </c>
      <c r="O112" s="46">
        <v>48.0</v>
      </c>
      <c r="P112" s="46">
        <v>8.0</v>
      </c>
      <c r="Q112" s="46">
        <f>IFERROR(__xludf.DUMMYFUNCTION("""COMPUTED_VALUE"""),0.0)</f>
        <v>0</v>
      </c>
      <c r="R112" s="64">
        <v>24.0</v>
      </c>
    </row>
    <row r="113" ht="21.0" customHeight="1">
      <c r="A113" s="42">
        <v>44521.0</v>
      </c>
      <c r="B113" s="43">
        <v>44521.621041666665</v>
      </c>
      <c r="C113" s="17" t="s">
        <v>972</v>
      </c>
      <c r="D113" s="17" t="s">
        <v>1302</v>
      </c>
      <c r="E113" s="17" t="s">
        <v>84</v>
      </c>
      <c r="F113" s="17" t="s">
        <v>50</v>
      </c>
      <c r="G113" s="17" t="s">
        <v>1303</v>
      </c>
      <c r="H113" s="44" t="s">
        <v>1304</v>
      </c>
      <c r="I113" s="63">
        <v>1.0</v>
      </c>
      <c r="J113" s="63">
        <v>5988.0</v>
      </c>
      <c r="K113" s="63">
        <v>6579.0</v>
      </c>
      <c r="L113" s="63">
        <v>65.0</v>
      </c>
      <c r="M113" s="63">
        <v>395.0</v>
      </c>
      <c r="N113" s="63">
        <v>5988.0</v>
      </c>
      <c r="O113" s="46">
        <v>48.0</v>
      </c>
      <c r="P113" s="46">
        <v>14.0</v>
      </c>
      <c r="Q113" s="46">
        <f>IFERROR(__xludf.DUMMYFUNCTION("""COMPUTED_VALUE"""),0.0)</f>
        <v>0</v>
      </c>
      <c r="R113" s="64">
        <v>591.0</v>
      </c>
    </row>
    <row r="114" ht="21.0" customHeight="1">
      <c r="A114" s="42">
        <v>44521.0</v>
      </c>
      <c r="B114" s="43">
        <v>44521.65060185185</v>
      </c>
      <c r="C114" s="17" t="s">
        <v>972</v>
      </c>
      <c r="D114" s="17" t="s">
        <v>1305</v>
      </c>
      <c r="E114" s="17" t="s">
        <v>84</v>
      </c>
      <c r="F114" s="17" t="s">
        <v>47</v>
      </c>
      <c r="G114" s="17" t="s">
        <v>1306</v>
      </c>
      <c r="H114" s="44" t="s">
        <v>1307</v>
      </c>
      <c r="I114" s="63">
        <v>1.0</v>
      </c>
      <c r="J114" s="63">
        <v>1048.0</v>
      </c>
      <c r="K114" s="63">
        <v>1058.0</v>
      </c>
      <c r="L114" s="63">
        <v>17.0</v>
      </c>
      <c r="M114" s="63">
        <v>41.0</v>
      </c>
      <c r="N114" s="63">
        <v>1048.0</v>
      </c>
      <c r="O114" s="46">
        <v>48.0</v>
      </c>
      <c r="P114" s="46">
        <v>15.0</v>
      </c>
      <c r="Q114" s="46">
        <f>IFERROR(__xludf.DUMMYFUNCTION("""COMPUTED_VALUE"""),0.0)</f>
        <v>0</v>
      </c>
      <c r="R114" s="64">
        <v>10.0</v>
      </c>
    </row>
    <row r="115" ht="21.0" customHeight="1">
      <c r="A115" s="42">
        <v>44521.0</v>
      </c>
      <c r="B115" s="43">
        <v>44521.92974537037</v>
      </c>
      <c r="C115" s="17" t="s">
        <v>972</v>
      </c>
      <c r="D115" s="17" t="s">
        <v>1308</v>
      </c>
      <c r="E115" s="17" t="s">
        <v>84</v>
      </c>
      <c r="F115" s="17" t="s">
        <v>47</v>
      </c>
      <c r="G115" s="17" t="s">
        <v>1309</v>
      </c>
      <c r="H115" s="44" t="s">
        <v>1310</v>
      </c>
      <c r="I115" s="63">
        <v>1.0</v>
      </c>
      <c r="J115" s="63">
        <v>1407.0</v>
      </c>
      <c r="K115" s="63">
        <v>1465.0</v>
      </c>
      <c r="L115" s="63">
        <v>32.0</v>
      </c>
      <c r="M115" s="63">
        <v>77.0</v>
      </c>
      <c r="N115" s="63">
        <v>1407.0</v>
      </c>
      <c r="O115" s="46">
        <v>48.0</v>
      </c>
      <c r="P115" s="46">
        <v>22.0</v>
      </c>
      <c r="Q115" s="46">
        <f>IFERROR(__xludf.DUMMYFUNCTION("""COMPUTED_VALUE"""),0.0)</f>
        <v>0</v>
      </c>
      <c r="R115" s="64">
        <v>58.0</v>
      </c>
    </row>
    <row r="116" ht="21.0" customHeight="1">
      <c r="A116" s="42">
        <v>44522.0</v>
      </c>
      <c r="B116" s="43">
        <v>44522.48226851852</v>
      </c>
      <c r="C116" s="17" t="s">
        <v>972</v>
      </c>
      <c r="D116" s="17" t="s">
        <v>1311</v>
      </c>
      <c r="E116" s="17" t="s">
        <v>80</v>
      </c>
      <c r="F116" s="17" t="s">
        <v>55</v>
      </c>
      <c r="G116" s="17" t="s">
        <v>1312</v>
      </c>
      <c r="H116" s="44" t="s">
        <v>1313</v>
      </c>
      <c r="I116" s="63">
        <v>1.0</v>
      </c>
      <c r="J116" s="63">
        <v>426.0</v>
      </c>
      <c r="K116" s="63">
        <v>435.0</v>
      </c>
      <c r="L116" s="63">
        <v>0.0</v>
      </c>
      <c r="M116" s="63">
        <v>21.0</v>
      </c>
      <c r="N116" s="63">
        <v>426.0</v>
      </c>
      <c r="O116" s="46">
        <v>48.0</v>
      </c>
      <c r="P116" s="46">
        <v>11.0</v>
      </c>
      <c r="Q116" s="46">
        <f>IFERROR(__xludf.DUMMYFUNCTION("""COMPUTED_VALUE"""),0.0)</f>
        <v>0</v>
      </c>
      <c r="R116" s="64">
        <v>9.0</v>
      </c>
    </row>
    <row r="117" ht="21.0" customHeight="1">
      <c r="A117" s="42">
        <v>44522.0</v>
      </c>
      <c r="B117" s="43">
        <v>44522.59611111111</v>
      </c>
      <c r="C117" s="17" t="s">
        <v>972</v>
      </c>
      <c r="D117" s="17" t="s">
        <v>1314</v>
      </c>
      <c r="E117" s="17" t="s">
        <v>84</v>
      </c>
      <c r="F117" s="17" t="s">
        <v>50</v>
      </c>
      <c r="G117" s="17" t="s">
        <v>1315</v>
      </c>
      <c r="H117" s="44" t="s">
        <v>1316</v>
      </c>
      <c r="I117" s="63">
        <v>1.0</v>
      </c>
      <c r="J117" s="63">
        <v>1296.0</v>
      </c>
      <c r="K117" s="63">
        <v>1309.0</v>
      </c>
      <c r="L117" s="63">
        <v>4.0</v>
      </c>
      <c r="M117" s="63">
        <v>16.0</v>
      </c>
      <c r="N117" s="63">
        <v>1296.0</v>
      </c>
      <c r="O117" s="46">
        <v>48.0</v>
      </c>
      <c r="P117" s="46">
        <v>14.0</v>
      </c>
      <c r="Q117" s="46">
        <f>IFERROR(__xludf.DUMMYFUNCTION("""COMPUTED_VALUE"""),0.0)</f>
        <v>0</v>
      </c>
      <c r="R117" s="64">
        <v>13.0</v>
      </c>
    </row>
    <row r="118" ht="21.0" customHeight="1">
      <c r="A118" s="42">
        <v>44522.0</v>
      </c>
      <c r="B118" s="43">
        <v>44522.7215162037</v>
      </c>
      <c r="C118" s="17" t="s">
        <v>972</v>
      </c>
      <c r="D118" s="17" t="s">
        <v>1317</v>
      </c>
      <c r="E118" s="17" t="s">
        <v>84</v>
      </c>
      <c r="F118" s="17" t="s">
        <v>50</v>
      </c>
      <c r="G118" s="17" t="s">
        <v>1318</v>
      </c>
      <c r="H118" s="44" t="s">
        <v>1319</v>
      </c>
      <c r="I118" s="63">
        <v>1.0</v>
      </c>
      <c r="J118" s="63">
        <v>1870.0</v>
      </c>
      <c r="K118" s="63">
        <v>1912.0</v>
      </c>
      <c r="L118" s="63">
        <v>11.0</v>
      </c>
      <c r="M118" s="63">
        <v>62.0</v>
      </c>
      <c r="N118" s="63">
        <v>1870.0</v>
      </c>
      <c r="O118" s="46">
        <v>48.0</v>
      </c>
      <c r="P118" s="46">
        <v>17.0</v>
      </c>
      <c r="Q118" s="46">
        <f>IFERROR(__xludf.DUMMYFUNCTION("""COMPUTED_VALUE"""),0.0)</f>
        <v>0</v>
      </c>
      <c r="R118" s="64">
        <v>42.0</v>
      </c>
    </row>
    <row r="119" ht="21.0" customHeight="1">
      <c r="A119" s="42">
        <v>44522.0</v>
      </c>
      <c r="B119" s="43">
        <v>44522.75001157408</v>
      </c>
      <c r="C119" s="17" t="s">
        <v>972</v>
      </c>
      <c r="D119" s="17" t="s">
        <v>1320</v>
      </c>
      <c r="E119" s="17" t="s">
        <v>84</v>
      </c>
      <c r="F119" s="17" t="s">
        <v>50</v>
      </c>
      <c r="G119" s="17" t="s">
        <v>1321</v>
      </c>
      <c r="H119" s="44" t="s">
        <v>1322</v>
      </c>
      <c r="I119" s="63">
        <v>1.0</v>
      </c>
      <c r="J119" s="63">
        <v>85.0</v>
      </c>
      <c r="K119" s="63">
        <v>88.0</v>
      </c>
      <c r="L119" s="63">
        <v>0.0</v>
      </c>
      <c r="M119" s="63">
        <v>1.0</v>
      </c>
      <c r="N119" s="63">
        <v>85.0</v>
      </c>
      <c r="O119" s="46">
        <v>48.0</v>
      </c>
      <c r="P119" s="46">
        <v>18.0</v>
      </c>
      <c r="Q119" s="46">
        <f>IFERROR(__xludf.DUMMYFUNCTION("""COMPUTED_VALUE"""),0.0)</f>
        <v>0</v>
      </c>
      <c r="R119" s="64">
        <v>3.0</v>
      </c>
    </row>
    <row r="120" ht="21.0" customHeight="1">
      <c r="A120" s="42">
        <v>44522.0</v>
      </c>
      <c r="B120" s="43">
        <v>44522.842673611114</v>
      </c>
      <c r="C120" s="17" t="s">
        <v>972</v>
      </c>
      <c r="D120" s="17" t="s">
        <v>1323</v>
      </c>
      <c r="E120" s="17" t="s">
        <v>97</v>
      </c>
      <c r="F120" s="17" t="s">
        <v>52</v>
      </c>
      <c r="G120" s="17" t="s">
        <v>1324</v>
      </c>
      <c r="H120" s="44" t="s">
        <v>1325</v>
      </c>
      <c r="I120" s="63">
        <v>1.0</v>
      </c>
      <c r="J120" s="63">
        <v>224.0</v>
      </c>
      <c r="K120" s="63">
        <v>227.0</v>
      </c>
      <c r="L120" s="63">
        <v>1.0</v>
      </c>
      <c r="M120" s="63">
        <v>3.0</v>
      </c>
      <c r="N120" s="63">
        <v>224.0</v>
      </c>
      <c r="O120" s="46">
        <v>48.0</v>
      </c>
      <c r="P120" s="46">
        <v>20.0</v>
      </c>
      <c r="Q120" s="46">
        <f>IFERROR(__xludf.DUMMYFUNCTION("""COMPUTED_VALUE"""),0.0)</f>
        <v>0</v>
      </c>
      <c r="R120" s="64">
        <v>3.0</v>
      </c>
    </row>
    <row r="121" ht="21.0" customHeight="1">
      <c r="A121" s="42">
        <v>44523.0</v>
      </c>
      <c r="B121" s="43">
        <v>44523.55877314815</v>
      </c>
      <c r="C121" s="17" t="s">
        <v>972</v>
      </c>
      <c r="D121" s="17" t="s">
        <v>1326</v>
      </c>
      <c r="E121" s="17" t="s">
        <v>84</v>
      </c>
      <c r="F121" s="17" t="s">
        <v>50</v>
      </c>
      <c r="G121" s="17" t="s">
        <v>1327</v>
      </c>
      <c r="H121" s="44" t="s">
        <v>1328</v>
      </c>
      <c r="I121" s="63">
        <v>1.0</v>
      </c>
      <c r="J121" s="63">
        <v>1269.0</v>
      </c>
      <c r="K121" s="63">
        <v>1305.0</v>
      </c>
      <c r="L121" s="63">
        <v>24.0</v>
      </c>
      <c r="M121" s="63">
        <v>92.0</v>
      </c>
      <c r="N121" s="63">
        <v>1269.0</v>
      </c>
      <c r="O121" s="46">
        <v>48.0</v>
      </c>
      <c r="P121" s="46">
        <v>13.0</v>
      </c>
      <c r="Q121" s="46">
        <f>IFERROR(__xludf.DUMMYFUNCTION("""COMPUTED_VALUE"""),0.0)</f>
        <v>0</v>
      </c>
      <c r="R121" s="64">
        <v>36.0</v>
      </c>
    </row>
    <row r="122" ht="21.0" customHeight="1">
      <c r="A122" s="42">
        <v>44523.0</v>
      </c>
      <c r="B122" s="43">
        <v>44523.626296296294</v>
      </c>
      <c r="C122" s="17" t="s">
        <v>972</v>
      </c>
      <c r="D122" s="17" t="s">
        <v>1329</v>
      </c>
      <c r="E122" s="17" t="s">
        <v>84</v>
      </c>
      <c r="F122" s="17" t="s">
        <v>50</v>
      </c>
      <c r="G122" s="17" t="s">
        <v>1330</v>
      </c>
      <c r="H122" s="44" t="s">
        <v>1331</v>
      </c>
      <c r="I122" s="63">
        <v>1.0</v>
      </c>
      <c r="J122" s="63">
        <v>987.0</v>
      </c>
      <c r="K122" s="63">
        <v>1012.0</v>
      </c>
      <c r="L122" s="63">
        <v>4.0</v>
      </c>
      <c r="M122" s="63">
        <v>25.0</v>
      </c>
      <c r="N122" s="63">
        <v>987.0</v>
      </c>
      <c r="O122" s="46">
        <v>48.0</v>
      </c>
      <c r="P122" s="46">
        <v>15.0</v>
      </c>
      <c r="Q122" s="46">
        <f>IFERROR(__xludf.DUMMYFUNCTION("""COMPUTED_VALUE"""),0.0)</f>
        <v>0</v>
      </c>
      <c r="R122" s="64">
        <v>25.0</v>
      </c>
    </row>
    <row r="123" ht="21.0" customHeight="1">
      <c r="A123" s="42">
        <v>44523.0</v>
      </c>
      <c r="B123" s="43">
        <v>44523.67590277778</v>
      </c>
      <c r="C123" s="17" t="s">
        <v>972</v>
      </c>
      <c r="D123" s="17" t="s">
        <v>1332</v>
      </c>
      <c r="E123" s="17" t="s">
        <v>80</v>
      </c>
      <c r="F123" s="17" t="s">
        <v>55</v>
      </c>
      <c r="G123" s="17" t="s">
        <v>1333</v>
      </c>
      <c r="H123" s="44" t="s">
        <v>1334</v>
      </c>
      <c r="I123" s="63">
        <v>1.0</v>
      </c>
      <c r="J123" s="63">
        <v>229.0</v>
      </c>
      <c r="K123" s="63">
        <v>231.0</v>
      </c>
      <c r="L123" s="63">
        <v>0.0</v>
      </c>
      <c r="M123" s="63">
        <v>9.0</v>
      </c>
      <c r="N123" s="63">
        <v>229.0</v>
      </c>
      <c r="O123" s="46">
        <v>48.0</v>
      </c>
      <c r="P123" s="46">
        <v>16.0</v>
      </c>
      <c r="Q123" s="46">
        <f>IFERROR(__xludf.DUMMYFUNCTION("""COMPUTED_VALUE"""),0.0)</f>
        <v>0</v>
      </c>
      <c r="R123" s="64">
        <v>2.0</v>
      </c>
    </row>
    <row r="124" ht="21.0" customHeight="1">
      <c r="A124" s="42">
        <v>44523.0</v>
      </c>
      <c r="B124" s="43">
        <v>44523.89388888889</v>
      </c>
      <c r="C124" s="17" t="s">
        <v>972</v>
      </c>
      <c r="D124" s="17" t="s">
        <v>1335</v>
      </c>
      <c r="E124" s="17" t="s">
        <v>84</v>
      </c>
      <c r="F124" s="17" t="s">
        <v>50</v>
      </c>
      <c r="G124" s="17" t="s">
        <v>1336</v>
      </c>
      <c r="H124" s="44" t="s">
        <v>1337</v>
      </c>
      <c r="I124" s="63">
        <v>1.0</v>
      </c>
      <c r="J124" s="63">
        <v>1252.0</v>
      </c>
      <c r="K124" s="63">
        <v>1264.0</v>
      </c>
      <c r="L124" s="63">
        <v>16.0</v>
      </c>
      <c r="M124" s="63">
        <v>41.0</v>
      </c>
      <c r="N124" s="63">
        <v>1252.0</v>
      </c>
      <c r="O124" s="46">
        <v>48.0</v>
      </c>
      <c r="P124" s="46">
        <v>21.0</v>
      </c>
      <c r="Q124" s="46">
        <f>IFERROR(__xludf.DUMMYFUNCTION("""COMPUTED_VALUE"""),0.0)</f>
        <v>0</v>
      </c>
      <c r="R124" s="64">
        <v>12.0</v>
      </c>
    </row>
    <row r="125" ht="21.0" customHeight="1">
      <c r="A125" s="42">
        <v>44524.0</v>
      </c>
      <c r="B125" s="43">
        <v>44524.541666666664</v>
      </c>
      <c r="C125" s="17" t="s">
        <v>972</v>
      </c>
      <c r="D125" s="17" t="s">
        <v>1338</v>
      </c>
      <c r="E125" s="17" t="s">
        <v>84</v>
      </c>
      <c r="F125" s="17" t="s">
        <v>50</v>
      </c>
      <c r="G125" s="17" t="s">
        <v>1339</v>
      </c>
      <c r="H125" s="44" t="s">
        <v>1340</v>
      </c>
      <c r="I125" s="63">
        <v>1.0</v>
      </c>
      <c r="J125" s="63">
        <v>378.0</v>
      </c>
      <c r="K125" s="63">
        <v>381.0</v>
      </c>
      <c r="L125" s="63">
        <v>8.0</v>
      </c>
      <c r="M125" s="63">
        <v>22.0</v>
      </c>
      <c r="N125" s="63">
        <v>378.0</v>
      </c>
      <c r="O125" s="46">
        <v>48.0</v>
      </c>
      <c r="P125" s="46">
        <v>13.0</v>
      </c>
      <c r="Q125" s="46">
        <f>IFERROR(__xludf.DUMMYFUNCTION("""COMPUTED_VALUE"""),0.0)</f>
        <v>0</v>
      </c>
      <c r="R125" s="64">
        <v>3.0</v>
      </c>
    </row>
    <row r="126" ht="21.0" customHeight="1">
      <c r="A126" s="42">
        <v>44524.0</v>
      </c>
      <c r="B126" s="43">
        <v>44524.54859953704</v>
      </c>
      <c r="C126" s="17" t="s">
        <v>972</v>
      </c>
      <c r="D126" s="17" t="s">
        <v>1341</v>
      </c>
      <c r="E126" s="17" t="s">
        <v>84</v>
      </c>
      <c r="F126" s="17" t="s">
        <v>50</v>
      </c>
      <c r="G126" s="17" t="s">
        <v>1342</v>
      </c>
      <c r="H126" s="44" t="s">
        <v>1343</v>
      </c>
      <c r="I126" s="63">
        <v>1.0</v>
      </c>
      <c r="J126" s="63">
        <v>607.0</v>
      </c>
      <c r="K126" s="63">
        <v>633.0</v>
      </c>
      <c r="L126" s="63">
        <v>8.0</v>
      </c>
      <c r="M126" s="63">
        <v>25.0</v>
      </c>
      <c r="N126" s="63">
        <v>607.0</v>
      </c>
      <c r="O126" s="46">
        <v>48.0</v>
      </c>
      <c r="P126" s="46">
        <v>13.0</v>
      </c>
      <c r="Q126" s="46">
        <f>IFERROR(__xludf.DUMMYFUNCTION("""COMPUTED_VALUE"""),0.0)</f>
        <v>0</v>
      </c>
      <c r="R126" s="64">
        <v>26.0</v>
      </c>
    </row>
    <row r="127" ht="21.0" customHeight="1">
      <c r="A127" s="42">
        <v>44524.0</v>
      </c>
      <c r="B127" s="43">
        <v>44524.632314814815</v>
      </c>
      <c r="C127" s="17" t="s">
        <v>972</v>
      </c>
      <c r="D127" s="17" t="s">
        <v>1344</v>
      </c>
      <c r="E127" s="17" t="s">
        <v>84</v>
      </c>
      <c r="F127" s="17" t="s">
        <v>50</v>
      </c>
      <c r="G127" s="17" t="s">
        <v>1345</v>
      </c>
      <c r="H127" s="44" t="s">
        <v>1346</v>
      </c>
      <c r="I127" s="63">
        <v>1.0</v>
      </c>
      <c r="J127" s="63">
        <v>197.0</v>
      </c>
      <c r="K127" s="63">
        <v>199.0</v>
      </c>
      <c r="L127" s="63">
        <v>0.0</v>
      </c>
      <c r="M127" s="63">
        <v>14.0</v>
      </c>
      <c r="N127" s="63">
        <v>197.0</v>
      </c>
      <c r="O127" s="46">
        <v>48.0</v>
      </c>
      <c r="P127" s="46">
        <v>15.0</v>
      </c>
      <c r="Q127" s="46">
        <f>IFERROR(__xludf.DUMMYFUNCTION("""COMPUTED_VALUE"""),0.0)</f>
        <v>0</v>
      </c>
      <c r="R127" s="64">
        <v>2.0</v>
      </c>
    </row>
    <row r="128" ht="21.0" customHeight="1">
      <c r="A128" s="42">
        <v>44524.0</v>
      </c>
      <c r="B128" s="43">
        <v>44524.94188657407</v>
      </c>
      <c r="C128" s="17" t="s">
        <v>972</v>
      </c>
      <c r="D128" s="17" t="s">
        <v>1347</v>
      </c>
      <c r="E128" s="17" t="s">
        <v>84</v>
      </c>
      <c r="F128" s="17" t="s">
        <v>50</v>
      </c>
      <c r="G128" s="17" t="s">
        <v>1348</v>
      </c>
      <c r="H128" s="44" t="s">
        <v>1349</v>
      </c>
      <c r="I128" s="63">
        <v>1.0</v>
      </c>
      <c r="J128" s="63">
        <v>1181.0</v>
      </c>
      <c r="K128" s="63">
        <v>1199.0</v>
      </c>
      <c r="L128" s="63">
        <v>22.0</v>
      </c>
      <c r="M128" s="63">
        <v>26.0</v>
      </c>
      <c r="N128" s="63">
        <v>1181.0</v>
      </c>
      <c r="O128" s="46">
        <v>48.0</v>
      </c>
      <c r="P128" s="46">
        <v>22.0</v>
      </c>
      <c r="Q128" s="46">
        <f>IFERROR(__xludf.DUMMYFUNCTION("""COMPUTED_VALUE"""),0.0)</f>
        <v>0</v>
      </c>
      <c r="R128" s="64">
        <v>18.0</v>
      </c>
    </row>
    <row r="129" ht="21.0" customHeight="1">
      <c r="A129" s="42">
        <v>44524.0</v>
      </c>
      <c r="B129" s="43">
        <v>44524.96047453704</v>
      </c>
      <c r="C129" s="17" t="s">
        <v>972</v>
      </c>
      <c r="D129" s="17" t="s">
        <v>1350</v>
      </c>
      <c r="E129" s="17" t="s">
        <v>84</v>
      </c>
      <c r="F129" s="17" t="s">
        <v>50</v>
      </c>
      <c r="G129" s="17" t="s">
        <v>1351</v>
      </c>
      <c r="H129" s="44" t="s">
        <v>1352</v>
      </c>
      <c r="I129" s="63">
        <v>1.0</v>
      </c>
      <c r="J129" s="63">
        <v>1988.0</v>
      </c>
      <c r="K129" s="63">
        <v>2059.0</v>
      </c>
      <c r="L129" s="63">
        <v>24.0</v>
      </c>
      <c r="M129" s="63">
        <v>30.0</v>
      </c>
      <c r="N129" s="63">
        <v>1988.0</v>
      </c>
      <c r="O129" s="46">
        <v>48.0</v>
      </c>
      <c r="P129" s="46">
        <v>23.0</v>
      </c>
      <c r="Q129" s="46">
        <f>IFERROR(__xludf.DUMMYFUNCTION("""COMPUTED_VALUE"""),0.0)</f>
        <v>0</v>
      </c>
      <c r="R129" s="64">
        <v>71.0</v>
      </c>
    </row>
    <row r="130" ht="21.0" customHeight="1">
      <c r="A130" s="42">
        <v>44525.0</v>
      </c>
      <c r="B130" s="43">
        <v>44525.55311342593</v>
      </c>
      <c r="C130" s="17" t="s">
        <v>972</v>
      </c>
      <c r="D130" s="17" t="s">
        <v>1353</v>
      </c>
      <c r="E130" s="17" t="s">
        <v>84</v>
      </c>
      <c r="F130" s="17" t="s">
        <v>50</v>
      </c>
      <c r="G130" s="17" t="s">
        <v>1354</v>
      </c>
      <c r="H130" s="44" t="s">
        <v>1355</v>
      </c>
      <c r="I130" s="63">
        <v>1.0</v>
      </c>
      <c r="J130" s="63">
        <v>767.0</v>
      </c>
      <c r="K130" s="63">
        <v>788.0</v>
      </c>
      <c r="L130" s="63">
        <v>12.0</v>
      </c>
      <c r="M130" s="63">
        <v>24.0</v>
      </c>
      <c r="N130" s="63">
        <v>767.0</v>
      </c>
      <c r="O130" s="46">
        <v>48.0</v>
      </c>
      <c r="P130" s="46">
        <v>13.0</v>
      </c>
      <c r="Q130" s="46">
        <f>IFERROR(__xludf.DUMMYFUNCTION("""COMPUTED_VALUE"""),0.0)</f>
        <v>0</v>
      </c>
      <c r="R130" s="64">
        <v>21.0</v>
      </c>
    </row>
    <row r="131" ht="21.0" customHeight="1">
      <c r="A131" s="42">
        <v>44525.0</v>
      </c>
      <c r="B131" s="43">
        <v>44525.58337962963</v>
      </c>
      <c r="C131" s="17" t="s">
        <v>972</v>
      </c>
      <c r="D131" s="17" t="s">
        <v>1356</v>
      </c>
      <c r="E131" s="17" t="s">
        <v>84</v>
      </c>
      <c r="F131" s="17" t="s">
        <v>50</v>
      </c>
      <c r="G131" s="17" t="s">
        <v>1357</v>
      </c>
      <c r="H131" s="44" t="s">
        <v>1358</v>
      </c>
      <c r="I131" s="63">
        <v>1.0</v>
      </c>
      <c r="J131" s="63">
        <v>390.0</v>
      </c>
      <c r="K131" s="63">
        <v>393.0</v>
      </c>
      <c r="L131" s="63">
        <v>1.0</v>
      </c>
      <c r="M131" s="63">
        <v>10.0</v>
      </c>
      <c r="N131" s="63">
        <v>390.0</v>
      </c>
      <c r="O131" s="46">
        <v>48.0</v>
      </c>
      <c r="P131" s="46">
        <v>14.0</v>
      </c>
      <c r="Q131" s="46">
        <f>IFERROR(__xludf.DUMMYFUNCTION("""COMPUTED_VALUE"""),0.0)</f>
        <v>0</v>
      </c>
      <c r="R131" s="64">
        <v>3.0</v>
      </c>
    </row>
    <row r="132" ht="21.0" customHeight="1">
      <c r="A132" s="42">
        <v>44525.0</v>
      </c>
      <c r="B132" s="43">
        <v>44525.625023148146</v>
      </c>
      <c r="C132" s="17" t="s">
        <v>972</v>
      </c>
      <c r="D132" s="17" t="s">
        <v>1359</v>
      </c>
      <c r="E132" s="17" t="s">
        <v>80</v>
      </c>
      <c r="F132" s="17" t="s">
        <v>55</v>
      </c>
      <c r="G132" s="17" t="s">
        <v>1360</v>
      </c>
      <c r="H132" s="44" t="s">
        <v>1361</v>
      </c>
      <c r="I132" s="63">
        <v>1.0</v>
      </c>
      <c r="J132" s="63">
        <v>224.0</v>
      </c>
      <c r="K132" s="63">
        <v>228.0</v>
      </c>
      <c r="L132" s="63">
        <v>1.0</v>
      </c>
      <c r="M132" s="63">
        <v>5.0</v>
      </c>
      <c r="N132" s="63">
        <v>224.0</v>
      </c>
      <c r="O132" s="46">
        <v>48.0</v>
      </c>
      <c r="P132" s="46">
        <v>15.0</v>
      </c>
      <c r="Q132" s="46">
        <f>IFERROR(__xludf.DUMMYFUNCTION("""COMPUTED_VALUE"""),0.0)</f>
        <v>0</v>
      </c>
      <c r="R132" s="64">
        <v>4.0</v>
      </c>
    </row>
    <row r="133" ht="21.0" customHeight="1">
      <c r="A133" s="42">
        <v>44525.0</v>
      </c>
      <c r="B133" s="43">
        <v>44525.898206018515</v>
      </c>
      <c r="C133" s="17" t="s">
        <v>972</v>
      </c>
      <c r="D133" s="17" t="s">
        <v>1362</v>
      </c>
      <c r="E133" s="17" t="s">
        <v>84</v>
      </c>
      <c r="F133" s="17" t="s">
        <v>50</v>
      </c>
      <c r="G133" s="17" t="s">
        <v>1363</v>
      </c>
      <c r="H133" s="44" t="s">
        <v>1364</v>
      </c>
      <c r="I133" s="63">
        <v>1.0</v>
      </c>
      <c r="J133" s="63">
        <v>5051.0</v>
      </c>
      <c r="K133" s="63">
        <v>5893.0</v>
      </c>
      <c r="L133" s="63">
        <v>143.0</v>
      </c>
      <c r="M133" s="63">
        <v>1026.0</v>
      </c>
      <c r="N133" s="63">
        <v>5051.0</v>
      </c>
      <c r="O133" s="46">
        <v>48.0</v>
      </c>
      <c r="P133" s="46">
        <v>21.0</v>
      </c>
      <c r="Q133" s="46">
        <f>IFERROR(__xludf.DUMMYFUNCTION("""COMPUTED_VALUE"""),0.0)</f>
        <v>0</v>
      </c>
      <c r="R133" s="64">
        <v>842.0</v>
      </c>
    </row>
    <row r="134" ht="21.0" customHeight="1">
      <c r="A134" s="42">
        <v>44525.0</v>
      </c>
      <c r="B134" s="43">
        <v>44525.908101851855</v>
      </c>
      <c r="C134" s="17" t="s">
        <v>972</v>
      </c>
      <c r="D134" s="17" t="s">
        <v>1365</v>
      </c>
      <c r="E134" s="17" t="s">
        <v>84</v>
      </c>
      <c r="F134" s="17" t="s">
        <v>50</v>
      </c>
      <c r="G134" s="17" t="s">
        <v>1366</v>
      </c>
      <c r="H134" s="44" t="s">
        <v>1367</v>
      </c>
      <c r="I134" s="63">
        <v>1.0</v>
      </c>
      <c r="J134" s="63">
        <v>1904.0</v>
      </c>
      <c r="K134" s="63">
        <v>2053.0</v>
      </c>
      <c r="L134" s="63">
        <v>40.0</v>
      </c>
      <c r="M134" s="63">
        <v>79.0</v>
      </c>
      <c r="N134" s="63">
        <v>1904.0</v>
      </c>
      <c r="O134" s="46">
        <v>48.0</v>
      </c>
      <c r="P134" s="46">
        <v>21.0</v>
      </c>
      <c r="Q134" s="46">
        <f>IFERROR(__xludf.DUMMYFUNCTION("""COMPUTED_VALUE"""),0.0)</f>
        <v>0</v>
      </c>
      <c r="R134" s="64">
        <v>149.0</v>
      </c>
    </row>
    <row r="135" ht="21.0" customHeight="1">
      <c r="A135" s="42">
        <v>44526.0</v>
      </c>
      <c r="B135" s="43">
        <v>44526.45836805556</v>
      </c>
      <c r="C135" s="17" t="s">
        <v>972</v>
      </c>
      <c r="D135" s="17" t="s">
        <v>1368</v>
      </c>
      <c r="E135" s="17" t="s">
        <v>80</v>
      </c>
      <c r="F135" s="17" t="s">
        <v>55</v>
      </c>
      <c r="G135" s="17" t="s">
        <v>1369</v>
      </c>
      <c r="H135" s="44" t="s">
        <v>1370</v>
      </c>
      <c r="I135" s="63">
        <v>1.0</v>
      </c>
      <c r="J135" s="63">
        <v>438.0</v>
      </c>
      <c r="K135" s="63">
        <v>451.0</v>
      </c>
      <c r="L135" s="63">
        <v>3.0</v>
      </c>
      <c r="M135" s="63">
        <v>16.0</v>
      </c>
      <c r="N135" s="63">
        <v>438.0</v>
      </c>
      <c r="O135" s="46">
        <v>48.0</v>
      </c>
      <c r="P135" s="46">
        <v>11.0</v>
      </c>
      <c r="Q135" s="46">
        <f>IFERROR(__xludf.DUMMYFUNCTION("""COMPUTED_VALUE"""),0.0)</f>
        <v>0</v>
      </c>
      <c r="R135" s="64">
        <v>13.0</v>
      </c>
    </row>
    <row r="136" ht="21.0" customHeight="1">
      <c r="A136" s="42">
        <v>44526.0</v>
      </c>
      <c r="B136" s="43">
        <v>44526.57513888889</v>
      </c>
      <c r="C136" s="17" t="s">
        <v>972</v>
      </c>
      <c r="D136" s="17" t="s">
        <v>1371</v>
      </c>
      <c r="E136" s="17" t="s">
        <v>84</v>
      </c>
      <c r="F136" s="17" t="s">
        <v>50</v>
      </c>
      <c r="G136" s="17" t="s">
        <v>1372</v>
      </c>
      <c r="H136" s="44" t="s">
        <v>1373</v>
      </c>
      <c r="I136" s="63">
        <v>1.0</v>
      </c>
      <c r="J136" s="63">
        <v>918.0</v>
      </c>
      <c r="K136" s="63">
        <v>938.0</v>
      </c>
      <c r="L136" s="63">
        <v>42.0</v>
      </c>
      <c r="M136" s="63">
        <v>14.0</v>
      </c>
      <c r="N136" s="63">
        <v>918.0</v>
      </c>
      <c r="O136" s="46">
        <v>48.0</v>
      </c>
      <c r="P136" s="46">
        <v>13.0</v>
      </c>
      <c r="Q136" s="46">
        <f>IFERROR(__xludf.DUMMYFUNCTION("""COMPUTED_VALUE"""),0.0)</f>
        <v>0</v>
      </c>
      <c r="R136" s="64">
        <v>20.0</v>
      </c>
    </row>
    <row r="137" ht="21.0" customHeight="1">
      <c r="A137" s="42">
        <v>44526.0</v>
      </c>
      <c r="B137" s="43">
        <v>44526.625023148146</v>
      </c>
      <c r="C137" s="17" t="s">
        <v>972</v>
      </c>
      <c r="D137" s="17" t="s">
        <v>1374</v>
      </c>
      <c r="E137" s="17" t="s">
        <v>84</v>
      </c>
      <c r="F137" s="17" t="s">
        <v>47</v>
      </c>
      <c r="G137" s="17" t="s">
        <v>1375</v>
      </c>
      <c r="H137" s="44" t="s">
        <v>1376</v>
      </c>
      <c r="I137" s="63">
        <v>1.0</v>
      </c>
      <c r="J137" s="63">
        <v>95.0</v>
      </c>
      <c r="K137" s="63">
        <v>97.0</v>
      </c>
      <c r="L137" s="63">
        <v>0.0</v>
      </c>
      <c r="M137" s="63">
        <v>1.0</v>
      </c>
      <c r="N137" s="63">
        <v>95.0</v>
      </c>
      <c r="O137" s="46">
        <v>48.0</v>
      </c>
      <c r="P137" s="46">
        <v>15.0</v>
      </c>
      <c r="Q137" s="46">
        <f>IFERROR(__xludf.DUMMYFUNCTION("""COMPUTED_VALUE"""),0.0)</f>
        <v>0</v>
      </c>
      <c r="R137" s="64">
        <v>2.0</v>
      </c>
    </row>
    <row r="138" ht="21.0" customHeight="1">
      <c r="A138" s="42">
        <v>44526.0</v>
      </c>
      <c r="B138" s="43">
        <v>44526.691041666665</v>
      </c>
      <c r="C138" s="17" t="s">
        <v>972</v>
      </c>
      <c r="D138" s="17" t="s">
        <v>1377</v>
      </c>
      <c r="E138" s="17" t="s">
        <v>80</v>
      </c>
      <c r="F138" s="17" t="s">
        <v>55</v>
      </c>
      <c r="G138" s="17" t="s">
        <v>1378</v>
      </c>
      <c r="H138" s="44" t="s">
        <v>1379</v>
      </c>
      <c r="I138" s="63">
        <v>1.0</v>
      </c>
      <c r="J138" s="63">
        <v>840.0</v>
      </c>
      <c r="K138" s="63">
        <v>872.0</v>
      </c>
      <c r="L138" s="63">
        <v>6.0</v>
      </c>
      <c r="M138" s="63">
        <v>33.0</v>
      </c>
      <c r="N138" s="63">
        <v>840.0</v>
      </c>
      <c r="O138" s="46">
        <v>48.0</v>
      </c>
      <c r="P138" s="46">
        <v>16.0</v>
      </c>
      <c r="Q138" s="46">
        <f>IFERROR(__xludf.DUMMYFUNCTION("""COMPUTED_VALUE"""),0.0)</f>
        <v>0</v>
      </c>
      <c r="R138" s="64">
        <v>32.0</v>
      </c>
    </row>
    <row r="139" ht="21.0" customHeight="1">
      <c r="A139" s="42">
        <v>44526.0</v>
      </c>
      <c r="B139" s="43">
        <v>44526.83335648148</v>
      </c>
      <c r="C139" s="17" t="s">
        <v>972</v>
      </c>
      <c r="D139" s="17" t="s">
        <v>1380</v>
      </c>
      <c r="E139" s="17" t="s">
        <v>84</v>
      </c>
      <c r="F139" s="17" t="s">
        <v>50</v>
      </c>
      <c r="G139" s="17" t="s">
        <v>1381</v>
      </c>
      <c r="H139" s="44" t="s">
        <v>1382</v>
      </c>
      <c r="I139" s="63">
        <v>1.0</v>
      </c>
      <c r="J139" s="63">
        <v>1816.0</v>
      </c>
      <c r="K139" s="63">
        <v>1917.0</v>
      </c>
      <c r="L139" s="63">
        <v>12.0</v>
      </c>
      <c r="M139" s="63">
        <v>31.0</v>
      </c>
      <c r="N139" s="63">
        <v>1816.0</v>
      </c>
      <c r="O139" s="46">
        <v>48.0</v>
      </c>
      <c r="P139" s="46">
        <v>20.0</v>
      </c>
      <c r="Q139" s="46">
        <f>IFERROR(__xludf.DUMMYFUNCTION("""COMPUTED_VALUE"""),0.0)</f>
        <v>0</v>
      </c>
      <c r="R139" s="64">
        <v>101.0</v>
      </c>
    </row>
    <row r="140" ht="21.0" customHeight="1">
      <c r="A140" s="42">
        <v>44527.0</v>
      </c>
      <c r="B140" s="43">
        <v>44527.41667824074</v>
      </c>
      <c r="C140" s="17" t="s">
        <v>972</v>
      </c>
      <c r="D140" s="17" t="s">
        <v>1383</v>
      </c>
      <c r="E140" s="17" t="s">
        <v>109</v>
      </c>
      <c r="F140" s="17" t="s">
        <v>49</v>
      </c>
      <c r="G140" s="17" t="s">
        <v>1384</v>
      </c>
      <c r="H140" s="44" t="s">
        <v>1385</v>
      </c>
      <c r="I140" s="63">
        <v>1.0</v>
      </c>
      <c r="J140" s="63">
        <v>481.0</v>
      </c>
      <c r="K140" s="63">
        <v>494.0</v>
      </c>
      <c r="L140" s="63">
        <v>0.0</v>
      </c>
      <c r="M140" s="63">
        <v>13.0</v>
      </c>
      <c r="N140" s="63">
        <v>481.0</v>
      </c>
      <c r="O140" s="46">
        <v>48.0</v>
      </c>
      <c r="P140" s="46">
        <v>10.0</v>
      </c>
      <c r="Q140" s="46">
        <f>IFERROR(__xludf.DUMMYFUNCTION("""COMPUTED_VALUE"""),0.0)</f>
        <v>0</v>
      </c>
      <c r="R140" s="64">
        <v>13.0</v>
      </c>
    </row>
    <row r="141" ht="21.0" customHeight="1">
      <c r="A141" s="42">
        <v>44527.0</v>
      </c>
      <c r="B141" s="43">
        <v>44527.49930555555</v>
      </c>
      <c r="C141" s="17" t="s">
        <v>972</v>
      </c>
      <c r="D141" s="17" t="s">
        <v>1386</v>
      </c>
      <c r="E141" s="17" t="s">
        <v>84</v>
      </c>
      <c r="F141" s="17" t="s">
        <v>50</v>
      </c>
      <c r="G141" s="17" t="s">
        <v>1387</v>
      </c>
      <c r="H141" s="44" t="s">
        <v>1388</v>
      </c>
      <c r="I141" s="63">
        <v>1.0</v>
      </c>
      <c r="J141" s="63">
        <v>2017.0</v>
      </c>
      <c r="K141" s="63">
        <v>2067.0</v>
      </c>
      <c r="L141" s="63">
        <v>28.0</v>
      </c>
      <c r="M141" s="63">
        <v>95.0</v>
      </c>
      <c r="N141" s="63">
        <v>2017.0</v>
      </c>
      <c r="O141" s="46">
        <v>48.0</v>
      </c>
      <c r="P141" s="46">
        <v>11.0</v>
      </c>
      <c r="Q141" s="46">
        <f>IFERROR(__xludf.DUMMYFUNCTION("""COMPUTED_VALUE"""),0.0)</f>
        <v>0</v>
      </c>
      <c r="R141" s="64">
        <v>50.0</v>
      </c>
    </row>
    <row r="142" ht="21.0" customHeight="1">
      <c r="A142" s="42">
        <v>44527.0</v>
      </c>
      <c r="B142" s="43">
        <v>44527.54174768519</v>
      </c>
      <c r="C142" s="17" t="s">
        <v>972</v>
      </c>
      <c r="D142" s="17" t="s">
        <v>1389</v>
      </c>
      <c r="E142" s="17" t="s">
        <v>80</v>
      </c>
      <c r="F142" s="17" t="s">
        <v>55</v>
      </c>
      <c r="G142" s="17" t="s">
        <v>1390</v>
      </c>
      <c r="H142" s="44" t="s">
        <v>1391</v>
      </c>
      <c r="I142" s="63">
        <v>1.0</v>
      </c>
      <c r="J142" s="63">
        <v>169.0</v>
      </c>
      <c r="K142" s="63">
        <v>176.0</v>
      </c>
      <c r="L142" s="63">
        <v>0.0</v>
      </c>
      <c r="M142" s="63">
        <v>16.0</v>
      </c>
      <c r="N142" s="63">
        <v>169.0</v>
      </c>
      <c r="O142" s="46">
        <v>48.0</v>
      </c>
      <c r="P142" s="46">
        <v>13.0</v>
      </c>
      <c r="Q142" s="46">
        <f>IFERROR(__xludf.DUMMYFUNCTION("""COMPUTED_VALUE"""),0.0)</f>
        <v>0</v>
      </c>
      <c r="R142" s="64">
        <v>7.0</v>
      </c>
    </row>
    <row r="143" ht="21.0" customHeight="1">
      <c r="A143" s="42">
        <v>44527.0</v>
      </c>
      <c r="B143" s="43">
        <v>44527.583344907405</v>
      </c>
      <c r="C143" s="17" t="s">
        <v>972</v>
      </c>
      <c r="D143" s="17" t="s">
        <v>1392</v>
      </c>
      <c r="E143" s="17" t="s">
        <v>84</v>
      </c>
      <c r="F143" s="17" t="s">
        <v>50</v>
      </c>
      <c r="G143" s="17" t="s">
        <v>1393</v>
      </c>
      <c r="H143" s="44" t="s">
        <v>1394</v>
      </c>
      <c r="I143" s="63">
        <v>1.0</v>
      </c>
      <c r="J143" s="63">
        <v>201.0</v>
      </c>
      <c r="K143" s="63">
        <v>203.0</v>
      </c>
      <c r="L143" s="63">
        <v>5.0</v>
      </c>
      <c r="M143" s="63">
        <v>7.0</v>
      </c>
      <c r="N143" s="63">
        <v>201.0</v>
      </c>
      <c r="O143" s="46">
        <v>48.0</v>
      </c>
      <c r="P143" s="46">
        <v>14.0</v>
      </c>
      <c r="Q143" s="46">
        <f>IFERROR(__xludf.DUMMYFUNCTION("""COMPUTED_VALUE"""),1.0)</f>
        <v>1</v>
      </c>
      <c r="R143" s="64">
        <v>2.0</v>
      </c>
    </row>
    <row r="144" ht="21.0" customHeight="1">
      <c r="A144" s="42">
        <v>44527.0</v>
      </c>
      <c r="B144" s="43">
        <v>44527.87295138889</v>
      </c>
      <c r="C144" s="17" t="s">
        <v>972</v>
      </c>
      <c r="D144" s="17" t="s">
        <v>1395</v>
      </c>
      <c r="E144" s="17" t="s">
        <v>84</v>
      </c>
      <c r="F144" s="17" t="s">
        <v>50</v>
      </c>
      <c r="G144" s="17" t="s">
        <v>1396</v>
      </c>
      <c r="H144" s="44" t="s">
        <v>1397</v>
      </c>
      <c r="I144" s="63">
        <v>1.0</v>
      </c>
      <c r="J144" s="63">
        <v>797.0</v>
      </c>
      <c r="K144" s="63">
        <v>803.0</v>
      </c>
      <c r="L144" s="63">
        <v>10.0</v>
      </c>
      <c r="M144" s="63">
        <v>10.0</v>
      </c>
      <c r="N144" s="63">
        <v>797.0</v>
      </c>
      <c r="O144" s="46">
        <v>48.0</v>
      </c>
      <c r="P144" s="46">
        <v>20.0</v>
      </c>
      <c r="Q144" s="46">
        <f>IFERROR(__xludf.DUMMYFUNCTION("""COMPUTED_VALUE"""),0.0)</f>
        <v>0</v>
      </c>
      <c r="R144" s="64">
        <v>6.0</v>
      </c>
    </row>
    <row r="145" ht="21.0" customHeight="1">
      <c r="A145" s="42">
        <v>44527.0</v>
      </c>
      <c r="B145" s="43">
        <v>44527.88167824074</v>
      </c>
      <c r="C145" s="17" t="s">
        <v>972</v>
      </c>
      <c r="D145" s="17" t="s">
        <v>1398</v>
      </c>
      <c r="E145" s="17" t="s">
        <v>84</v>
      </c>
      <c r="F145" s="17" t="s">
        <v>50</v>
      </c>
      <c r="G145" s="17" t="s">
        <v>1399</v>
      </c>
      <c r="H145" s="44" t="s">
        <v>1400</v>
      </c>
      <c r="I145" s="63">
        <v>1.0</v>
      </c>
      <c r="J145" s="63">
        <v>169.0</v>
      </c>
      <c r="K145" s="63">
        <v>171.0</v>
      </c>
      <c r="L145" s="63">
        <v>0.0</v>
      </c>
      <c r="M145" s="63">
        <v>3.0</v>
      </c>
      <c r="N145" s="63">
        <v>169.0</v>
      </c>
      <c r="O145" s="46">
        <v>48.0</v>
      </c>
      <c r="P145" s="46">
        <v>21.0</v>
      </c>
      <c r="Q145" s="46">
        <f>IFERROR(__xludf.DUMMYFUNCTION("""COMPUTED_VALUE"""),0.0)</f>
        <v>0</v>
      </c>
      <c r="R145" s="64">
        <v>2.0</v>
      </c>
    </row>
    <row r="146" ht="21.0" customHeight="1">
      <c r="A146" s="42">
        <v>44528.0</v>
      </c>
      <c r="B146" s="43">
        <v>44528.49935185185</v>
      </c>
      <c r="C146" s="17" t="s">
        <v>972</v>
      </c>
      <c r="D146" s="17" t="s">
        <v>1401</v>
      </c>
      <c r="E146" s="17" t="s">
        <v>84</v>
      </c>
      <c r="F146" s="17" t="s">
        <v>50</v>
      </c>
      <c r="G146" s="17" t="s">
        <v>1402</v>
      </c>
      <c r="H146" s="44" t="s">
        <v>1403</v>
      </c>
      <c r="I146" s="63">
        <v>1.0</v>
      </c>
      <c r="J146" s="63">
        <v>958.0</v>
      </c>
      <c r="K146" s="63">
        <v>983.0</v>
      </c>
      <c r="L146" s="63">
        <v>11.0</v>
      </c>
      <c r="M146" s="63">
        <v>21.0</v>
      </c>
      <c r="N146" s="63">
        <v>958.0</v>
      </c>
      <c r="O146" s="46">
        <v>49.0</v>
      </c>
      <c r="P146" s="46">
        <v>11.0</v>
      </c>
      <c r="Q146" s="46">
        <f>IFERROR(__xludf.DUMMYFUNCTION("""COMPUTED_VALUE"""),0.0)</f>
        <v>0</v>
      </c>
      <c r="R146" s="64">
        <v>25.0</v>
      </c>
    </row>
    <row r="147" ht="21.0" customHeight="1">
      <c r="A147" s="42">
        <v>44528.0</v>
      </c>
      <c r="B147" s="43">
        <v>44528.86565972222</v>
      </c>
      <c r="C147" s="17" t="s">
        <v>972</v>
      </c>
      <c r="D147" s="17" t="s">
        <v>1404</v>
      </c>
      <c r="E147" s="17" t="s">
        <v>84</v>
      </c>
      <c r="F147" s="17" t="s">
        <v>50</v>
      </c>
      <c r="G147" s="17" t="s">
        <v>1405</v>
      </c>
      <c r="H147" s="44" t="s">
        <v>1406</v>
      </c>
      <c r="I147" s="63">
        <v>1.0</v>
      </c>
      <c r="J147" s="63">
        <v>926.0</v>
      </c>
      <c r="K147" s="63">
        <v>935.0</v>
      </c>
      <c r="L147" s="63">
        <v>34.0</v>
      </c>
      <c r="M147" s="63">
        <v>13.0</v>
      </c>
      <c r="N147" s="63">
        <v>926.0</v>
      </c>
      <c r="O147" s="46">
        <v>49.0</v>
      </c>
      <c r="P147" s="46">
        <v>20.0</v>
      </c>
      <c r="Q147" s="46">
        <f>IFERROR(__xludf.DUMMYFUNCTION("""COMPUTED_VALUE"""),0.0)</f>
        <v>0</v>
      </c>
      <c r="R147" s="64">
        <v>9.0</v>
      </c>
    </row>
    <row r="148" ht="21.0" customHeight="1">
      <c r="A148" s="42">
        <v>44529.0</v>
      </c>
      <c r="B148" s="43">
        <v>44529.54167824074</v>
      </c>
      <c r="C148" s="17" t="s">
        <v>972</v>
      </c>
      <c r="D148" s="17" t="s">
        <v>1407</v>
      </c>
      <c r="E148" s="17" t="s">
        <v>84</v>
      </c>
      <c r="F148" s="17" t="s">
        <v>50</v>
      </c>
      <c r="G148" s="17" t="s">
        <v>1408</v>
      </c>
      <c r="H148" s="44" t="s">
        <v>1409</v>
      </c>
      <c r="I148" s="63">
        <v>1.0</v>
      </c>
      <c r="J148" s="63">
        <v>1088.0</v>
      </c>
      <c r="K148" s="63">
        <v>1113.0</v>
      </c>
      <c r="L148" s="63">
        <v>20.0</v>
      </c>
      <c r="M148" s="63">
        <v>34.0</v>
      </c>
      <c r="N148" s="63">
        <v>1088.0</v>
      </c>
      <c r="O148" s="46">
        <v>49.0</v>
      </c>
      <c r="P148" s="46">
        <v>13.0</v>
      </c>
      <c r="Q148" s="46">
        <f>IFERROR(__xludf.DUMMYFUNCTION("""COMPUTED_VALUE"""),0.0)</f>
        <v>0</v>
      </c>
      <c r="R148" s="64">
        <v>25.0</v>
      </c>
    </row>
    <row r="149" ht="21.0" customHeight="1">
      <c r="A149" s="42">
        <v>44529.0</v>
      </c>
      <c r="B149" s="43">
        <v>44529.55570601852</v>
      </c>
      <c r="C149" s="17" t="s">
        <v>972</v>
      </c>
      <c r="D149" s="17" t="s">
        <v>1410</v>
      </c>
      <c r="E149" s="17" t="s">
        <v>80</v>
      </c>
      <c r="F149" s="17" t="s">
        <v>55</v>
      </c>
      <c r="G149" s="17" t="s">
        <v>1411</v>
      </c>
      <c r="H149" s="44" t="s">
        <v>1412</v>
      </c>
      <c r="I149" s="63">
        <v>1.0</v>
      </c>
      <c r="J149" s="63">
        <v>562.0</v>
      </c>
      <c r="K149" s="63">
        <v>572.0</v>
      </c>
      <c r="L149" s="63">
        <v>1.0</v>
      </c>
      <c r="M149" s="63">
        <v>31.0</v>
      </c>
      <c r="N149" s="63">
        <v>562.0</v>
      </c>
      <c r="O149" s="46">
        <v>49.0</v>
      </c>
      <c r="P149" s="46">
        <v>13.0</v>
      </c>
      <c r="Q149" s="46">
        <f>IFERROR(__xludf.DUMMYFUNCTION("""COMPUTED_VALUE"""),0.0)</f>
        <v>0</v>
      </c>
      <c r="R149" s="64">
        <v>10.0</v>
      </c>
    </row>
    <row r="150" ht="21.0" customHeight="1">
      <c r="A150" s="42">
        <v>44529.0</v>
      </c>
      <c r="B150" s="43">
        <v>44529.62556712963</v>
      </c>
      <c r="C150" s="17" t="s">
        <v>972</v>
      </c>
      <c r="D150" s="17" t="s">
        <v>1413</v>
      </c>
      <c r="E150" s="17" t="s">
        <v>80</v>
      </c>
      <c r="F150" s="17" t="s">
        <v>55</v>
      </c>
      <c r="G150" s="17" t="s">
        <v>1414</v>
      </c>
      <c r="H150" s="44" t="s">
        <v>1415</v>
      </c>
      <c r="I150" s="63">
        <v>1.0</v>
      </c>
      <c r="J150" s="63">
        <v>134.0</v>
      </c>
      <c r="K150" s="63">
        <v>145.0</v>
      </c>
      <c r="L150" s="63">
        <v>1.0</v>
      </c>
      <c r="M150" s="63">
        <v>25.0</v>
      </c>
      <c r="N150" s="63">
        <v>134.0</v>
      </c>
      <c r="O150" s="46">
        <v>49.0</v>
      </c>
      <c r="P150" s="46">
        <v>15.0</v>
      </c>
      <c r="Q150" s="46">
        <f>IFERROR(__xludf.DUMMYFUNCTION("""COMPUTED_VALUE"""),0.0)</f>
        <v>0</v>
      </c>
      <c r="R150" s="64">
        <v>11.0</v>
      </c>
    </row>
    <row r="151" ht="21.0" customHeight="1">
      <c r="A151" s="42">
        <v>44529.0</v>
      </c>
      <c r="B151" s="43">
        <v>44529.666712962964</v>
      </c>
      <c r="C151" s="17" t="s">
        <v>972</v>
      </c>
      <c r="D151" s="17" t="s">
        <v>1416</v>
      </c>
      <c r="E151" s="17" t="s">
        <v>84</v>
      </c>
      <c r="F151" s="17" t="s">
        <v>50</v>
      </c>
      <c r="G151" s="17" t="s">
        <v>1417</v>
      </c>
      <c r="H151" s="44" t="s">
        <v>1418</v>
      </c>
      <c r="I151" s="63">
        <v>1.0</v>
      </c>
      <c r="J151" s="63">
        <v>203.0</v>
      </c>
      <c r="K151" s="63">
        <v>203.0</v>
      </c>
      <c r="L151" s="63">
        <v>0.0</v>
      </c>
      <c r="M151" s="63">
        <v>2.0</v>
      </c>
      <c r="N151" s="63">
        <v>203.0</v>
      </c>
      <c r="O151" s="46">
        <v>49.0</v>
      </c>
      <c r="P151" s="46">
        <v>16.0</v>
      </c>
      <c r="Q151" s="46">
        <f>IFERROR(__xludf.DUMMYFUNCTION("""COMPUTED_VALUE"""),0.0)</f>
        <v>0</v>
      </c>
      <c r="R151" s="64">
        <v>0.0</v>
      </c>
    </row>
    <row r="152" ht="21.0" customHeight="1">
      <c r="A152" s="42">
        <v>44529.0</v>
      </c>
      <c r="B152" s="43">
        <v>44529.68659722222</v>
      </c>
      <c r="C152" s="17" t="s">
        <v>972</v>
      </c>
      <c r="D152" s="17" t="s">
        <v>1419</v>
      </c>
      <c r="E152" s="17" t="s">
        <v>80</v>
      </c>
      <c r="F152" s="17" t="s">
        <v>55</v>
      </c>
      <c r="G152" s="17" t="s">
        <v>1420</v>
      </c>
      <c r="H152" s="44" t="s">
        <v>1421</v>
      </c>
      <c r="I152" s="63">
        <v>1.0</v>
      </c>
      <c r="J152" s="63">
        <v>501.0</v>
      </c>
      <c r="K152" s="63">
        <v>686.0</v>
      </c>
      <c r="L152" s="63">
        <v>220.0</v>
      </c>
      <c r="M152" s="63">
        <v>110.0</v>
      </c>
      <c r="N152" s="63">
        <v>501.0</v>
      </c>
      <c r="O152" s="46">
        <v>49.0</v>
      </c>
      <c r="P152" s="46">
        <v>16.0</v>
      </c>
      <c r="Q152" s="46">
        <f>IFERROR(__xludf.DUMMYFUNCTION("""COMPUTED_VALUE"""),0.0)</f>
        <v>0</v>
      </c>
      <c r="R152" s="64">
        <v>185.0</v>
      </c>
    </row>
    <row r="153" ht="21.0" customHeight="1">
      <c r="A153" s="42">
        <v>44529.0</v>
      </c>
      <c r="B153" s="43">
        <v>44529.6875</v>
      </c>
      <c r="C153" s="17" t="s">
        <v>972</v>
      </c>
      <c r="D153" s="17" t="s">
        <v>1422</v>
      </c>
      <c r="E153" s="17" t="s">
        <v>109</v>
      </c>
      <c r="F153" s="17" t="s">
        <v>49</v>
      </c>
      <c r="G153" s="17" t="s">
        <v>1423</v>
      </c>
      <c r="H153" s="44" t="s">
        <v>1424</v>
      </c>
      <c r="I153" s="63">
        <v>1.0</v>
      </c>
      <c r="J153" s="63">
        <v>45.0</v>
      </c>
      <c r="K153" s="63">
        <v>46.0</v>
      </c>
      <c r="L153" s="63">
        <v>0.0</v>
      </c>
      <c r="M153" s="63">
        <v>2.0</v>
      </c>
      <c r="N153" s="63">
        <v>45.0</v>
      </c>
      <c r="O153" s="46">
        <v>49.0</v>
      </c>
      <c r="P153" s="46">
        <v>16.0</v>
      </c>
      <c r="Q153" s="46">
        <f>IFERROR(__xludf.DUMMYFUNCTION("""COMPUTED_VALUE"""),0.0)</f>
        <v>0</v>
      </c>
      <c r="R153" s="64">
        <v>1.0</v>
      </c>
    </row>
    <row r="154" ht="21.0" customHeight="1">
      <c r="A154" s="42">
        <v>44529.0</v>
      </c>
      <c r="B154" s="43">
        <v>44529.89931712963</v>
      </c>
      <c r="C154" s="17" t="s">
        <v>972</v>
      </c>
      <c r="D154" s="17" t="s">
        <v>1425</v>
      </c>
      <c r="E154" s="17" t="s">
        <v>84</v>
      </c>
      <c r="F154" s="17" t="s">
        <v>50</v>
      </c>
      <c r="G154" s="17" t="s">
        <v>1426</v>
      </c>
      <c r="H154" s="44" t="s">
        <v>1427</v>
      </c>
      <c r="I154" s="63">
        <v>1.0</v>
      </c>
      <c r="J154" s="63">
        <v>929.0</v>
      </c>
      <c r="K154" s="63">
        <v>937.0</v>
      </c>
      <c r="L154" s="63">
        <v>16.0</v>
      </c>
      <c r="M154" s="63">
        <v>9.0</v>
      </c>
      <c r="N154" s="63">
        <v>929.0</v>
      </c>
      <c r="O154" s="46">
        <v>49.0</v>
      </c>
      <c r="P154" s="46">
        <v>21.0</v>
      </c>
      <c r="Q154" s="46">
        <f>IFERROR(__xludf.DUMMYFUNCTION("""COMPUTED_VALUE"""),0.0)</f>
        <v>0</v>
      </c>
      <c r="R154" s="64">
        <v>8.0</v>
      </c>
    </row>
    <row r="155" ht="21.0" customHeight="1">
      <c r="A155" s="42">
        <v>44530.0</v>
      </c>
      <c r="B155" s="43">
        <v>44530.37509259259</v>
      </c>
      <c r="C155" s="17" t="s">
        <v>972</v>
      </c>
      <c r="D155" s="17" t="s">
        <v>1428</v>
      </c>
      <c r="E155" s="17" t="s">
        <v>80</v>
      </c>
      <c r="F155" s="17" t="s">
        <v>55</v>
      </c>
      <c r="G155" s="17" t="s">
        <v>1429</v>
      </c>
      <c r="H155" s="44" t="s">
        <v>1430</v>
      </c>
      <c r="I155" s="63">
        <v>1.0</v>
      </c>
      <c r="J155" s="63">
        <v>186.0</v>
      </c>
      <c r="K155" s="63">
        <v>190.0</v>
      </c>
      <c r="L155" s="63">
        <v>0.0</v>
      </c>
      <c r="M155" s="63">
        <v>10.0</v>
      </c>
      <c r="N155" s="63">
        <v>186.0</v>
      </c>
      <c r="O155" s="46">
        <v>49.0</v>
      </c>
      <c r="P155" s="46">
        <v>9.0</v>
      </c>
      <c r="Q155" s="46">
        <f>IFERROR(__xludf.DUMMYFUNCTION("""COMPUTED_VALUE"""),0.0)</f>
        <v>0</v>
      </c>
      <c r="R155" s="64">
        <v>4.0</v>
      </c>
    </row>
    <row r="156" ht="21.0" customHeight="1">
      <c r="A156" s="42">
        <v>44530.0</v>
      </c>
      <c r="B156" s="43">
        <v>44530.55221064815</v>
      </c>
      <c r="C156" s="17" t="s">
        <v>972</v>
      </c>
      <c r="D156" s="17" t="s">
        <v>1431</v>
      </c>
      <c r="E156" s="17" t="s">
        <v>84</v>
      </c>
      <c r="F156" s="17" t="s">
        <v>50</v>
      </c>
      <c r="G156" s="17" t="s">
        <v>1432</v>
      </c>
      <c r="H156" s="44" t="s">
        <v>1433</v>
      </c>
      <c r="I156" s="63">
        <v>1.0</v>
      </c>
      <c r="J156" s="63">
        <v>507.0</v>
      </c>
      <c r="K156" s="63">
        <v>512.0</v>
      </c>
      <c r="L156" s="63">
        <v>7.0</v>
      </c>
      <c r="M156" s="63">
        <v>17.0</v>
      </c>
      <c r="N156" s="63">
        <v>507.0</v>
      </c>
      <c r="O156" s="46">
        <v>49.0</v>
      </c>
      <c r="P156" s="46">
        <v>13.0</v>
      </c>
      <c r="Q156" s="46">
        <f>IFERROR(__xludf.DUMMYFUNCTION("""COMPUTED_VALUE"""),0.0)</f>
        <v>0</v>
      </c>
      <c r="R156" s="64">
        <v>5.0</v>
      </c>
    </row>
    <row r="157" ht="21.0" customHeight="1">
      <c r="A157" s="42">
        <v>44530.0</v>
      </c>
      <c r="B157" s="43">
        <v>44530.79803240741</v>
      </c>
      <c r="C157" s="17" t="s">
        <v>972</v>
      </c>
      <c r="D157" s="17" t="s">
        <v>1434</v>
      </c>
      <c r="E157" s="17" t="s">
        <v>84</v>
      </c>
      <c r="F157" s="17" t="s">
        <v>50</v>
      </c>
      <c r="G157" s="17" t="s">
        <v>1435</v>
      </c>
      <c r="H157" s="44" t="s">
        <v>1436</v>
      </c>
      <c r="I157" s="63">
        <v>1.0</v>
      </c>
      <c r="J157" s="63">
        <v>3924.0</v>
      </c>
      <c r="K157" s="63">
        <v>4396.0</v>
      </c>
      <c r="L157" s="63">
        <v>69.0</v>
      </c>
      <c r="M157" s="63">
        <v>532.0</v>
      </c>
      <c r="N157" s="63">
        <v>3924.0</v>
      </c>
      <c r="O157" s="46">
        <v>49.0</v>
      </c>
      <c r="P157" s="46">
        <v>19.0</v>
      </c>
      <c r="Q157" s="46">
        <f>IFERROR(__xludf.DUMMYFUNCTION("""COMPUTED_VALUE"""),0.0)</f>
        <v>0</v>
      </c>
      <c r="R157" s="64">
        <v>472.0</v>
      </c>
    </row>
    <row r="158" ht="21.0" customHeight="1">
      <c r="A158" s="42">
        <v>44530.0</v>
      </c>
      <c r="B158" s="43">
        <v>44530.86976851852</v>
      </c>
      <c r="C158" s="17" t="s">
        <v>972</v>
      </c>
      <c r="D158" s="17" t="s">
        <v>1437</v>
      </c>
      <c r="E158" s="17" t="s">
        <v>84</v>
      </c>
      <c r="F158" s="17" t="s">
        <v>50</v>
      </c>
      <c r="G158" s="17" t="s">
        <v>1438</v>
      </c>
      <c r="H158" s="44" t="s">
        <v>1439</v>
      </c>
      <c r="I158" s="63">
        <v>1.0</v>
      </c>
      <c r="J158" s="63">
        <v>1589.0</v>
      </c>
      <c r="K158" s="63">
        <v>1682.0</v>
      </c>
      <c r="L158" s="63">
        <v>19.0</v>
      </c>
      <c r="M158" s="63">
        <v>41.0</v>
      </c>
      <c r="N158" s="63">
        <v>1589.0</v>
      </c>
      <c r="O158" s="46">
        <v>49.0</v>
      </c>
      <c r="P158" s="46">
        <v>20.0</v>
      </c>
      <c r="Q158" s="46">
        <f>IFERROR(__xludf.DUMMYFUNCTION("""COMPUTED_VALUE"""),0.0)</f>
        <v>0</v>
      </c>
      <c r="R158" s="64">
        <v>93.0</v>
      </c>
    </row>
    <row r="159" ht="21.0" customHeight="1">
      <c r="A159" s="42">
        <v>44530.0</v>
      </c>
      <c r="B159" s="43">
        <v>44530.87503472222</v>
      </c>
      <c r="C159" s="17" t="s">
        <v>972</v>
      </c>
      <c r="D159" s="17" t="s">
        <v>1440</v>
      </c>
      <c r="E159" s="17" t="s">
        <v>84</v>
      </c>
      <c r="F159" s="17" t="s">
        <v>50</v>
      </c>
      <c r="G159" s="17" t="s">
        <v>1441</v>
      </c>
      <c r="H159" s="44" t="s">
        <v>1442</v>
      </c>
      <c r="I159" s="63">
        <v>1.0</v>
      </c>
      <c r="J159" s="63">
        <v>156.0</v>
      </c>
      <c r="K159" s="63">
        <v>161.0</v>
      </c>
      <c r="L159" s="63">
        <v>14.0</v>
      </c>
      <c r="M159" s="63">
        <v>9.0</v>
      </c>
      <c r="N159" s="63">
        <v>156.0</v>
      </c>
      <c r="O159" s="46">
        <v>49.0</v>
      </c>
      <c r="P159" s="46">
        <v>21.0</v>
      </c>
      <c r="Q159" s="46">
        <f>IFERROR(__xludf.DUMMYFUNCTION("""COMPUTED_VALUE"""),0.0)</f>
        <v>0</v>
      </c>
      <c r="R159" s="64">
        <v>5.0</v>
      </c>
    </row>
    <row r="160" ht="21.0" customHeight="1">
      <c r="A160" s="42">
        <v>44531.0</v>
      </c>
      <c r="B160" s="43">
        <v>44531.37503472222</v>
      </c>
      <c r="C160" s="17" t="s">
        <v>972</v>
      </c>
      <c r="D160" s="17" t="s">
        <v>1443</v>
      </c>
      <c r="E160" s="17" t="s">
        <v>80</v>
      </c>
      <c r="F160" s="17" t="s">
        <v>55</v>
      </c>
      <c r="G160" s="17" t="s">
        <v>1444</v>
      </c>
      <c r="H160" s="44" t="s">
        <v>1445</v>
      </c>
      <c r="I160" s="63">
        <v>1.0</v>
      </c>
      <c r="J160" s="63">
        <v>133.0</v>
      </c>
      <c r="K160" s="63">
        <v>135.0</v>
      </c>
      <c r="L160" s="63">
        <v>0.0</v>
      </c>
      <c r="M160" s="63">
        <v>7.0</v>
      </c>
      <c r="N160" s="63">
        <v>133.0</v>
      </c>
      <c r="O160" s="46">
        <v>49.0</v>
      </c>
      <c r="P160" s="46">
        <v>9.0</v>
      </c>
      <c r="Q160" s="46">
        <f>IFERROR(__xludf.DUMMYFUNCTION("""COMPUTED_VALUE"""),0.0)</f>
        <v>0</v>
      </c>
      <c r="R160" s="64">
        <v>2.0</v>
      </c>
    </row>
    <row r="161" ht="21.0" customHeight="1">
      <c r="A161" s="42">
        <v>44531.0</v>
      </c>
      <c r="B161" s="43">
        <v>44531.55252314815</v>
      </c>
      <c r="C161" s="17" t="s">
        <v>972</v>
      </c>
      <c r="D161" s="17" t="s">
        <v>1446</v>
      </c>
      <c r="E161" s="17" t="s">
        <v>84</v>
      </c>
      <c r="F161" s="17" t="s">
        <v>50</v>
      </c>
      <c r="G161" s="17" t="s">
        <v>1447</v>
      </c>
      <c r="H161" s="44" t="s">
        <v>1448</v>
      </c>
      <c r="I161" s="63">
        <v>1.0</v>
      </c>
      <c r="J161" s="63">
        <v>341.0</v>
      </c>
      <c r="K161" s="63">
        <v>342.0</v>
      </c>
      <c r="L161" s="63">
        <v>6.0</v>
      </c>
      <c r="M161" s="63">
        <v>3.0</v>
      </c>
      <c r="N161" s="63">
        <v>341.0</v>
      </c>
      <c r="O161" s="46">
        <v>49.0</v>
      </c>
      <c r="P161" s="46">
        <v>13.0</v>
      </c>
      <c r="Q161" s="46">
        <f>IFERROR(__xludf.DUMMYFUNCTION("""COMPUTED_VALUE"""),0.0)</f>
        <v>0</v>
      </c>
      <c r="R161" s="64">
        <v>1.0</v>
      </c>
    </row>
    <row r="162" ht="21.0" customHeight="1">
      <c r="A162" s="42">
        <v>44531.0</v>
      </c>
      <c r="B162" s="43">
        <v>44531.59082175926</v>
      </c>
      <c r="C162" s="17" t="s">
        <v>972</v>
      </c>
      <c r="D162" s="17" t="s">
        <v>1449</v>
      </c>
      <c r="E162" s="17" t="s">
        <v>80</v>
      </c>
      <c r="F162" s="17" t="s">
        <v>55</v>
      </c>
      <c r="G162" s="17" t="s">
        <v>1450</v>
      </c>
      <c r="H162" s="44" t="s">
        <v>1451</v>
      </c>
      <c r="I162" s="63">
        <v>1.0</v>
      </c>
      <c r="J162" s="63">
        <v>60.0</v>
      </c>
      <c r="K162" s="63">
        <v>60.0</v>
      </c>
      <c r="L162" s="63">
        <v>0.0</v>
      </c>
      <c r="M162" s="63">
        <v>6.0</v>
      </c>
      <c r="N162" s="63">
        <v>60.0</v>
      </c>
      <c r="O162" s="46">
        <v>49.0</v>
      </c>
      <c r="P162" s="46">
        <v>14.0</v>
      </c>
      <c r="Q162" s="46">
        <f>IFERROR(__xludf.DUMMYFUNCTION("""COMPUTED_VALUE"""),0.0)</f>
        <v>0</v>
      </c>
      <c r="R162" s="64">
        <v>0.0</v>
      </c>
    </row>
    <row r="163" ht="21.0" customHeight="1">
      <c r="A163" s="42">
        <v>44531.0</v>
      </c>
      <c r="B163" s="43">
        <v>44531.625023148146</v>
      </c>
      <c r="C163" s="17" t="s">
        <v>972</v>
      </c>
      <c r="D163" s="17" t="s">
        <v>1452</v>
      </c>
      <c r="E163" s="17" t="s">
        <v>80</v>
      </c>
      <c r="F163" s="17" t="s">
        <v>55</v>
      </c>
      <c r="G163" s="17" t="s">
        <v>1453</v>
      </c>
      <c r="H163" s="44" t="s">
        <v>1454</v>
      </c>
      <c r="I163" s="63">
        <v>1.0</v>
      </c>
      <c r="J163" s="63">
        <v>3457.0</v>
      </c>
      <c r="K163" s="63">
        <v>3520.0</v>
      </c>
      <c r="L163" s="63">
        <v>6.0</v>
      </c>
      <c r="M163" s="63">
        <v>84.0</v>
      </c>
      <c r="N163" s="63">
        <v>3457.0</v>
      </c>
      <c r="O163" s="46">
        <v>49.0</v>
      </c>
      <c r="P163" s="46">
        <v>15.0</v>
      </c>
      <c r="Q163" s="46">
        <f>IFERROR(__xludf.DUMMYFUNCTION("""COMPUTED_VALUE"""),0.0)</f>
        <v>0</v>
      </c>
      <c r="R163" s="64">
        <v>63.0</v>
      </c>
    </row>
    <row r="164" ht="21.0" customHeight="1">
      <c r="A164" s="42">
        <v>44531.0</v>
      </c>
      <c r="B164" s="43">
        <v>44531.64244212963</v>
      </c>
      <c r="C164" s="17" t="s">
        <v>972</v>
      </c>
      <c r="D164" s="17" t="s">
        <v>1455</v>
      </c>
      <c r="E164" s="17" t="s">
        <v>80</v>
      </c>
      <c r="F164" s="17" t="s">
        <v>55</v>
      </c>
      <c r="G164" s="17" t="s">
        <v>1456</v>
      </c>
      <c r="H164" s="44" t="s">
        <v>1457</v>
      </c>
      <c r="I164" s="63">
        <v>1.0</v>
      </c>
      <c r="J164" s="63">
        <v>991.0</v>
      </c>
      <c r="K164" s="63">
        <v>1025.0</v>
      </c>
      <c r="L164" s="63">
        <v>31.0</v>
      </c>
      <c r="M164" s="63">
        <v>108.0</v>
      </c>
      <c r="N164" s="63">
        <v>991.0</v>
      </c>
      <c r="O164" s="46">
        <v>49.0</v>
      </c>
      <c r="P164" s="46">
        <v>15.0</v>
      </c>
      <c r="Q164" s="46">
        <f>IFERROR(__xludf.DUMMYFUNCTION("""COMPUTED_VALUE"""),0.0)</f>
        <v>0</v>
      </c>
      <c r="R164" s="64">
        <v>34.0</v>
      </c>
    </row>
    <row r="165" ht="21.0" customHeight="1">
      <c r="A165" s="42">
        <v>44531.0</v>
      </c>
      <c r="B165" s="43">
        <v>44531.68759259259</v>
      </c>
      <c r="C165" s="17" t="s">
        <v>972</v>
      </c>
      <c r="D165" s="17" t="s">
        <v>1458</v>
      </c>
      <c r="E165" s="17" t="s">
        <v>84</v>
      </c>
      <c r="F165" s="17" t="s">
        <v>50</v>
      </c>
      <c r="G165" s="17" t="s">
        <v>1459</v>
      </c>
      <c r="H165" s="44" t="s">
        <v>1460</v>
      </c>
      <c r="I165" s="63">
        <v>1.0</v>
      </c>
      <c r="J165" s="63">
        <v>563.0</v>
      </c>
      <c r="K165" s="63">
        <v>587.0</v>
      </c>
      <c r="L165" s="63">
        <v>2.0</v>
      </c>
      <c r="M165" s="63">
        <v>10.0</v>
      </c>
      <c r="N165" s="63">
        <v>563.0</v>
      </c>
      <c r="O165" s="46">
        <v>49.0</v>
      </c>
      <c r="P165" s="46">
        <v>16.0</v>
      </c>
      <c r="Q165" s="46">
        <f>IFERROR(__xludf.DUMMYFUNCTION("""COMPUTED_VALUE"""),0.0)</f>
        <v>0</v>
      </c>
      <c r="R165" s="64">
        <v>24.0</v>
      </c>
    </row>
    <row r="166" ht="21.0" customHeight="1">
      <c r="A166" s="42">
        <v>44531.0</v>
      </c>
      <c r="B166" s="43">
        <v>44531.92496527778</v>
      </c>
      <c r="C166" s="17" t="s">
        <v>972</v>
      </c>
      <c r="D166" s="17" t="s">
        <v>1461</v>
      </c>
      <c r="E166" s="17" t="s">
        <v>84</v>
      </c>
      <c r="F166" s="17" t="s">
        <v>50</v>
      </c>
      <c r="G166" s="17" t="s">
        <v>1462</v>
      </c>
      <c r="H166" s="44" t="s">
        <v>1463</v>
      </c>
      <c r="I166" s="63">
        <v>1.0</v>
      </c>
      <c r="J166" s="63">
        <v>687.0</v>
      </c>
      <c r="K166" s="63">
        <v>696.0</v>
      </c>
      <c r="L166" s="63">
        <v>15.0</v>
      </c>
      <c r="M166" s="63">
        <v>10.0</v>
      </c>
      <c r="N166" s="63">
        <v>687.0</v>
      </c>
      <c r="O166" s="46">
        <v>49.0</v>
      </c>
      <c r="P166" s="46">
        <v>22.0</v>
      </c>
      <c r="Q166" s="46">
        <f>IFERROR(__xludf.DUMMYFUNCTION("""COMPUTED_VALUE"""),0.0)</f>
        <v>0</v>
      </c>
      <c r="R166" s="64">
        <v>9.0</v>
      </c>
    </row>
    <row r="167" ht="21.0" customHeight="1">
      <c r="A167" s="42">
        <v>44532.0</v>
      </c>
      <c r="B167" s="43">
        <v>44532.54226851852</v>
      </c>
      <c r="C167" s="17" t="s">
        <v>972</v>
      </c>
      <c r="D167" s="17" t="s">
        <v>1464</v>
      </c>
      <c r="E167" s="17" t="s">
        <v>97</v>
      </c>
      <c r="F167" s="17" t="s">
        <v>52</v>
      </c>
      <c r="G167" s="17" t="s">
        <v>1465</v>
      </c>
      <c r="H167" s="44" t="s">
        <v>1466</v>
      </c>
      <c r="I167" s="63">
        <v>1.0</v>
      </c>
      <c r="J167" s="63">
        <v>179.0</v>
      </c>
      <c r="K167" s="63">
        <v>182.0</v>
      </c>
      <c r="L167" s="63">
        <v>2.0</v>
      </c>
      <c r="M167" s="63">
        <v>2.0</v>
      </c>
      <c r="N167" s="63">
        <v>179.0</v>
      </c>
      <c r="O167" s="46">
        <v>49.0</v>
      </c>
      <c r="P167" s="46">
        <v>13.0</v>
      </c>
      <c r="Q167" s="46">
        <f>IFERROR(__xludf.DUMMYFUNCTION("""COMPUTED_VALUE"""),0.0)</f>
        <v>0</v>
      </c>
      <c r="R167" s="64">
        <v>3.0</v>
      </c>
    </row>
    <row r="168" ht="21.0" customHeight="1">
      <c r="A168" s="42">
        <v>44532.0</v>
      </c>
      <c r="B168" s="43">
        <v>44532.58899305556</v>
      </c>
      <c r="C168" s="17" t="s">
        <v>972</v>
      </c>
      <c r="D168" s="17" t="s">
        <v>1467</v>
      </c>
      <c r="E168" s="17" t="s">
        <v>84</v>
      </c>
      <c r="F168" s="17" t="s">
        <v>50</v>
      </c>
      <c r="G168" s="17" t="s">
        <v>1468</v>
      </c>
      <c r="H168" s="44" t="s">
        <v>1469</v>
      </c>
      <c r="I168" s="63">
        <v>1.0</v>
      </c>
      <c r="J168" s="63">
        <v>462.0</v>
      </c>
      <c r="K168" s="63">
        <v>468.0</v>
      </c>
      <c r="L168" s="63">
        <v>4.0</v>
      </c>
      <c r="M168" s="63">
        <v>9.0</v>
      </c>
      <c r="N168" s="63">
        <v>462.0</v>
      </c>
      <c r="O168" s="46">
        <v>49.0</v>
      </c>
      <c r="P168" s="46">
        <v>14.0</v>
      </c>
      <c r="Q168" s="46">
        <f>IFERROR(__xludf.DUMMYFUNCTION("""COMPUTED_VALUE"""),0.0)</f>
        <v>0</v>
      </c>
      <c r="R168" s="64">
        <v>6.0</v>
      </c>
    </row>
    <row r="169" ht="21.0" customHeight="1">
      <c r="A169" s="42">
        <v>44532.0</v>
      </c>
      <c r="B169" s="43">
        <v>44532.62547453704</v>
      </c>
      <c r="C169" s="17" t="s">
        <v>972</v>
      </c>
      <c r="D169" s="17" t="s">
        <v>1470</v>
      </c>
      <c r="E169" s="17" t="s">
        <v>84</v>
      </c>
      <c r="F169" s="17" t="s">
        <v>47</v>
      </c>
      <c r="G169" s="17" t="s">
        <v>1471</v>
      </c>
      <c r="H169" s="44" t="s">
        <v>1472</v>
      </c>
      <c r="I169" s="63">
        <v>1.0</v>
      </c>
      <c r="J169" s="63">
        <v>257.0</v>
      </c>
      <c r="K169" s="63">
        <v>262.0</v>
      </c>
      <c r="L169" s="63">
        <v>13.0</v>
      </c>
      <c r="M169" s="63">
        <v>20.0</v>
      </c>
      <c r="N169" s="63">
        <v>257.0</v>
      </c>
      <c r="O169" s="46">
        <v>49.0</v>
      </c>
      <c r="P169" s="46">
        <v>15.0</v>
      </c>
      <c r="Q169" s="46">
        <f>IFERROR(__xludf.DUMMYFUNCTION("""COMPUTED_VALUE"""),0.0)</f>
        <v>0</v>
      </c>
      <c r="R169" s="64">
        <v>5.0</v>
      </c>
    </row>
    <row r="170" ht="21.0" customHeight="1">
      <c r="A170" s="42">
        <v>44532.0</v>
      </c>
      <c r="B170" s="43">
        <v>44532.868101851855</v>
      </c>
      <c r="C170" s="17" t="s">
        <v>972</v>
      </c>
      <c r="D170" s="17" t="s">
        <v>1473</v>
      </c>
      <c r="E170" s="17" t="s">
        <v>84</v>
      </c>
      <c r="F170" s="17" t="s">
        <v>50</v>
      </c>
      <c r="G170" s="17" t="s">
        <v>1474</v>
      </c>
      <c r="H170" s="44" t="s">
        <v>1475</v>
      </c>
      <c r="I170" s="63">
        <v>1.0</v>
      </c>
      <c r="J170" s="63">
        <v>899.0</v>
      </c>
      <c r="K170" s="63">
        <v>905.0</v>
      </c>
      <c r="L170" s="63">
        <v>34.0</v>
      </c>
      <c r="M170" s="63">
        <v>28.0</v>
      </c>
      <c r="N170" s="63">
        <v>899.0</v>
      </c>
      <c r="O170" s="46">
        <v>49.0</v>
      </c>
      <c r="P170" s="46">
        <v>20.0</v>
      </c>
      <c r="Q170" s="46">
        <f>IFERROR(__xludf.DUMMYFUNCTION("""COMPUTED_VALUE"""),0.0)</f>
        <v>0</v>
      </c>
      <c r="R170" s="64">
        <v>6.0</v>
      </c>
    </row>
    <row r="171" ht="21.0" customHeight="1">
      <c r="A171" s="42">
        <v>44533.0</v>
      </c>
      <c r="B171" s="43">
        <v>44533.458333333336</v>
      </c>
      <c r="C171" s="17" t="s">
        <v>972</v>
      </c>
      <c r="D171" s="17" t="s">
        <v>1476</v>
      </c>
      <c r="E171" s="17" t="s">
        <v>80</v>
      </c>
      <c r="F171" s="17" t="s">
        <v>55</v>
      </c>
      <c r="G171" s="17" t="s">
        <v>1477</v>
      </c>
      <c r="H171" s="44" t="s">
        <v>1478</v>
      </c>
      <c r="I171" s="63">
        <v>1.0</v>
      </c>
      <c r="J171" s="63">
        <v>128.0</v>
      </c>
      <c r="K171" s="63">
        <v>129.0</v>
      </c>
      <c r="L171" s="63">
        <v>2.0</v>
      </c>
      <c r="M171" s="63">
        <v>3.0</v>
      </c>
      <c r="N171" s="63">
        <v>128.0</v>
      </c>
      <c r="O171" s="46">
        <v>49.0</v>
      </c>
      <c r="P171" s="46">
        <v>11.0</v>
      </c>
      <c r="Q171" s="46">
        <f>IFERROR(__xludf.DUMMYFUNCTION("""COMPUTED_VALUE"""),0.0)</f>
        <v>0</v>
      </c>
      <c r="R171" s="64">
        <v>1.0</v>
      </c>
    </row>
    <row r="172" ht="21.0" customHeight="1">
      <c r="A172" s="42">
        <v>44533.0</v>
      </c>
      <c r="B172" s="43">
        <v>44533.62510416667</v>
      </c>
      <c r="C172" s="17" t="s">
        <v>972</v>
      </c>
      <c r="D172" s="17" t="s">
        <v>1479</v>
      </c>
      <c r="E172" s="17" t="s">
        <v>80</v>
      </c>
      <c r="F172" s="17" t="s">
        <v>55</v>
      </c>
      <c r="G172" s="17" t="s">
        <v>1480</v>
      </c>
      <c r="H172" s="44" t="s">
        <v>1481</v>
      </c>
      <c r="I172" s="63">
        <v>1.0</v>
      </c>
      <c r="J172" s="63">
        <v>195.0</v>
      </c>
      <c r="K172" s="63">
        <v>199.0</v>
      </c>
      <c r="L172" s="63">
        <v>0.0</v>
      </c>
      <c r="M172" s="63">
        <v>16.0</v>
      </c>
      <c r="N172" s="63">
        <v>195.0</v>
      </c>
      <c r="O172" s="46">
        <v>49.0</v>
      </c>
      <c r="P172" s="46">
        <v>15.0</v>
      </c>
      <c r="Q172" s="46">
        <f>IFERROR(__xludf.DUMMYFUNCTION("""COMPUTED_VALUE"""),0.0)</f>
        <v>0</v>
      </c>
      <c r="R172" s="64">
        <v>4.0</v>
      </c>
    </row>
    <row r="173" ht="21.0" customHeight="1">
      <c r="A173" s="42">
        <v>44533.0</v>
      </c>
      <c r="B173" s="43">
        <v>44533.667037037034</v>
      </c>
      <c r="C173" s="17" t="s">
        <v>972</v>
      </c>
      <c r="D173" s="17" t="s">
        <v>1482</v>
      </c>
      <c r="E173" s="17" t="s">
        <v>109</v>
      </c>
      <c r="F173" s="17" t="s">
        <v>49</v>
      </c>
      <c r="G173" s="17" t="s">
        <v>1483</v>
      </c>
      <c r="H173" s="44" t="s">
        <v>1484</v>
      </c>
      <c r="I173" s="63">
        <v>1.0</v>
      </c>
      <c r="J173" s="63">
        <v>126.0</v>
      </c>
      <c r="K173" s="63">
        <v>129.0</v>
      </c>
      <c r="L173" s="63">
        <v>1.0</v>
      </c>
      <c r="M173" s="63">
        <v>6.0</v>
      </c>
      <c r="N173" s="63">
        <v>126.0</v>
      </c>
      <c r="O173" s="46">
        <v>49.0</v>
      </c>
      <c r="P173" s="46">
        <v>16.0</v>
      </c>
      <c r="Q173" s="46">
        <f>IFERROR(__xludf.DUMMYFUNCTION("""COMPUTED_VALUE"""),0.0)</f>
        <v>0</v>
      </c>
      <c r="R173" s="64">
        <v>3.0</v>
      </c>
    </row>
    <row r="174" ht="21.0" customHeight="1">
      <c r="A174" s="42">
        <v>44533.0</v>
      </c>
      <c r="B174" s="43">
        <v>44533.77092592593</v>
      </c>
      <c r="C174" s="17" t="s">
        <v>972</v>
      </c>
      <c r="D174" s="17" t="s">
        <v>1485</v>
      </c>
      <c r="E174" s="17" t="s">
        <v>80</v>
      </c>
      <c r="F174" s="17" t="s">
        <v>55</v>
      </c>
      <c r="G174" s="17" t="s">
        <v>1486</v>
      </c>
      <c r="H174" s="44" t="s">
        <v>1487</v>
      </c>
      <c r="I174" s="63">
        <v>1.0</v>
      </c>
      <c r="J174" s="63">
        <v>112.0</v>
      </c>
      <c r="K174" s="63">
        <v>115.0</v>
      </c>
      <c r="L174" s="63">
        <v>0.0</v>
      </c>
      <c r="M174" s="63">
        <v>6.0</v>
      </c>
      <c r="N174" s="63">
        <v>112.0</v>
      </c>
      <c r="O174" s="46">
        <v>49.0</v>
      </c>
      <c r="P174" s="46">
        <v>18.0</v>
      </c>
      <c r="Q174" s="46">
        <f>IFERROR(__xludf.DUMMYFUNCTION("""COMPUTED_VALUE"""),0.0)</f>
        <v>0</v>
      </c>
      <c r="R174" s="64">
        <v>3.0</v>
      </c>
    </row>
    <row r="175" ht="21.0" customHeight="1">
      <c r="A175" s="42">
        <v>44534.0</v>
      </c>
      <c r="B175" s="43">
        <v>44534.45836805556</v>
      </c>
      <c r="C175" s="17" t="s">
        <v>972</v>
      </c>
      <c r="D175" s="17" t="s">
        <v>1488</v>
      </c>
      <c r="E175" s="17" t="s">
        <v>80</v>
      </c>
      <c r="F175" s="17" t="s">
        <v>55</v>
      </c>
      <c r="G175" s="17" t="s">
        <v>1489</v>
      </c>
      <c r="H175" s="44" t="s">
        <v>1490</v>
      </c>
      <c r="I175" s="63">
        <v>1.0</v>
      </c>
      <c r="J175" s="63">
        <v>366.0</v>
      </c>
      <c r="K175" s="63">
        <v>381.0</v>
      </c>
      <c r="L175" s="63">
        <v>3.0</v>
      </c>
      <c r="M175" s="63">
        <v>9.0</v>
      </c>
      <c r="N175" s="63">
        <v>366.0</v>
      </c>
      <c r="O175" s="46">
        <v>49.0</v>
      </c>
      <c r="P175" s="46">
        <v>11.0</v>
      </c>
      <c r="Q175" s="46">
        <f>IFERROR(__xludf.DUMMYFUNCTION("""COMPUTED_VALUE"""),0.0)</f>
        <v>0</v>
      </c>
      <c r="R175" s="64">
        <v>15.0</v>
      </c>
    </row>
    <row r="176" ht="21.0" customHeight="1">
      <c r="A176" s="42">
        <v>44534.0</v>
      </c>
      <c r="B176" s="43">
        <v>44534.54167824074</v>
      </c>
      <c r="C176" s="17" t="s">
        <v>972</v>
      </c>
      <c r="D176" s="17" t="s">
        <v>1491</v>
      </c>
      <c r="E176" s="17" t="s">
        <v>84</v>
      </c>
      <c r="F176" s="17" t="s">
        <v>50</v>
      </c>
      <c r="G176" s="17" t="s">
        <v>1492</v>
      </c>
      <c r="H176" s="44" t="s">
        <v>1493</v>
      </c>
      <c r="I176" s="63">
        <v>1.0</v>
      </c>
      <c r="J176" s="63">
        <v>1323.0</v>
      </c>
      <c r="K176" s="63">
        <v>1355.0</v>
      </c>
      <c r="L176" s="63">
        <v>17.0</v>
      </c>
      <c r="M176" s="63">
        <v>57.0</v>
      </c>
      <c r="N176" s="63">
        <v>1323.0</v>
      </c>
      <c r="O176" s="46">
        <v>49.0</v>
      </c>
      <c r="P176" s="46">
        <v>13.0</v>
      </c>
      <c r="Q176" s="46">
        <f>IFERROR(__xludf.DUMMYFUNCTION("""COMPUTED_VALUE"""),0.0)</f>
        <v>0</v>
      </c>
      <c r="R176" s="64">
        <v>32.0</v>
      </c>
    </row>
    <row r="177" ht="21.0" customHeight="1">
      <c r="A177" s="42">
        <v>44534.0</v>
      </c>
      <c r="B177" s="43">
        <v>44534.58688657408</v>
      </c>
      <c r="C177" s="17" t="s">
        <v>972</v>
      </c>
      <c r="D177" s="17" t="s">
        <v>1494</v>
      </c>
      <c r="E177" s="17" t="s">
        <v>97</v>
      </c>
      <c r="F177" s="17" t="s">
        <v>52</v>
      </c>
      <c r="G177" s="17" t="s">
        <v>1495</v>
      </c>
      <c r="H177" s="44" t="s">
        <v>1496</v>
      </c>
      <c r="I177" s="63">
        <v>1.0</v>
      </c>
      <c r="J177" s="63">
        <v>70.0</v>
      </c>
      <c r="K177" s="63">
        <v>70.0</v>
      </c>
      <c r="L177" s="63">
        <v>0.0</v>
      </c>
      <c r="M177" s="65"/>
      <c r="N177" s="63">
        <v>70.0</v>
      </c>
      <c r="O177" s="46">
        <v>49.0</v>
      </c>
      <c r="P177" s="46">
        <v>14.0</v>
      </c>
      <c r="Q177" s="46">
        <f>IFERROR(__xludf.DUMMYFUNCTION("""COMPUTED_VALUE"""),0.0)</f>
        <v>0</v>
      </c>
      <c r="R177" s="64">
        <v>0.0</v>
      </c>
    </row>
    <row r="178" ht="21.0" customHeight="1">
      <c r="A178" s="42">
        <v>44534.0</v>
      </c>
      <c r="B178" s="43">
        <v>44534.87259259259</v>
      </c>
      <c r="C178" s="17" t="s">
        <v>972</v>
      </c>
      <c r="D178" s="17" t="s">
        <v>1497</v>
      </c>
      <c r="E178" s="17" t="s">
        <v>84</v>
      </c>
      <c r="F178" s="17" t="s">
        <v>50</v>
      </c>
      <c r="G178" s="17" t="s">
        <v>1498</v>
      </c>
      <c r="H178" s="44" t="s">
        <v>1499</v>
      </c>
      <c r="I178" s="63">
        <v>1.0</v>
      </c>
      <c r="J178" s="63">
        <v>691.0</v>
      </c>
      <c r="K178" s="63">
        <v>698.0</v>
      </c>
      <c r="L178" s="63">
        <v>18.0</v>
      </c>
      <c r="M178" s="63">
        <v>5.0</v>
      </c>
      <c r="N178" s="63">
        <v>691.0</v>
      </c>
      <c r="O178" s="46">
        <v>49.0</v>
      </c>
      <c r="P178" s="46">
        <v>20.0</v>
      </c>
      <c r="Q178" s="46">
        <f>IFERROR(__xludf.DUMMYFUNCTION("""COMPUTED_VALUE"""),0.0)</f>
        <v>0</v>
      </c>
      <c r="R178" s="64">
        <v>7.0</v>
      </c>
    </row>
    <row r="179" ht="21.0" customHeight="1">
      <c r="A179" s="42">
        <v>44535.0</v>
      </c>
      <c r="B179" s="43">
        <v>44535.54167824074</v>
      </c>
      <c r="C179" s="17" t="s">
        <v>972</v>
      </c>
      <c r="D179" s="17" t="s">
        <v>1500</v>
      </c>
      <c r="E179" s="17" t="s">
        <v>84</v>
      </c>
      <c r="F179" s="17" t="s">
        <v>50</v>
      </c>
      <c r="G179" s="17" t="s">
        <v>1501</v>
      </c>
      <c r="H179" s="44" t="s">
        <v>1502</v>
      </c>
      <c r="I179" s="63">
        <v>1.0</v>
      </c>
      <c r="J179" s="63">
        <v>491.0</v>
      </c>
      <c r="K179" s="63">
        <v>499.0</v>
      </c>
      <c r="L179" s="63">
        <v>0.0</v>
      </c>
      <c r="M179" s="63">
        <v>11.0</v>
      </c>
      <c r="N179" s="63">
        <v>491.0</v>
      </c>
      <c r="O179" s="46">
        <v>50.0</v>
      </c>
      <c r="P179" s="46">
        <v>13.0</v>
      </c>
      <c r="Q179" s="46">
        <f>IFERROR(__xludf.DUMMYFUNCTION("""COMPUTED_VALUE"""),0.0)</f>
        <v>0</v>
      </c>
      <c r="R179" s="64">
        <v>8.0</v>
      </c>
    </row>
    <row r="180" ht="21.0" customHeight="1">
      <c r="A180" s="42">
        <v>44535.0</v>
      </c>
      <c r="B180" s="43">
        <v>44535.66619212963</v>
      </c>
      <c r="C180" s="17" t="s">
        <v>972</v>
      </c>
      <c r="D180" s="17" t="s">
        <v>1503</v>
      </c>
      <c r="E180" s="17" t="s">
        <v>84</v>
      </c>
      <c r="F180" s="17" t="s">
        <v>50</v>
      </c>
      <c r="G180" s="17" t="s">
        <v>1504</v>
      </c>
      <c r="H180" s="44" t="s">
        <v>1505</v>
      </c>
      <c r="I180" s="63">
        <v>1.0</v>
      </c>
      <c r="J180" s="63">
        <v>56.0</v>
      </c>
      <c r="K180" s="63">
        <v>56.0</v>
      </c>
      <c r="L180" s="63">
        <v>0.0</v>
      </c>
      <c r="M180" s="65"/>
      <c r="N180" s="63">
        <v>56.0</v>
      </c>
      <c r="O180" s="46">
        <v>50.0</v>
      </c>
      <c r="P180" s="46">
        <v>15.0</v>
      </c>
      <c r="Q180" s="46">
        <f>IFERROR(__xludf.DUMMYFUNCTION("""COMPUTED_VALUE"""),0.0)</f>
        <v>0</v>
      </c>
      <c r="R180" s="64">
        <v>0.0</v>
      </c>
    </row>
    <row r="181" ht="21.0" customHeight="1">
      <c r="A181" s="42">
        <v>44535.0</v>
      </c>
      <c r="B181" s="43">
        <v>44535.863530092596</v>
      </c>
      <c r="C181" s="17" t="s">
        <v>972</v>
      </c>
      <c r="D181" s="17" t="s">
        <v>1506</v>
      </c>
      <c r="E181" s="17" t="s">
        <v>84</v>
      </c>
      <c r="F181" s="17" t="s">
        <v>50</v>
      </c>
      <c r="G181" s="17" t="s">
        <v>1507</v>
      </c>
      <c r="H181" s="44" t="s">
        <v>1508</v>
      </c>
      <c r="I181" s="63">
        <v>1.0</v>
      </c>
      <c r="J181" s="63">
        <v>1044.0</v>
      </c>
      <c r="K181" s="63">
        <v>1060.0</v>
      </c>
      <c r="L181" s="63">
        <v>21.0</v>
      </c>
      <c r="M181" s="63">
        <v>31.0</v>
      </c>
      <c r="N181" s="63">
        <v>1044.0</v>
      </c>
      <c r="O181" s="46">
        <v>50.0</v>
      </c>
      <c r="P181" s="46">
        <v>20.0</v>
      </c>
      <c r="Q181" s="46">
        <f>IFERROR(__xludf.DUMMYFUNCTION("""COMPUTED_VALUE"""),0.0)</f>
        <v>0</v>
      </c>
      <c r="R181" s="64">
        <v>16.0</v>
      </c>
    </row>
    <row r="182" ht="21.0" customHeight="1">
      <c r="A182" s="42">
        <v>44536.0</v>
      </c>
      <c r="B182" s="43">
        <v>44536.54168981482</v>
      </c>
      <c r="C182" s="17" t="s">
        <v>972</v>
      </c>
      <c r="D182" s="17" t="s">
        <v>1509</v>
      </c>
      <c r="E182" s="17" t="s">
        <v>84</v>
      </c>
      <c r="F182" s="17" t="s">
        <v>50</v>
      </c>
      <c r="G182" s="17" t="s">
        <v>1510</v>
      </c>
      <c r="H182" s="44" t="s">
        <v>1511</v>
      </c>
      <c r="I182" s="63">
        <v>1.0</v>
      </c>
      <c r="J182" s="63">
        <v>1237.0</v>
      </c>
      <c r="K182" s="63">
        <v>1257.0</v>
      </c>
      <c r="L182" s="63">
        <v>19.0</v>
      </c>
      <c r="M182" s="63">
        <v>27.0</v>
      </c>
      <c r="N182" s="63">
        <v>1237.0</v>
      </c>
      <c r="O182" s="46">
        <v>50.0</v>
      </c>
      <c r="P182" s="46">
        <v>13.0</v>
      </c>
      <c r="Q182" s="46">
        <f>IFERROR(__xludf.DUMMYFUNCTION("""COMPUTED_VALUE"""),0.0)</f>
        <v>0</v>
      </c>
      <c r="R182" s="64">
        <v>20.0</v>
      </c>
    </row>
    <row r="183" ht="21.0" customHeight="1">
      <c r="A183" s="42">
        <v>44536.0</v>
      </c>
      <c r="B183" s="43">
        <v>44536.89527777778</v>
      </c>
      <c r="C183" s="17" t="s">
        <v>972</v>
      </c>
      <c r="D183" s="17" t="s">
        <v>1512</v>
      </c>
      <c r="E183" s="17" t="s">
        <v>84</v>
      </c>
      <c r="F183" s="17" t="s">
        <v>50</v>
      </c>
      <c r="G183" s="17" t="s">
        <v>1513</v>
      </c>
      <c r="H183" s="44" t="s">
        <v>1514</v>
      </c>
      <c r="I183" s="63">
        <v>1.0</v>
      </c>
      <c r="J183" s="63">
        <v>943.0</v>
      </c>
      <c r="K183" s="63">
        <v>945.0</v>
      </c>
      <c r="L183" s="63">
        <v>20.0</v>
      </c>
      <c r="M183" s="63">
        <v>12.0</v>
      </c>
      <c r="N183" s="63">
        <v>943.0</v>
      </c>
      <c r="O183" s="46">
        <v>50.0</v>
      </c>
      <c r="P183" s="46">
        <v>21.0</v>
      </c>
      <c r="Q183" s="46">
        <f>IFERROR(__xludf.DUMMYFUNCTION("""COMPUTED_VALUE"""),0.0)</f>
        <v>0</v>
      </c>
      <c r="R183" s="64">
        <v>2.0</v>
      </c>
    </row>
    <row r="184" ht="21.0" customHeight="1">
      <c r="A184" s="42">
        <v>44537.0</v>
      </c>
      <c r="B184" s="43">
        <v>44537.47797453704</v>
      </c>
      <c r="C184" s="17" t="s">
        <v>972</v>
      </c>
      <c r="D184" s="17" t="s">
        <v>1515</v>
      </c>
      <c r="E184" s="17" t="s">
        <v>97</v>
      </c>
      <c r="F184" s="17" t="s">
        <v>52</v>
      </c>
      <c r="G184" s="17" t="s">
        <v>1516</v>
      </c>
      <c r="H184" s="44" t="s">
        <v>1517</v>
      </c>
      <c r="I184" s="63">
        <v>1.0</v>
      </c>
      <c r="J184" s="63">
        <v>59.0</v>
      </c>
      <c r="K184" s="63">
        <v>59.0</v>
      </c>
      <c r="L184" s="63">
        <v>0.0</v>
      </c>
      <c r="M184" s="65"/>
      <c r="N184" s="63">
        <v>59.0</v>
      </c>
      <c r="O184" s="46">
        <v>50.0</v>
      </c>
      <c r="P184" s="46">
        <v>11.0</v>
      </c>
      <c r="Q184" s="46">
        <f>IFERROR(__xludf.DUMMYFUNCTION("""COMPUTED_VALUE"""),0.0)</f>
        <v>0</v>
      </c>
      <c r="R184" s="64">
        <v>0.0</v>
      </c>
    </row>
    <row r="185" ht="21.0" customHeight="1">
      <c r="A185" s="42">
        <v>44537.0</v>
      </c>
      <c r="B185" s="43">
        <v>44537.54167824074</v>
      </c>
      <c r="C185" s="17" t="s">
        <v>972</v>
      </c>
      <c r="D185" s="17" t="s">
        <v>1518</v>
      </c>
      <c r="E185" s="17" t="s">
        <v>84</v>
      </c>
      <c r="F185" s="17" t="s">
        <v>50</v>
      </c>
      <c r="G185" s="17" t="s">
        <v>1519</v>
      </c>
      <c r="H185" s="44" t="s">
        <v>1520</v>
      </c>
      <c r="I185" s="63">
        <v>1.0</v>
      </c>
      <c r="J185" s="63">
        <v>404.0</v>
      </c>
      <c r="K185" s="63">
        <v>409.0</v>
      </c>
      <c r="L185" s="63">
        <v>4.0</v>
      </c>
      <c r="M185" s="63">
        <v>16.0</v>
      </c>
      <c r="N185" s="63">
        <v>404.0</v>
      </c>
      <c r="O185" s="46">
        <v>50.0</v>
      </c>
      <c r="P185" s="46">
        <v>13.0</v>
      </c>
      <c r="Q185" s="46">
        <f>IFERROR(__xludf.DUMMYFUNCTION("""COMPUTED_VALUE"""),0.0)</f>
        <v>0</v>
      </c>
      <c r="R185" s="64">
        <v>5.0</v>
      </c>
    </row>
    <row r="186" ht="21.0" customHeight="1">
      <c r="A186" s="42">
        <v>44537.0</v>
      </c>
      <c r="B186" s="43">
        <v>44537.58341435185</v>
      </c>
      <c r="C186" s="17" t="s">
        <v>972</v>
      </c>
      <c r="D186" s="17" t="s">
        <v>1521</v>
      </c>
      <c r="E186" s="17" t="s">
        <v>80</v>
      </c>
      <c r="F186" s="17" t="s">
        <v>55</v>
      </c>
      <c r="G186" s="17" t="s">
        <v>1522</v>
      </c>
      <c r="H186" s="44" t="s">
        <v>1523</v>
      </c>
      <c r="I186" s="63">
        <v>1.0</v>
      </c>
      <c r="J186" s="63">
        <v>106.0</v>
      </c>
      <c r="K186" s="63">
        <v>107.0</v>
      </c>
      <c r="L186" s="63">
        <v>8.0</v>
      </c>
      <c r="M186" s="63">
        <v>6.0</v>
      </c>
      <c r="N186" s="63">
        <v>106.0</v>
      </c>
      <c r="O186" s="46">
        <v>50.0</v>
      </c>
      <c r="P186" s="46">
        <v>14.0</v>
      </c>
      <c r="Q186" s="46">
        <f>IFERROR(__xludf.DUMMYFUNCTION("""COMPUTED_VALUE"""),0.0)</f>
        <v>0</v>
      </c>
      <c r="R186" s="64">
        <v>1.0</v>
      </c>
    </row>
    <row r="187" ht="21.0" customHeight="1">
      <c r="A187" s="42">
        <v>44537.0</v>
      </c>
      <c r="B187" s="43">
        <v>44537.645844907405</v>
      </c>
      <c r="C187" s="17" t="s">
        <v>972</v>
      </c>
      <c r="D187" s="17" t="s">
        <v>1524</v>
      </c>
      <c r="E187" s="17" t="s">
        <v>80</v>
      </c>
      <c r="F187" s="17" t="s">
        <v>55</v>
      </c>
      <c r="G187" s="17" t="s">
        <v>1525</v>
      </c>
      <c r="H187" s="44" t="s">
        <v>1526</v>
      </c>
      <c r="I187" s="63">
        <v>1.0</v>
      </c>
      <c r="J187" s="63">
        <v>76.0</v>
      </c>
      <c r="K187" s="63">
        <v>77.0</v>
      </c>
      <c r="L187" s="63">
        <v>0.0</v>
      </c>
      <c r="M187" s="63">
        <v>2.0</v>
      </c>
      <c r="N187" s="63">
        <v>76.0</v>
      </c>
      <c r="O187" s="46">
        <v>50.0</v>
      </c>
      <c r="P187" s="46">
        <v>15.0</v>
      </c>
      <c r="Q187" s="46">
        <f>IFERROR(__xludf.DUMMYFUNCTION("""COMPUTED_VALUE"""),0.0)</f>
        <v>0</v>
      </c>
      <c r="R187" s="64">
        <v>1.0</v>
      </c>
    </row>
    <row r="188" ht="21.0" customHeight="1">
      <c r="A188" s="42">
        <v>44537.0</v>
      </c>
      <c r="B188" s="43">
        <v>44537.88527777778</v>
      </c>
      <c r="C188" s="17" t="s">
        <v>972</v>
      </c>
      <c r="D188" s="17" t="s">
        <v>1527</v>
      </c>
      <c r="E188" s="17" t="s">
        <v>84</v>
      </c>
      <c r="F188" s="17" t="s">
        <v>50</v>
      </c>
      <c r="G188" s="17" t="s">
        <v>1528</v>
      </c>
      <c r="H188" s="44" t="s">
        <v>1529</v>
      </c>
      <c r="I188" s="63">
        <v>1.0</v>
      </c>
      <c r="J188" s="63">
        <v>668.0</v>
      </c>
      <c r="K188" s="63">
        <v>669.0</v>
      </c>
      <c r="L188" s="63">
        <v>8.0</v>
      </c>
      <c r="M188" s="63">
        <v>7.0</v>
      </c>
      <c r="N188" s="63">
        <v>668.0</v>
      </c>
      <c r="O188" s="46">
        <v>50.0</v>
      </c>
      <c r="P188" s="46">
        <v>21.0</v>
      </c>
      <c r="Q188" s="46">
        <f>IFERROR(__xludf.DUMMYFUNCTION("""COMPUTED_VALUE"""),0.0)</f>
        <v>0</v>
      </c>
      <c r="R188" s="64">
        <v>1.0</v>
      </c>
    </row>
    <row r="189" ht="21.0" customHeight="1">
      <c r="A189" s="42">
        <v>44538.0</v>
      </c>
      <c r="B189" s="43">
        <v>44538.48168981481</v>
      </c>
      <c r="C189" s="17" t="s">
        <v>972</v>
      </c>
      <c r="D189" s="17" t="s">
        <v>1530</v>
      </c>
      <c r="E189" s="17" t="s">
        <v>97</v>
      </c>
      <c r="F189" s="17" t="s">
        <v>52</v>
      </c>
      <c r="G189" s="17" t="s">
        <v>1531</v>
      </c>
      <c r="H189" s="44" t="s">
        <v>1532</v>
      </c>
      <c r="I189" s="63">
        <v>1.0</v>
      </c>
      <c r="J189" s="63">
        <v>76.0</v>
      </c>
      <c r="K189" s="63">
        <v>76.0</v>
      </c>
      <c r="L189" s="63">
        <v>0.0</v>
      </c>
      <c r="M189" s="63">
        <v>1.0</v>
      </c>
      <c r="N189" s="63">
        <v>76.0</v>
      </c>
      <c r="O189" s="46">
        <v>50.0</v>
      </c>
      <c r="P189" s="46">
        <v>11.0</v>
      </c>
      <c r="Q189" s="46">
        <f>IFERROR(__xludf.DUMMYFUNCTION("""COMPUTED_VALUE"""),0.0)</f>
        <v>0</v>
      </c>
      <c r="R189" s="64">
        <v>0.0</v>
      </c>
    </row>
    <row r="190" ht="21.0" customHeight="1">
      <c r="A190" s="42">
        <v>44538.0</v>
      </c>
      <c r="B190" s="43">
        <v>44538.52340277778</v>
      </c>
      <c r="C190" s="17" t="s">
        <v>972</v>
      </c>
      <c r="D190" s="17" t="s">
        <v>1533</v>
      </c>
      <c r="E190" s="17" t="s">
        <v>80</v>
      </c>
      <c r="F190" s="17" t="s">
        <v>55</v>
      </c>
      <c r="G190" s="17" t="s">
        <v>1534</v>
      </c>
      <c r="H190" s="44" t="s">
        <v>1535</v>
      </c>
      <c r="I190" s="63">
        <v>1.0</v>
      </c>
      <c r="J190" s="63">
        <v>301.0</v>
      </c>
      <c r="K190" s="63">
        <v>363.0</v>
      </c>
      <c r="L190" s="63">
        <v>1.0</v>
      </c>
      <c r="M190" s="63">
        <v>23.0</v>
      </c>
      <c r="N190" s="63">
        <v>301.0</v>
      </c>
      <c r="O190" s="46">
        <v>50.0</v>
      </c>
      <c r="P190" s="46">
        <v>12.0</v>
      </c>
      <c r="Q190" s="46">
        <f>IFERROR(__xludf.DUMMYFUNCTION("""COMPUTED_VALUE"""),0.0)</f>
        <v>0</v>
      </c>
      <c r="R190" s="64">
        <v>62.0</v>
      </c>
    </row>
    <row r="191" ht="21.0" customHeight="1">
      <c r="A191" s="42">
        <v>44538.0</v>
      </c>
      <c r="B191" s="43">
        <v>44538.55017361111</v>
      </c>
      <c r="C191" s="17" t="s">
        <v>972</v>
      </c>
      <c r="D191" s="17" t="s">
        <v>1536</v>
      </c>
      <c r="E191" s="17" t="s">
        <v>84</v>
      </c>
      <c r="F191" s="17" t="s">
        <v>50</v>
      </c>
      <c r="G191" s="17" t="s">
        <v>1537</v>
      </c>
      <c r="H191" s="44" t="s">
        <v>1538</v>
      </c>
      <c r="I191" s="63">
        <v>1.0</v>
      </c>
      <c r="J191" s="63">
        <v>295.0</v>
      </c>
      <c r="K191" s="63">
        <v>298.0</v>
      </c>
      <c r="L191" s="63">
        <v>1.0</v>
      </c>
      <c r="M191" s="63">
        <v>3.0</v>
      </c>
      <c r="N191" s="63">
        <v>295.0</v>
      </c>
      <c r="O191" s="46">
        <v>50.0</v>
      </c>
      <c r="P191" s="46">
        <v>13.0</v>
      </c>
      <c r="Q191" s="46">
        <f>IFERROR(__xludf.DUMMYFUNCTION("""COMPUTED_VALUE"""),0.0)</f>
        <v>0</v>
      </c>
      <c r="R191" s="64">
        <v>3.0</v>
      </c>
    </row>
    <row r="192" ht="21.0" customHeight="1">
      <c r="A192" s="42">
        <v>44538.0</v>
      </c>
      <c r="B192" s="43">
        <v>44538.625127314815</v>
      </c>
      <c r="C192" s="17" t="s">
        <v>972</v>
      </c>
      <c r="D192" s="17" t="s">
        <v>1539</v>
      </c>
      <c r="E192" s="17" t="s">
        <v>84</v>
      </c>
      <c r="F192" s="17" t="s">
        <v>47</v>
      </c>
      <c r="G192" s="17" t="s">
        <v>1540</v>
      </c>
      <c r="H192" s="44" t="s">
        <v>1541</v>
      </c>
      <c r="I192" s="63">
        <v>1.0</v>
      </c>
      <c r="J192" s="63">
        <v>218.0</v>
      </c>
      <c r="K192" s="63">
        <v>224.0</v>
      </c>
      <c r="L192" s="63">
        <v>3.0</v>
      </c>
      <c r="M192" s="63">
        <v>33.0</v>
      </c>
      <c r="N192" s="63">
        <v>218.0</v>
      </c>
      <c r="O192" s="46">
        <v>50.0</v>
      </c>
      <c r="P192" s="46">
        <v>15.0</v>
      </c>
      <c r="Q192" s="46">
        <f>IFERROR(__xludf.DUMMYFUNCTION("""COMPUTED_VALUE"""),1.0)</f>
        <v>1</v>
      </c>
      <c r="R192" s="64">
        <v>6.0</v>
      </c>
    </row>
    <row r="193" ht="21.0" customHeight="1">
      <c r="A193" s="42">
        <v>44538.0</v>
      </c>
      <c r="B193" s="43">
        <v>44538.90555555555</v>
      </c>
      <c r="C193" s="17" t="s">
        <v>972</v>
      </c>
      <c r="D193" s="17" t="s">
        <v>1542</v>
      </c>
      <c r="E193" s="17" t="s">
        <v>84</v>
      </c>
      <c r="F193" s="17" t="s">
        <v>50</v>
      </c>
      <c r="G193" s="17" t="s">
        <v>1543</v>
      </c>
      <c r="H193" s="44" t="s">
        <v>1544</v>
      </c>
      <c r="I193" s="63">
        <v>1.0</v>
      </c>
      <c r="J193" s="63">
        <v>706.0</v>
      </c>
      <c r="K193" s="63">
        <v>713.0</v>
      </c>
      <c r="L193" s="63">
        <v>14.0</v>
      </c>
      <c r="M193" s="63">
        <v>6.0</v>
      </c>
      <c r="N193" s="63">
        <v>706.0</v>
      </c>
      <c r="O193" s="46">
        <v>50.0</v>
      </c>
      <c r="P193" s="46">
        <v>21.0</v>
      </c>
      <c r="Q193" s="46">
        <f>IFERROR(__xludf.DUMMYFUNCTION("""COMPUTED_VALUE"""),0.0)</f>
        <v>0</v>
      </c>
      <c r="R193" s="64">
        <v>7.0</v>
      </c>
    </row>
    <row r="194" ht="21.0" customHeight="1">
      <c r="A194" s="42">
        <v>44539.0</v>
      </c>
      <c r="B194" s="43">
        <v>44539.39586805556</v>
      </c>
      <c r="C194" s="17" t="s">
        <v>972</v>
      </c>
      <c r="D194" s="17" t="s">
        <v>1545</v>
      </c>
      <c r="E194" s="17" t="s">
        <v>84</v>
      </c>
      <c r="F194" s="17" t="s">
        <v>50</v>
      </c>
      <c r="G194" s="17" t="s">
        <v>1546</v>
      </c>
      <c r="H194" s="44" t="s">
        <v>1547</v>
      </c>
      <c r="I194" s="63">
        <v>1.0</v>
      </c>
      <c r="J194" s="63">
        <v>569.0</v>
      </c>
      <c r="K194" s="63">
        <v>573.0</v>
      </c>
      <c r="L194" s="63">
        <v>14.0</v>
      </c>
      <c r="M194" s="63">
        <v>41.0</v>
      </c>
      <c r="N194" s="63">
        <v>569.0</v>
      </c>
      <c r="O194" s="46">
        <v>50.0</v>
      </c>
      <c r="P194" s="46">
        <v>9.0</v>
      </c>
      <c r="Q194" s="46">
        <f>IFERROR(__xludf.DUMMYFUNCTION("""COMPUTED_VALUE"""),0.0)</f>
        <v>0</v>
      </c>
      <c r="R194" s="64">
        <v>4.0</v>
      </c>
    </row>
    <row r="195" ht="21.0" customHeight="1">
      <c r="A195" s="42">
        <v>44539.0</v>
      </c>
      <c r="B195" s="43">
        <v>44539.55001157407</v>
      </c>
      <c r="C195" s="17" t="s">
        <v>972</v>
      </c>
      <c r="D195" s="17" t="s">
        <v>1548</v>
      </c>
      <c r="E195" s="17" t="s">
        <v>84</v>
      </c>
      <c r="F195" s="17" t="s">
        <v>50</v>
      </c>
      <c r="G195" s="17" t="s">
        <v>1549</v>
      </c>
      <c r="H195" s="44" t="s">
        <v>1550</v>
      </c>
      <c r="I195" s="63">
        <v>1.0</v>
      </c>
      <c r="J195" s="63">
        <v>630.0</v>
      </c>
      <c r="K195" s="63">
        <v>647.0</v>
      </c>
      <c r="L195" s="63">
        <v>10.0</v>
      </c>
      <c r="M195" s="63">
        <v>19.0</v>
      </c>
      <c r="N195" s="63">
        <v>630.0</v>
      </c>
      <c r="O195" s="46">
        <v>50.0</v>
      </c>
      <c r="P195" s="46">
        <v>13.0</v>
      </c>
      <c r="Q195" s="46">
        <f>IFERROR(__xludf.DUMMYFUNCTION("""COMPUTED_VALUE"""),0.0)</f>
        <v>0</v>
      </c>
      <c r="R195" s="64">
        <v>17.0</v>
      </c>
    </row>
    <row r="196" ht="21.0" customHeight="1">
      <c r="A196" s="42">
        <v>44539.0</v>
      </c>
      <c r="B196" s="43">
        <v>44539.584027777775</v>
      </c>
      <c r="C196" s="17" t="s">
        <v>972</v>
      </c>
      <c r="D196" s="17" t="s">
        <v>1551</v>
      </c>
      <c r="E196" s="17" t="s">
        <v>80</v>
      </c>
      <c r="F196" s="17" t="s">
        <v>55</v>
      </c>
      <c r="G196" s="17" t="s">
        <v>1552</v>
      </c>
      <c r="H196" s="44" t="s">
        <v>1553</v>
      </c>
      <c r="I196" s="63">
        <v>1.0</v>
      </c>
      <c r="J196" s="63">
        <v>163.0</v>
      </c>
      <c r="K196" s="63">
        <v>170.0</v>
      </c>
      <c r="L196" s="63">
        <v>3.0</v>
      </c>
      <c r="M196" s="63">
        <v>9.0</v>
      </c>
      <c r="N196" s="63">
        <v>163.0</v>
      </c>
      <c r="O196" s="46">
        <v>50.0</v>
      </c>
      <c r="P196" s="46">
        <v>14.0</v>
      </c>
      <c r="Q196" s="46">
        <f>IFERROR(__xludf.DUMMYFUNCTION("""COMPUTED_VALUE"""),0.0)</f>
        <v>0</v>
      </c>
      <c r="R196" s="64">
        <v>7.0</v>
      </c>
    </row>
    <row r="197" ht="21.0" customHeight="1">
      <c r="A197" s="42">
        <v>44539.0</v>
      </c>
      <c r="B197" s="43">
        <v>44539.62525462963</v>
      </c>
      <c r="C197" s="17" t="s">
        <v>972</v>
      </c>
      <c r="D197" s="17" t="s">
        <v>1554</v>
      </c>
      <c r="E197" s="17" t="s">
        <v>84</v>
      </c>
      <c r="F197" s="17" t="s">
        <v>50</v>
      </c>
      <c r="G197" s="17" t="s">
        <v>1555</v>
      </c>
      <c r="H197" s="44" t="s">
        <v>1556</v>
      </c>
      <c r="I197" s="63">
        <v>1.0</v>
      </c>
      <c r="J197" s="63">
        <v>1340.0</v>
      </c>
      <c r="K197" s="63">
        <v>1443.0</v>
      </c>
      <c r="L197" s="63">
        <v>57.0</v>
      </c>
      <c r="M197" s="63">
        <v>33.0</v>
      </c>
      <c r="N197" s="63">
        <v>1340.0</v>
      </c>
      <c r="O197" s="46">
        <v>50.0</v>
      </c>
      <c r="P197" s="46">
        <v>15.0</v>
      </c>
      <c r="Q197" s="46">
        <f>IFERROR(__xludf.DUMMYFUNCTION("""COMPUTED_VALUE"""),0.0)</f>
        <v>0</v>
      </c>
      <c r="R197" s="64">
        <v>103.0</v>
      </c>
    </row>
    <row r="198" ht="21.0" customHeight="1">
      <c r="A198" s="42">
        <v>44539.0</v>
      </c>
      <c r="B198" s="43">
        <v>44539.80310185185</v>
      </c>
      <c r="C198" s="17" t="s">
        <v>972</v>
      </c>
      <c r="D198" s="17" t="s">
        <v>1557</v>
      </c>
      <c r="E198" s="17" t="s">
        <v>84</v>
      </c>
      <c r="F198" s="17" t="s">
        <v>50</v>
      </c>
      <c r="G198" s="17" t="s">
        <v>1558</v>
      </c>
      <c r="H198" s="44" t="s">
        <v>1559</v>
      </c>
      <c r="I198" s="63">
        <v>1.0</v>
      </c>
      <c r="J198" s="63">
        <v>3700.0</v>
      </c>
      <c r="K198" s="63">
        <v>4145.0</v>
      </c>
      <c r="L198" s="63">
        <v>49.0</v>
      </c>
      <c r="M198" s="63">
        <v>294.0</v>
      </c>
      <c r="N198" s="63">
        <v>3700.0</v>
      </c>
      <c r="O198" s="46">
        <v>50.0</v>
      </c>
      <c r="P198" s="46">
        <v>19.0</v>
      </c>
      <c r="Q198" s="46">
        <f>IFERROR(__xludf.DUMMYFUNCTION("""COMPUTED_VALUE"""),0.0)</f>
        <v>0</v>
      </c>
      <c r="R198" s="64">
        <v>445.0</v>
      </c>
    </row>
    <row r="199" ht="21.0" customHeight="1">
      <c r="A199" s="42">
        <v>44539.0</v>
      </c>
      <c r="B199" s="43">
        <v>44539.87940972222</v>
      </c>
      <c r="C199" s="17" t="s">
        <v>972</v>
      </c>
      <c r="D199" s="17" t="s">
        <v>1560</v>
      </c>
      <c r="E199" s="17" t="s">
        <v>84</v>
      </c>
      <c r="F199" s="17" t="s">
        <v>50</v>
      </c>
      <c r="G199" s="17" t="s">
        <v>1561</v>
      </c>
      <c r="H199" s="44" t="s">
        <v>1562</v>
      </c>
      <c r="I199" s="63">
        <v>1.0</v>
      </c>
      <c r="J199" s="63">
        <v>1509.0</v>
      </c>
      <c r="K199" s="63">
        <v>1560.0</v>
      </c>
      <c r="L199" s="63">
        <v>28.0</v>
      </c>
      <c r="M199" s="63">
        <v>38.0</v>
      </c>
      <c r="N199" s="63">
        <v>1509.0</v>
      </c>
      <c r="O199" s="46">
        <v>50.0</v>
      </c>
      <c r="P199" s="46">
        <v>21.0</v>
      </c>
      <c r="Q199" s="46">
        <f>IFERROR(__xludf.DUMMYFUNCTION("""COMPUTED_VALUE"""),0.0)</f>
        <v>0</v>
      </c>
      <c r="R199" s="64">
        <v>51.0</v>
      </c>
    </row>
    <row r="200" ht="21.0" customHeight="1">
      <c r="A200" s="42">
        <v>44540.0</v>
      </c>
      <c r="B200" s="43">
        <v>44540.40662037037</v>
      </c>
      <c r="C200" s="17" t="s">
        <v>972</v>
      </c>
      <c r="D200" s="17" t="s">
        <v>1563</v>
      </c>
      <c r="E200" s="17" t="s">
        <v>80</v>
      </c>
      <c r="F200" s="17" t="s">
        <v>54</v>
      </c>
      <c r="G200" s="17" t="s">
        <v>1564</v>
      </c>
      <c r="H200" s="44" t="s">
        <v>1565</v>
      </c>
      <c r="I200" s="63">
        <v>1.0</v>
      </c>
      <c r="J200" s="63">
        <v>733.0</v>
      </c>
      <c r="K200" s="63">
        <v>890.0</v>
      </c>
      <c r="L200" s="63">
        <v>159.0</v>
      </c>
      <c r="M200" s="63">
        <v>306.0</v>
      </c>
      <c r="N200" s="63">
        <v>733.0</v>
      </c>
      <c r="O200" s="46">
        <v>50.0</v>
      </c>
      <c r="P200" s="46">
        <v>9.0</v>
      </c>
      <c r="Q200" s="46">
        <f>IFERROR(__xludf.DUMMYFUNCTION("""COMPUTED_VALUE"""),0.0)</f>
        <v>0</v>
      </c>
      <c r="R200" s="64">
        <v>157.0</v>
      </c>
    </row>
    <row r="201" ht="21.0" customHeight="1">
      <c r="A201" s="42">
        <v>44540.0</v>
      </c>
      <c r="B201" s="43">
        <v>44540.4103125</v>
      </c>
      <c r="C201" s="17" t="s">
        <v>972</v>
      </c>
      <c r="D201" s="17" t="s">
        <v>1566</v>
      </c>
      <c r="E201" s="17" t="s">
        <v>84</v>
      </c>
      <c r="F201" s="17" t="s">
        <v>48</v>
      </c>
      <c r="H201" s="44" t="s">
        <v>1567</v>
      </c>
      <c r="I201" s="63">
        <v>1.0</v>
      </c>
      <c r="J201" s="63">
        <v>105.0</v>
      </c>
      <c r="K201" s="63">
        <v>107.0</v>
      </c>
      <c r="L201" s="63">
        <v>0.0</v>
      </c>
      <c r="M201" s="65"/>
      <c r="N201" s="63">
        <v>105.0</v>
      </c>
      <c r="O201" s="46">
        <v>50.0</v>
      </c>
      <c r="P201" s="46">
        <v>9.0</v>
      </c>
      <c r="Q201" s="46">
        <f>IFERROR(__xludf.DUMMYFUNCTION("""COMPUTED_VALUE"""),0.0)</f>
        <v>0</v>
      </c>
      <c r="R201" s="64">
        <v>2.0</v>
      </c>
    </row>
    <row r="202" ht="21.0" customHeight="1">
      <c r="A202" s="42">
        <v>44540.0</v>
      </c>
      <c r="B202" s="43">
        <v>44540.42261574074</v>
      </c>
      <c r="C202" s="17" t="s">
        <v>972</v>
      </c>
      <c r="D202" s="17" t="s">
        <v>1568</v>
      </c>
      <c r="E202" s="17" t="s">
        <v>109</v>
      </c>
      <c r="F202" s="17" t="s">
        <v>52</v>
      </c>
      <c r="H202" s="44" t="s">
        <v>1569</v>
      </c>
      <c r="I202" s="63">
        <v>1.0</v>
      </c>
      <c r="J202" s="63">
        <v>32.0</v>
      </c>
      <c r="K202" s="63">
        <v>33.0</v>
      </c>
      <c r="L202" s="63">
        <v>0.0</v>
      </c>
      <c r="M202" s="65"/>
      <c r="N202" s="63">
        <v>32.0</v>
      </c>
      <c r="O202" s="46">
        <v>50.0</v>
      </c>
      <c r="P202" s="46">
        <v>10.0</v>
      </c>
      <c r="Q202" s="46">
        <f>IFERROR(__xludf.DUMMYFUNCTION("""COMPUTED_VALUE"""),0.0)</f>
        <v>0</v>
      </c>
      <c r="R202" s="64">
        <v>1.0</v>
      </c>
    </row>
    <row r="203" ht="21.0" customHeight="1">
      <c r="A203" s="42">
        <v>44540.0</v>
      </c>
      <c r="B203" s="43">
        <v>44540.50366898148</v>
      </c>
      <c r="C203" s="17" t="s">
        <v>972</v>
      </c>
      <c r="D203" s="17" t="s">
        <v>1570</v>
      </c>
      <c r="E203" s="17" t="s">
        <v>84</v>
      </c>
      <c r="F203" s="17" t="s">
        <v>50</v>
      </c>
      <c r="G203" s="17" t="s">
        <v>1571</v>
      </c>
      <c r="H203" s="44" t="s">
        <v>1572</v>
      </c>
      <c r="I203" s="63">
        <v>1.0</v>
      </c>
      <c r="J203" s="63">
        <v>876.0</v>
      </c>
      <c r="K203" s="63">
        <v>906.0</v>
      </c>
      <c r="L203" s="63">
        <v>54.0</v>
      </c>
      <c r="M203" s="63">
        <v>187.0</v>
      </c>
      <c r="N203" s="63">
        <v>876.0</v>
      </c>
      <c r="O203" s="46">
        <v>50.0</v>
      </c>
      <c r="P203" s="46">
        <v>12.0</v>
      </c>
      <c r="Q203" s="46">
        <f>IFERROR(__xludf.DUMMYFUNCTION("""COMPUTED_VALUE"""),0.0)</f>
        <v>0</v>
      </c>
      <c r="R203" s="64">
        <v>30.0</v>
      </c>
    </row>
    <row r="204" ht="21.0" customHeight="1">
      <c r="A204" s="42">
        <v>44540.0</v>
      </c>
      <c r="B204" s="43">
        <v>44540.583402777775</v>
      </c>
      <c r="C204" s="17" t="s">
        <v>972</v>
      </c>
      <c r="D204" s="17" t="s">
        <v>1573</v>
      </c>
      <c r="E204" s="17" t="s">
        <v>84</v>
      </c>
      <c r="F204" s="17" t="s">
        <v>50</v>
      </c>
      <c r="G204" s="17" t="s">
        <v>1574</v>
      </c>
      <c r="H204" s="44" t="s">
        <v>1575</v>
      </c>
      <c r="I204" s="63">
        <v>1.0</v>
      </c>
      <c r="J204" s="63">
        <v>1058.0</v>
      </c>
      <c r="K204" s="63">
        <v>1080.0</v>
      </c>
      <c r="L204" s="63">
        <v>0.0</v>
      </c>
      <c r="M204" s="63">
        <v>15.0</v>
      </c>
      <c r="N204" s="63">
        <v>1058.0</v>
      </c>
      <c r="O204" s="46">
        <v>50.0</v>
      </c>
      <c r="P204" s="46">
        <v>14.0</v>
      </c>
      <c r="Q204" s="46">
        <f>IFERROR(__xludf.DUMMYFUNCTION("""COMPUTED_VALUE"""),0.0)</f>
        <v>0</v>
      </c>
      <c r="R204" s="64">
        <v>22.0</v>
      </c>
    </row>
    <row r="205" ht="21.0" customHeight="1">
      <c r="A205" s="42">
        <v>44540.0</v>
      </c>
      <c r="B205" s="43">
        <v>44540.708344907405</v>
      </c>
      <c r="C205" s="17" t="s">
        <v>972</v>
      </c>
      <c r="D205" s="17" t="s">
        <v>1576</v>
      </c>
      <c r="E205" s="17" t="s">
        <v>80</v>
      </c>
      <c r="F205" s="17" t="s">
        <v>55</v>
      </c>
      <c r="G205" s="17" t="s">
        <v>1577</v>
      </c>
      <c r="H205" s="44" t="s">
        <v>1578</v>
      </c>
      <c r="I205" s="63">
        <v>1.0</v>
      </c>
      <c r="J205" s="63">
        <v>1720.0</v>
      </c>
      <c r="K205" s="63">
        <v>1749.0</v>
      </c>
      <c r="L205" s="63">
        <v>1.0</v>
      </c>
      <c r="M205" s="63">
        <v>28.0</v>
      </c>
      <c r="N205" s="63">
        <v>1720.0</v>
      </c>
      <c r="O205" s="46">
        <v>50.0</v>
      </c>
      <c r="P205" s="46">
        <v>17.0</v>
      </c>
      <c r="Q205" s="46">
        <f>IFERROR(__xludf.DUMMYFUNCTION("""COMPUTED_VALUE"""),0.0)</f>
        <v>0</v>
      </c>
      <c r="R205" s="64">
        <v>29.0</v>
      </c>
    </row>
    <row r="206" ht="21.0" customHeight="1">
      <c r="A206" s="42">
        <v>44540.0</v>
      </c>
      <c r="B206" s="43">
        <v>44540.75015046296</v>
      </c>
      <c r="C206" s="17" t="s">
        <v>972</v>
      </c>
      <c r="D206" s="17" t="s">
        <v>1579</v>
      </c>
      <c r="E206" s="17" t="s">
        <v>80</v>
      </c>
      <c r="F206" s="17" t="s">
        <v>55</v>
      </c>
      <c r="G206" s="17" t="s">
        <v>1580</v>
      </c>
      <c r="H206" s="44" t="s">
        <v>1581</v>
      </c>
      <c r="I206" s="63">
        <v>1.0</v>
      </c>
      <c r="J206" s="63">
        <v>341.0</v>
      </c>
      <c r="K206" s="63">
        <v>350.0</v>
      </c>
      <c r="L206" s="63">
        <v>10.0</v>
      </c>
      <c r="M206" s="63">
        <v>28.0</v>
      </c>
      <c r="N206" s="63">
        <v>341.0</v>
      </c>
      <c r="O206" s="46">
        <v>50.0</v>
      </c>
      <c r="P206" s="46">
        <v>18.0</v>
      </c>
      <c r="Q206" s="46">
        <f>IFERROR(__xludf.DUMMYFUNCTION("""COMPUTED_VALUE"""),0.0)</f>
        <v>0</v>
      </c>
      <c r="R206" s="64">
        <v>9.0</v>
      </c>
    </row>
    <row r="207" ht="21.0" customHeight="1">
      <c r="A207" s="42">
        <v>44541.0</v>
      </c>
      <c r="B207" s="43">
        <v>44541.54167824074</v>
      </c>
      <c r="C207" s="17" t="s">
        <v>972</v>
      </c>
      <c r="D207" s="17" t="s">
        <v>1582</v>
      </c>
      <c r="E207" s="17" t="s">
        <v>84</v>
      </c>
      <c r="F207" s="17" t="s">
        <v>50</v>
      </c>
      <c r="G207" s="17" t="s">
        <v>1583</v>
      </c>
      <c r="H207" s="44" t="s">
        <v>1584</v>
      </c>
      <c r="I207" s="63">
        <v>1.0</v>
      </c>
      <c r="J207" s="63">
        <v>1115.0</v>
      </c>
      <c r="K207" s="63">
        <v>1142.0</v>
      </c>
      <c r="L207" s="63">
        <v>13.0</v>
      </c>
      <c r="M207" s="63">
        <v>40.0</v>
      </c>
      <c r="N207" s="63">
        <v>1115.0</v>
      </c>
      <c r="O207" s="46">
        <v>50.0</v>
      </c>
      <c r="P207" s="46">
        <v>13.0</v>
      </c>
      <c r="Q207" s="46">
        <f>IFERROR(__xludf.DUMMYFUNCTION("""COMPUTED_VALUE"""),0.0)</f>
        <v>0</v>
      </c>
      <c r="R207" s="64">
        <v>27.0</v>
      </c>
    </row>
    <row r="208" ht="21.0" customHeight="1">
      <c r="A208" s="42">
        <v>44541.0</v>
      </c>
      <c r="B208" s="43">
        <v>44541.62501157408</v>
      </c>
      <c r="C208" s="17" t="s">
        <v>972</v>
      </c>
      <c r="D208" s="17" t="s">
        <v>1585</v>
      </c>
      <c r="E208" s="17" t="s">
        <v>80</v>
      </c>
      <c r="F208" s="17" t="s">
        <v>55</v>
      </c>
      <c r="G208" s="17" t="s">
        <v>1586</v>
      </c>
      <c r="H208" s="44" t="s">
        <v>1587</v>
      </c>
      <c r="I208" s="63">
        <v>1.0</v>
      </c>
      <c r="J208" s="63">
        <v>566.0</v>
      </c>
      <c r="K208" s="63">
        <v>583.0</v>
      </c>
      <c r="L208" s="63">
        <v>0.0</v>
      </c>
      <c r="M208" s="63">
        <v>8.0</v>
      </c>
      <c r="N208" s="63">
        <v>566.0</v>
      </c>
      <c r="O208" s="46">
        <v>50.0</v>
      </c>
      <c r="P208" s="46">
        <v>15.0</v>
      </c>
      <c r="Q208" s="46">
        <f>IFERROR(__xludf.DUMMYFUNCTION("""COMPUTED_VALUE"""),0.0)</f>
        <v>0</v>
      </c>
      <c r="R208" s="64">
        <v>17.0</v>
      </c>
    </row>
    <row r="209" ht="21.0" customHeight="1">
      <c r="A209" s="42">
        <v>44541.0</v>
      </c>
      <c r="B209" s="43">
        <v>44541.89613425926</v>
      </c>
      <c r="C209" s="17" t="s">
        <v>972</v>
      </c>
      <c r="D209" s="17" t="s">
        <v>1588</v>
      </c>
      <c r="E209" s="17" t="s">
        <v>84</v>
      </c>
      <c r="F209" s="17" t="s">
        <v>50</v>
      </c>
      <c r="G209" s="17" t="s">
        <v>1589</v>
      </c>
      <c r="H209" s="44" t="s">
        <v>1590</v>
      </c>
      <c r="I209" s="63">
        <v>1.0</v>
      </c>
      <c r="J209" s="63">
        <v>646.0</v>
      </c>
      <c r="K209" s="63">
        <v>648.0</v>
      </c>
      <c r="L209" s="63">
        <v>3.0</v>
      </c>
      <c r="M209" s="63">
        <v>10.0</v>
      </c>
      <c r="N209" s="63">
        <v>646.0</v>
      </c>
      <c r="O209" s="46">
        <v>50.0</v>
      </c>
      <c r="P209" s="46">
        <v>21.0</v>
      </c>
      <c r="Q209" s="46">
        <f>IFERROR(__xludf.DUMMYFUNCTION("""COMPUTED_VALUE"""),0.0)</f>
        <v>0</v>
      </c>
      <c r="R209" s="64">
        <v>2.0</v>
      </c>
    </row>
    <row r="210" ht="21.0" customHeight="1">
      <c r="A210" s="42">
        <v>44542.0</v>
      </c>
      <c r="B210" s="43">
        <v>44542.54168981482</v>
      </c>
      <c r="C210" s="17" t="s">
        <v>972</v>
      </c>
      <c r="D210" s="17" t="s">
        <v>1591</v>
      </c>
      <c r="E210" s="17" t="s">
        <v>84</v>
      </c>
      <c r="F210" s="17" t="s">
        <v>50</v>
      </c>
      <c r="G210" s="17" t="s">
        <v>1592</v>
      </c>
      <c r="H210" s="44" t="s">
        <v>1593</v>
      </c>
      <c r="I210" s="63">
        <v>1.0</v>
      </c>
      <c r="J210" s="63">
        <v>589.0</v>
      </c>
      <c r="K210" s="63">
        <v>598.0</v>
      </c>
      <c r="L210" s="63">
        <v>6.0</v>
      </c>
      <c r="M210" s="63">
        <v>9.0</v>
      </c>
      <c r="N210" s="63">
        <v>589.0</v>
      </c>
      <c r="O210" s="46">
        <v>51.0</v>
      </c>
      <c r="P210" s="46">
        <v>13.0</v>
      </c>
      <c r="Q210" s="46">
        <f>IFERROR(__xludf.DUMMYFUNCTION("""COMPUTED_VALUE"""),0.0)</f>
        <v>0</v>
      </c>
      <c r="R210" s="64">
        <v>9.0</v>
      </c>
    </row>
    <row r="211" ht="21.0" customHeight="1">
      <c r="A211" s="42">
        <v>44542.0</v>
      </c>
      <c r="B211" s="43">
        <v>44542.646527777775</v>
      </c>
      <c r="C211" s="17" t="s">
        <v>972</v>
      </c>
      <c r="D211" s="17" t="s">
        <v>1594</v>
      </c>
      <c r="E211" s="17" t="s">
        <v>80</v>
      </c>
      <c r="F211" s="17" t="s">
        <v>55</v>
      </c>
      <c r="G211" s="17" t="s">
        <v>1595</v>
      </c>
      <c r="H211" s="44" t="s">
        <v>1596</v>
      </c>
      <c r="I211" s="63">
        <v>1.0</v>
      </c>
      <c r="J211" s="63">
        <v>962.0</v>
      </c>
      <c r="K211" s="63">
        <v>1054.0</v>
      </c>
      <c r="L211" s="63">
        <v>10.0</v>
      </c>
      <c r="M211" s="63">
        <v>76.0</v>
      </c>
      <c r="N211" s="63">
        <v>962.0</v>
      </c>
      <c r="O211" s="46">
        <v>51.0</v>
      </c>
      <c r="P211" s="46">
        <v>15.0</v>
      </c>
      <c r="Q211" s="46">
        <f>IFERROR(__xludf.DUMMYFUNCTION("""COMPUTED_VALUE"""),0.0)</f>
        <v>0</v>
      </c>
      <c r="R211" s="64">
        <v>92.0</v>
      </c>
    </row>
    <row r="212" ht="21.0" customHeight="1">
      <c r="A212" s="42">
        <v>44542.0</v>
      </c>
      <c r="B212" s="43">
        <v>44542.67710648148</v>
      </c>
      <c r="C212" s="17" t="s">
        <v>972</v>
      </c>
      <c r="D212" s="17" t="s">
        <v>1597</v>
      </c>
      <c r="E212" s="17" t="s">
        <v>84</v>
      </c>
      <c r="F212" s="17" t="s">
        <v>50</v>
      </c>
      <c r="G212" s="17" t="s">
        <v>1598</v>
      </c>
      <c r="H212" s="44" t="s">
        <v>1599</v>
      </c>
      <c r="I212" s="63">
        <v>1.0</v>
      </c>
      <c r="J212" s="63">
        <v>175.0</v>
      </c>
      <c r="K212" s="63">
        <v>176.0</v>
      </c>
      <c r="L212" s="63">
        <v>0.0</v>
      </c>
      <c r="M212" s="63">
        <v>3.0</v>
      </c>
      <c r="N212" s="63">
        <v>175.0</v>
      </c>
      <c r="O212" s="46">
        <v>51.0</v>
      </c>
      <c r="P212" s="46">
        <v>16.0</v>
      </c>
      <c r="Q212" s="46">
        <f>IFERROR(__xludf.DUMMYFUNCTION("""COMPUTED_VALUE"""),0.0)</f>
        <v>0</v>
      </c>
      <c r="R212" s="64">
        <v>1.0</v>
      </c>
    </row>
    <row r="213" ht="21.0" customHeight="1">
      <c r="A213" s="42">
        <v>44542.0</v>
      </c>
      <c r="B213" s="43">
        <v>44542.85474537037</v>
      </c>
      <c r="C213" s="17" t="s">
        <v>972</v>
      </c>
      <c r="D213" s="17" t="s">
        <v>1600</v>
      </c>
      <c r="E213" s="17" t="s">
        <v>84</v>
      </c>
      <c r="F213" s="17" t="s">
        <v>50</v>
      </c>
      <c r="G213" s="17" t="s">
        <v>1601</v>
      </c>
      <c r="H213" s="44" t="s">
        <v>1602</v>
      </c>
      <c r="I213" s="63">
        <v>1.0</v>
      </c>
      <c r="J213" s="63">
        <v>1111.0</v>
      </c>
      <c r="K213" s="63">
        <v>1132.0</v>
      </c>
      <c r="L213" s="63">
        <v>14.0</v>
      </c>
      <c r="M213" s="63">
        <v>33.0</v>
      </c>
      <c r="N213" s="63">
        <v>1111.0</v>
      </c>
      <c r="O213" s="46">
        <v>51.0</v>
      </c>
      <c r="P213" s="46">
        <v>20.0</v>
      </c>
      <c r="Q213" s="46">
        <f>IFERROR(__xludf.DUMMYFUNCTION("""COMPUTED_VALUE"""),0.0)</f>
        <v>0</v>
      </c>
      <c r="R213" s="64">
        <v>21.0</v>
      </c>
    </row>
    <row r="214" ht="21.0" customHeight="1">
      <c r="A214" s="42">
        <v>44543.0</v>
      </c>
      <c r="B214" s="43">
        <v>44543.417916666665</v>
      </c>
      <c r="C214" s="17" t="s">
        <v>972</v>
      </c>
      <c r="D214" s="17" t="s">
        <v>1603</v>
      </c>
      <c r="E214" s="17" t="s">
        <v>84</v>
      </c>
      <c r="F214" s="17" t="s">
        <v>50</v>
      </c>
      <c r="G214" s="17" t="s">
        <v>1604</v>
      </c>
      <c r="H214" s="44" t="s">
        <v>1605</v>
      </c>
      <c r="I214" s="63">
        <v>1.0</v>
      </c>
      <c r="J214" s="63">
        <v>1449.0</v>
      </c>
      <c r="K214" s="63">
        <v>1459.0</v>
      </c>
      <c r="L214" s="63">
        <v>28.0</v>
      </c>
      <c r="M214" s="63">
        <v>41.0</v>
      </c>
      <c r="N214" s="63">
        <v>1449.0</v>
      </c>
      <c r="O214" s="46">
        <v>51.0</v>
      </c>
      <c r="P214" s="46">
        <v>10.0</v>
      </c>
      <c r="Q214" s="46">
        <f>IFERROR(__xludf.DUMMYFUNCTION("""COMPUTED_VALUE"""),0.0)</f>
        <v>0</v>
      </c>
      <c r="R214" s="64">
        <v>10.0</v>
      </c>
    </row>
    <row r="215" ht="21.0" customHeight="1">
      <c r="A215" s="42">
        <v>44543.0</v>
      </c>
      <c r="B215" s="43">
        <v>44543.64550925926</v>
      </c>
      <c r="C215" s="17" t="s">
        <v>972</v>
      </c>
      <c r="D215" s="17" t="s">
        <v>1606</v>
      </c>
      <c r="E215" s="17" t="s">
        <v>80</v>
      </c>
      <c r="F215" s="17" t="s">
        <v>55</v>
      </c>
      <c r="G215" s="17" t="s">
        <v>1607</v>
      </c>
      <c r="H215" s="44" t="s">
        <v>1608</v>
      </c>
      <c r="I215" s="63">
        <v>1.0</v>
      </c>
      <c r="J215" s="63">
        <v>1663.0</v>
      </c>
      <c r="K215" s="63">
        <v>2001.0</v>
      </c>
      <c r="L215" s="63">
        <v>72.0</v>
      </c>
      <c r="M215" s="63">
        <v>455.0</v>
      </c>
      <c r="N215" s="63">
        <v>1663.0</v>
      </c>
      <c r="O215" s="46">
        <v>51.0</v>
      </c>
      <c r="P215" s="46">
        <v>15.0</v>
      </c>
      <c r="Q215" s="46">
        <f>IFERROR(__xludf.DUMMYFUNCTION("""COMPUTED_VALUE"""),0.0)</f>
        <v>0</v>
      </c>
      <c r="R215" s="64">
        <v>338.0</v>
      </c>
    </row>
    <row r="216" ht="21.0" customHeight="1">
      <c r="A216" s="42">
        <v>44543.0</v>
      </c>
      <c r="B216" s="43">
        <v>44543.840266203704</v>
      </c>
      <c r="C216" s="17" t="s">
        <v>972</v>
      </c>
      <c r="D216" s="17" t="s">
        <v>1609</v>
      </c>
      <c r="E216" s="17" t="s">
        <v>97</v>
      </c>
      <c r="F216" s="17" t="s">
        <v>52</v>
      </c>
      <c r="G216" s="17" t="s">
        <v>1610</v>
      </c>
      <c r="H216" s="44" t="s">
        <v>1611</v>
      </c>
      <c r="I216" s="63">
        <v>1.0</v>
      </c>
      <c r="J216" s="63">
        <v>61.0</v>
      </c>
      <c r="K216" s="63">
        <v>61.0</v>
      </c>
      <c r="L216" s="63">
        <v>0.0</v>
      </c>
      <c r="M216" s="65"/>
      <c r="N216" s="63">
        <v>61.0</v>
      </c>
      <c r="O216" s="46">
        <v>51.0</v>
      </c>
      <c r="P216" s="46">
        <v>20.0</v>
      </c>
      <c r="Q216" s="46">
        <f>IFERROR(__xludf.DUMMYFUNCTION("""COMPUTED_VALUE"""),0.0)</f>
        <v>0</v>
      </c>
      <c r="R216" s="64">
        <v>0.0</v>
      </c>
    </row>
    <row r="217" ht="21.0" customHeight="1">
      <c r="A217" s="42">
        <v>44544.0</v>
      </c>
      <c r="B217" s="43">
        <v>44544.64586805556</v>
      </c>
      <c r="C217" s="17" t="s">
        <v>972</v>
      </c>
      <c r="D217" s="17" t="s">
        <v>1612</v>
      </c>
      <c r="E217" s="17" t="s">
        <v>80</v>
      </c>
      <c r="F217" s="17" t="s">
        <v>55</v>
      </c>
      <c r="G217" s="17" t="s">
        <v>1613</v>
      </c>
      <c r="H217" s="44" t="s">
        <v>1614</v>
      </c>
      <c r="I217" s="63">
        <v>1.0</v>
      </c>
      <c r="J217" s="63">
        <v>233.0</v>
      </c>
      <c r="K217" s="63">
        <v>238.0</v>
      </c>
      <c r="L217" s="63">
        <v>0.0</v>
      </c>
      <c r="M217" s="63">
        <v>8.0</v>
      </c>
      <c r="N217" s="63">
        <v>233.0</v>
      </c>
      <c r="O217" s="46">
        <v>51.0</v>
      </c>
      <c r="P217" s="46">
        <v>15.0</v>
      </c>
      <c r="Q217" s="46">
        <f>IFERROR(__xludf.DUMMYFUNCTION("""COMPUTED_VALUE"""),0.0)</f>
        <v>0</v>
      </c>
      <c r="R217" s="64">
        <v>5.0</v>
      </c>
    </row>
    <row r="218" ht="21.0" customHeight="1">
      <c r="A218" s="42">
        <v>44544.0</v>
      </c>
      <c r="B218" s="43">
        <v>44544.74623842593</v>
      </c>
      <c r="C218" s="17" t="s">
        <v>972</v>
      </c>
      <c r="D218" s="17" t="s">
        <v>1615</v>
      </c>
      <c r="E218" s="17" t="s">
        <v>80</v>
      </c>
      <c r="F218" s="17" t="s">
        <v>55</v>
      </c>
      <c r="G218" s="17" t="s">
        <v>1616</v>
      </c>
      <c r="H218" s="44" t="s">
        <v>1617</v>
      </c>
      <c r="I218" s="63">
        <v>1.0</v>
      </c>
      <c r="J218" s="63">
        <v>134.0</v>
      </c>
      <c r="K218" s="63">
        <v>137.0</v>
      </c>
      <c r="L218" s="63">
        <v>0.0</v>
      </c>
      <c r="M218" s="63">
        <v>3.0</v>
      </c>
      <c r="N218" s="63">
        <v>134.0</v>
      </c>
      <c r="O218" s="46">
        <v>51.0</v>
      </c>
      <c r="P218" s="46">
        <v>17.0</v>
      </c>
      <c r="Q218" s="46">
        <f>IFERROR(__xludf.DUMMYFUNCTION("""COMPUTED_VALUE"""),0.0)</f>
        <v>0</v>
      </c>
      <c r="R218" s="64">
        <v>3.0</v>
      </c>
    </row>
    <row r="219" ht="21.0" customHeight="1">
      <c r="A219" s="42">
        <v>44544.0</v>
      </c>
      <c r="B219" s="43">
        <v>44544.875</v>
      </c>
      <c r="C219" s="17" t="s">
        <v>972</v>
      </c>
      <c r="D219" s="17" t="s">
        <v>1618</v>
      </c>
      <c r="E219" s="17" t="s">
        <v>84</v>
      </c>
      <c r="F219" s="17" t="s">
        <v>50</v>
      </c>
      <c r="G219" s="17" t="s">
        <v>1619</v>
      </c>
      <c r="H219" s="44" t="s">
        <v>1620</v>
      </c>
      <c r="I219" s="63">
        <v>1.0</v>
      </c>
      <c r="J219" s="63">
        <v>90.0</v>
      </c>
      <c r="K219" s="63">
        <v>93.0</v>
      </c>
      <c r="L219" s="63">
        <v>7.0</v>
      </c>
      <c r="M219" s="63">
        <v>3.0</v>
      </c>
      <c r="N219" s="63">
        <v>90.0</v>
      </c>
      <c r="O219" s="46">
        <v>51.0</v>
      </c>
      <c r="P219" s="46">
        <v>21.0</v>
      </c>
      <c r="Q219" s="46">
        <f>IFERROR(__xludf.DUMMYFUNCTION("""COMPUTED_VALUE"""),0.0)</f>
        <v>0</v>
      </c>
      <c r="R219" s="64">
        <v>3.0</v>
      </c>
    </row>
    <row r="220" ht="21.0" customHeight="1">
      <c r="A220" s="42">
        <v>44545.0</v>
      </c>
      <c r="B220" s="43">
        <v>44545.413449074076</v>
      </c>
      <c r="C220" s="17" t="s">
        <v>972</v>
      </c>
      <c r="D220" s="17" t="s">
        <v>1621</v>
      </c>
      <c r="E220" s="17" t="s">
        <v>84</v>
      </c>
      <c r="F220" s="17" t="s">
        <v>50</v>
      </c>
      <c r="G220" s="17" t="s">
        <v>1622</v>
      </c>
      <c r="H220" s="44" t="s">
        <v>1623</v>
      </c>
      <c r="I220" s="63">
        <v>1.0</v>
      </c>
      <c r="J220" s="63">
        <v>96.0</v>
      </c>
      <c r="K220" s="63">
        <v>99.0</v>
      </c>
      <c r="L220" s="63">
        <v>0.0</v>
      </c>
      <c r="M220" s="63">
        <v>19.0</v>
      </c>
      <c r="N220" s="63">
        <v>96.0</v>
      </c>
      <c r="O220" s="46">
        <v>51.0</v>
      </c>
      <c r="P220" s="46">
        <v>9.0</v>
      </c>
      <c r="Q220" s="46">
        <f>IFERROR(__xludf.DUMMYFUNCTION("""COMPUTED_VALUE"""),0.0)</f>
        <v>0</v>
      </c>
      <c r="R220" s="64">
        <v>3.0</v>
      </c>
    </row>
    <row r="221" ht="21.0" customHeight="1">
      <c r="A221" s="42">
        <v>44545.0</v>
      </c>
      <c r="B221" s="43">
        <v>44545.542129629626</v>
      </c>
      <c r="C221" s="17" t="s">
        <v>972</v>
      </c>
      <c r="D221" s="17" t="s">
        <v>1624</v>
      </c>
      <c r="E221" s="17" t="s">
        <v>84</v>
      </c>
      <c r="F221" s="17" t="s">
        <v>47</v>
      </c>
      <c r="G221" s="17" t="s">
        <v>1625</v>
      </c>
      <c r="H221" s="44" t="s">
        <v>1626</v>
      </c>
      <c r="I221" s="63">
        <v>1.0</v>
      </c>
      <c r="J221" s="63">
        <v>169.0</v>
      </c>
      <c r="K221" s="63">
        <v>173.0</v>
      </c>
      <c r="L221" s="63">
        <v>10.0</v>
      </c>
      <c r="M221" s="63">
        <v>16.0</v>
      </c>
      <c r="N221" s="63">
        <v>169.0</v>
      </c>
      <c r="O221" s="46">
        <v>51.0</v>
      </c>
      <c r="P221" s="46">
        <v>13.0</v>
      </c>
      <c r="Q221" s="46">
        <f>IFERROR(__xludf.DUMMYFUNCTION("""COMPUTED_VALUE"""),0.0)</f>
        <v>0</v>
      </c>
      <c r="R221" s="64">
        <v>4.0</v>
      </c>
    </row>
    <row r="222" ht="21.0" customHeight="1">
      <c r="A222" s="42">
        <v>44545.0</v>
      </c>
      <c r="B222" s="43">
        <v>44545.62568287037</v>
      </c>
      <c r="C222" s="17" t="s">
        <v>972</v>
      </c>
      <c r="D222" s="17" t="s">
        <v>1627</v>
      </c>
      <c r="E222" s="17" t="s">
        <v>84</v>
      </c>
      <c r="F222" s="17" t="s">
        <v>47</v>
      </c>
      <c r="G222" s="17" t="s">
        <v>1628</v>
      </c>
      <c r="H222" s="44" t="s">
        <v>1629</v>
      </c>
      <c r="I222" s="63">
        <v>1.0</v>
      </c>
      <c r="J222" s="63">
        <v>139.0</v>
      </c>
      <c r="K222" s="63">
        <v>142.0</v>
      </c>
      <c r="L222" s="63">
        <v>0.0</v>
      </c>
      <c r="M222" s="63">
        <v>10.0</v>
      </c>
      <c r="N222" s="63">
        <v>139.0</v>
      </c>
      <c r="O222" s="46">
        <v>51.0</v>
      </c>
      <c r="P222" s="46">
        <v>15.0</v>
      </c>
      <c r="Q222" s="46">
        <f>IFERROR(__xludf.DUMMYFUNCTION("""COMPUTED_VALUE"""),0.0)</f>
        <v>0</v>
      </c>
      <c r="R222" s="64">
        <v>3.0</v>
      </c>
    </row>
    <row r="223" ht="21.0" customHeight="1">
      <c r="A223" s="42">
        <v>44545.0</v>
      </c>
      <c r="B223" s="43">
        <v>44545.708344907405</v>
      </c>
      <c r="C223" s="17" t="s">
        <v>972</v>
      </c>
      <c r="D223" s="17" t="s">
        <v>1630</v>
      </c>
      <c r="E223" s="17" t="s">
        <v>80</v>
      </c>
      <c r="F223" s="17" t="s">
        <v>55</v>
      </c>
      <c r="G223" s="17" t="s">
        <v>1631</v>
      </c>
      <c r="H223" s="44" t="s">
        <v>1632</v>
      </c>
      <c r="I223" s="63">
        <v>1.0</v>
      </c>
      <c r="J223" s="63">
        <v>2992.0</v>
      </c>
      <c r="K223" s="63">
        <v>3112.0</v>
      </c>
      <c r="L223" s="63">
        <v>10.0</v>
      </c>
      <c r="M223" s="63">
        <v>123.0</v>
      </c>
      <c r="N223" s="63">
        <v>2992.0</v>
      </c>
      <c r="O223" s="46">
        <v>51.0</v>
      </c>
      <c r="P223" s="46">
        <v>17.0</v>
      </c>
      <c r="Q223" s="46">
        <f>IFERROR(__xludf.DUMMYFUNCTION("""COMPUTED_VALUE"""),0.0)</f>
        <v>0</v>
      </c>
      <c r="R223" s="64">
        <v>120.0</v>
      </c>
    </row>
    <row r="224" ht="21.0" customHeight="1">
      <c r="A224" s="42">
        <v>44546.0</v>
      </c>
      <c r="B224" s="43">
        <v>44546.395844907405</v>
      </c>
      <c r="C224" s="17" t="s">
        <v>972</v>
      </c>
      <c r="D224" s="17" t="s">
        <v>1633</v>
      </c>
      <c r="E224" s="17" t="s">
        <v>80</v>
      </c>
      <c r="F224" s="17" t="s">
        <v>55</v>
      </c>
      <c r="G224" s="17" t="s">
        <v>1634</v>
      </c>
      <c r="H224" s="44" t="s">
        <v>1635</v>
      </c>
      <c r="I224" s="63">
        <v>1.0</v>
      </c>
      <c r="J224" s="63">
        <v>2495.0</v>
      </c>
      <c r="K224" s="63">
        <v>2552.0</v>
      </c>
      <c r="L224" s="63">
        <v>3.0</v>
      </c>
      <c r="M224" s="63">
        <v>45.0</v>
      </c>
      <c r="N224" s="63">
        <v>2495.0</v>
      </c>
      <c r="O224" s="46">
        <v>51.0</v>
      </c>
      <c r="P224" s="46">
        <v>9.0</v>
      </c>
      <c r="Q224" s="46">
        <f>IFERROR(__xludf.DUMMYFUNCTION("""COMPUTED_VALUE"""),0.0)</f>
        <v>0</v>
      </c>
      <c r="R224" s="64">
        <v>57.0</v>
      </c>
    </row>
    <row r="225" ht="21.0" customHeight="1">
      <c r="A225" s="42">
        <v>44546.0</v>
      </c>
      <c r="B225" s="43">
        <v>44546.565474537034</v>
      </c>
      <c r="C225" s="17" t="s">
        <v>972</v>
      </c>
      <c r="D225" s="17" t="s">
        <v>1636</v>
      </c>
      <c r="E225" s="17" t="s">
        <v>84</v>
      </c>
      <c r="F225" s="17" t="s">
        <v>50</v>
      </c>
      <c r="G225" s="17" t="s">
        <v>1637</v>
      </c>
      <c r="H225" s="44" t="s">
        <v>1638</v>
      </c>
      <c r="I225" s="63">
        <v>1.0</v>
      </c>
      <c r="J225" s="63">
        <v>1247.0</v>
      </c>
      <c r="K225" s="63">
        <v>1275.0</v>
      </c>
      <c r="L225" s="63">
        <v>30.0</v>
      </c>
      <c r="M225" s="63">
        <v>71.0</v>
      </c>
      <c r="N225" s="63">
        <v>1247.0</v>
      </c>
      <c r="O225" s="46">
        <v>51.0</v>
      </c>
      <c r="P225" s="46">
        <v>13.0</v>
      </c>
      <c r="Q225" s="46">
        <f>IFERROR(__xludf.DUMMYFUNCTION("""COMPUTED_VALUE"""),0.0)</f>
        <v>0</v>
      </c>
      <c r="R225" s="64">
        <v>28.0</v>
      </c>
    </row>
    <row r="226" ht="21.0" customHeight="1">
      <c r="A226" s="42">
        <v>44546.0</v>
      </c>
      <c r="B226" s="43">
        <v>44546.856782407405</v>
      </c>
      <c r="C226" s="17" t="s">
        <v>972</v>
      </c>
      <c r="D226" s="17" t="s">
        <v>1639</v>
      </c>
      <c r="E226" s="17" t="s">
        <v>84</v>
      </c>
      <c r="F226" s="17" t="s">
        <v>50</v>
      </c>
      <c r="G226" s="17" t="s">
        <v>1640</v>
      </c>
      <c r="H226" s="44" t="s">
        <v>1641</v>
      </c>
      <c r="I226" s="63">
        <v>1.0</v>
      </c>
      <c r="J226" s="63">
        <v>1483.0</v>
      </c>
      <c r="K226" s="63">
        <v>1504.0</v>
      </c>
      <c r="L226" s="63">
        <v>29.0</v>
      </c>
      <c r="M226" s="63">
        <v>35.0</v>
      </c>
      <c r="N226" s="63">
        <v>1483.0</v>
      </c>
      <c r="O226" s="46">
        <v>51.0</v>
      </c>
      <c r="P226" s="46">
        <v>20.0</v>
      </c>
      <c r="Q226" s="46">
        <f>IFERROR(__xludf.DUMMYFUNCTION("""COMPUTED_VALUE"""),0.0)</f>
        <v>0</v>
      </c>
      <c r="R226" s="64">
        <v>21.0</v>
      </c>
    </row>
    <row r="227" ht="21.0" customHeight="1">
      <c r="A227" s="42">
        <v>44547.0</v>
      </c>
      <c r="B227" s="43">
        <v>44547.41673611111</v>
      </c>
      <c r="C227" s="17" t="s">
        <v>972</v>
      </c>
      <c r="D227" s="17" t="s">
        <v>1642</v>
      </c>
      <c r="E227" s="17" t="s">
        <v>97</v>
      </c>
      <c r="F227" s="17" t="s">
        <v>52</v>
      </c>
      <c r="G227" s="17" t="s">
        <v>1643</v>
      </c>
      <c r="H227" s="44" t="s">
        <v>1644</v>
      </c>
      <c r="I227" s="63">
        <v>1.0</v>
      </c>
      <c r="J227" s="63">
        <v>81.0</v>
      </c>
      <c r="K227" s="63">
        <v>81.0</v>
      </c>
      <c r="L227" s="63">
        <v>0.0</v>
      </c>
      <c r="M227" s="65"/>
      <c r="N227" s="63">
        <v>81.0</v>
      </c>
      <c r="O227" s="46">
        <v>51.0</v>
      </c>
      <c r="P227" s="46">
        <v>10.0</v>
      </c>
      <c r="Q227" s="46">
        <f>IFERROR(__xludf.DUMMYFUNCTION("""COMPUTED_VALUE"""),0.0)</f>
        <v>0</v>
      </c>
      <c r="R227" s="64">
        <v>0.0</v>
      </c>
    </row>
    <row r="228" ht="21.0" customHeight="1">
      <c r="A228" s="42">
        <v>44547.0</v>
      </c>
      <c r="B228" s="43">
        <v>44547.5562037037</v>
      </c>
      <c r="C228" s="17" t="s">
        <v>972</v>
      </c>
      <c r="D228" s="17" t="s">
        <v>1645</v>
      </c>
      <c r="E228" s="17" t="s">
        <v>84</v>
      </c>
      <c r="F228" s="17" t="s">
        <v>50</v>
      </c>
      <c r="G228" s="17" t="s">
        <v>1646</v>
      </c>
      <c r="H228" s="44" t="s">
        <v>1647</v>
      </c>
      <c r="I228" s="63">
        <v>1.0</v>
      </c>
      <c r="J228" s="63">
        <v>963.0</v>
      </c>
      <c r="K228" s="63">
        <v>979.0</v>
      </c>
      <c r="L228" s="63">
        <v>53.0</v>
      </c>
      <c r="M228" s="63">
        <v>65.0</v>
      </c>
      <c r="N228" s="63">
        <v>963.0</v>
      </c>
      <c r="O228" s="46">
        <v>51.0</v>
      </c>
      <c r="P228" s="46">
        <v>13.0</v>
      </c>
      <c r="Q228" s="46">
        <f>IFERROR(__xludf.DUMMYFUNCTION("""COMPUTED_VALUE"""),0.0)</f>
        <v>0</v>
      </c>
      <c r="R228" s="64">
        <v>16.0</v>
      </c>
    </row>
    <row r="229" ht="21.0" customHeight="1">
      <c r="A229" s="42">
        <v>44547.0</v>
      </c>
      <c r="B229" s="43">
        <v>44547.583333333336</v>
      </c>
      <c r="C229" s="17" t="s">
        <v>972</v>
      </c>
      <c r="D229" s="17" t="s">
        <v>1648</v>
      </c>
      <c r="E229" s="17" t="s">
        <v>84</v>
      </c>
      <c r="F229" s="17" t="s">
        <v>47</v>
      </c>
      <c r="G229" s="17" t="s">
        <v>1649</v>
      </c>
      <c r="H229" s="44" t="s">
        <v>1650</v>
      </c>
      <c r="I229" s="63">
        <v>1.0</v>
      </c>
      <c r="J229" s="63">
        <v>112.0</v>
      </c>
      <c r="K229" s="63">
        <v>115.0</v>
      </c>
      <c r="L229" s="63">
        <v>2.0</v>
      </c>
      <c r="M229" s="63">
        <v>3.0</v>
      </c>
      <c r="N229" s="63">
        <v>112.0</v>
      </c>
      <c r="O229" s="46">
        <v>51.0</v>
      </c>
      <c r="P229" s="46">
        <v>14.0</v>
      </c>
      <c r="Q229" s="46">
        <f>IFERROR(__xludf.DUMMYFUNCTION("""COMPUTED_VALUE"""),0.0)</f>
        <v>0</v>
      </c>
      <c r="R229" s="64">
        <v>3.0</v>
      </c>
    </row>
    <row r="230" ht="21.0" customHeight="1">
      <c r="A230" s="42">
        <v>44547.0</v>
      </c>
      <c r="B230" s="43">
        <v>44547.64616898148</v>
      </c>
      <c r="C230" s="17" t="s">
        <v>972</v>
      </c>
      <c r="D230" s="17" t="s">
        <v>1651</v>
      </c>
      <c r="E230" s="17" t="s">
        <v>84</v>
      </c>
      <c r="F230" s="17" t="s">
        <v>50</v>
      </c>
      <c r="G230" s="17" t="s">
        <v>1652</v>
      </c>
      <c r="H230" s="44" t="s">
        <v>1653</v>
      </c>
      <c r="I230" s="63">
        <v>1.0</v>
      </c>
      <c r="J230" s="63">
        <v>2460.0</v>
      </c>
      <c r="K230" s="63">
        <v>2600.0</v>
      </c>
      <c r="L230" s="63">
        <v>20.0</v>
      </c>
      <c r="M230" s="63">
        <v>112.0</v>
      </c>
      <c r="N230" s="63">
        <v>2460.0</v>
      </c>
      <c r="O230" s="46">
        <v>51.0</v>
      </c>
      <c r="P230" s="46">
        <v>15.0</v>
      </c>
      <c r="Q230" s="46">
        <f>IFERROR(__xludf.DUMMYFUNCTION("""COMPUTED_VALUE"""),0.0)</f>
        <v>0</v>
      </c>
      <c r="R230" s="64">
        <v>140.0</v>
      </c>
    </row>
    <row r="231" ht="21.0" customHeight="1">
      <c r="A231" s="42">
        <v>44547.0</v>
      </c>
      <c r="B231" s="43">
        <v>44547.686527777776</v>
      </c>
      <c r="C231" s="17" t="s">
        <v>972</v>
      </c>
      <c r="D231" s="17" t="s">
        <v>1654</v>
      </c>
      <c r="E231" s="17" t="s">
        <v>84</v>
      </c>
      <c r="F231" s="17" t="s">
        <v>50</v>
      </c>
      <c r="G231" s="17" t="s">
        <v>1655</v>
      </c>
      <c r="H231" s="44" t="s">
        <v>1656</v>
      </c>
      <c r="I231" s="63">
        <v>1.0</v>
      </c>
      <c r="J231" s="63">
        <v>218.0</v>
      </c>
      <c r="K231" s="63">
        <v>218.0</v>
      </c>
      <c r="L231" s="63">
        <v>0.0</v>
      </c>
      <c r="M231" s="63">
        <v>5.0</v>
      </c>
      <c r="N231" s="63">
        <v>218.0</v>
      </c>
      <c r="O231" s="46">
        <v>51.0</v>
      </c>
      <c r="P231" s="46">
        <v>16.0</v>
      </c>
      <c r="Q231" s="46">
        <f>IFERROR(__xludf.DUMMYFUNCTION("""COMPUTED_VALUE"""),0.0)</f>
        <v>0</v>
      </c>
      <c r="R231" s="64">
        <v>0.0</v>
      </c>
    </row>
    <row r="232" ht="21.0" customHeight="1">
      <c r="A232" s="42">
        <v>44547.0</v>
      </c>
      <c r="B232" s="43">
        <v>44547.87383101852</v>
      </c>
      <c r="C232" s="17" t="s">
        <v>972</v>
      </c>
      <c r="D232" s="17" t="s">
        <v>1657</v>
      </c>
      <c r="E232" s="17" t="s">
        <v>84</v>
      </c>
      <c r="F232" s="17" t="s">
        <v>50</v>
      </c>
      <c r="G232" s="17" t="s">
        <v>1658</v>
      </c>
      <c r="H232" s="44" t="s">
        <v>1659</v>
      </c>
      <c r="I232" s="63">
        <v>1.0</v>
      </c>
      <c r="J232" s="63">
        <v>956.0</v>
      </c>
      <c r="K232" s="63">
        <v>961.0</v>
      </c>
      <c r="L232" s="63">
        <v>14.0</v>
      </c>
      <c r="M232" s="63">
        <v>10.0</v>
      </c>
      <c r="N232" s="63">
        <v>956.0</v>
      </c>
      <c r="O232" s="46">
        <v>51.0</v>
      </c>
      <c r="P232" s="46">
        <v>20.0</v>
      </c>
      <c r="Q232" s="46">
        <f>IFERROR(__xludf.DUMMYFUNCTION("""COMPUTED_VALUE"""),0.0)</f>
        <v>0</v>
      </c>
      <c r="R232" s="64">
        <v>5.0</v>
      </c>
    </row>
    <row r="233" ht="21.0" customHeight="1">
      <c r="A233" s="42">
        <v>44548.0</v>
      </c>
      <c r="B233" s="43">
        <v>44548.55069444444</v>
      </c>
      <c r="C233" s="17" t="s">
        <v>972</v>
      </c>
      <c r="D233" s="17" t="s">
        <v>1660</v>
      </c>
      <c r="E233" s="17" t="s">
        <v>84</v>
      </c>
      <c r="F233" s="17" t="s">
        <v>50</v>
      </c>
      <c r="G233" s="17" t="s">
        <v>1661</v>
      </c>
      <c r="H233" s="44" t="s">
        <v>1662</v>
      </c>
      <c r="I233" s="63">
        <v>1.0</v>
      </c>
      <c r="J233" s="63">
        <v>262.0</v>
      </c>
      <c r="K233" s="63">
        <v>262.0</v>
      </c>
      <c r="L233" s="63">
        <v>5.0</v>
      </c>
      <c r="M233" s="63">
        <v>7.0</v>
      </c>
      <c r="N233" s="63">
        <v>262.0</v>
      </c>
      <c r="O233" s="46">
        <v>51.0</v>
      </c>
      <c r="P233" s="46">
        <v>13.0</v>
      </c>
      <c r="Q233" s="46">
        <f>IFERROR(__xludf.DUMMYFUNCTION("""COMPUTED_VALUE"""),0.0)</f>
        <v>0</v>
      </c>
      <c r="R233" s="64">
        <v>0.0</v>
      </c>
    </row>
    <row r="234" ht="21.0" customHeight="1">
      <c r="A234" s="42">
        <v>44548.0</v>
      </c>
      <c r="B234" s="43">
        <v>44548.86114583333</v>
      </c>
      <c r="C234" s="17" t="s">
        <v>972</v>
      </c>
      <c r="D234" s="17" t="s">
        <v>1663</v>
      </c>
      <c r="E234" s="17" t="s">
        <v>84</v>
      </c>
      <c r="F234" s="17" t="s">
        <v>50</v>
      </c>
      <c r="G234" s="17" t="s">
        <v>1664</v>
      </c>
      <c r="H234" s="44" t="s">
        <v>1665</v>
      </c>
      <c r="I234" s="63">
        <v>1.0</v>
      </c>
      <c r="J234" s="63">
        <v>893.0</v>
      </c>
      <c r="K234" s="63">
        <v>895.0</v>
      </c>
      <c r="L234" s="63">
        <v>12.0</v>
      </c>
      <c r="M234" s="63">
        <v>14.0</v>
      </c>
      <c r="N234" s="63">
        <v>893.0</v>
      </c>
      <c r="O234" s="46">
        <v>51.0</v>
      </c>
      <c r="P234" s="46">
        <v>20.0</v>
      </c>
      <c r="Q234" s="46">
        <f>IFERROR(__xludf.DUMMYFUNCTION("""COMPUTED_VALUE"""),0.0)</f>
        <v>0</v>
      </c>
      <c r="R234" s="64">
        <v>2.0</v>
      </c>
    </row>
    <row r="235" ht="21.0" customHeight="1">
      <c r="A235" s="42">
        <v>44549.0</v>
      </c>
      <c r="B235" s="43">
        <v>44549.54613425926</v>
      </c>
      <c r="C235" s="17" t="s">
        <v>972</v>
      </c>
      <c r="D235" s="17" t="s">
        <v>1666</v>
      </c>
      <c r="E235" s="17" t="s">
        <v>84</v>
      </c>
      <c r="F235" s="17" t="s">
        <v>50</v>
      </c>
      <c r="G235" s="17" t="s">
        <v>1667</v>
      </c>
      <c r="H235" s="44" t="s">
        <v>1668</v>
      </c>
      <c r="I235" s="63">
        <v>1.0</v>
      </c>
      <c r="J235" s="63">
        <v>353.0</v>
      </c>
      <c r="K235" s="63">
        <v>355.0</v>
      </c>
      <c r="L235" s="63">
        <v>3.0</v>
      </c>
      <c r="M235" s="63">
        <v>11.0</v>
      </c>
      <c r="N235" s="63">
        <v>353.0</v>
      </c>
      <c r="O235" s="46">
        <v>52.0</v>
      </c>
      <c r="P235" s="46">
        <v>13.0</v>
      </c>
      <c r="Q235" s="46">
        <f>IFERROR(__xludf.DUMMYFUNCTION("""COMPUTED_VALUE"""),0.0)</f>
        <v>0</v>
      </c>
      <c r="R235" s="64">
        <v>2.0</v>
      </c>
    </row>
    <row r="236" ht="21.0" customHeight="1">
      <c r="A236" s="42">
        <v>44549.0</v>
      </c>
      <c r="B236" s="43">
        <v>44549.626863425925</v>
      </c>
      <c r="C236" s="17" t="s">
        <v>972</v>
      </c>
      <c r="D236" s="17" t="s">
        <v>1669</v>
      </c>
      <c r="E236" s="17" t="s">
        <v>97</v>
      </c>
      <c r="F236" s="17" t="s">
        <v>52</v>
      </c>
      <c r="G236" s="17" t="s">
        <v>1670</v>
      </c>
      <c r="H236" s="44" t="s">
        <v>1671</v>
      </c>
      <c r="I236" s="63">
        <v>1.0</v>
      </c>
      <c r="J236" s="63">
        <v>59.0</v>
      </c>
      <c r="K236" s="63">
        <v>60.0</v>
      </c>
      <c r="L236" s="63">
        <v>1.0</v>
      </c>
      <c r="M236" s="63">
        <v>1.0</v>
      </c>
      <c r="N236" s="63">
        <v>59.0</v>
      </c>
      <c r="O236" s="46">
        <v>52.0</v>
      </c>
      <c r="P236" s="46">
        <v>15.0</v>
      </c>
      <c r="Q236" s="46">
        <f>IFERROR(__xludf.DUMMYFUNCTION("""COMPUTED_VALUE"""),0.0)</f>
        <v>0</v>
      </c>
      <c r="R236" s="64">
        <v>1.0</v>
      </c>
    </row>
    <row r="237" ht="21.0" customHeight="1">
      <c r="A237" s="42">
        <v>44549.0</v>
      </c>
      <c r="B237" s="43">
        <v>44549.721655092595</v>
      </c>
      <c r="C237" s="17" t="s">
        <v>972</v>
      </c>
      <c r="D237" s="17" t="s">
        <v>1672</v>
      </c>
      <c r="E237" s="17" t="s">
        <v>84</v>
      </c>
      <c r="F237" s="17" t="s">
        <v>50</v>
      </c>
      <c r="G237" s="17" t="s">
        <v>1673</v>
      </c>
      <c r="H237" s="44" t="s">
        <v>1674</v>
      </c>
      <c r="I237" s="63">
        <v>1.0</v>
      </c>
      <c r="J237" s="63">
        <v>1050.0</v>
      </c>
      <c r="K237" s="63">
        <v>1091.0</v>
      </c>
      <c r="L237" s="63">
        <v>18.0</v>
      </c>
      <c r="M237" s="63">
        <v>189.0</v>
      </c>
      <c r="N237" s="63">
        <v>1050.0</v>
      </c>
      <c r="O237" s="46">
        <v>52.0</v>
      </c>
      <c r="P237" s="46">
        <v>17.0</v>
      </c>
      <c r="Q237" s="46">
        <f>IFERROR(__xludf.DUMMYFUNCTION("""COMPUTED_VALUE"""),0.0)</f>
        <v>0</v>
      </c>
      <c r="R237" s="64">
        <v>41.0</v>
      </c>
    </row>
    <row r="238" ht="21.0" customHeight="1">
      <c r="A238" s="42">
        <v>44549.0</v>
      </c>
      <c r="B238" s="43">
        <v>44549.86306712963</v>
      </c>
      <c r="C238" s="17" t="s">
        <v>972</v>
      </c>
      <c r="D238" s="17" t="s">
        <v>1675</v>
      </c>
      <c r="E238" s="17" t="s">
        <v>84</v>
      </c>
      <c r="F238" s="17" t="s">
        <v>50</v>
      </c>
      <c r="G238" s="17" t="s">
        <v>1676</v>
      </c>
      <c r="H238" s="44" t="s">
        <v>1677</v>
      </c>
      <c r="I238" s="63">
        <v>1.0</v>
      </c>
      <c r="J238" s="63">
        <v>28705.0</v>
      </c>
      <c r="K238" s="63">
        <v>28953.0</v>
      </c>
      <c r="L238" s="63">
        <v>61.0</v>
      </c>
      <c r="M238" s="63">
        <v>437.0</v>
      </c>
      <c r="N238" s="63">
        <v>28705.0</v>
      </c>
      <c r="O238" s="46">
        <v>52.0</v>
      </c>
      <c r="P238" s="46">
        <v>20.0</v>
      </c>
      <c r="Q238" s="46">
        <f>IFERROR(__xludf.DUMMYFUNCTION("""COMPUTED_VALUE"""),0.0)</f>
        <v>0</v>
      </c>
      <c r="R238" s="64">
        <v>248.0</v>
      </c>
    </row>
    <row r="239" ht="21.0" customHeight="1">
      <c r="A239" s="42">
        <v>44549.0</v>
      </c>
      <c r="B239" s="43">
        <v>44549.870046296295</v>
      </c>
      <c r="C239" s="17" t="s">
        <v>972</v>
      </c>
      <c r="D239" s="17" t="s">
        <v>1678</v>
      </c>
      <c r="E239" s="17" t="s">
        <v>84</v>
      </c>
      <c r="F239" s="17" t="s">
        <v>47</v>
      </c>
      <c r="G239" s="17" t="s">
        <v>1679</v>
      </c>
      <c r="H239" s="44" t="s">
        <v>1680</v>
      </c>
      <c r="I239" s="63">
        <v>1.0</v>
      </c>
      <c r="J239" s="63">
        <v>1052.0</v>
      </c>
      <c r="K239" s="63">
        <v>1066.0</v>
      </c>
      <c r="L239" s="63">
        <v>15.0</v>
      </c>
      <c r="M239" s="63">
        <v>58.0</v>
      </c>
      <c r="N239" s="63">
        <v>1052.0</v>
      </c>
      <c r="O239" s="46">
        <v>52.0</v>
      </c>
      <c r="P239" s="46">
        <v>20.0</v>
      </c>
      <c r="Q239" s="46">
        <f>IFERROR(__xludf.DUMMYFUNCTION("""COMPUTED_VALUE"""),0.0)</f>
        <v>0</v>
      </c>
      <c r="R239" s="64">
        <v>14.0</v>
      </c>
    </row>
    <row r="240" ht="21.0" customHeight="1">
      <c r="A240" s="42">
        <v>44550.0</v>
      </c>
      <c r="B240" s="43">
        <v>44550.520833333336</v>
      </c>
      <c r="C240" s="17" t="s">
        <v>972</v>
      </c>
      <c r="D240" s="17" t="s">
        <v>1681</v>
      </c>
      <c r="E240" s="17" t="s">
        <v>84</v>
      </c>
      <c r="F240" s="17" t="s">
        <v>50</v>
      </c>
      <c r="G240" s="17" t="s">
        <v>1682</v>
      </c>
      <c r="H240" s="44" t="s">
        <v>1683</v>
      </c>
      <c r="I240" s="63">
        <v>1.0</v>
      </c>
      <c r="J240" s="63">
        <v>2934.0</v>
      </c>
      <c r="K240" s="63">
        <v>2992.0</v>
      </c>
      <c r="L240" s="63">
        <v>21.0</v>
      </c>
      <c r="M240" s="63">
        <v>56.0</v>
      </c>
      <c r="N240" s="63">
        <v>2934.0</v>
      </c>
      <c r="O240" s="46">
        <v>52.0</v>
      </c>
      <c r="P240" s="46">
        <v>12.0</v>
      </c>
      <c r="Q240" s="46">
        <f>IFERROR(__xludf.DUMMYFUNCTION("""COMPUTED_VALUE"""),0.0)</f>
        <v>0</v>
      </c>
      <c r="R240" s="64">
        <v>58.0</v>
      </c>
    </row>
    <row r="241" ht="21.0" customHeight="1">
      <c r="A241" s="42">
        <v>44550.0</v>
      </c>
      <c r="B241" s="43">
        <v>44550.62511574074</v>
      </c>
      <c r="C241" s="17" t="s">
        <v>972</v>
      </c>
      <c r="D241" s="17" t="s">
        <v>1684</v>
      </c>
      <c r="E241" s="17" t="s">
        <v>80</v>
      </c>
      <c r="F241" s="17" t="s">
        <v>55</v>
      </c>
      <c r="G241" s="17" t="s">
        <v>1685</v>
      </c>
      <c r="H241" s="44" t="s">
        <v>1686</v>
      </c>
      <c r="I241" s="63">
        <v>1.0</v>
      </c>
      <c r="J241" s="63">
        <v>180.0</v>
      </c>
      <c r="K241" s="63">
        <v>187.0</v>
      </c>
      <c r="L241" s="63">
        <v>6.0</v>
      </c>
      <c r="M241" s="63">
        <v>17.0</v>
      </c>
      <c r="N241" s="63">
        <v>180.0</v>
      </c>
      <c r="O241" s="46">
        <v>52.0</v>
      </c>
      <c r="P241" s="46">
        <v>15.0</v>
      </c>
      <c r="Q241" s="46">
        <f>IFERROR(__xludf.DUMMYFUNCTION("""COMPUTED_VALUE"""),0.0)</f>
        <v>0</v>
      </c>
      <c r="R241" s="64">
        <v>7.0</v>
      </c>
    </row>
    <row r="242" ht="21.0" customHeight="1">
      <c r="A242" s="42">
        <v>44550.0</v>
      </c>
      <c r="B242" s="43">
        <v>44550.75</v>
      </c>
      <c r="C242" s="17" t="s">
        <v>972</v>
      </c>
      <c r="D242" s="17" t="s">
        <v>1687</v>
      </c>
      <c r="E242" s="17" t="s">
        <v>80</v>
      </c>
      <c r="F242" s="17" t="s">
        <v>55</v>
      </c>
      <c r="G242" s="17" t="s">
        <v>1688</v>
      </c>
      <c r="H242" s="44" t="s">
        <v>1689</v>
      </c>
      <c r="I242" s="63">
        <v>1.0</v>
      </c>
      <c r="J242" s="63">
        <v>105.0</v>
      </c>
      <c r="K242" s="63">
        <v>107.0</v>
      </c>
      <c r="L242" s="63">
        <v>1.0</v>
      </c>
      <c r="M242" s="63">
        <v>9.0</v>
      </c>
      <c r="N242" s="63">
        <v>105.0</v>
      </c>
      <c r="O242" s="46">
        <v>52.0</v>
      </c>
      <c r="P242" s="46">
        <v>18.0</v>
      </c>
      <c r="Q242" s="46">
        <f>IFERROR(__xludf.DUMMYFUNCTION("""COMPUTED_VALUE"""),0.0)</f>
        <v>0</v>
      </c>
      <c r="R242" s="64">
        <v>2.0</v>
      </c>
    </row>
    <row r="243" ht="21.0" customHeight="1">
      <c r="A243" s="42">
        <v>44550.0</v>
      </c>
      <c r="B243" s="43">
        <v>44550.83336805556</v>
      </c>
      <c r="C243" s="17" t="s">
        <v>972</v>
      </c>
      <c r="D243" s="17" t="s">
        <v>1690</v>
      </c>
      <c r="E243" s="17" t="s">
        <v>84</v>
      </c>
      <c r="F243" s="17" t="s">
        <v>50</v>
      </c>
      <c r="G243" s="17" t="s">
        <v>1691</v>
      </c>
      <c r="H243" s="44" t="s">
        <v>1692</v>
      </c>
      <c r="I243" s="63">
        <v>1.0</v>
      </c>
      <c r="J243" s="63">
        <v>75.0</v>
      </c>
      <c r="K243" s="63">
        <v>76.0</v>
      </c>
      <c r="L243" s="63">
        <v>0.0</v>
      </c>
      <c r="M243" s="63">
        <v>2.0</v>
      </c>
      <c r="N243" s="63">
        <v>75.0</v>
      </c>
      <c r="O243" s="46">
        <v>52.0</v>
      </c>
      <c r="P243" s="46">
        <v>20.0</v>
      </c>
      <c r="Q243" s="46">
        <f>IFERROR(__xludf.DUMMYFUNCTION("""COMPUTED_VALUE"""),0.0)</f>
        <v>0</v>
      </c>
      <c r="R243" s="64">
        <v>1.0</v>
      </c>
    </row>
    <row r="244" ht="21.0" customHeight="1">
      <c r="A244" s="42">
        <v>44551.0</v>
      </c>
      <c r="B244" s="43">
        <v>44551.676099537035</v>
      </c>
      <c r="C244" s="17" t="s">
        <v>972</v>
      </c>
      <c r="D244" s="17" t="s">
        <v>1693</v>
      </c>
      <c r="E244" s="17" t="s">
        <v>97</v>
      </c>
      <c r="F244" s="17" t="s">
        <v>52</v>
      </c>
      <c r="G244" s="17" t="s">
        <v>1694</v>
      </c>
      <c r="H244" s="44" t="s">
        <v>1695</v>
      </c>
      <c r="I244" s="63">
        <v>1.0</v>
      </c>
      <c r="J244" s="63">
        <v>135.0</v>
      </c>
      <c r="K244" s="63">
        <v>137.0</v>
      </c>
      <c r="L244" s="63">
        <v>0.0</v>
      </c>
      <c r="M244" s="63">
        <v>1.0</v>
      </c>
      <c r="N244" s="63">
        <v>135.0</v>
      </c>
      <c r="O244" s="46">
        <v>52.0</v>
      </c>
      <c r="P244" s="46">
        <v>16.0</v>
      </c>
      <c r="Q244" s="46">
        <f>IFERROR(__xludf.DUMMYFUNCTION("""COMPUTED_VALUE"""),0.0)</f>
        <v>0</v>
      </c>
      <c r="R244" s="64">
        <v>2.0</v>
      </c>
    </row>
    <row r="245" ht="21.0" customHeight="1">
      <c r="A245" s="42">
        <v>44552.0</v>
      </c>
      <c r="B245" s="43">
        <v>44552.7053125</v>
      </c>
      <c r="C245" s="17" t="s">
        <v>972</v>
      </c>
      <c r="D245" s="17" t="s">
        <v>1696</v>
      </c>
      <c r="E245" s="17" t="s">
        <v>97</v>
      </c>
      <c r="F245" s="17" t="s">
        <v>52</v>
      </c>
      <c r="G245" s="17" t="s">
        <v>1697</v>
      </c>
      <c r="H245" s="44" t="s">
        <v>1698</v>
      </c>
      <c r="I245" s="63">
        <v>1.0</v>
      </c>
      <c r="J245" s="63">
        <v>40.0</v>
      </c>
      <c r="K245" s="63">
        <v>41.0</v>
      </c>
      <c r="L245" s="63">
        <v>0.0</v>
      </c>
      <c r="M245" s="65"/>
      <c r="N245" s="63">
        <v>40.0</v>
      </c>
      <c r="O245" s="46">
        <v>52.0</v>
      </c>
      <c r="P245" s="46">
        <v>16.0</v>
      </c>
      <c r="Q245" s="46">
        <f>IFERROR(__xludf.DUMMYFUNCTION("""COMPUTED_VALUE"""),0.0)</f>
        <v>0</v>
      </c>
      <c r="R245" s="64">
        <v>1.0</v>
      </c>
    </row>
    <row r="246" ht="21.0" customHeight="1">
      <c r="A246" s="42">
        <v>44555.0</v>
      </c>
      <c r="B246" s="43">
        <v>44555.62501157408</v>
      </c>
      <c r="C246" s="17" t="s">
        <v>972</v>
      </c>
      <c r="D246" s="17" t="s">
        <v>1699</v>
      </c>
      <c r="E246" s="17" t="s">
        <v>84</v>
      </c>
      <c r="F246" s="17" t="s">
        <v>50</v>
      </c>
      <c r="G246" s="17" t="s">
        <v>1700</v>
      </c>
      <c r="H246" s="44" t="s">
        <v>1701</v>
      </c>
      <c r="I246" s="63">
        <v>1.0</v>
      </c>
      <c r="J246" s="63">
        <v>239.0</v>
      </c>
      <c r="K246" s="63">
        <v>249.0</v>
      </c>
      <c r="L246" s="63">
        <v>4.0</v>
      </c>
      <c r="M246" s="63">
        <v>6.0</v>
      </c>
      <c r="N246" s="63">
        <v>239.0</v>
      </c>
      <c r="O246" s="46">
        <v>52.0</v>
      </c>
      <c r="P246" s="46">
        <v>15.0</v>
      </c>
      <c r="Q246" s="46">
        <f>IFERROR(__xludf.DUMMYFUNCTION("""COMPUTED_VALUE"""),0.0)</f>
        <v>0</v>
      </c>
      <c r="R246" s="64">
        <v>10.0</v>
      </c>
    </row>
    <row r="247" ht="21.0" customHeight="1">
      <c r="A247" s="42">
        <v>44555.0</v>
      </c>
      <c r="B247" s="43">
        <v>44555.687685185185</v>
      </c>
      <c r="C247" s="17" t="s">
        <v>972</v>
      </c>
      <c r="D247" s="17" t="s">
        <v>1702</v>
      </c>
      <c r="E247" s="17" t="s">
        <v>84</v>
      </c>
      <c r="F247" s="17" t="s">
        <v>47</v>
      </c>
      <c r="G247" s="17" t="s">
        <v>1703</v>
      </c>
      <c r="H247" s="44" t="s">
        <v>1704</v>
      </c>
      <c r="I247" s="63">
        <v>1.0</v>
      </c>
      <c r="J247" s="63">
        <v>261.0</v>
      </c>
      <c r="K247" s="63">
        <v>263.0</v>
      </c>
      <c r="L247" s="63">
        <v>1.0</v>
      </c>
      <c r="M247" s="63">
        <v>2.0</v>
      </c>
      <c r="N247" s="63">
        <v>261.0</v>
      </c>
      <c r="O247" s="46">
        <v>52.0</v>
      </c>
      <c r="P247" s="46">
        <v>16.0</v>
      </c>
      <c r="Q247" s="46">
        <f>IFERROR(__xludf.DUMMYFUNCTION("""COMPUTED_VALUE"""),0.0)</f>
        <v>0</v>
      </c>
      <c r="R247" s="64">
        <v>2.0</v>
      </c>
    </row>
    <row r="248" ht="21.0" customHeight="1">
      <c r="A248" s="42">
        <v>44555.0</v>
      </c>
      <c r="B248" s="43">
        <v>44555.87501157408</v>
      </c>
      <c r="C248" s="17" t="s">
        <v>972</v>
      </c>
      <c r="D248" s="17" t="s">
        <v>1705</v>
      </c>
      <c r="E248" s="17" t="s">
        <v>80</v>
      </c>
      <c r="F248" s="17" t="s">
        <v>55</v>
      </c>
      <c r="G248" s="17" t="s">
        <v>1706</v>
      </c>
      <c r="H248" s="44" t="s">
        <v>1707</v>
      </c>
      <c r="I248" s="63">
        <v>1.0</v>
      </c>
      <c r="J248" s="63">
        <v>121.0</v>
      </c>
      <c r="K248" s="63">
        <v>129.0</v>
      </c>
      <c r="L248" s="63">
        <v>1.0</v>
      </c>
      <c r="M248" s="63">
        <v>6.0</v>
      </c>
      <c r="N248" s="63">
        <v>121.0</v>
      </c>
      <c r="O248" s="46">
        <v>52.0</v>
      </c>
      <c r="P248" s="46">
        <v>21.0</v>
      </c>
      <c r="Q248" s="46">
        <f>IFERROR(__xludf.DUMMYFUNCTION("""COMPUTED_VALUE"""),0.0)</f>
        <v>0</v>
      </c>
      <c r="R248" s="64">
        <v>8.0</v>
      </c>
    </row>
    <row r="249" ht="21.0" customHeight="1">
      <c r="I249" s="65"/>
      <c r="J249" s="65"/>
      <c r="K249" s="65"/>
      <c r="L249" s="65"/>
      <c r="M249" s="65"/>
      <c r="N249" s="65"/>
      <c r="O249" s="65"/>
      <c r="P249" s="65"/>
      <c r="Q249" s="65"/>
    </row>
    <row r="250" ht="21.0" customHeight="1">
      <c r="I250" s="65"/>
      <c r="J250" s="65"/>
      <c r="K250" s="65"/>
      <c r="L250" s="65"/>
      <c r="M250" s="65"/>
      <c r="N250" s="65"/>
      <c r="O250" s="65"/>
      <c r="P250" s="65"/>
      <c r="Q250" s="65"/>
    </row>
    <row r="251" ht="21.0" customHeight="1">
      <c r="I251" s="65"/>
      <c r="J251" s="65"/>
      <c r="K251" s="65"/>
      <c r="L251" s="65"/>
      <c r="M251" s="65"/>
      <c r="N251" s="65"/>
      <c r="O251" s="65"/>
      <c r="P251" s="65"/>
      <c r="Q251" s="65"/>
    </row>
    <row r="252" ht="21.0" customHeight="1">
      <c r="I252" s="65"/>
      <c r="J252" s="65"/>
      <c r="K252" s="65"/>
      <c r="L252" s="65"/>
      <c r="M252" s="65"/>
      <c r="N252" s="65"/>
      <c r="O252" s="65"/>
      <c r="P252" s="65"/>
      <c r="Q252" s="65"/>
    </row>
    <row r="253" ht="21.0" customHeight="1">
      <c r="I253" s="65"/>
      <c r="J253" s="65"/>
      <c r="K253" s="65"/>
      <c r="L253" s="65"/>
      <c r="M253" s="65"/>
      <c r="N253" s="65"/>
      <c r="O253" s="65"/>
      <c r="P253" s="65"/>
      <c r="Q253" s="65"/>
    </row>
    <row r="254" ht="21.0" customHeight="1">
      <c r="I254" s="65"/>
      <c r="J254" s="65"/>
      <c r="K254" s="65"/>
      <c r="L254" s="65"/>
      <c r="M254" s="65"/>
      <c r="N254" s="65"/>
      <c r="O254" s="65"/>
      <c r="P254" s="65"/>
      <c r="Q254" s="65"/>
    </row>
    <row r="255" ht="21.0" customHeight="1">
      <c r="I255" s="65"/>
      <c r="J255" s="65"/>
      <c r="K255" s="65"/>
      <c r="L255" s="65"/>
      <c r="M255" s="65"/>
      <c r="N255" s="65"/>
      <c r="O255" s="65"/>
      <c r="P255" s="65"/>
      <c r="Q255" s="65"/>
    </row>
    <row r="256" ht="21.0" customHeight="1">
      <c r="I256" s="65"/>
      <c r="J256" s="65"/>
      <c r="K256" s="65"/>
      <c r="L256" s="65"/>
      <c r="M256" s="65"/>
      <c r="N256" s="65"/>
      <c r="O256" s="65"/>
      <c r="P256" s="65"/>
      <c r="Q256" s="65"/>
    </row>
    <row r="257" ht="21.0" customHeight="1">
      <c r="I257" s="65"/>
      <c r="J257" s="65"/>
      <c r="K257" s="65"/>
      <c r="L257" s="65"/>
      <c r="M257" s="65"/>
      <c r="N257" s="65"/>
      <c r="O257" s="65"/>
      <c r="P257" s="65"/>
      <c r="Q257" s="65"/>
    </row>
    <row r="258" ht="21.0" customHeight="1">
      <c r="I258" s="65"/>
      <c r="J258" s="65"/>
      <c r="K258" s="65"/>
      <c r="L258" s="65"/>
      <c r="M258" s="65"/>
      <c r="N258" s="65"/>
      <c r="O258" s="65"/>
      <c r="P258" s="65"/>
      <c r="Q258" s="65"/>
    </row>
    <row r="259" ht="21.0" customHeight="1">
      <c r="I259" s="65"/>
      <c r="J259" s="65"/>
      <c r="K259" s="65"/>
      <c r="L259" s="65"/>
      <c r="M259" s="65"/>
      <c r="N259" s="65"/>
      <c r="O259" s="65"/>
      <c r="P259" s="65"/>
      <c r="Q259" s="65"/>
    </row>
    <row r="260" ht="21.0" customHeight="1">
      <c r="I260" s="65"/>
      <c r="J260" s="65"/>
      <c r="K260" s="65"/>
      <c r="L260" s="65"/>
      <c r="M260" s="65"/>
      <c r="N260" s="65"/>
      <c r="O260" s="65"/>
      <c r="P260" s="65"/>
      <c r="Q260" s="65"/>
    </row>
    <row r="261" ht="21.0" customHeight="1">
      <c r="I261" s="65"/>
      <c r="J261" s="65"/>
      <c r="K261" s="65"/>
      <c r="L261" s="65"/>
      <c r="M261" s="65"/>
      <c r="N261" s="65"/>
      <c r="O261" s="65"/>
      <c r="P261" s="65"/>
      <c r="Q261" s="65"/>
    </row>
    <row r="262" ht="21.0" customHeight="1">
      <c r="I262" s="65"/>
      <c r="J262" s="65"/>
      <c r="K262" s="65"/>
      <c r="L262" s="65"/>
      <c r="M262" s="65"/>
      <c r="N262" s="65"/>
      <c r="O262" s="65"/>
      <c r="P262" s="65"/>
      <c r="Q262" s="65"/>
    </row>
    <row r="263" ht="21.0" customHeight="1">
      <c r="I263" s="65"/>
      <c r="J263" s="65"/>
      <c r="K263" s="65"/>
      <c r="L263" s="65"/>
      <c r="M263" s="65"/>
      <c r="N263" s="65"/>
      <c r="O263" s="65"/>
      <c r="P263" s="65"/>
      <c r="Q263" s="65"/>
    </row>
    <row r="264" ht="21.0" customHeight="1">
      <c r="I264" s="65"/>
      <c r="J264" s="65"/>
      <c r="K264" s="65"/>
      <c r="L264" s="65"/>
      <c r="M264" s="65"/>
      <c r="N264" s="65"/>
      <c r="O264" s="65"/>
      <c r="P264" s="65"/>
      <c r="Q264" s="65"/>
    </row>
    <row r="265" ht="21.0" customHeight="1">
      <c r="I265" s="65"/>
      <c r="J265" s="65"/>
      <c r="K265" s="65"/>
      <c r="L265" s="65"/>
      <c r="M265" s="65"/>
      <c r="N265" s="65"/>
      <c r="O265" s="65"/>
      <c r="P265" s="65"/>
      <c r="Q265" s="65"/>
    </row>
    <row r="266" ht="21.0" customHeight="1">
      <c r="I266" s="65"/>
      <c r="J266" s="65"/>
      <c r="K266" s="65"/>
      <c r="L266" s="65"/>
      <c r="M266" s="65"/>
      <c r="N266" s="65"/>
      <c r="O266" s="65"/>
      <c r="P266" s="65"/>
      <c r="Q266" s="65"/>
    </row>
    <row r="267" ht="21.0" customHeight="1">
      <c r="I267" s="65"/>
      <c r="J267" s="65"/>
      <c r="K267" s="65"/>
      <c r="L267" s="65"/>
      <c r="M267" s="65"/>
      <c r="N267" s="65"/>
      <c r="O267" s="65"/>
      <c r="P267" s="65"/>
      <c r="Q267" s="65"/>
    </row>
    <row r="268" ht="21.0" customHeight="1">
      <c r="I268" s="65"/>
      <c r="J268" s="65"/>
      <c r="K268" s="65"/>
      <c r="L268" s="65"/>
      <c r="M268" s="65"/>
      <c r="N268" s="65"/>
      <c r="O268" s="65"/>
      <c r="P268" s="65"/>
      <c r="Q268" s="65"/>
    </row>
    <row r="269" ht="21.0" customHeight="1">
      <c r="I269" s="65"/>
      <c r="J269" s="65"/>
      <c r="K269" s="65"/>
      <c r="L269" s="65"/>
      <c r="M269" s="65"/>
      <c r="N269" s="65"/>
      <c r="O269" s="65"/>
      <c r="P269" s="65"/>
      <c r="Q269" s="65"/>
    </row>
    <row r="270" ht="21.0" customHeight="1">
      <c r="I270" s="65"/>
      <c r="J270" s="65"/>
      <c r="K270" s="65"/>
      <c r="L270" s="65"/>
      <c r="M270" s="65"/>
      <c r="N270" s="65"/>
      <c r="O270" s="65"/>
      <c r="P270" s="65"/>
      <c r="Q270" s="65"/>
    </row>
    <row r="271" ht="21.0" customHeight="1">
      <c r="I271" s="65"/>
      <c r="J271" s="65"/>
      <c r="K271" s="65"/>
      <c r="L271" s="65"/>
      <c r="M271" s="65"/>
      <c r="N271" s="65"/>
      <c r="O271" s="65"/>
      <c r="P271" s="65"/>
      <c r="Q271" s="65"/>
    </row>
    <row r="272" ht="21.0" customHeight="1">
      <c r="I272" s="65"/>
      <c r="J272" s="65"/>
      <c r="K272" s="65"/>
      <c r="L272" s="65"/>
      <c r="M272" s="65"/>
      <c r="N272" s="65"/>
      <c r="O272" s="65"/>
      <c r="P272" s="65"/>
      <c r="Q272" s="65"/>
    </row>
    <row r="273" ht="21.0" customHeight="1">
      <c r="I273" s="65"/>
      <c r="J273" s="65"/>
      <c r="K273" s="65"/>
      <c r="L273" s="65"/>
      <c r="M273" s="65"/>
      <c r="N273" s="65"/>
      <c r="O273" s="65"/>
      <c r="P273" s="65"/>
      <c r="Q273" s="65"/>
    </row>
    <row r="274" ht="21.0" customHeight="1">
      <c r="I274" s="65"/>
      <c r="J274" s="65"/>
      <c r="K274" s="65"/>
      <c r="L274" s="65"/>
      <c r="M274" s="65"/>
      <c r="N274" s="65"/>
      <c r="O274" s="65"/>
      <c r="P274" s="65"/>
      <c r="Q274" s="65"/>
    </row>
    <row r="275" ht="21.0" customHeight="1">
      <c r="I275" s="65"/>
      <c r="J275" s="65"/>
      <c r="K275" s="65"/>
      <c r="L275" s="65"/>
      <c r="M275" s="65"/>
      <c r="N275" s="65"/>
      <c r="O275" s="65"/>
      <c r="P275" s="65"/>
      <c r="Q275" s="65"/>
    </row>
    <row r="276" ht="21.0" customHeight="1">
      <c r="I276" s="65"/>
      <c r="J276" s="65"/>
      <c r="K276" s="65"/>
      <c r="L276" s="65"/>
      <c r="M276" s="65"/>
      <c r="N276" s="65"/>
      <c r="O276" s="65"/>
      <c r="P276" s="65"/>
      <c r="Q276" s="65"/>
    </row>
    <row r="277" ht="21.0" customHeight="1">
      <c r="I277" s="65"/>
      <c r="J277" s="65"/>
      <c r="K277" s="65"/>
      <c r="L277" s="65"/>
      <c r="M277" s="65"/>
      <c r="N277" s="65"/>
      <c r="O277" s="65"/>
      <c r="P277" s="65"/>
      <c r="Q277" s="65"/>
    </row>
    <row r="278" ht="21.0" customHeight="1">
      <c r="I278" s="65"/>
      <c r="J278" s="65"/>
      <c r="K278" s="65"/>
      <c r="L278" s="65"/>
      <c r="M278" s="65"/>
      <c r="N278" s="65"/>
      <c r="O278" s="65"/>
      <c r="P278" s="65"/>
      <c r="Q278" s="65"/>
    </row>
    <row r="279" ht="21.0" customHeight="1">
      <c r="I279" s="65"/>
      <c r="J279" s="65"/>
      <c r="K279" s="65"/>
      <c r="L279" s="65"/>
      <c r="M279" s="65"/>
      <c r="N279" s="65"/>
      <c r="O279" s="65"/>
      <c r="P279" s="65"/>
      <c r="Q279" s="65"/>
    </row>
    <row r="280" ht="21.0" customHeight="1">
      <c r="I280" s="65"/>
      <c r="J280" s="65"/>
      <c r="K280" s="65"/>
      <c r="L280" s="65"/>
      <c r="M280" s="65"/>
      <c r="N280" s="65"/>
      <c r="O280" s="65"/>
      <c r="P280" s="65"/>
      <c r="Q280" s="65"/>
    </row>
    <row r="281" ht="21.0" customHeight="1">
      <c r="I281" s="65"/>
      <c r="J281" s="65"/>
      <c r="K281" s="65"/>
      <c r="L281" s="65"/>
      <c r="M281" s="65"/>
      <c r="N281" s="65"/>
      <c r="O281" s="65"/>
      <c r="P281" s="65"/>
      <c r="Q281" s="65"/>
    </row>
    <row r="282" ht="21.0" customHeight="1">
      <c r="I282" s="65"/>
      <c r="J282" s="65"/>
      <c r="K282" s="65"/>
      <c r="L282" s="65"/>
      <c r="M282" s="65"/>
      <c r="N282" s="65"/>
      <c r="O282" s="65"/>
      <c r="P282" s="65"/>
      <c r="Q282" s="65"/>
    </row>
    <row r="283" ht="21.0" customHeight="1">
      <c r="I283" s="65"/>
      <c r="J283" s="65"/>
      <c r="K283" s="65"/>
      <c r="L283" s="65"/>
      <c r="M283" s="65"/>
      <c r="N283" s="65"/>
      <c r="O283" s="65"/>
      <c r="P283" s="65"/>
      <c r="Q283" s="65"/>
    </row>
    <row r="284" ht="21.0" customHeight="1">
      <c r="I284" s="65"/>
      <c r="J284" s="65"/>
      <c r="K284" s="65"/>
      <c r="L284" s="65"/>
      <c r="M284" s="65"/>
      <c r="N284" s="65"/>
      <c r="O284" s="65"/>
      <c r="P284" s="65"/>
      <c r="Q284" s="65"/>
    </row>
    <row r="285" ht="21.0" customHeight="1">
      <c r="I285" s="65"/>
      <c r="J285" s="65"/>
      <c r="K285" s="65"/>
      <c r="L285" s="65"/>
      <c r="M285" s="65"/>
      <c r="N285" s="65"/>
      <c r="O285" s="65"/>
      <c r="P285" s="65"/>
      <c r="Q285" s="65"/>
    </row>
    <row r="286" ht="21.0" customHeight="1">
      <c r="I286" s="65"/>
      <c r="J286" s="65"/>
      <c r="K286" s="65"/>
      <c r="L286" s="65"/>
      <c r="M286" s="65"/>
      <c r="N286" s="65"/>
      <c r="O286" s="65"/>
      <c r="P286" s="65"/>
      <c r="Q286" s="65"/>
    </row>
    <row r="287" ht="21.0" customHeight="1">
      <c r="I287" s="65"/>
      <c r="J287" s="65"/>
      <c r="K287" s="65"/>
      <c r="L287" s="65"/>
      <c r="M287" s="65"/>
      <c r="N287" s="65"/>
      <c r="O287" s="65"/>
      <c r="P287" s="65"/>
      <c r="Q287" s="65"/>
    </row>
    <row r="288" ht="21.0" customHeight="1">
      <c r="I288" s="65"/>
      <c r="J288" s="65"/>
      <c r="K288" s="65"/>
      <c r="L288" s="65"/>
      <c r="M288" s="65"/>
      <c r="N288" s="65"/>
      <c r="O288" s="65"/>
      <c r="P288" s="65"/>
      <c r="Q288" s="65"/>
    </row>
    <row r="289" ht="21.0" customHeight="1">
      <c r="I289" s="65"/>
      <c r="J289" s="65"/>
      <c r="K289" s="65"/>
      <c r="L289" s="65"/>
      <c r="M289" s="65"/>
      <c r="N289" s="65"/>
      <c r="O289" s="65"/>
      <c r="P289" s="65"/>
      <c r="Q289" s="65"/>
    </row>
    <row r="290" ht="21.0" customHeight="1">
      <c r="I290" s="65"/>
      <c r="J290" s="65"/>
      <c r="K290" s="65"/>
      <c r="L290" s="65"/>
      <c r="M290" s="65"/>
      <c r="N290" s="65"/>
      <c r="O290" s="65"/>
      <c r="P290" s="65"/>
      <c r="Q290" s="65"/>
    </row>
    <row r="291" ht="21.0" customHeight="1">
      <c r="I291" s="65"/>
      <c r="J291" s="65"/>
      <c r="K291" s="65"/>
      <c r="L291" s="65"/>
      <c r="M291" s="65"/>
      <c r="N291" s="65"/>
      <c r="O291" s="65"/>
      <c r="P291" s="65"/>
      <c r="Q291" s="65"/>
    </row>
    <row r="292" ht="21.0" customHeight="1">
      <c r="I292" s="65"/>
      <c r="J292" s="65"/>
      <c r="K292" s="65"/>
      <c r="L292" s="65"/>
      <c r="M292" s="65"/>
      <c r="N292" s="65"/>
      <c r="O292" s="65"/>
      <c r="P292" s="65"/>
      <c r="Q292" s="65"/>
    </row>
    <row r="293" ht="21.0" customHeight="1">
      <c r="I293" s="65"/>
      <c r="J293" s="65"/>
      <c r="K293" s="65"/>
      <c r="L293" s="65"/>
      <c r="M293" s="65"/>
      <c r="N293" s="65"/>
      <c r="O293" s="65"/>
      <c r="P293" s="65"/>
      <c r="Q293" s="65"/>
    </row>
    <row r="294" ht="21.0" customHeight="1">
      <c r="I294" s="65"/>
      <c r="J294" s="65"/>
      <c r="K294" s="65"/>
      <c r="L294" s="65"/>
      <c r="M294" s="65"/>
      <c r="N294" s="65"/>
      <c r="O294" s="65"/>
      <c r="P294" s="65"/>
      <c r="Q294" s="65"/>
    </row>
    <row r="295" ht="21.0" customHeight="1">
      <c r="I295" s="65"/>
      <c r="J295" s="65"/>
      <c r="K295" s="65"/>
      <c r="L295" s="65"/>
      <c r="M295" s="65"/>
      <c r="N295" s="65"/>
      <c r="O295" s="65"/>
      <c r="P295" s="65"/>
      <c r="Q295" s="65"/>
    </row>
    <row r="296" ht="21.0" customHeight="1">
      <c r="I296" s="65"/>
      <c r="J296" s="65"/>
      <c r="K296" s="65"/>
      <c r="L296" s="65"/>
      <c r="M296" s="65"/>
      <c r="N296" s="65"/>
      <c r="O296" s="65"/>
      <c r="P296" s="65"/>
      <c r="Q296" s="65"/>
    </row>
    <row r="297" ht="21.0" customHeight="1">
      <c r="I297" s="65"/>
      <c r="J297" s="65"/>
      <c r="K297" s="65"/>
      <c r="L297" s="65"/>
      <c r="M297" s="65"/>
      <c r="N297" s="65"/>
      <c r="O297" s="65"/>
      <c r="P297" s="65"/>
      <c r="Q297" s="65"/>
    </row>
    <row r="298" ht="21.0" customHeight="1">
      <c r="I298" s="65"/>
      <c r="J298" s="65"/>
      <c r="K298" s="65"/>
      <c r="L298" s="65"/>
      <c r="M298" s="65"/>
      <c r="N298" s="65"/>
      <c r="O298" s="65"/>
      <c r="P298" s="65"/>
      <c r="Q298" s="65"/>
    </row>
    <row r="299" ht="21.0" customHeight="1">
      <c r="I299" s="65"/>
      <c r="J299" s="65"/>
      <c r="K299" s="65"/>
      <c r="L299" s="65"/>
      <c r="M299" s="65"/>
      <c r="N299" s="65"/>
      <c r="O299" s="65"/>
      <c r="P299" s="65"/>
      <c r="Q299" s="65"/>
    </row>
    <row r="300" ht="21.0" customHeight="1">
      <c r="I300" s="65"/>
      <c r="J300" s="65"/>
      <c r="K300" s="65"/>
      <c r="L300" s="65"/>
      <c r="M300" s="65"/>
      <c r="N300" s="65"/>
      <c r="O300" s="65"/>
      <c r="P300" s="65"/>
      <c r="Q300" s="65"/>
    </row>
    <row r="301" ht="21.0" customHeight="1">
      <c r="I301" s="65"/>
      <c r="J301" s="65"/>
      <c r="K301" s="65"/>
      <c r="L301" s="65"/>
      <c r="M301" s="65"/>
      <c r="N301" s="65"/>
      <c r="O301" s="65"/>
      <c r="P301" s="65"/>
      <c r="Q301" s="65"/>
    </row>
    <row r="302" ht="21.0" customHeight="1">
      <c r="I302" s="65"/>
      <c r="J302" s="65"/>
      <c r="K302" s="65"/>
      <c r="L302" s="65"/>
      <c r="M302" s="65"/>
      <c r="N302" s="65"/>
      <c r="O302" s="65"/>
      <c r="P302" s="65"/>
      <c r="Q302" s="65"/>
    </row>
    <row r="303" ht="21.0" customHeight="1">
      <c r="I303" s="65"/>
      <c r="J303" s="65"/>
      <c r="K303" s="65"/>
      <c r="L303" s="65"/>
      <c r="M303" s="65"/>
      <c r="N303" s="65"/>
      <c r="O303" s="65"/>
      <c r="P303" s="65"/>
      <c r="Q303" s="65"/>
    </row>
    <row r="304" ht="21.0" customHeight="1">
      <c r="I304" s="65"/>
      <c r="J304" s="65"/>
      <c r="K304" s="65"/>
      <c r="L304" s="65"/>
      <c r="M304" s="65"/>
      <c r="N304" s="65"/>
      <c r="O304" s="65"/>
      <c r="P304" s="65"/>
      <c r="Q304" s="65"/>
    </row>
    <row r="305" ht="21.0" customHeight="1">
      <c r="I305" s="65"/>
      <c r="J305" s="65"/>
      <c r="K305" s="65"/>
      <c r="L305" s="65"/>
      <c r="M305" s="65"/>
      <c r="N305" s="65"/>
      <c r="O305" s="65"/>
      <c r="P305" s="65"/>
      <c r="Q305" s="65"/>
    </row>
    <row r="306" ht="21.0" customHeight="1">
      <c r="I306" s="65"/>
      <c r="J306" s="65"/>
      <c r="K306" s="65"/>
      <c r="L306" s="65"/>
      <c r="M306" s="65"/>
      <c r="N306" s="65"/>
      <c r="O306" s="65"/>
      <c r="P306" s="65"/>
      <c r="Q306" s="65"/>
    </row>
    <row r="307" ht="21.0" customHeight="1">
      <c r="I307" s="65"/>
      <c r="J307" s="65"/>
      <c r="K307" s="65"/>
      <c r="L307" s="65"/>
      <c r="M307" s="65"/>
      <c r="N307" s="65"/>
      <c r="O307" s="65"/>
      <c r="P307" s="65"/>
      <c r="Q307" s="65"/>
    </row>
    <row r="308" ht="21.0" customHeight="1">
      <c r="I308" s="65"/>
      <c r="J308" s="65"/>
      <c r="K308" s="65"/>
      <c r="L308" s="65"/>
      <c r="M308" s="65"/>
      <c r="N308" s="65"/>
      <c r="O308" s="65"/>
      <c r="P308" s="65"/>
      <c r="Q308" s="65"/>
    </row>
    <row r="309" ht="21.0" customHeight="1">
      <c r="I309" s="65"/>
      <c r="J309" s="65"/>
      <c r="K309" s="65"/>
      <c r="L309" s="65"/>
      <c r="M309" s="65"/>
      <c r="N309" s="65"/>
      <c r="O309" s="65"/>
      <c r="P309" s="65"/>
      <c r="Q309" s="65"/>
    </row>
    <row r="310" ht="21.0" customHeight="1">
      <c r="I310" s="65"/>
      <c r="J310" s="65"/>
      <c r="K310" s="65"/>
      <c r="L310" s="65"/>
      <c r="M310" s="65"/>
      <c r="N310" s="65"/>
      <c r="O310" s="65"/>
      <c r="P310" s="65"/>
      <c r="Q310" s="65"/>
    </row>
    <row r="311" ht="21.0" customHeight="1">
      <c r="I311" s="65"/>
      <c r="J311" s="65"/>
      <c r="K311" s="65"/>
      <c r="L311" s="65"/>
      <c r="M311" s="65"/>
      <c r="N311" s="65"/>
      <c r="O311" s="65"/>
      <c r="P311" s="65"/>
      <c r="Q311" s="65"/>
    </row>
    <row r="312" ht="21.0" customHeight="1">
      <c r="I312" s="65"/>
      <c r="J312" s="65"/>
      <c r="K312" s="65"/>
      <c r="L312" s="65"/>
      <c r="M312" s="65"/>
      <c r="N312" s="65"/>
      <c r="O312" s="65"/>
      <c r="P312" s="65"/>
      <c r="Q312" s="65"/>
    </row>
    <row r="313" ht="21.0" customHeight="1">
      <c r="I313" s="65"/>
      <c r="J313" s="65"/>
      <c r="K313" s="65"/>
      <c r="L313" s="65"/>
      <c r="M313" s="65"/>
      <c r="N313" s="65"/>
      <c r="O313" s="65"/>
      <c r="P313" s="65"/>
      <c r="Q313" s="65"/>
    </row>
    <row r="314" ht="21.0" customHeight="1">
      <c r="I314" s="65"/>
      <c r="J314" s="65"/>
      <c r="K314" s="65"/>
      <c r="L314" s="65"/>
      <c r="M314" s="65"/>
      <c r="N314" s="65"/>
      <c r="O314" s="65"/>
      <c r="P314" s="65"/>
      <c r="Q314" s="65"/>
    </row>
    <row r="315" ht="21.0" customHeight="1">
      <c r="I315" s="65"/>
      <c r="J315" s="65"/>
      <c r="K315" s="65"/>
      <c r="L315" s="65"/>
      <c r="M315" s="65"/>
      <c r="N315" s="65"/>
      <c r="O315" s="65"/>
      <c r="P315" s="65"/>
      <c r="Q315" s="65"/>
    </row>
    <row r="316" ht="21.0" customHeight="1">
      <c r="I316" s="65"/>
      <c r="J316" s="65"/>
      <c r="K316" s="65"/>
      <c r="L316" s="65"/>
      <c r="M316" s="65"/>
      <c r="N316" s="65"/>
      <c r="O316" s="65"/>
      <c r="P316" s="65"/>
      <c r="Q316" s="65"/>
    </row>
    <row r="317" ht="21.0" customHeight="1">
      <c r="I317" s="65"/>
      <c r="J317" s="65"/>
      <c r="K317" s="65"/>
      <c r="L317" s="65"/>
      <c r="M317" s="65"/>
      <c r="N317" s="65"/>
      <c r="O317" s="65"/>
      <c r="P317" s="65"/>
      <c r="Q317" s="65"/>
    </row>
    <row r="318" ht="21.0" customHeight="1">
      <c r="I318" s="65"/>
      <c r="J318" s="65"/>
      <c r="K318" s="65"/>
      <c r="L318" s="65"/>
      <c r="M318" s="65"/>
      <c r="N318" s="65"/>
      <c r="O318" s="65"/>
      <c r="P318" s="65"/>
      <c r="Q318" s="65"/>
    </row>
    <row r="319" ht="21.0" customHeight="1">
      <c r="I319" s="65"/>
      <c r="J319" s="65"/>
      <c r="K319" s="65"/>
      <c r="L319" s="65"/>
      <c r="M319" s="65"/>
      <c r="N319" s="65"/>
      <c r="O319" s="65"/>
      <c r="P319" s="65"/>
      <c r="Q319" s="65"/>
    </row>
    <row r="320" ht="21.0" customHeight="1">
      <c r="I320" s="65"/>
      <c r="J320" s="65"/>
      <c r="K320" s="65"/>
      <c r="L320" s="65"/>
      <c r="M320" s="65"/>
      <c r="N320" s="65"/>
      <c r="O320" s="65"/>
      <c r="P320" s="65"/>
      <c r="Q320" s="65"/>
    </row>
    <row r="321" ht="21.0" customHeight="1">
      <c r="I321" s="65"/>
      <c r="J321" s="65"/>
      <c r="K321" s="65"/>
      <c r="L321" s="65"/>
      <c r="M321" s="65"/>
      <c r="N321" s="65"/>
      <c r="O321" s="65"/>
      <c r="P321" s="65"/>
      <c r="Q321" s="65"/>
    </row>
    <row r="322" ht="21.0" customHeight="1">
      <c r="I322" s="65"/>
      <c r="J322" s="65"/>
      <c r="K322" s="65"/>
      <c r="L322" s="65"/>
      <c r="M322" s="65"/>
      <c r="N322" s="65"/>
      <c r="O322" s="65"/>
      <c r="P322" s="65"/>
      <c r="Q322" s="65"/>
    </row>
    <row r="323" ht="21.0" customHeight="1">
      <c r="I323" s="65"/>
      <c r="J323" s="65"/>
      <c r="K323" s="65"/>
      <c r="L323" s="65"/>
      <c r="M323" s="65"/>
      <c r="N323" s="65"/>
      <c r="O323" s="65"/>
      <c r="P323" s="65"/>
      <c r="Q323" s="65"/>
    </row>
    <row r="324" ht="21.0" customHeight="1">
      <c r="I324" s="65"/>
      <c r="J324" s="65"/>
      <c r="K324" s="65"/>
      <c r="L324" s="65"/>
      <c r="M324" s="65"/>
      <c r="N324" s="65"/>
      <c r="O324" s="65"/>
      <c r="P324" s="65"/>
      <c r="Q324" s="65"/>
    </row>
    <row r="325" ht="21.0" customHeight="1">
      <c r="I325" s="65"/>
      <c r="J325" s="65"/>
      <c r="K325" s="65"/>
      <c r="L325" s="65"/>
      <c r="M325" s="65"/>
      <c r="N325" s="65"/>
      <c r="O325" s="65"/>
      <c r="P325" s="65"/>
      <c r="Q325" s="65"/>
    </row>
    <row r="326" ht="21.0" customHeight="1">
      <c r="I326" s="65"/>
      <c r="J326" s="65"/>
      <c r="K326" s="65"/>
      <c r="L326" s="65"/>
      <c r="M326" s="65"/>
      <c r="N326" s="65"/>
      <c r="O326" s="65"/>
      <c r="P326" s="65"/>
      <c r="Q326" s="65"/>
    </row>
    <row r="327" ht="21.0" customHeight="1">
      <c r="I327" s="65"/>
      <c r="J327" s="65"/>
      <c r="K327" s="65"/>
      <c r="L327" s="65"/>
      <c r="M327" s="65"/>
      <c r="N327" s="65"/>
      <c r="O327" s="65"/>
      <c r="P327" s="65"/>
      <c r="Q327" s="65"/>
    </row>
    <row r="328" ht="21.0" customHeight="1">
      <c r="I328" s="65"/>
      <c r="J328" s="65"/>
      <c r="K328" s="65"/>
      <c r="L328" s="65"/>
      <c r="M328" s="65"/>
      <c r="N328" s="65"/>
      <c r="O328" s="65"/>
      <c r="P328" s="65"/>
      <c r="Q328" s="65"/>
    </row>
    <row r="329" ht="21.0" customHeight="1">
      <c r="I329" s="65"/>
      <c r="J329" s="65"/>
      <c r="K329" s="65"/>
      <c r="L329" s="65"/>
      <c r="M329" s="65"/>
      <c r="N329" s="65"/>
      <c r="O329" s="65"/>
      <c r="P329" s="65"/>
      <c r="Q329" s="65"/>
    </row>
    <row r="330" ht="21.0" customHeight="1">
      <c r="I330" s="65"/>
      <c r="J330" s="65"/>
      <c r="K330" s="65"/>
      <c r="L330" s="65"/>
      <c r="M330" s="65"/>
      <c r="N330" s="65"/>
      <c r="O330" s="65"/>
      <c r="P330" s="65"/>
      <c r="Q330" s="65"/>
    </row>
    <row r="331" ht="21.0" customHeight="1">
      <c r="I331" s="65"/>
      <c r="J331" s="65"/>
      <c r="K331" s="65"/>
      <c r="L331" s="65"/>
      <c r="M331" s="65"/>
      <c r="N331" s="65"/>
      <c r="O331" s="65"/>
      <c r="P331" s="65"/>
      <c r="Q331" s="65"/>
    </row>
    <row r="332" ht="21.0" customHeight="1">
      <c r="I332" s="65"/>
      <c r="J332" s="65"/>
      <c r="K332" s="65"/>
      <c r="L332" s="65"/>
      <c r="M332" s="65"/>
      <c r="N332" s="65"/>
      <c r="O332" s="65"/>
      <c r="P332" s="65"/>
      <c r="Q332" s="65"/>
    </row>
    <row r="333" ht="21.0" customHeight="1">
      <c r="I333" s="65"/>
      <c r="J333" s="65"/>
      <c r="K333" s="65"/>
      <c r="L333" s="65"/>
      <c r="M333" s="65"/>
      <c r="N333" s="65"/>
      <c r="O333" s="65"/>
      <c r="P333" s="65"/>
      <c r="Q333" s="65"/>
    </row>
    <row r="334" ht="21.0" customHeight="1">
      <c r="I334" s="65"/>
      <c r="J334" s="65"/>
      <c r="K334" s="65"/>
      <c r="L334" s="65"/>
      <c r="M334" s="65"/>
      <c r="N334" s="65"/>
      <c r="O334" s="65"/>
      <c r="P334" s="65"/>
      <c r="Q334" s="65"/>
    </row>
    <row r="335" ht="21.0" customHeight="1">
      <c r="I335" s="65"/>
      <c r="J335" s="65"/>
      <c r="K335" s="65"/>
      <c r="L335" s="65"/>
      <c r="M335" s="65"/>
      <c r="N335" s="65"/>
      <c r="O335" s="65"/>
      <c r="P335" s="65"/>
      <c r="Q335" s="65"/>
    </row>
    <row r="336" ht="21.0" customHeight="1">
      <c r="I336" s="65"/>
      <c r="J336" s="65"/>
      <c r="K336" s="65"/>
      <c r="L336" s="65"/>
      <c r="M336" s="65"/>
      <c r="N336" s="65"/>
      <c r="O336" s="65"/>
      <c r="P336" s="65"/>
      <c r="Q336" s="65"/>
    </row>
    <row r="337" ht="21.0" customHeight="1">
      <c r="I337" s="65"/>
      <c r="J337" s="65"/>
      <c r="K337" s="65"/>
      <c r="L337" s="65"/>
      <c r="M337" s="65"/>
      <c r="N337" s="65"/>
      <c r="O337" s="65"/>
      <c r="P337" s="65"/>
      <c r="Q337" s="65"/>
    </row>
    <row r="338" ht="21.0" customHeight="1">
      <c r="I338" s="65"/>
      <c r="J338" s="65"/>
      <c r="K338" s="65"/>
      <c r="L338" s="65"/>
      <c r="M338" s="65"/>
      <c r="N338" s="65"/>
      <c r="O338" s="65"/>
      <c r="P338" s="65"/>
      <c r="Q338" s="65"/>
    </row>
    <row r="339" ht="21.0" customHeight="1">
      <c r="I339" s="65"/>
      <c r="J339" s="65"/>
      <c r="K339" s="65"/>
      <c r="L339" s="65"/>
      <c r="M339" s="65"/>
      <c r="N339" s="65"/>
      <c r="O339" s="65"/>
      <c r="P339" s="65"/>
      <c r="Q339" s="65"/>
    </row>
    <row r="340" ht="21.0" customHeight="1">
      <c r="I340" s="65"/>
      <c r="J340" s="65"/>
      <c r="K340" s="65"/>
      <c r="L340" s="65"/>
      <c r="M340" s="65"/>
      <c r="N340" s="65"/>
      <c r="O340" s="65"/>
      <c r="P340" s="65"/>
      <c r="Q340" s="65"/>
    </row>
    <row r="341" ht="21.0" customHeight="1">
      <c r="I341" s="65"/>
      <c r="J341" s="65"/>
      <c r="K341" s="65"/>
      <c r="L341" s="65"/>
      <c r="M341" s="65"/>
      <c r="N341" s="65"/>
      <c r="O341" s="65"/>
      <c r="P341" s="65"/>
      <c r="Q341" s="65"/>
    </row>
    <row r="342" ht="21.0" customHeight="1">
      <c r="I342" s="65"/>
      <c r="J342" s="65"/>
      <c r="K342" s="65"/>
      <c r="L342" s="65"/>
      <c r="M342" s="65"/>
      <c r="N342" s="65"/>
      <c r="O342" s="65"/>
      <c r="P342" s="65"/>
      <c r="Q342" s="65"/>
    </row>
    <row r="343" ht="21.0" customHeight="1">
      <c r="I343" s="65"/>
      <c r="J343" s="65"/>
      <c r="K343" s="65"/>
      <c r="L343" s="65"/>
      <c r="M343" s="65"/>
      <c r="N343" s="65"/>
      <c r="O343" s="65"/>
      <c r="P343" s="65"/>
      <c r="Q343" s="65"/>
    </row>
    <row r="344" ht="21.0" customHeight="1">
      <c r="I344" s="65"/>
      <c r="J344" s="65"/>
      <c r="K344" s="65"/>
      <c r="L344" s="65"/>
      <c r="M344" s="65"/>
      <c r="N344" s="65"/>
      <c r="O344" s="65"/>
      <c r="P344" s="65"/>
      <c r="Q344" s="65"/>
    </row>
    <row r="345" ht="21.0" customHeight="1">
      <c r="I345" s="65"/>
      <c r="J345" s="65"/>
      <c r="K345" s="65"/>
      <c r="L345" s="65"/>
      <c r="M345" s="65"/>
      <c r="N345" s="65"/>
      <c r="O345" s="65"/>
      <c r="P345" s="65"/>
      <c r="Q345" s="65"/>
    </row>
    <row r="346" ht="21.0" customHeight="1">
      <c r="I346" s="65"/>
      <c r="J346" s="65"/>
      <c r="K346" s="65"/>
      <c r="L346" s="65"/>
      <c r="M346" s="65"/>
      <c r="N346" s="65"/>
      <c r="O346" s="65"/>
      <c r="P346" s="65"/>
      <c r="Q346" s="65"/>
    </row>
    <row r="347" ht="21.0" customHeight="1">
      <c r="I347" s="65"/>
      <c r="J347" s="65"/>
      <c r="K347" s="65"/>
      <c r="L347" s="65"/>
      <c r="M347" s="65"/>
      <c r="N347" s="65"/>
      <c r="O347" s="65"/>
      <c r="P347" s="65"/>
      <c r="Q347" s="65"/>
    </row>
    <row r="348" ht="21.0" customHeight="1">
      <c r="I348" s="65"/>
      <c r="J348" s="65"/>
      <c r="K348" s="65"/>
      <c r="L348" s="65"/>
      <c r="M348" s="65"/>
      <c r="N348" s="65"/>
      <c r="O348" s="65"/>
      <c r="P348" s="65"/>
      <c r="Q348" s="65"/>
    </row>
    <row r="349" ht="21.0" customHeight="1">
      <c r="I349" s="65"/>
      <c r="J349" s="65"/>
      <c r="K349" s="65"/>
      <c r="L349" s="65"/>
      <c r="M349" s="65"/>
      <c r="N349" s="65"/>
      <c r="O349" s="65"/>
      <c r="P349" s="65"/>
      <c r="Q349" s="65"/>
    </row>
    <row r="350" ht="21.0" customHeight="1">
      <c r="I350" s="65"/>
      <c r="J350" s="65"/>
      <c r="K350" s="65"/>
      <c r="L350" s="65"/>
      <c r="M350" s="65"/>
      <c r="N350" s="65"/>
      <c r="O350" s="65"/>
      <c r="P350" s="65"/>
      <c r="Q350" s="65"/>
    </row>
    <row r="351" ht="21.0" customHeight="1">
      <c r="I351" s="65"/>
      <c r="J351" s="65"/>
      <c r="K351" s="65"/>
      <c r="L351" s="65"/>
      <c r="M351" s="65"/>
      <c r="N351" s="65"/>
      <c r="O351" s="65"/>
      <c r="P351" s="65"/>
      <c r="Q351" s="65"/>
    </row>
    <row r="352" ht="21.0" customHeight="1">
      <c r="I352" s="65"/>
      <c r="J352" s="65"/>
      <c r="K352" s="65"/>
      <c r="L352" s="65"/>
      <c r="M352" s="65"/>
      <c r="N352" s="65"/>
      <c r="O352" s="65"/>
      <c r="P352" s="65"/>
      <c r="Q352" s="65"/>
    </row>
    <row r="353" ht="21.0" customHeight="1">
      <c r="I353" s="65"/>
      <c r="J353" s="65"/>
      <c r="K353" s="65"/>
      <c r="L353" s="65"/>
      <c r="M353" s="65"/>
      <c r="N353" s="65"/>
      <c r="O353" s="65"/>
      <c r="P353" s="65"/>
      <c r="Q353" s="65"/>
    </row>
    <row r="354" ht="21.0" customHeight="1">
      <c r="I354" s="65"/>
      <c r="J354" s="65"/>
      <c r="K354" s="65"/>
      <c r="L354" s="65"/>
      <c r="M354" s="65"/>
      <c r="N354" s="65"/>
      <c r="O354" s="65"/>
      <c r="P354" s="65"/>
      <c r="Q354" s="65"/>
    </row>
    <row r="355" ht="21.0" customHeight="1">
      <c r="I355" s="65"/>
      <c r="J355" s="65"/>
      <c r="K355" s="65"/>
      <c r="L355" s="65"/>
      <c r="M355" s="65"/>
      <c r="N355" s="65"/>
      <c r="O355" s="65"/>
      <c r="P355" s="65"/>
      <c r="Q355" s="65"/>
    </row>
    <row r="356" ht="21.0" customHeight="1">
      <c r="I356" s="65"/>
      <c r="J356" s="65"/>
      <c r="K356" s="65"/>
      <c r="L356" s="65"/>
      <c r="M356" s="65"/>
      <c r="N356" s="65"/>
      <c r="O356" s="65"/>
      <c r="P356" s="65"/>
      <c r="Q356" s="65"/>
    </row>
    <row r="357" ht="21.0" customHeight="1">
      <c r="I357" s="65"/>
      <c r="J357" s="65"/>
      <c r="K357" s="65"/>
      <c r="L357" s="65"/>
      <c r="M357" s="65"/>
      <c r="N357" s="65"/>
      <c r="O357" s="65"/>
      <c r="P357" s="65"/>
      <c r="Q357" s="65"/>
    </row>
    <row r="358" ht="21.0" customHeight="1">
      <c r="I358" s="65"/>
      <c r="J358" s="65"/>
      <c r="K358" s="65"/>
      <c r="L358" s="65"/>
      <c r="M358" s="65"/>
      <c r="N358" s="65"/>
      <c r="O358" s="65"/>
      <c r="P358" s="65"/>
      <c r="Q358" s="65"/>
    </row>
    <row r="359" ht="21.0" customHeight="1">
      <c r="I359" s="65"/>
      <c r="J359" s="65"/>
      <c r="K359" s="65"/>
      <c r="L359" s="65"/>
      <c r="M359" s="65"/>
      <c r="N359" s="65"/>
      <c r="O359" s="65"/>
      <c r="P359" s="65"/>
      <c r="Q359" s="65"/>
    </row>
    <row r="360" ht="21.0" customHeight="1">
      <c r="I360" s="65"/>
      <c r="J360" s="65"/>
      <c r="K360" s="65"/>
      <c r="L360" s="65"/>
      <c r="M360" s="65"/>
      <c r="N360" s="65"/>
      <c r="O360" s="65"/>
      <c r="P360" s="65"/>
      <c r="Q360" s="65"/>
    </row>
    <row r="361" ht="21.0" customHeight="1">
      <c r="I361" s="65"/>
      <c r="J361" s="65"/>
      <c r="K361" s="65"/>
      <c r="L361" s="65"/>
      <c r="M361" s="65"/>
      <c r="N361" s="65"/>
      <c r="O361" s="65"/>
      <c r="P361" s="65"/>
      <c r="Q361" s="65"/>
    </row>
    <row r="362" ht="21.0" customHeight="1">
      <c r="I362" s="65"/>
      <c r="J362" s="65"/>
      <c r="K362" s="65"/>
      <c r="L362" s="65"/>
      <c r="M362" s="65"/>
      <c r="N362" s="65"/>
      <c r="O362" s="65"/>
      <c r="P362" s="65"/>
      <c r="Q362" s="65"/>
    </row>
    <row r="363" ht="21.0" customHeight="1">
      <c r="I363" s="65"/>
      <c r="J363" s="65"/>
      <c r="K363" s="65"/>
      <c r="L363" s="65"/>
      <c r="M363" s="65"/>
      <c r="N363" s="65"/>
      <c r="O363" s="65"/>
      <c r="P363" s="65"/>
      <c r="Q363" s="65"/>
    </row>
    <row r="364" ht="21.0" customHeight="1">
      <c r="I364" s="65"/>
      <c r="J364" s="65"/>
      <c r="K364" s="65"/>
      <c r="L364" s="65"/>
      <c r="M364" s="65"/>
      <c r="N364" s="65"/>
      <c r="O364" s="65"/>
      <c r="P364" s="65"/>
      <c r="Q364" s="65"/>
    </row>
    <row r="365" ht="21.0" customHeight="1">
      <c r="I365" s="65"/>
      <c r="J365" s="65"/>
      <c r="K365" s="65"/>
      <c r="L365" s="65"/>
      <c r="M365" s="65"/>
      <c r="N365" s="65"/>
      <c r="O365" s="65"/>
      <c r="P365" s="65"/>
      <c r="Q365" s="65"/>
    </row>
    <row r="366" ht="21.0" customHeight="1">
      <c r="I366" s="65"/>
      <c r="J366" s="65"/>
      <c r="K366" s="65"/>
      <c r="L366" s="65"/>
      <c r="M366" s="65"/>
      <c r="N366" s="65"/>
      <c r="O366" s="65"/>
      <c r="P366" s="65"/>
      <c r="Q366" s="65"/>
    </row>
    <row r="367" ht="21.0" customHeight="1">
      <c r="I367" s="65"/>
      <c r="J367" s="65"/>
      <c r="K367" s="65"/>
      <c r="L367" s="65"/>
      <c r="M367" s="65"/>
      <c r="N367" s="65"/>
      <c r="O367" s="65"/>
      <c r="P367" s="65"/>
      <c r="Q367" s="65"/>
    </row>
    <row r="368" ht="21.0" customHeight="1">
      <c r="I368" s="65"/>
      <c r="J368" s="65"/>
      <c r="K368" s="65"/>
      <c r="L368" s="65"/>
      <c r="M368" s="65"/>
      <c r="N368" s="65"/>
      <c r="O368" s="65"/>
      <c r="P368" s="65"/>
      <c r="Q368" s="65"/>
    </row>
    <row r="369" ht="21.0" customHeight="1">
      <c r="I369" s="65"/>
      <c r="J369" s="65"/>
      <c r="K369" s="65"/>
      <c r="L369" s="65"/>
      <c r="M369" s="65"/>
      <c r="N369" s="65"/>
      <c r="O369" s="65"/>
      <c r="P369" s="65"/>
      <c r="Q369" s="65"/>
    </row>
    <row r="370" ht="21.0" customHeight="1">
      <c r="I370" s="65"/>
      <c r="J370" s="65"/>
      <c r="K370" s="65"/>
      <c r="L370" s="65"/>
      <c r="M370" s="65"/>
      <c r="N370" s="65"/>
      <c r="O370" s="65"/>
      <c r="P370" s="65"/>
      <c r="Q370" s="65"/>
    </row>
    <row r="371" ht="21.0" customHeight="1">
      <c r="I371" s="65"/>
      <c r="J371" s="65"/>
      <c r="K371" s="65"/>
      <c r="L371" s="65"/>
      <c r="M371" s="65"/>
      <c r="N371" s="65"/>
      <c r="O371" s="65"/>
      <c r="P371" s="65"/>
      <c r="Q371" s="65"/>
    </row>
    <row r="372" ht="21.0" customHeight="1">
      <c r="I372" s="65"/>
      <c r="J372" s="65"/>
      <c r="K372" s="65"/>
      <c r="L372" s="65"/>
      <c r="M372" s="65"/>
      <c r="N372" s="65"/>
      <c r="O372" s="65"/>
      <c r="P372" s="65"/>
      <c r="Q372" s="65"/>
    </row>
    <row r="373" ht="21.0" customHeight="1">
      <c r="I373" s="65"/>
      <c r="J373" s="65"/>
      <c r="K373" s="65"/>
      <c r="L373" s="65"/>
      <c r="M373" s="65"/>
      <c r="N373" s="65"/>
      <c r="O373" s="65"/>
      <c r="P373" s="65"/>
      <c r="Q373" s="65"/>
    </row>
    <row r="374" ht="21.0" customHeight="1">
      <c r="I374" s="65"/>
      <c r="J374" s="65"/>
      <c r="K374" s="65"/>
      <c r="L374" s="65"/>
      <c r="M374" s="65"/>
      <c r="N374" s="65"/>
      <c r="O374" s="65"/>
      <c r="P374" s="65"/>
      <c r="Q374" s="65"/>
    </row>
    <row r="375" ht="21.0" customHeight="1">
      <c r="I375" s="65"/>
      <c r="J375" s="65"/>
      <c r="K375" s="65"/>
      <c r="L375" s="65"/>
      <c r="M375" s="65"/>
      <c r="N375" s="65"/>
      <c r="O375" s="65"/>
      <c r="P375" s="65"/>
      <c r="Q375" s="65"/>
    </row>
    <row r="376" ht="21.0" customHeight="1">
      <c r="I376" s="65"/>
      <c r="J376" s="65"/>
      <c r="K376" s="65"/>
      <c r="L376" s="65"/>
      <c r="M376" s="65"/>
      <c r="N376" s="65"/>
      <c r="O376" s="65"/>
      <c r="P376" s="65"/>
      <c r="Q376" s="65"/>
    </row>
    <row r="377" ht="21.0" customHeight="1">
      <c r="I377" s="65"/>
      <c r="J377" s="65"/>
      <c r="K377" s="65"/>
      <c r="L377" s="65"/>
      <c r="M377" s="65"/>
      <c r="N377" s="65"/>
      <c r="O377" s="65"/>
      <c r="P377" s="65"/>
      <c r="Q377" s="65"/>
    </row>
    <row r="378" ht="21.0" customHeight="1">
      <c r="I378" s="65"/>
      <c r="J378" s="65"/>
      <c r="K378" s="65"/>
      <c r="L378" s="65"/>
      <c r="M378" s="65"/>
      <c r="N378" s="65"/>
      <c r="O378" s="65"/>
      <c r="P378" s="65"/>
      <c r="Q378" s="65"/>
    </row>
    <row r="379" ht="21.0" customHeight="1">
      <c r="I379" s="65"/>
      <c r="J379" s="65"/>
      <c r="K379" s="65"/>
      <c r="L379" s="65"/>
      <c r="M379" s="65"/>
      <c r="N379" s="65"/>
      <c r="O379" s="65"/>
      <c r="P379" s="65"/>
      <c r="Q379" s="65"/>
    </row>
    <row r="380" ht="21.0" customHeight="1">
      <c r="I380" s="65"/>
      <c r="J380" s="65"/>
      <c r="K380" s="65"/>
      <c r="L380" s="65"/>
      <c r="M380" s="65"/>
      <c r="N380" s="65"/>
      <c r="O380" s="65"/>
      <c r="P380" s="65"/>
      <c r="Q380" s="65"/>
    </row>
    <row r="381" ht="21.0" customHeight="1">
      <c r="I381" s="65"/>
      <c r="J381" s="65"/>
      <c r="K381" s="65"/>
      <c r="L381" s="65"/>
      <c r="M381" s="65"/>
      <c r="N381" s="65"/>
      <c r="O381" s="65"/>
      <c r="P381" s="65"/>
      <c r="Q381" s="65"/>
    </row>
    <row r="382" ht="21.0" customHeight="1">
      <c r="I382" s="65"/>
      <c r="J382" s="65"/>
      <c r="K382" s="65"/>
      <c r="L382" s="65"/>
      <c r="M382" s="65"/>
      <c r="N382" s="65"/>
      <c r="O382" s="65"/>
      <c r="P382" s="65"/>
      <c r="Q382" s="65"/>
    </row>
    <row r="383" ht="21.0" customHeight="1">
      <c r="I383" s="65"/>
      <c r="J383" s="65"/>
      <c r="K383" s="65"/>
      <c r="L383" s="65"/>
      <c r="M383" s="65"/>
      <c r="N383" s="65"/>
      <c r="O383" s="65"/>
      <c r="P383" s="65"/>
      <c r="Q383" s="65"/>
    </row>
    <row r="384" ht="21.0" customHeight="1">
      <c r="I384" s="65"/>
      <c r="J384" s="65"/>
      <c r="K384" s="65"/>
      <c r="L384" s="65"/>
      <c r="M384" s="65"/>
      <c r="N384" s="65"/>
      <c r="O384" s="65"/>
      <c r="P384" s="65"/>
      <c r="Q384" s="65"/>
    </row>
    <row r="385" ht="21.0" customHeight="1">
      <c r="I385" s="65"/>
      <c r="J385" s="65"/>
      <c r="K385" s="65"/>
      <c r="L385" s="65"/>
      <c r="M385" s="65"/>
      <c r="N385" s="65"/>
      <c r="O385" s="65"/>
      <c r="P385" s="65"/>
      <c r="Q385" s="65"/>
    </row>
    <row r="386" ht="21.0" customHeight="1">
      <c r="I386" s="65"/>
      <c r="J386" s="65"/>
      <c r="K386" s="65"/>
      <c r="L386" s="65"/>
      <c r="M386" s="65"/>
      <c r="N386" s="65"/>
      <c r="O386" s="65"/>
      <c r="P386" s="65"/>
      <c r="Q386" s="65"/>
    </row>
    <row r="387" ht="21.0" customHeight="1">
      <c r="I387" s="65"/>
      <c r="J387" s="65"/>
      <c r="K387" s="65"/>
      <c r="L387" s="65"/>
      <c r="M387" s="65"/>
      <c r="N387" s="65"/>
      <c r="O387" s="65"/>
      <c r="P387" s="65"/>
      <c r="Q387" s="65"/>
    </row>
    <row r="388" ht="21.0" customHeight="1">
      <c r="I388" s="65"/>
      <c r="J388" s="65"/>
      <c r="K388" s="65"/>
      <c r="L388" s="65"/>
      <c r="M388" s="65"/>
      <c r="N388" s="65"/>
      <c r="O388" s="65"/>
      <c r="P388" s="65"/>
      <c r="Q388" s="65"/>
    </row>
    <row r="389" ht="21.0" customHeight="1">
      <c r="I389" s="65"/>
      <c r="J389" s="65"/>
      <c r="K389" s="65"/>
      <c r="L389" s="65"/>
      <c r="M389" s="65"/>
      <c r="N389" s="65"/>
      <c r="O389" s="65"/>
      <c r="P389" s="65"/>
      <c r="Q389" s="65"/>
    </row>
    <row r="390" ht="21.0" customHeight="1">
      <c r="I390" s="65"/>
      <c r="J390" s="65"/>
      <c r="K390" s="65"/>
      <c r="L390" s="65"/>
      <c r="M390" s="65"/>
      <c r="N390" s="65"/>
      <c r="O390" s="65"/>
      <c r="P390" s="65"/>
      <c r="Q390" s="65"/>
    </row>
    <row r="391" ht="21.0" customHeight="1">
      <c r="I391" s="65"/>
      <c r="J391" s="65"/>
      <c r="K391" s="65"/>
      <c r="L391" s="65"/>
      <c r="M391" s="65"/>
      <c r="N391" s="65"/>
      <c r="O391" s="65"/>
      <c r="P391" s="65"/>
      <c r="Q391" s="65"/>
    </row>
    <row r="392" ht="21.0" customHeight="1">
      <c r="I392" s="65"/>
      <c r="J392" s="65"/>
      <c r="K392" s="65"/>
      <c r="L392" s="65"/>
      <c r="M392" s="65"/>
      <c r="N392" s="65"/>
      <c r="O392" s="65"/>
      <c r="P392" s="65"/>
      <c r="Q392" s="65"/>
    </row>
    <row r="393" ht="21.0" customHeight="1">
      <c r="I393" s="65"/>
      <c r="J393" s="65"/>
      <c r="K393" s="65"/>
      <c r="L393" s="65"/>
      <c r="M393" s="65"/>
      <c r="N393" s="65"/>
      <c r="O393" s="65"/>
      <c r="P393" s="65"/>
      <c r="Q393" s="65"/>
    </row>
    <row r="394" ht="21.0" customHeight="1">
      <c r="I394" s="65"/>
      <c r="J394" s="65"/>
      <c r="K394" s="65"/>
      <c r="L394" s="65"/>
      <c r="M394" s="65"/>
      <c r="N394" s="65"/>
      <c r="O394" s="65"/>
      <c r="P394" s="65"/>
      <c r="Q394" s="65"/>
    </row>
    <row r="395" ht="21.0" customHeight="1">
      <c r="I395" s="65"/>
      <c r="J395" s="65"/>
      <c r="K395" s="65"/>
      <c r="L395" s="65"/>
      <c r="M395" s="65"/>
      <c r="N395" s="65"/>
      <c r="O395" s="65"/>
      <c r="P395" s="65"/>
      <c r="Q395" s="65"/>
    </row>
    <row r="396" ht="21.0" customHeight="1">
      <c r="I396" s="65"/>
      <c r="J396" s="65"/>
      <c r="K396" s="65"/>
      <c r="L396" s="65"/>
      <c r="M396" s="65"/>
      <c r="N396" s="65"/>
      <c r="O396" s="65"/>
      <c r="P396" s="65"/>
      <c r="Q396" s="65"/>
    </row>
    <row r="397" ht="21.0" customHeight="1">
      <c r="I397" s="65"/>
      <c r="J397" s="65"/>
      <c r="K397" s="65"/>
      <c r="L397" s="65"/>
      <c r="M397" s="65"/>
      <c r="N397" s="65"/>
      <c r="O397" s="65"/>
      <c r="P397" s="65"/>
      <c r="Q397" s="65"/>
    </row>
    <row r="398" ht="21.0" customHeight="1">
      <c r="I398" s="65"/>
      <c r="J398" s="65"/>
      <c r="K398" s="65"/>
      <c r="L398" s="65"/>
      <c r="M398" s="65"/>
      <c r="N398" s="65"/>
      <c r="O398" s="65"/>
      <c r="P398" s="65"/>
      <c r="Q398" s="65"/>
    </row>
    <row r="399" ht="21.0" customHeight="1">
      <c r="I399" s="65"/>
      <c r="J399" s="65"/>
      <c r="K399" s="65"/>
      <c r="L399" s="65"/>
      <c r="M399" s="65"/>
      <c r="N399" s="65"/>
      <c r="O399" s="65"/>
      <c r="P399" s="65"/>
      <c r="Q399" s="65"/>
    </row>
    <row r="400" ht="21.0" customHeight="1">
      <c r="I400" s="65"/>
      <c r="J400" s="65"/>
      <c r="K400" s="65"/>
      <c r="L400" s="65"/>
      <c r="M400" s="65"/>
      <c r="N400" s="65"/>
      <c r="O400" s="65"/>
      <c r="P400" s="65"/>
      <c r="Q400" s="65"/>
    </row>
    <row r="401" ht="21.0" customHeight="1">
      <c r="I401" s="65"/>
      <c r="J401" s="65"/>
      <c r="K401" s="65"/>
      <c r="L401" s="65"/>
      <c r="M401" s="65"/>
      <c r="N401" s="65"/>
      <c r="O401" s="65"/>
      <c r="P401" s="65"/>
      <c r="Q401" s="65"/>
    </row>
    <row r="402" ht="21.0" customHeight="1">
      <c r="I402" s="65"/>
      <c r="J402" s="65"/>
      <c r="K402" s="65"/>
      <c r="L402" s="65"/>
      <c r="M402" s="65"/>
      <c r="N402" s="65"/>
      <c r="O402" s="65"/>
      <c r="P402" s="65"/>
      <c r="Q402" s="65"/>
    </row>
    <row r="403" ht="21.0" customHeight="1">
      <c r="I403" s="65"/>
      <c r="J403" s="65"/>
      <c r="K403" s="65"/>
      <c r="L403" s="65"/>
      <c r="M403" s="65"/>
      <c r="N403" s="65"/>
      <c r="O403" s="65"/>
      <c r="P403" s="65"/>
      <c r="Q403" s="65"/>
    </row>
    <row r="404" ht="21.0" customHeight="1">
      <c r="I404" s="65"/>
      <c r="J404" s="65"/>
      <c r="K404" s="65"/>
      <c r="L404" s="65"/>
      <c r="M404" s="65"/>
      <c r="N404" s="65"/>
      <c r="O404" s="65"/>
      <c r="P404" s="65"/>
      <c r="Q404" s="65"/>
    </row>
    <row r="405" ht="21.0" customHeight="1">
      <c r="I405" s="65"/>
      <c r="J405" s="65"/>
      <c r="K405" s="65"/>
      <c r="L405" s="65"/>
      <c r="M405" s="65"/>
      <c r="N405" s="65"/>
      <c r="O405" s="65"/>
      <c r="P405" s="65"/>
      <c r="Q405" s="65"/>
    </row>
    <row r="406" ht="21.0" customHeight="1">
      <c r="I406" s="65"/>
      <c r="J406" s="65"/>
      <c r="K406" s="65"/>
      <c r="L406" s="65"/>
      <c r="M406" s="65"/>
      <c r="N406" s="65"/>
      <c r="O406" s="65"/>
      <c r="P406" s="65"/>
      <c r="Q406" s="65"/>
    </row>
    <row r="407" ht="21.0" customHeight="1">
      <c r="I407" s="65"/>
      <c r="J407" s="65"/>
      <c r="K407" s="65"/>
      <c r="L407" s="65"/>
      <c r="M407" s="65"/>
      <c r="N407" s="65"/>
      <c r="O407" s="65"/>
      <c r="P407" s="65"/>
      <c r="Q407" s="65"/>
    </row>
    <row r="408" ht="21.0" customHeight="1">
      <c r="I408" s="65"/>
      <c r="J408" s="65"/>
      <c r="K408" s="65"/>
      <c r="L408" s="65"/>
      <c r="M408" s="65"/>
      <c r="N408" s="65"/>
      <c r="O408" s="65"/>
      <c r="P408" s="65"/>
      <c r="Q408" s="65"/>
    </row>
    <row r="409" ht="21.0" customHeight="1">
      <c r="I409" s="65"/>
      <c r="J409" s="65"/>
      <c r="K409" s="65"/>
      <c r="L409" s="65"/>
      <c r="M409" s="65"/>
      <c r="N409" s="65"/>
      <c r="O409" s="65"/>
      <c r="P409" s="65"/>
      <c r="Q409" s="65"/>
    </row>
    <row r="410" ht="21.0" customHeight="1">
      <c r="I410" s="65"/>
      <c r="J410" s="65"/>
      <c r="K410" s="65"/>
      <c r="L410" s="65"/>
      <c r="M410" s="65"/>
      <c r="N410" s="65"/>
      <c r="O410" s="65"/>
      <c r="P410" s="65"/>
      <c r="Q410" s="65"/>
    </row>
    <row r="411" ht="21.0" customHeight="1">
      <c r="I411" s="65"/>
      <c r="J411" s="65"/>
      <c r="K411" s="65"/>
      <c r="L411" s="65"/>
      <c r="M411" s="65"/>
      <c r="N411" s="65"/>
      <c r="O411" s="65"/>
      <c r="P411" s="65"/>
      <c r="Q411" s="65"/>
    </row>
    <row r="412" ht="21.0" customHeight="1">
      <c r="I412" s="65"/>
      <c r="J412" s="65"/>
      <c r="K412" s="65"/>
      <c r="L412" s="65"/>
      <c r="M412" s="65"/>
      <c r="N412" s="65"/>
      <c r="O412" s="65"/>
      <c r="P412" s="65"/>
      <c r="Q412" s="65"/>
    </row>
    <row r="413" ht="21.0" customHeight="1">
      <c r="I413" s="65"/>
      <c r="J413" s="65"/>
      <c r="K413" s="65"/>
      <c r="L413" s="65"/>
      <c r="M413" s="65"/>
      <c r="N413" s="65"/>
      <c r="O413" s="65"/>
      <c r="P413" s="65"/>
      <c r="Q413" s="65"/>
    </row>
    <row r="414" ht="21.0" customHeight="1">
      <c r="I414" s="65"/>
      <c r="J414" s="65"/>
      <c r="K414" s="65"/>
      <c r="L414" s="65"/>
      <c r="M414" s="65"/>
      <c r="N414" s="65"/>
      <c r="O414" s="65"/>
      <c r="P414" s="65"/>
      <c r="Q414" s="65"/>
    </row>
    <row r="415" ht="21.0" customHeight="1">
      <c r="I415" s="65"/>
      <c r="J415" s="65"/>
      <c r="K415" s="65"/>
      <c r="L415" s="65"/>
      <c r="M415" s="65"/>
      <c r="N415" s="65"/>
      <c r="O415" s="65"/>
      <c r="P415" s="65"/>
      <c r="Q415" s="65"/>
    </row>
    <row r="416" ht="21.0" customHeight="1">
      <c r="I416" s="65"/>
      <c r="J416" s="65"/>
      <c r="K416" s="65"/>
      <c r="L416" s="65"/>
      <c r="M416" s="65"/>
      <c r="N416" s="65"/>
      <c r="O416" s="65"/>
      <c r="P416" s="65"/>
      <c r="Q416" s="65"/>
    </row>
    <row r="417" ht="21.0" customHeight="1">
      <c r="I417" s="65"/>
      <c r="J417" s="65"/>
      <c r="K417" s="65"/>
      <c r="L417" s="65"/>
      <c r="M417" s="65"/>
      <c r="N417" s="65"/>
      <c r="O417" s="65"/>
      <c r="P417" s="65"/>
      <c r="Q417" s="65"/>
    </row>
    <row r="418" ht="21.0" customHeight="1">
      <c r="I418" s="65"/>
      <c r="J418" s="65"/>
      <c r="K418" s="65"/>
      <c r="L418" s="65"/>
      <c r="M418" s="65"/>
      <c r="N418" s="65"/>
      <c r="O418" s="65"/>
      <c r="P418" s="65"/>
      <c r="Q418" s="65"/>
    </row>
    <row r="419" ht="21.0" customHeight="1">
      <c r="I419" s="65"/>
      <c r="J419" s="65"/>
      <c r="K419" s="65"/>
      <c r="L419" s="65"/>
      <c r="M419" s="65"/>
      <c r="N419" s="65"/>
      <c r="O419" s="65"/>
      <c r="P419" s="65"/>
      <c r="Q419" s="65"/>
    </row>
    <row r="420" ht="21.0" customHeight="1">
      <c r="I420" s="65"/>
      <c r="J420" s="65"/>
      <c r="K420" s="65"/>
      <c r="L420" s="65"/>
      <c r="M420" s="65"/>
      <c r="N420" s="65"/>
      <c r="O420" s="65"/>
      <c r="P420" s="65"/>
      <c r="Q420" s="65"/>
    </row>
    <row r="421" ht="21.0" customHeight="1">
      <c r="I421" s="65"/>
      <c r="J421" s="65"/>
      <c r="K421" s="65"/>
      <c r="L421" s="65"/>
      <c r="M421" s="65"/>
      <c r="N421" s="65"/>
      <c r="O421" s="65"/>
      <c r="P421" s="65"/>
      <c r="Q421" s="65"/>
    </row>
    <row r="422" ht="21.0" customHeight="1">
      <c r="I422" s="65"/>
      <c r="J422" s="65"/>
      <c r="K422" s="65"/>
      <c r="L422" s="65"/>
      <c r="M422" s="65"/>
      <c r="N422" s="65"/>
      <c r="O422" s="65"/>
      <c r="P422" s="65"/>
      <c r="Q422" s="65"/>
    </row>
    <row r="423" ht="21.0" customHeight="1">
      <c r="I423" s="65"/>
      <c r="J423" s="65"/>
      <c r="K423" s="65"/>
      <c r="L423" s="65"/>
      <c r="M423" s="65"/>
      <c r="N423" s="65"/>
      <c r="O423" s="65"/>
      <c r="P423" s="65"/>
      <c r="Q423" s="65"/>
    </row>
    <row r="424" ht="21.0" customHeight="1">
      <c r="I424" s="65"/>
      <c r="J424" s="65"/>
      <c r="K424" s="65"/>
      <c r="L424" s="65"/>
      <c r="M424" s="65"/>
      <c r="N424" s="65"/>
      <c r="O424" s="65"/>
      <c r="P424" s="65"/>
      <c r="Q424" s="65"/>
    </row>
    <row r="425" ht="21.0" customHeight="1">
      <c r="I425" s="65"/>
      <c r="J425" s="65"/>
      <c r="K425" s="65"/>
      <c r="L425" s="65"/>
      <c r="M425" s="65"/>
      <c r="N425" s="65"/>
      <c r="O425" s="65"/>
      <c r="P425" s="65"/>
      <c r="Q425" s="65"/>
    </row>
    <row r="426" ht="21.0" customHeight="1">
      <c r="I426" s="65"/>
      <c r="J426" s="65"/>
      <c r="K426" s="65"/>
      <c r="L426" s="65"/>
      <c r="M426" s="65"/>
      <c r="N426" s="65"/>
      <c r="O426" s="65"/>
      <c r="P426" s="65"/>
      <c r="Q426" s="65"/>
    </row>
    <row r="427" ht="21.0" customHeight="1">
      <c r="I427" s="65"/>
      <c r="J427" s="65"/>
      <c r="K427" s="65"/>
      <c r="L427" s="65"/>
      <c r="M427" s="65"/>
      <c r="N427" s="65"/>
      <c r="O427" s="65"/>
      <c r="P427" s="65"/>
      <c r="Q427" s="65"/>
    </row>
    <row r="428" ht="21.0" customHeight="1">
      <c r="I428" s="65"/>
      <c r="J428" s="65"/>
      <c r="K428" s="65"/>
      <c r="L428" s="65"/>
      <c r="M428" s="65"/>
      <c r="N428" s="65"/>
      <c r="O428" s="65"/>
      <c r="P428" s="65"/>
      <c r="Q428" s="65"/>
    </row>
    <row r="429" ht="21.0" customHeight="1">
      <c r="I429" s="65"/>
      <c r="J429" s="65"/>
      <c r="K429" s="65"/>
      <c r="L429" s="65"/>
      <c r="M429" s="65"/>
      <c r="N429" s="65"/>
      <c r="O429" s="65"/>
      <c r="P429" s="65"/>
      <c r="Q429" s="65"/>
    </row>
    <row r="430" ht="21.0" customHeight="1">
      <c r="I430" s="65"/>
      <c r="J430" s="65"/>
      <c r="K430" s="65"/>
      <c r="L430" s="65"/>
      <c r="M430" s="65"/>
      <c r="N430" s="65"/>
      <c r="O430" s="65"/>
      <c r="P430" s="65"/>
      <c r="Q430" s="65"/>
    </row>
    <row r="431" ht="21.0" customHeight="1">
      <c r="I431" s="65"/>
      <c r="J431" s="65"/>
      <c r="K431" s="65"/>
      <c r="L431" s="65"/>
      <c r="M431" s="65"/>
      <c r="N431" s="65"/>
      <c r="O431" s="65"/>
      <c r="P431" s="65"/>
      <c r="Q431" s="65"/>
    </row>
    <row r="432" ht="21.0" customHeight="1">
      <c r="I432" s="65"/>
      <c r="J432" s="65"/>
      <c r="K432" s="65"/>
      <c r="L432" s="65"/>
      <c r="M432" s="65"/>
      <c r="N432" s="65"/>
      <c r="O432" s="65"/>
      <c r="P432" s="65"/>
      <c r="Q432" s="65"/>
    </row>
    <row r="433" ht="21.0" customHeight="1">
      <c r="I433" s="65"/>
      <c r="J433" s="65"/>
      <c r="K433" s="65"/>
      <c r="L433" s="65"/>
      <c r="M433" s="65"/>
      <c r="N433" s="65"/>
      <c r="O433" s="65"/>
      <c r="P433" s="65"/>
      <c r="Q433" s="65"/>
    </row>
    <row r="434" ht="21.0" customHeight="1">
      <c r="I434" s="65"/>
      <c r="J434" s="65"/>
      <c r="K434" s="65"/>
      <c r="L434" s="65"/>
      <c r="M434" s="65"/>
      <c r="N434" s="65"/>
      <c r="O434" s="65"/>
      <c r="P434" s="65"/>
      <c r="Q434" s="65"/>
    </row>
    <row r="435" ht="21.0" customHeight="1">
      <c r="I435" s="65"/>
      <c r="J435" s="65"/>
      <c r="K435" s="65"/>
      <c r="L435" s="65"/>
      <c r="M435" s="65"/>
      <c r="N435" s="65"/>
      <c r="O435" s="65"/>
      <c r="P435" s="65"/>
      <c r="Q435" s="65"/>
    </row>
    <row r="436" ht="21.0" customHeight="1">
      <c r="I436" s="65"/>
      <c r="J436" s="65"/>
      <c r="K436" s="65"/>
      <c r="L436" s="65"/>
      <c r="M436" s="65"/>
      <c r="N436" s="65"/>
      <c r="O436" s="65"/>
      <c r="P436" s="65"/>
      <c r="Q436" s="65"/>
    </row>
    <row r="437" ht="21.0" customHeight="1">
      <c r="I437" s="65"/>
      <c r="J437" s="65"/>
      <c r="K437" s="65"/>
      <c r="L437" s="65"/>
      <c r="M437" s="65"/>
      <c r="N437" s="65"/>
      <c r="O437" s="65"/>
      <c r="P437" s="65"/>
      <c r="Q437" s="65"/>
    </row>
    <row r="438" ht="21.0" customHeight="1">
      <c r="I438" s="65"/>
      <c r="J438" s="65"/>
      <c r="K438" s="65"/>
      <c r="L438" s="65"/>
      <c r="M438" s="65"/>
      <c r="N438" s="65"/>
      <c r="O438" s="65"/>
      <c r="P438" s="65"/>
      <c r="Q438" s="65"/>
    </row>
    <row r="439" ht="21.0" customHeight="1">
      <c r="I439" s="65"/>
      <c r="J439" s="65"/>
      <c r="K439" s="65"/>
      <c r="L439" s="65"/>
      <c r="M439" s="65"/>
      <c r="N439" s="65"/>
      <c r="O439" s="65"/>
      <c r="P439" s="65"/>
      <c r="Q439" s="65"/>
    </row>
    <row r="440" ht="21.0" customHeight="1">
      <c r="I440" s="65"/>
      <c r="J440" s="65"/>
      <c r="K440" s="65"/>
      <c r="L440" s="65"/>
      <c r="M440" s="65"/>
      <c r="N440" s="65"/>
      <c r="O440" s="65"/>
      <c r="P440" s="65"/>
      <c r="Q440" s="65"/>
    </row>
    <row r="441" ht="21.0" customHeight="1">
      <c r="I441" s="65"/>
      <c r="J441" s="65"/>
      <c r="K441" s="65"/>
      <c r="L441" s="65"/>
      <c r="M441" s="65"/>
      <c r="N441" s="65"/>
      <c r="O441" s="65"/>
      <c r="P441" s="65"/>
      <c r="Q441" s="65"/>
    </row>
    <row r="442" ht="21.0" customHeight="1">
      <c r="I442" s="65"/>
      <c r="J442" s="65"/>
      <c r="K442" s="65"/>
      <c r="L442" s="65"/>
      <c r="M442" s="65"/>
      <c r="N442" s="65"/>
      <c r="O442" s="65"/>
      <c r="P442" s="65"/>
      <c r="Q442" s="65"/>
    </row>
    <row r="443" ht="21.0" customHeight="1">
      <c r="I443" s="65"/>
      <c r="J443" s="65"/>
      <c r="K443" s="65"/>
      <c r="L443" s="65"/>
      <c r="M443" s="65"/>
      <c r="N443" s="65"/>
      <c r="O443" s="65"/>
      <c r="P443" s="65"/>
      <c r="Q443" s="65"/>
    </row>
    <row r="444" ht="21.0" customHeight="1">
      <c r="I444" s="65"/>
      <c r="J444" s="65"/>
      <c r="K444" s="65"/>
      <c r="L444" s="65"/>
      <c r="M444" s="65"/>
      <c r="N444" s="65"/>
      <c r="O444" s="65"/>
      <c r="P444" s="65"/>
      <c r="Q444" s="65"/>
    </row>
    <row r="445" ht="21.0" customHeight="1">
      <c r="I445" s="65"/>
      <c r="J445" s="65"/>
      <c r="K445" s="65"/>
      <c r="L445" s="65"/>
      <c r="M445" s="65"/>
      <c r="N445" s="65"/>
      <c r="O445" s="65"/>
      <c r="P445" s="65"/>
      <c r="Q445" s="65"/>
    </row>
    <row r="446" ht="21.0" customHeight="1">
      <c r="I446" s="65"/>
      <c r="J446" s="65"/>
      <c r="K446" s="65"/>
      <c r="L446" s="65"/>
      <c r="M446" s="65"/>
      <c r="N446" s="65"/>
      <c r="O446" s="65"/>
      <c r="P446" s="65"/>
      <c r="Q446" s="65"/>
    </row>
    <row r="447" ht="21.0" customHeight="1">
      <c r="I447" s="65"/>
      <c r="J447" s="65"/>
      <c r="K447" s="65"/>
      <c r="L447" s="65"/>
      <c r="M447" s="65"/>
      <c r="N447" s="65"/>
      <c r="O447" s="65"/>
      <c r="P447" s="65"/>
      <c r="Q447" s="65"/>
    </row>
    <row r="448" ht="21.0" customHeight="1">
      <c r="I448" s="65"/>
      <c r="J448" s="65"/>
      <c r="K448" s="65"/>
      <c r="L448" s="65"/>
      <c r="M448" s="65"/>
      <c r="N448" s="65"/>
      <c r="O448" s="65"/>
      <c r="P448" s="65"/>
      <c r="Q448" s="65"/>
    </row>
    <row r="449" ht="21.0" customHeight="1">
      <c r="I449" s="65"/>
      <c r="J449" s="65"/>
      <c r="K449" s="65"/>
      <c r="L449" s="65"/>
      <c r="M449" s="65"/>
      <c r="N449" s="65"/>
      <c r="O449" s="65"/>
      <c r="P449" s="65"/>
      <c r="Q449" s="65"/>
    </row>
    <row r="450" ht="21.0" customHeight="1">
      <c r="I450" s="65"/>
      <c r="J450" s="65"/>
      <c r="K450" s="65"/>
      <c r="L450" s="65"/>
      <c r="M450" s="65"/>
      <c r="N450" s="65"/>
      <c r="O450" s="65"/>
      <c r="P450" s="65"/>
      <c r="Q450" s="65"/>
    </row>
    <row r="451" ht="21.0" customHeight="1">
      <c r="I451" s="65"/>
      <c r="J451" s="65"/>
      <c r="K451" s="65"/>
      <c r="L451" s="65"/>
      <c r="M451" s="65"/>
      <c r="N451" s="65"/>
      <c r="O451" s="65"/>
      <c r="P451" s="65"/>
      <c r="Q451" s="65"/>
    </row>
    <row r="452" ht="21.0" customHeight="1">
      <c r="I452" s="65"/>
      <c r="J452" s="65"/>
      <c r="K452" s="65"/>
      <c r="L452" s="65"/>
      <c r="M452" s="65"/>
      <c r="N452" s="65"/>
      <c r="O452" s="65"/>
      <c r="P452" s="65"/>
      <c r="Q452" s="65"/>
    </row>
    <row r="453" ht="21.0" customHeight="1">
      <c r="I453" s="65"/>
      <c r="J453" s="65"/>
      <c r="K453" s="65"/>
      <c r="L453" s="65"/>
      <c r="M453" s="65"/>
      <c r="N453" s="65"/>
      <c r="O453" s="65"/>
      <c r="P453" s="65"/>
      <c r="Q453" s="65"/>
    </row>
    <row r="454" ht="21.0" customHeight="1">
      <c r="I454" s="65"/>
      <c r="J454" s="65"/>
      <c r="K454" s="65"/>
      <c r="L454" s="65"/>
      <c r="M454" s="65"/>
      <c r="N454" s="65"/>
      <c r="O454" s="65"/>
      <c r="P454" s="65"/>
      <c r="Q454" s="65"/>
    </row>
    <row r="455" ht="21.0" customHeight="1">
      <c r="I455" s="65"/>
      <c r="J455" s="65"/>
      <c r="K455" s="65"/>
      <c r="L455" s="65"/>
      <c r="M455" s="65"/>
      <c r="N455" s="65"/>
      <c r="O455" s="65"/>
      <c r="P455" s="65"/>
      <c r="Q455" s="65"/>
    </row>
    <row r="456" ht="21.0" customHeight="1">
      <c r="I456" s="65"/>
      <c r="J456" s="65"/>
      <c r="K456" s="65"/>
      <c r="L456" s="65"/>
      <c r="M456" s="65"/>
      <c r="N456" s="65"/>
      <c r="O456" s="65"/>
      <c r="P456" s="65"/>
      <c r="Q456" s="65"/>
    </row>
    <row r="457" ht="21.0" customHeight="1">
      <c r="I457" s="65"/>
      <c r="J457" s="65"/>
      <c r="K457" s="65"/>
      <c r="L457" s="65"/>
      <c r="M457" s="65"/>
      <c r="N457" s="65"/>
      <c r="O457" s="65"/>
      <c r="P457" s="65"/>
      <c r="Q457" s="65"/>
    </row>
    <row r="458" ht="21.0" customHeight="1">
      <c r="I458" s="65"/>
      <c r="J458" s="65"/>
      <c r="K458" s="65"/>
      <c r="L458" s="65"/>
      <c r="M458" s="65"/>
      <c r="N458" s="65"/>
      <c r="O458" s="65"/>
      <c r="P458" s="65"/>
      <c r="Q458" s="65"/>
    </row>
    <row r="459" ht="21.0" customHeight="1">
      <c r="I459" s="65"/>
      <c r="J459" s="65"/>
      <c r="K459" s="65"/>
      <c r="L459" s="65"/>
      <c r="M459" s="65"/>
      <c r="N459" s="65"/>
      <c r="O459" s="65"/>
      <c r="P459" s="65"/>
      <c r="Q459" s="65"/>
    </row>
    <row r="460" ht="21.0" customHeight="1">
      <c r="I460" s="65"/>
      <c r="J460" s="65"/>
      <c r="K460" s="65"/>
      <c r="L460" s="65"/>
      <c r="M460" s="65"/>
      <c r="N460" s="65"/>
      <c r="O460" s="65"/>
      <c r="P460" s="65"/>
      <c r="Q460" s="65"/>
    </row>
    <row r="461" ht="21.0" customHeight="1">
      <c r="I461" s="65"/>
      <c r="J461" s="65"/>
      <c r="K461" s="65"/>
      <c r="L461" s="65"/>
      <c r="M461" s="65"/>
      <c r="N461" s="65"/>
      <c r="O461" s="65"/>
      <c r="P461" s="65"/>
      <c r="Q461" s="65"/>
    </row>
    <row r="462" ht="21.0" customHeight="1">
      <c r="I462" s="65"/>
      <c r="J462" s="65"/>
      <c r="K462" s="65"/>
      <c r="L462" s="65"/>
      <c r="M462" s="65"/>
      <c r="N462" s="65"/>
      <c r="O462" s="65"/>
      <c r="P462" s="65"/>
      <c r="Q462" s="65"/>
    </row>
    <row r="463" ht="21.0" customHeight="1">
      <c r="I463" s="65"/>
      <c r="J463" s="65"/>
      <c r="K463" s="65"/>
      <c r="L463" s="65"/>
      <c r="M463" s="65"/>
      <c r="N463" s="65"/>
      <c r="O463" s="65"/>
      <c r="P463" s="65"/>
      <c r="Q463" s="65"/>
    </row>
    <row r="464" ht="21.0" customHeight="1">
      <c r="I464" s="65"/>
      <c r="J464" s="65"/>
      <c r="K464" s="65"/>
      <c r="L464" s="65"/>
      <c r="M464" s="65"/>
      <c r="N464" s="65"/>
      <c r="O464" s="65"/>
      <c r="P464" s="65"/>
      <c r="Q464" s="65"/>
    </row>
    <row r="465" ht="21.0" customHeight="1">
      <c r="I465" s="65"/>
      <c r="J465" s="65"/>
      <c r="K465" s="65"/>
      <c r="L465" s="65"/>
      <c r="M465" s="65"/>
      <c r="N465" s="65"/>
      <c r="O465" s="65"/>
      <c r="P465" s="65"/>
      <c r="Q465" s="65"/>
    </row>
    <row r="466" ht="21.0" customHeight="1">
      <c r="I466" s="65"/>
      <c r="J466" s="65"/>
      <c r="K466" s="65"/>
      <c r="L466" s="65"/>
      <c r="M466" s="65"/>
      <c r="N466" s="65"/>
      <c r="O466" s="65"/>
      <c r="P466" s="65"/>
      <c r="Q466" s="65"/>
    </row>
    <row r="467" ht="21.0" customHeight="1">
      <c r="I467" s="65"/>
      <c r="J467" s="65"/>
      <c r="K467" s="65"/>
      <c r="L467" s="65"/>
      <c r="M467" s="65"/>
      <c r="N467" s="65"/>
      <c r="O467" s="65"/>
      <c r="P467" s="65"/>
      <c r="Q467" s="65"/>
    </row>
    <row r="468" ht="21.0" customHeight="1">
      <c r="I468" s="65"/>
      <c r="J468" s="65"/>
      <c r="K468" s="65"/>
      <c r="L468" s="65"/>
      <c r="M468" s="65"/>
      <c r="N468" s="65"/>
      <c r="O468" s="65"/>
      <c r="P468" s="65"/>
      <c r="Q468" s="65"/>
    </row>
    <row r="469" ht="21.0" customHeight="1">
      <c r="I469" s="65"/>
      <c r="J469" s="65"/>
      <c r="K469" s="65"/>
      <c r="L469" s="65"/>
      <c r="M469" s="65"/>
      <c r="N469" s="65"/>
      <c r="O469" s="65"/>
      <c r="P469" s="65"/>
      <c r="Q469" s="65"/>
    </row>
    <row r="470" ht="21.0" customHeight="1">
      <c r="I470" s="65"/>
      <c r="J470" s="65"/>
      <c r="K470" s="65"/>
      <c r="L470" s="65"/>
      <c r="M470" s="65"/>
      <c r="N470" s="65"/>
      <c r="O470" s="65"/>
      <c r="P470" s="65"/>
      <c r="Q470" s="65"/>
    </row>
    <row r="471" ht="21.0" customHeight="1">
      <c r="I471" s="65"/>
      <c r="J471" s="65"/>
      <c r="K471" s="65"/>
      <c r="L471" s="65"/>
      <c r="M471" s="65"/>
      <c r="N471" s="65"/>
      <c r="O471" s="65"/>
      <c r="P471" s="65"/>
      <c r="Q471" s="65"/>
    </row>
    <row r="472" ht="21.0" customHeight="1">
      <c r="I472" s="65"/>
      <c r="J472" s="65"/>
      <c r="K472" s="65"/>
      <c r="L472" s="65"/>
      <c r="M472" s="65"/>
      <c r="N472" s="65"/>
      <c r="O472" s="65"/>
      <c r="P472" s="65"/>
      <c r="Q472" s="65"/>
    </row>
    <row r="473" ht="21.0" customHeight="1">
      <c r="I473" s="65"/>
      <c r="J473" s="65"/>
      <c r="K473" s="65"/>
      <c r="L473" s="65"/>
      <c r="M473" s="65"/>
      <c r="N473" s="65"/>
      <c r="O473" s="65"/>
      <c r="P473" s="65"/>
      <c r="Q473" s="65"/>
    </row>
    <row r="474" ht="21.0" customHeight="1">
      <c r="I474" s="65"/>
      <c r="J474" s="65"/>
      <c r="K474" s="65"/>
      <c r="L474" s="65"/>
      <c r="M474" s="65"/>
      <c r="N474" s="65"/>
      <c r="O474" s="65"/>
      <c r="P474" s="65"/>
      <c r="Q474" s="65"/>
    </row>
    <row r="475" ht="21.0" customHeight="1">
      <c r="I475" s="65"/>
      <c r="J475" s="65"/>
      <c r="K475" s="65"/>
      <c r="L475" s="65"/>
      <c r="M475" s="65"/>
      <c r="N475" s="65"/>
      <c r="O475" s="65"/>
      <c r="P475" s="65"/>
      <c r="Q475" s="65"/>
    </row>
    <row r="476" ht="21.0" customHeight="1">
      <c r="I476" s="65"/>
      <c r="J476" s="65"/>
      <c r="K476" s="65"/>
      <c r="L476" s="65"/>
      <c r="M476" s="65"/>
      <c r="N476" s="65"/>
      <c r="O476" s="65"/>
      <c r="P476" s="65"/>
      <c r="Q476" s="65"/>
    </row>
    <row r="477" ht="21.0" customHeight="1">
      <c r="I477" s="65"/>
      <c r="J477" s="65"/>
      <c r="K477" s="65"/>
      <c r="L477" s="65"/>
      <c r="M477" s="65"/>
      <c r="N477" s="65"/>
      <c r="O477" s="65"/>
      <c r="P477" s="65"/>
      <c r="Q477" s="65"/>
    </row>
    <row r="478" ht="21.0" customHeight="1">
      <c r="I478" s="65"/>
      <c r="J478" s="65"/>
      <c r="K478" s="65"/>
      <c r="L478" s="65"/>
      <c r="M478" s="65"/>
      <c r="N478" s="65"/>
      <c r="O478" s="65"/>
      <c r="P478" s="65"/>
      <c r="Q478" s="65"/>
    </row>
    <row r="479" ht="21.0" customHeight="1">
      <c r="I479" s="65"/>
      <c r="J479" s="65"/>
      <c r="K479" s="65"/>
      <c r="L479" s="65"/>
      <c r="M479" s="65"/>
      <c r="N479" s="65"/>
      <c r="O479" s="65"/>
      <c r="P479" s="65"/>
      <c r="Q479" s="65"/>
    </row>
    <row r="480" ht="21.0" customHeight="1">
      <c r="I480" s="65"/>
      <c r="J480" s="65"/>
      <c r="K480" s="65"/>
      <c r="L480" s="65"/>
      <c r="M480" s="65"/>
      <c r="N480" s="65"/>
      <c r="O480" s="65"/>
      <c r="P480" s="65"/>
      <c r="Q480" s="65"/>
    </row>
    <row r="481" ht="21.0" customHeight="1">
      <c r="I481" s="65"/>
      <c r="J481" s="65"/>
      <c r="K481" s="65"/>
      <c r="L481" s="65"/>
      <c r="M481" s="65"/>
      <c r="N481" s="65"/>
      <c r="O481" s="65"/>
      <c r="P481" s="65"/>
      <c r="Q481" s="65"/>
    </row>
    <row r="482" ht="21.0" customHeight="1">
      <c r="I482" s="65"/>
      <c r="J482" s="65"/>
      <c r="K482" s="65"/>
      <c r="L482" s="65"/>
      <c r="M482" s="65"/>
      <c r="N482" s="65"/>
      <c r="O482" s="65"/>
      <c r="P482" s="65"/>
      <c r="Q482" s="65"/>
    </row>
    <row r="483" ht="21.0" customHeight="1">
      <c r="I483" s="65"/>
      <c r="J483" s="65"/>
      <c r="K483" s="65"/>
      <c r="L483" s="65"/>
      <c r="M483" s="65"/>
      <c r="N483" s="65"/>
      <c r="O483" s="65"/>
      <c r="P483" s="65"/>
      <c r="Q483" s="65"/>
    </row>
    <row r="484" ht="21.0" customHeight="1">
      <c r="I484" s="65"/>
      <c r="J484" s="65"/>
      <c r="K484" s="65"/>
      <c r="L484" s="65"/>
      <c r="M484" s="65"/>
      <c r="N484" s="65"/>
      <c r="O484" s="65"/>
      <c r="P484" s="65"/>
      <c r="Q484" s="65"/>
    </row>
    <row r="485" ht="21.0" customHeight="1">
      <c r="I485" s="65"/>
      <c r="J485" s="65"/>
      <c r="K485" s="65"/>
      <c r="L485" s="65"/>
      <c r="M485" s="65"/>
      <c r="N485" s="65"/>
      <c r="O485" s="65"/>
      <c r="P485" s="65"/>
      <c r="Q485" s="65"/>
    </row>
    <row r="486" ht="21.0" customHeight="1">
      <c r="I486" s="65"/>
      <c r="J486" s="65"/>
      <c r="K486" s="65"/>
      <c r="L486" s="65"/>
      <c r="M486" s="65"/>
      <c r="N486" s="65"/>
      <c r="O486" s="65"/>
      <c r="P486" s="65"/>
      <c r="Q486" s="65"/>
    </row>
    <row r="487" ht="21.0" customHeight="1">
      <c r="I487" s="65"/>
      <c r="J487" s="65"/>
      <c r="K487" s="65"/>
      <c r="L487" s="65"/>
      <c r="M487" s="65"/>
      <c r="N487" s="65"/>
      <c r="O487" s="65"/>
      <c r="P487" s="65"/>
      <c r="Q487" s="65"/>
    </row>
    <row r="488" ht="21.0" customHeight="1">
      <c r="I488" s="65"/>
      <c r="J488" s="65"/>
      <c r="K488" s="65"/>
      <c r="L488" s="65"/>
      <c r="M488" s="65"/>
      <c r="N488" s="65"/>
      <c r="O488" s="65"/>
      <c r="P488" s="65"/>
      <c r="Q488" s="65"/>
    </row>
    <row r="489" ht="21.0" customHeight="1">
      <c r="I489" s="65"/>
      <c r="J489" s="65"/>
      <c r="K489" s="65"/>
      <c r="L489" s="65"/>
      <c r="M489" s="65"/>
      <c r="N489" s="65"/>
      <c r="O489" s="65"/>
      <c r="P489" s="65"/>
      <c r="Q489" s="65"/>
    </row>
    <row r="490" ht="21.0" customHeight="1">
      <c r="I490" s="65"/>
      <c r="J490" s="65"/>
      <c r="K490" s="65"/>
      <c r="L490" s="65"/>
      <c r="M490" s="65"/>
      <c r="N490" s="65"/>
      <c r="O490" s="65"/>
      <c r="P490" s="65"/>
      <c r="Q490" s="65"/>
    </row>
    <row r="491" ht="21.0" customHeight="1">
      <c r="I491" s="65"/>
      <c r="J491" s="65"/>
      <c r="K491" s="65"/>
      <c r="L491" s="65"/>
      <c r="M491" s="65"/>
      <c r="N491" s="65"/>
      <c r="O491" s="65"/>
      <c r="P491" s="65"/>
      <c r="Q491" s="65"/>
    </row>
    <row r="492" ht="21.0" customHeight="1">
      <c r="I492" s="65"/>
      <c r="J492" s="65"/>
      <c r="K492" s="65"/>
      <c r="L492" s="65"/>
      <c r="M492" s="65"/>
      <c r="N492" s="65"/>
      <c r="O492" s="65"/>
      <c r="P492" s="65"/>
      <c r="Q492" s="65"/>
    </row>
    <row r="493" ht="21.0" customHeight="1">
      <c r="I493" s="65"/>
      <c r="J493" s="65"/>
      <c r="K493" s="65"/>
      <c r="L493" s="65"/>
      <c r="M493" s="65"/>
      <c r="N493" s="65"/>
      <c r="O493" s="65"/>
      <c r="P493" s="65"/>
      <c r="Q493" s="65"/>
    </row>
    <row r="494" ht="21.0" customHeight="1">
      <c r="I494" s="65"/>
      <c r="J494" s="65"/>
      <c r="K494" s="65"/>
      <c r="L494" s="65"/>
      <c r="M494" s="65"/>
      <c r="N494" s="65"/>
      <c r="O494" s="65"/>
      <c r="P494" s="65"/>
      <c r="Q494" s="65"/>
    </row>
    <row r="495" ht="21.0" customHeight="1">
      <c r="I495" s="65"/>
      <c r="J495" s="65"/>
      <c r="K495" s="65"/>
      <c r="L495" s="65"/>
      <c r="M495" s="65"/>
      <c r="N495" s="65"/>
      <c r="O495" s="65"/>
      <c r="P495" s="65"/>
      <c r="Q495" s="65"/>
    </row>
    <row r="496" ht="21.0" customHeight="1">
      <c r="I496" s="65"/>
      <c r="J496" s="65"/>
      <c r="K496" s="65"/>
      <c r="L496" s="65"/>
      <c r="M496" s="65"/>
      <c r="N496" s="65"/>
      <c r="O496" s="65"/>
      <c r="P496" s="65"/>
      <c r="Q496" s="65"/>
    </row>
    <row r="497" ht="21.0" customHeight="1">
      <c r="I497" s="65"/>
      <c r="J497" s="65"/>
      <c r="K497" s="65"/>
      <c r="L497" s="65"/>
      <c r="M497" s="65"/>
      <c r="N497" s="65"/>
      <c r="O497" s="65"/>
      <c r="P497" s="65"/>
      <c r="Q497" s="65"/>
    </row>
    <row r="498" ht="21.0" customHeight="1">
      <c r="I498" s="65"/>
      <c r="J498" s="65"/>
      <c r="K498" s="65"/>
      <c r="L498" s="65"/>
      <c r="M498" s="65"/>
      <c r="N498" s="65"/>
      <c r="O498" s="65"/>
      <c r="P498" s="65"/>
      <c r="Q498" s="65"/>
    </row>
    <row r="499" ht="21.0" customHeight="1">
      <c r="I499" s="65"/>
      <c r="J499" s="65"/>
      <c r="K499" s="65"/>
      <c r="L499" s="65"/>
      <c r="M499" s="65"/>
      <c r="N499" s="65"/>
      <c r="O499" s="65"/>
      <c r="P499" s="65"/>
      <c r="Q499" s="65"/>
    </row>
    <row r="500" ht="21.0" customHeight="1">
      <c r="I500" s="65"/>
      <c r="J500" s="65"/>
      <c r="K500" s="65"/>
      <c r="L500" s="65"/>
      <c r="M500" s="65"/>
      <c r="N500" s="65"/>
      <c r="O500" s="65"/>
      <c r="P500" s="65"/>
      <c r="Q500" s="65"/>
    </row>
    <row r="501" ht="21.0" customHeight="1">
      <c r="I501" s="65"/>
      <c r="J501" s="65"/>
      <c r="K501" s="65"/>
      <c r="L501" s="65"/>
      <c r="M501" s="65"/>
      <c r="N501" s="65"/>
      <c r="O501" s="65"/>
      <c r="P501" s="65"/>
      <c r="Q501" s="65"/>
    </row>
    <row r="502" ht="21.0" customHeight="1">
      <c r="I502" s="65"/>
      <c r="J502" s="65"/>
      <c r="K502" s="65"/>
      <c r="L502" s="65"/>
      <c r="M502" s="65"/>
      <c r="N502" s="65"/>
      <c r="O502" s="65"/>
      <c r="P502" s="65"/>
      <c r="Q502" s="65"/>
    </row>
    <row r="503" ht="21.0" customHeight="1">
      <c r="I503" s="65"/>
      <c r="J503" s="65"/>
      <c r="K503" s="65"/>
      <c r="L503" s="65"/>
      <c r="M503" s="65"/>
      <c r="N503" s="65"/>
      <c r="O503" s="65"/>
      <c r="P503" s="65"/>
      <c r="Q503" s="65"/>
    </row>
    <row r="504" ht="21.0" customHeight="1">
      <c r="I504" s="65"/>
      <c r="J504" s="65"/>
      <c r="K504" s="65"/>
      <c r="L504" s="65"/>
      <c r="M504" s="65"/>
      <c r="N504" s="65"/>
      <c r="O504" s="65"/>
      <c r="P504" s="65"/>
      <c r="Q504" s="65"/>
    </row>
    <row r="505" ht="21.0" customHeight="1">
      <c r="I505" s="65"/>
      <c r="J505" s="65"/>
      <c r="K505" s="65"/>
      <c r="L505" s="65"/>
      <c r="M505" s="65"/>
      <c r="N505" s="65"/>
      <c r="O505" s="65"/>
      <c r="P505" s="65"/>
      <c r="Q505" s="65"/>
    </row>
    <row r="506" ht="21.0" customHeight="1">
      <c r="I506" s="65"/>
      <c r="J506" s="65"/>
      <c r="K506" s="65"/>
      <c r="L506" s="65"/>
      <c r="M506" s="65"/>
      <c r="N506" s="65"/>
      <c r="O506" s="65"/>
      <c r="P506" s="65"/>
      <c r="Q506" s="65"/>
    </row>
    <row r="507" ht="21.0" customHeight="1">
      <c r="I507" s="65"/>
      <c r="J507" s="65"/>
      <c r="K507" s="65"/>
      <c r="L507" s="65"/>
      <c r="M507" s="65"/>
      <c r="N507" s="65"/>
      <c r="O507" s="65"/>
      <c r="P507" s="65"/>
      <c r="Q507" s="65"/>
    </row>
    <row r="508" ht="21.0" customHeight="1">
      <c r="I508" s="65"/>
      <c r="J508" s="65"/>
      <c r="K508" s="65"/>
      <c r="L508" s="65"/>
      <c r="M508" s="65"/>
      <c r="N508" s="65"/>
      <c r="O508" s="65"/>
      <c r="P508" s="65"/>
      <c r="Q508" s="65"/>
    </row>
    <row r="509" ht="21.0" customHeight="1">
      <c r="I509" s="65"/>
      <c r="J509" s="65"/>
      <c r="K509" s="65"/>
      <c r="L509" s="65"/>
      <c r="M509" s="65"/>
      <c r="N509" s="65"/>
      <c r="O509" s="65"/>
      <c r="P509" s="65"/>
      <c r="Q509" s="65"/>
    </row>
    <row r="510" ht="21.0" customHeight="1">
      <c r="I510" s="65"/>
      <c r="J510" s="65"/>
      <c r="K510" s="65"/>
      <c r="L510" s="65"/>
      <c r="M510" s="65"/>
      <c r="N510" s="65"/>
      <c r="O510" s="65"/>
      <c r="P510" s="65"/>
      <c r="Q510" s="65"/>
    </row>
    <row r="511" ht="21.0" customHeight="1">
      <c r="I511" s="65"/>
      <c r="J511" s="65"/>
      <c r="K511" s="65"/>
      <c r="L511" s="65"/>
      <c r="M511" s="65"/>
      <c r="N511" s="65"/>
      <c r="O511" s="65"/>
      <c r="P511" s="65"/>
      <c r="Q511" s="65"/>
    </row>
    <row r="512" ht="21.0" customHeight="1">
      <c r="I512" s="65"/>
      <c r="J512" s="65"/>
      <c r="K512" s="65"/>
      <c r="L512" s="65"/>
      <c r="M512" s="65"/>
      <c r="N512" s="65"/>
      <c r="O512" s="65"/>
      <c r="P512" s="65"/>
      <c r="Q512" s="65"/>
    </row>
    <row r="513" ht="21.0" customHeight="1">
      <c r="I513" s="65"/>
      <c r="J513" s="65"/>
      <c r="K513" s="65"/>
      <c r="L513" s="65"/>
      <c r="M513" s="65"/>
      <c r="N513" s="65"/>
      <c r="O513" s="65"/>
      <c r="P513" s="65"/>
      <c r="Q513" s="65"/>
    </row>
    <row r="514" ht="21.0" customHeight="1">
      <c r="I514" s="65"/>
      <c r="J514" s="65"/>
      <c r="K514" s="65"/>
      <c r="L514" s="65"/>
      <c r="M514" s="65"/>
      <c r="N514" s="65"/>
      <c r="O514" s="65"/>
      <c r="P514" s="65"/>
      <c r="Q514" s="65"/>
    </row>
    <row r="515" ht="21.0" customHeight="1">
      <c r="I515" s="65"/>
      <c r="J515" s="65"/>
      <c r="K515" s="65"/>
      <c r="L515" s="65"/>
      <c r="M515" s="65"/>
      <c r="N515" s="65"/>
      <c r="O515" s="65"/>
      <c r="P515" s="65"/>
      <c r="Q515" s="65"/>
    </row>
    <row r="516" ht="21.0" customHeight="1">
      <c r="I516" s="65"/>
      <c r="J516" s="65"/>
      <c r="K516" s="65"/>
      <c r="L516" s="65"/>
      <c r="M516" s="65"/>
      <c r="N516" s="65"/>
      <c r="O516" s="65"/>
      <c r="P516" s="65"/>
      <c r="Q516" s="65"/>
    </row>
    <row r="517" ht="21.0" customHeight="1">
      <c r="I517" s="65"/>
      <c r="J517" s="65"/>
      <c r="K517" s="65"/>
      <c r="L517" s="65"/>
      <c r="M517" s="65"/>
      <c r="N517" s="65"/>
      <c r="O517" s="65"/>
      <c r="P517" s="65"/>
      <c r="Q517" s="65"/>
    </row>
    <row r="518" ht="21.0" customHeight="1">
      <c r="I518" s="65"/>
      <c r="J518" s="65"/>
      <c r="K518" s="65"/>
      <c r="L518" s="65"/>
      <c r="M518" s="65"/>
      <c r="N518" s="65"/>
      <c r="O518" s="65"/>
      <c r="P518" s="65"/>
      <c r="Q518" s="65"/>
    </row>
    <row r="519" ht="21.0" customHeight="1">
      <c r="I519" s="65"/>
      <c r="J519" s="65"/>
      <c r="K519" s="65"/>
      <c r="L519" s="65"/>
      <c r="M519" s="65"/>
      <c r="N519" s="65"/>
      <c r="O519" s="65"/>
      <c r="P519" s="65"/>
      <c r="Q519" s="65"/>
    </row>
    <row r="520" ht="21.0" customHeight="1">
      <c r="I520" s="65"/>
      <c r="J520" s="65"/>
      <c r="K520" s="65"/>
      <c r="L520" s="65"/>
      <c r="M520" s="65"/>
      <c r="N520" s="65"/>
      <c r="O520" s="65"/>
      <c r="P520" s="65"/>
      <c r="Q520" s="65"/>
    </row>
    <row r="521" ht="21.0" customHeight="1">
      <c r="I521" s="65"/>
      <c r="J521" s="65"/>
      <c r="K521" s="65"/>
      <c r="L521" s="65"/>
      <c r="M521" s="65"/>
      <c r="N521" s="65"/>
      <c r="O521" s="65"/>
      <c r="P521" s="65"/>
      <c r="Q521" s="65"/>
    </row>
    <row r="522" ht="21.0" customHeight="1">
      <c r="I522" s="65"/>
      <c r="J522" s="65"/>
      <c r="K522" s="65"/>
      <c r="L522" s="65"/>
      <c r="M522" s="65"/>
      <c r="N522" s="65"/>
      <c r="O522" s="65"/>
      <c r="P522" s="65"/>
      <c r="Q522" s="65"/>
    </row>
    <row r="523" ht="21.0" customHeight="1">
      <c r="I523" s="65"/>
      <c r="J523" s="65"/>
      <c r="K523" s="65"/>
      <c r="L523" s="65"/>
      <c r="M523" s="65"/>
      <c r="N523" s="65"/>
      <c r="O523" s="65"/>
      <c r="P523" s="65"/>
      <c r="Q523" s="65"/>
    </row>
    <row r="524" ht="21.0" customHeight="1">
      <c r="I524" s="65"/>
      <c r="J524" s="65"/>
      <c r="K524" s="65"/>
      <c r="L524" s="65"/>
      <c r="M524" s="65"/>
      <c r="N524" s="65"/>
      <c r="O524" s="65"/>
      <c r="P524" s="65"/>
      <c r="Q524" s="65"/>
    </row>
    <row r="525" ht="21.0" customHeight="1">
      <c r="I525" s="65"/>
      <c r="J525" s="65"/>
      <c r="K525" s="65"/>
      <c r="L525" s="65"/>
      <c r="M525" s="65"/>
      <c r="N525" s="65"/>
      <c r="O525" s="65"/>
      <c r="P525" s="65"/>
      <c r="Q525" s="65"/>
    </row>
    <row r="526" ht="21.0" customHeight="1">
      <c r="I526" s="65"/>
      <c r="J526" s="65"/>
      <c r="K526" s="65"/>
      <c r="L526" s="65"/>
      <c r="M526" s="65"/>
      <c r="N526" s="65"/>
      <c r="O526" s="65"/>
      <c r="P526" s="65"/>
      <c r="Q526" s="65"/>
    </row>
    <row r="527" ht="21.0" customHeight="1">
      <c r="I527" s="65"/>
      <c r="J527" s="65"/>
      <c r="K527" s="65"/>
      <c r="L527" s="65"/>
      <c r="M527" s="65"/>
      <c r="N527" s="65"/>
      <c r="O527" s="65"/>
      <c r="P527" s="65"/>
      <c r="Q527" s="65"/>
    </row>
    <row r="528" ht="21.0" customHeight="1">
      <c r="I528" s="65"/>
      <c r="J528" s="65"/>
      <c r="K528" s="65"/>
      <c r="L528" s="65"/>
      <c r="M528" s="65"/>
      <c r="N528" s="65"/>
      <c r="O528" s="65"/>
      <c r="P528" s="65"/>
      <c r="Q528" s="65"/>
    </row>
    <row r="529" ht="21.0" customHeight="1">
      <c r="I529" s="65"/>
      <c r="J529" s="65"/>
      <c r="K529" s="65"/>
      <c r="L529" s="65"/>
      <c r="M529" s="65"/>
      <c r="N529" s="65"/>
      <c r="O529" s="65"/>
      <c r="P529" s="65"/>
      <c r="Q529" s="65"/>
    </row>
    <row r="530" ht="21.0" customHeight="1">
      <c r="I530" s="65"/>
      <c r="J530" s="65"/>
      <c r="K530" s="65"/>
      <c r="L530" s="65"/>
      <c r="M530" s="65"/>
      <c r="N530" s="65"/>
      <c r="O530" s="65"/>
      <c r="P530" s="65"/>
      <c r="Q530" s="65"/>
    </row>
    <row r="531" ht="21.0" customHeight="1">
      <c r="I531" s="65"/>
      <c r="J531" s="65"/>
      <c r="K531" s="65"/>
      <c r="L531" s="65"/>
      <c r="M531" s="65"/>
      <c r="N531" s="65"/>
      <c r="O531" s="65"/>
      <c r="P531" s="65"/>
      <c r="Q531" s="65"/>
    </row>
    <row r="532" ht="21.0" customHeight="1">
      <c r="I532" s="65"/>
      <c r="J532" s="65"/>
      <c r="K532" s="65"/>
      <c r="L532" s="65"/>
      <c r="M532" s="65"/>
      <c r="N532" s="65"/>
      <c r="O532" s="65"/>
      <c r="P532" s="65"/>
      <c r="Q532" s="65"/>
    </row>
    <row r="533" ht="21.0" customHeight="1">
      <c r="I533" s="65"/>
      <c r="J533" s="65"/>
      <c r="K533" s="65"/>
      <c r="L533" s="65"/>
      <c r="M533" s="65"/>
      <c r="N533" s="65"/>
      <c r="O533" s="65"/>
      <c r="P533" s="65"/>
      <c r="Q533" s="65"/>
    </row>
    <row r="534" ht="21.0" customHeight="1">
      <c r="I534" s="65"/>
      <c r="J534" s="65"/>
      <c r="K534" s="65"/>
      <c r="L534" s="65"/>
      <c r="M534" s="65"/>
      <c r="N534" s="65"/>
      <c r="O534" s="65"/>
      <c r="P534" s="65"/>
      <c r="Q534" s="65"/>
    </row>
    <row r="535" ht="21.0" customHeight="1">
      <c r="I535" s="65"/>
      <c r="J535" s="65"/>
      <c r="K535" s="65"/>
      <c r="L535" s="65"/>
      <c r="M535" s="65"/>
      <c r="N535" s="65"/>
      <c r="O535" s="65"/>
      <c r="P535" s="65"/>
      <c r="Q535" s="65"/>
    </row>
    <row r="536" ht="21.0" customHeight="1">
      <c r="I536" s="65"/>
      <c r="J536" s="65"/>
      <c r="K536" s="65"/>
      <c r="L536" s="65"/>
      <c r="M536" s="65"/>
      <c r="N536" s="65"/>
      <c r="O536" s="65"/>
      <c r="P536" s="65"/>
      <c r="Q536" s="65"/>
    </row>
    <row r="537" ht="21.0" customHeight="1">
      <c r="I537" s="65"/>
      <c r="J537" s="65"/>
      <c r="K537" s="65"/>
      <c r="L537" s="65"/>
      <c r="M537" s="65"/>
      <c r="N537" s="65"/>
      <c r="O537" s="65"/>
      <c r="P537" s="65"/>
      <c r="Q537" s="65"/>
    </row>
    <row r="538" ht="21.0" customHeight="1">
      <c r="I538" s="65"/>
      <c r="J538" s="65"/>
      <c r="K538" s="65"/>
      <c r="L538" s="65"/>
      <c r="M538" s="65"/>
      <c r="N538" s="65"/>
      <c r="O538" s="65"/>
      <c r="P538" s="65"/>
      <c r="Q538" s="65"/>
    </row>
    <row r="539" ht="21.0" customHeight="1">
      <c r="I539" s="65"/>
      <c r="J539" s="65"/>
      <c r="K539" s="65"/>
      <c r="L539" s="65"/>
      <c r="M539" s="65"/>
      <c r="N539" s="65"/>
      <c r="O539" s="65"/>
      <c r="P539" s="65"/>
      <c r="Q539" s="65"/>
    </row>
    <row r="540" ht="21.0" customHeight="1">
      <c r="I540" s="65"/>
      <c r="J540" s="65"/>
      <c r="K540" s="65"/>
      <c r="L540" s="65"/>
      <c r="M540" s="65"/>
      <c r="N540" s="65"/>
      <c r="O540" s="65"/>
      <c r="P540" s="65"/>
      <c r="Q540" s="65"/>
    </row>
    <row r="541" ht="21.0" customHeight="1">
      <c r="I541" s="65"/>
      <c r="J541" s="65"/>
      <c r="K541" s="65"/>
      <c r="L541" s="65"/>
      <c r="M541" s="65"/>
      <c r="N541" s="65"/>
      <c r="O541" s="65"/>
      <c r="P541" s="65"/>
      <c r="Q541" s="65"/>
    </row>
    <row r="542" ht="21.0" customHeight="1">
      <c r="I542" s="65"/>
      <c r="J542" s="65"/>
      <c r="K542" s="65"/>
      <c r="L542" s="65"/>
      <c r="M542" s="65"/>
      <c r="N542" s="65"/>
      <c r="O542" s="65"/>
      <c r="P542" s="65"/>
      <c r="Q542" s="65"/>
    </row>
    <row r="543" ht="21.0" customHeight="1">
      <c r="I543" s="65"/>
      <c r="J543" s="65"/>
      <c r="K543" s="65"/>
      <c r="L543" s="65"/>
      <c r="M543" s="65"/>
      <c r="N543" s="65"/>
      <c r="O543" s="65"/>
      <c r="P543" s="65"/>
      <c r="Q543" s="65"/>
    </row>
    <row r="544" ht="21.0" customHeight="1">
      <c r="I544" s="65"/>
      <c r="J544" s="65"/>
      <c r="K544" s="65"/>
      <c r="L544" s="65"/>
      <c r="M544" s="65"/>
      <c r="N544" s="65"/>
      <c r="O544" s="65"/>
      <c r="P544" s="65"/>
      <c r="Q544" s="65"/>
    </row>
    <row r="545" ht="21.0" customHeight="1">
      <c r="I545" s="65"/>
      <c r="J545" s="65"/>
      <c r="K545" s="65"/>
      <c r="L545" s="65"/>
      <c r="M545" s="65"/>
      <c r="N545" s="65"/>
      <c r="O545" s="65"/>
      <c r="P545" s="65"/>
      <c r="Q545" s="65"/>
    </row>
    <row r="546" ht="21.0" customHeight="1">
      <c r="I546" s="65"/>
      <c r="J546" s="65"/>
      <c r="K546" s="65"/>
      <c r="L546" s="65"/>
      <c r="M546" s="65"/>
      <c r="N546" s="65"/>
      <c r="O546" s="65"/>
      <c r="P546" s="65"/>
      <c r="Q546" s="65"/>
    </row>
    <row r="547" ht="21.0" customHeight="1">
      <c r="I547" s="65"/>
      <c r="J547" s="65"/>
      <c r="K547" s="65"/>
      <c r="L547" s="65"/>
      <c r="M547" s="65"/>
      <c r="N547" s="65"/>
      <c r="O547" s="65"/>
      <c r="P547" s="65"/>
      <c r="Q547" s="65"/>
    </row>
    <row r="548" ht="21.0" customHeight="1">
      <c r="I548" s="65"/>
      <c r="J548" s="65"/>
      <c r="K548" s="65"/>
      <c r="L548" s="65"/>
      <c r="M548" s="65"/>
      <c r="N548" s="65"/>
      <c r="O548" s="65"/>
      <c r="P548" s="65"/>
      <c r="Q548" s="65"/>
    </row>
    <row r="549" ht="21.0" customHeight="1">
      <c r="I549" s="65"/>
      <c r="J549" s="65"/>
      <c r="K549" s="65"/>
      <c r="L549" s="65"/>
      <c r="M549" s="65"/>
      <c r="N549" s="65"/>
      <c r="O549" s="65"/>
      <c r="P549" s="65"/>
      <c r="Q549" s="65"/>
    </row>
    <row r="550" ht="21.0" customHeight="1">
      <c r="I550" s="65"/>
      <c r="J550" s="65"/>
      <c r="K550" s="65"/>
      <c r="L550" s="65"/>
      <c r="M550" s="65"/>
      <c r="N550" s="65"/>
      <c r="O550" s="65"/>
      <c r="P550" s="65"/>
      <c r="Q550" s="65"/>
    </row>
    <row r="551" ht="21.0" customHeight="1">
      <c r="I551" s="65"/>
      <c r="J551" s="65"/>
      <c r="K551" s="65"/>
      <c r="L551" s="65"/>
      <c r="M551" s="65"/>
      <c r="N551" s="65"/>
      <c r="O551" s="65"/>
      <c r="P551" s="65"/>
      <c r="Q551" s="65"/>
    </row>
    <row r="552" ht="21.0" customHeight="1">
      <c r="I552" s="65"/>
      <c r="J552" s="65"/>
      <c r="K552" s="65"/>
      <c r="L552" s="65"/>
      <c r="M552" s="65"/>
      <c r="N552" s="65"/>
      <c r="O552" s="65"/>
      <c r="P552" s="65"/>
      <c r="Q552" s="65"/>
    </row>
    <row r="553" ht="21.0" customHeight="1">
      <c r="I553" s="65"/>
      <c r="J553" s="65"/>
      <c r="K553" s="65"/>
      <c r="L553" s="65"/>
      <c r="M553" s="65"/>
      <c r="N553" s="65"/>
      <c r="O553" s="65"/>
      <c r="P553" s="65"/>
      <c r="Q553" s="65"/>
    </row>
    <row r="554" ht="21.0" customHeight="1">
      <c r="I554" s="65"/>
      <c r="J554" s="65"/>
      <c r="K554" s="65"/>
      <c r="L554" s="65"/>
      <c r="M554" s="65"/>
      <c r="N554" s="65"/>
      <c r="O554" s="65"/>
      <c r="P554" s="65"/>
      <c r="Q554" s="65"/>
    </row>
    <row r="555" ht="21.0" customHeight="1">
      <c r="I555" s="65"/>
      <c r="J555" s="65"/>
      <c r="K555" s="65"/>
      <c r="L555" s="65"/>
      <c r="M555" s="65"/>
      <c r="N555" s="65"/>
      <c r="O555" s="65"/>
      <c r="P555" s="65"/>
      <c r="Q555" s="65"/>
    </row>
    <row r="556" ht="21.0" customHeight="1">
      <c r="I556" s="65"/>
      <c r="J556" s="65"/>
      <c r="K556" s="65"/>
      <c r="L556" s="65"/>
      <c r="M556" s="65"/>
      <c r="N556" s="65"/>
      <c r="O556" s="65"/>
      <c r="P556" s="65"/>
      <c r="Q556" s="65"/>
    </row>
    <row r="557" ht="21.0" customHeight="1">
      <c r="I557" s="65"/>
      <c r="J557" s="65"/>
      <c r="K557" s="65"/>
      <c r="L557" s="65"/>
      <c r="M557" s="65"/>
      <c r="N557" s="65"/>
      <c r="O557" s="65"/>
      <c r="P557" s="65"/>
      <c r="Q557" s="65"/>
    </row>
    <row r="558" ht="21.0" customHeight="1">
      <c r="I558" s="65"/>
      <c r="J558" s="65"/>
      <c r="K558" s="65"/>
      <c r="L558" s="65"/>
      <c r="M558" s="65"/>
      <c r="N558" s="65"/>
      <c r="O558" s="65"/>
      <c r="P558" s="65"/>
      <c r="Q558" s="65"/>
    </row>
    <row r="559" ht="21.0" customHeight="1">
      <c r="I559" s="65"/>
      <c r="J559" s="65"/>
      <c r="K559" s="65"/>
      <c r="L559" s="65"/>
      <c r="M559" s="65"/>
      <c r="N559" s="65"/>
      <c r="O559" s="65"/>
      <c r="P559" s="65"/>
      <c r="Q559" s="65"/>
    </row>
    <row r="560" ht="21.0" customHeight="1">
      <c r="I560" s="65"/>
      <c r="J560" s="65"/>
      <c r="K560" s="65"/>
      <c r="L560" s="65"/>
      <c r="M560" s="65"/>
      <c r="N560" s="65"/>
      <c r="O560" s="65"/>
      <c r="P560" s="65"/>
      <c r="Q560" s="65"/>
    </row>
    <row r="561" ht="21.0" customHeight="1">
      <c r="I561" s="65"/>
      <c r="J561" s="65"/>
      <c r="K561" s="65"/>
      <c r="L561" s="65"/>
      <c r="M561" s="65"/>
      <c r="N561" s="65"/>
      <c r="O561" s="65"/>
      <c r="P561" s="65"/>
      <c r="Q561" s="65"/>
    </row>
    <row r="562" ht="21.0" customHeight="1">
      <c r="I562" s="65"/>
      <c r="J562" s="65"/>
      <c r="K562" s="65"/>
      <c r="L562" s="65"/>
      <c r="M562" s="65"/>
      <c r="N562" s="65"/>
      <c r="O562" s="65"/>
      <c r="P562" s="65"/>
      <c r="Q562" s="65"/>
    </row>
    <row r="563" ht="21.0" customHeight="1">
      <c r="I563" s="65"/>
      <c r="J563" s="65"/>
      <c r="K563" s="65"/>
      <c r="L563" s="65"/>
      <c r="M563" s="65"/>
      <c r="N563" s="65"/>
      <c r="O563" s="65"/>
      <c r="P563" s="65"/>
      <c r="Q563" s="65"/>
    </row>
    <row r="564" ht="21.0" customHeight="1">
      <c r="I564" s="65"/>
      <c r="J564" s="65"/>
      <c r="K564" s="65"/>
      <c r="L564" s="65"/>
      <c r="M564" s="65"/>
      <c r="N564" s="65"/>
      <c r="O564" s="65"/>
      <c r="P564" s="65"/>
      <c r="Q564" s="65"/>
    </row>
    <row r="565" ht="21.0" customHeight="1">
      <c r="I565" s="65"/>
      <c r="J565" s="65"/>
      <c r="K565" s="65"/>
      <c r="L565" s="65"/>
      <c r="M565" s="65"/>
      <c r="N565" s="65"/>
      <c r="O565" s="65"/>
      <c r="P565" s="65"/>
      <c r="Q565" s="65"/>
    </row>
    <row r="566" ht="21.0" customHeight="1">
      <c r="I566" s="65"/>
      <c r="J566" s="65"/>
      <c r="K566" s="65"/>
      <c r="L566" s="65"/>
      <c r="M566" s="65"/>
      <c r="N566" s="65"/>
      <c r="O566" s="65"/>
      <c r="P566" s="65"/>
      <c r="Q566" s="65"/>
    </row>
    <row r="567" ht="21.0" customHeight="1">
      <c r="I567" s="65"/>
      <c r="J567" s="65"/>
      <c r="K567" s="65"/>
      <c r="L567" s="65"/>
      <c r="M567" s="65"/>
      <c r="N567" s="65"/>
      <c r="O567" s="65"/>
      <c r="P567" s="65"/>
      <c r="Q567" s="65"/>
    </row>
    <row r="568" ht="21.0" customHeight="1">
      <c r="I568" s="65"/>
      <c r="J568" s="65"/>
      <c r="K568" s="65"/>
      <c r="L568" s="65"/>
      <c r="M568" s="65"/>
      <c r="N568" s="65"/>
      <c r="O568" s="65"/>
      <c r="P568" s="65"/>
      <c r="Q568" s="65"/>
    </row>
    <row r="569" ht="21.0" customHeight="1">
      <c r="I569" s="65"/>
      <c r="J569" s="65"/>
      <c r="K569" s="65"/>
      <c r="L569" s="65"/>
      <c r="M569" s="65"/>
      <c r="N569" s="65"/>
      <c r="O569" s="65"/>
      <c r="P569" s="65"/>
      <c r="Q569" s="65"/>
    </row>
    <row r="570" ht="21.0" customHeight="1">
      <c r="I570" s="65"/>
      <c r="J570" s="65"/>
      <c r="K570" s="65"/>
      <c r="L570" s="65"/>
      <c r="M570" s="65"/>
      <c r="N570" s="65"/>
      <c r="O570" s="65"/>
      <c r="P570" s="65"/>
      <c r="Q570" s="65"/>
    </row>
    <row r="571" ht="21.0" customHeight="1">
      <c r="I571" s="65"/>
      <c r="J571" s="65"/>
      <c r="K571" s="65"/>
      <c r="L571" s="65"/>
      <c r="M571" s="65"/>
      <c r="N571" s="65"/>
      <c r="O571" s="65"/>
      <c r="P571" s="65"/>
      <c r="Q571" s="65"/>
    </row>
    <row r="572" ht="21.0" customHeight="1">
      <c r="I572" s="65"/>
      <c r="J572" s="65"/>
      <c r="K572" s="65"/>
      <c r="L572" s="65"/>
      <c r="M572" s="65"/>
      <c r="N572" s="65"/>
      <c r="O572" s="65"/>
      <c r="P572" s="65"/>
      <c r="Q572" s="65"/>
    </row>
    <row r="573" ht="21.0" customHeight="1">
      <c r="I573" s="65"/>
      <c r="J573" s="65"/>
      <c r="K573" s="65"/>
      <c r="L573" s="65"/>
      <c r="M573" s="65"/>
      <c r="N573" s="65"/>
      <c r="O573" s="65"/>
      <c r="P573" s="65"/>
      <c r="Q573" s="65"/>
    </row>
    <row r="574" ht="21.0" customHeight="1">
      <c r="I574" s="65"/>
      <c r="J574" s="65"/>
      <c r="K574" s="65"/>
      <c r="L574" s="65"/>
      <c r="M574" s="65"/>
      <c r="N574" s="65"/>
      <c r="O574" s="65"/>
      <c r="P574" s="65"/>
      <c r="Q574" s="65"/>
    </row>
    <row r="575" ht="21.0" customHeight="1">
      <c r="I575" s="65"/>
      <c r="J575" s="65"/>
      <c r="K575" s="65"/>
      <c r="L575" s="65"/>
      <c r="M575" s="65"/>
      <c r="N575" s="65"/>
      <c r="O575" s="65"/>
      <c r="P575" s="65"/>
      <c r="Q575" s="65"/>
    </row>
    <row r="576" ht="21.0" customHeight="1">
      <c r="I576" s="65"/>
      <c r="J576" s="65"/>
      <c r="K576" s="65"/>
      <c r="L576" s="65"/>
      <c r="M576" s="65"/>
      <c r="N576" s="65"/>
      <c r="O576" s="65"/>
      <c r="P576" s="65"/>
      <c r="Q576" s="65"/>
    </row>
    <row r="577" ht="21.0" customHeight="1">
      <c r="I577" s="65"/>
      <c r="J577" s="65"/>
      <c r="K577" s="65"/>
      <c r="L577" s="65"/>
      <c r="M577" s="65"/>
      <c r="N577" s="65"/>
      <c r="O577" s="65"/>
      <c r="P577" s="65"/>
      <c r="Q577" s="65"/>
    </row>
    <row r="578" ht="21.0" customHeight="1">
      <c r="I578" s="65"/>
      <c r="J578" s="65"/>
      <c r="K578" s="65"/>
      <c r="L578" s="65"/>
      <c r="M578" s="65"/>
      <c r="N578" s="65"/>
      <c r="O578" s="65"/>
      <c r="P578" s="65"/>
      <c r="Q578" s="65"/>
    </row>
    <row r="579" ht="21.0" customHeight="1">
      <c r="I579" s="65"/>
      <c r="J579" s="65"/>
      <c r="K579" s="65"/>
      <c r="L579" s="65"/>
      <c r="M579" s="65"/>
      <c r="N579" s="65"/>
      <c r="O579" s="65"/>
      <c r="P579" s="65"/>
      <c r="Q579" s="65"/>
    </row>
    <row r="580" ht="21.0" customHeight="1">
      <c r="I580" s="65"/>
      <c r="J580" s="65"/>
      <c r="K580" s="65"/>
      <c r="L580" s="65"/>
      <c r="M580" s="65"/>
      <c r="N580" s="65"/>
      <c r="O580" s="65"/>
      <c r="P580" s="65"/>
      <c r="Q580" s="65"/>
    </row>
    <row r="581" ht="21.0" customHeight="1">
      <c r="I581" s="65"/>
      <c r="J581" s="65"/>
      <c r="K581" s="65"/>
      <c r="L581" s="65"/>
      <c r="M581" s="65"/>
      <c r="N581" s="65"/>
      <c r="O581" s="65"/>
      <c r="P581" s="65"/>
      <c r="Q581" s="65"/>
    </row>
    <row r="582" ht="21.0" customHeight="1">
      <c r="I582" s="65"/>
      <c r="J582" s="65"/>
      <c r="K582" s="65"/>
      <c r="L582" s="65"/>
      <c r="M582" s="65"/>
      <c r="N582" s="65"/>
      <c r="O582" s="65"/>
      <c r="P582" s="65"/>
      <c r="Q582" s="65"/>
    </row>
    <row r="583" ht="21.0" customHeight="1">
      <c r="I583" s="65"/>
      <c r="J583" s="65"/>
      <c r="K583" s="65"/>
      <c r="L583" s="65"/>
      <c r="M583" s="65"/>
      <c r="N583" s="65"/>
      <c r="O583" s="65"/>
      <c r="P583" s="65"/>
      <c r="Q583" s="65"/>
    </row>
    <row r="584" ht="21.0" customHeight="1">
      <c r="I584" s="65"/>
      <c r="J584" s="65"/>
      <c r="K584" s="65"/>
      <c r="L584" s="65"/>
      <c r="M584" s="65"/>
      <c r="N584" s="65"/>
      <c r="O584" s="65"/>
      <c r="P584" s="65"/>
      <c r="Q584" s="65"/>
    </row>
    <row r="585" ht="21.0" customHeight="1">
      <c r="I585" s="65"/>
      <c r="J585" s="65"/>
      <c r="K585" s="65"/>
      <c r="L585" s="65"/>
      <c r="M585" s="65"/>
      <c r="N585" s="65"/>
      <c r="O585" s="65"/>
      <c r="P585" s="65"/>
      <c r="Q585" s="65"/>
    </row>
    <row r="586" ht="21.0" customHeight="1">
      <c r="I586" s="65"/>
      <c r="J586" s="65"/>
      <c r="K586" s="65"/>
      <c r="L586" s="65"/>
      <c r="M586" s="65"/>
      <c r="N586" s="65"/>
      <c r="O586" s="65"/>
      <c r="P586" s="65"/>
      <c r="Q586" s="65"/>
    </row>
    <row r="587" ht="21.0" customHeight="1">
      <c r="I587" s="65"/>
      <c r="J587" s="65"/>
      <c r="K587" s="65"/>
      <c r="L587" s="65"/>
      <c r="M587" s="65"/>
      <c r="N587" s="65"/>
      <c r="O587" s="65"/>
      <c r="P587" s="65"/>
      <c r="Q587" s="65"/>
    </row>
    <row r="588" ht="21.0" customHeight="1">
      <c r="I588" s="65"/>
      <c r="J588" s="65"/>
      <c r="K588" s="65"/>
      <c r="L588" s="65"/>
      <c r="M588" s="65"/>
      <c r="N588" s="65"/>
      <c r="O588" s="65"/>
      <c r="P588" s="65"/>
      <c r="Q588" s="65"/>
    </row>
    <row r="589" ht="21.0" customHeight="1">
      <c r="I589" s="65"/>
      <c r="J589" s="65"/>
      <c r="K589" s="65"/>
      <c r="L589" s="65"/>
      <c r="M589" s="65"/>
      <c r="N589" s="65"/>
      <c r="O589" s="65"/>
      <c r="P589" s="65"/>
      <c r="Q589" s="65"/>
    </row>
    <row r="590" ht="21.0" customHeight="1">
      <c r="I590" s="65"/>
      <c r="J590" s="65"/>
      <c r="K590" s="65"/>
      <c r="L590" s="65"/>
      <c r="M590" s="65"/>
      <c r="N590" s="65"/>
      <c r="O590" s="65"/>
      <c r="P590" s="65"/>
      <c r="Q590" s="65"/>
    </row>
    <row r="591" ht="21.0" customHeight="1">
      <c r="I591" s="65"/>
      <c r="J591" s="65"/>
      <c r="K591" s="65"/>
      <c r="L591" s="65"/>
      <c r="M591" s="65"/>
      <c r="N591" s="65"/>
      <c r="O591" s="65"/>
      <c r="P591" s="65"/>
      <c r="Q591" s="65"/>
    </row>
    <row r="592" ht="21.0" customHeight="1">
      <c r="I592" s="65"/>
      <c r="J592" s="65"/>
      <c r="K592" s="65"/>
      <c r="L592" s="65"/>
      <c r="M592" s="65"/>
      <c r="N592" s="65"/>
      <c r="O592" s="65"/>
      <c r="P592" s="65"/>
      <c r="Q592" s="65"/>
    </row>
    <row r="593" ht="21.0" customHeight="1">
      <c r="I593" s="65"/>
      <c r="J593" s="65"/>
      <c r="K593" s="65"/>
      <c r="L593" s="65"/>
      <c r="M593" s="65"/>
      <c r="N593" s="65"/>
      <c r="O593" s="65"/>
      <c r="P593" s="65"/>
      <c r="Q593" s="65"/>
    </row>
    <row r="594" ht="21.0" customHeight="1">
      <c r="I594" s="65"/>
      <c r="J594" s="65"/>
      <c r="K594" s="65"/>
      <c r="L594" s="65"/>
      <c r="M594" s="65"/>
      <c r="N594" s="65"/>
      <c r="O594" s="65"/>
      <c r="P594" s="65"/>
      <c r="Q594" s="65"/>
    </row>
    <row r="595" ht="21.0" customHeight="1">
      <c r="I595" s="65"/>
      <c r="J595" s="65"/>
      <c r="K595" s="65"/>
      <c r="L595" s="65"/>
      <c r="M595" s="65"/>
      <c r="N595" s="65"/>
      <c r="O595" s="65"/>
      <c r="P595" s="65"/>
      <c r="Q595" s="65"/>
    </row>
    <row r="596" ht="21.0" customHeight="1">
      <c r="I596" s="65"/>
      <c r="J596" s="65"/>
      <c r="K596" s="65"/>
      <c r="L596" s="65"/>
      <c r="M596" s="65"/>
      <c r="N596" s="65"/>
      <c r="O596" s="65"/>
      <c r="P596" s="65"/>
      <c r="Q596" s="65"/>
    </row>
    <row r="597" ht="21.0" customHeight="1">
      <c r="I597" s="65"/>
      <c r="J597" s="65"/>
      <c r="K597" s="65"/>
      <c r="L597" s="65"/>
      <c r="M597" s="65"/>
      <c r="N597" s="65"/>
      <c r="O597" s="65"/>
      <c r="P597" s="65"/>
      <c r="Q597" s="65"/>
    </row>
    <row r="598" ht="21.0" customHeight="1">
      <c r="I598" s="65"/>
      <c r="J598" s="65"/>
      <c r="K598" s="65"/>
      <c r="L598" s="65"/>
      <c r="M598" s="65"/>
      <c r="N598" s="65"/>
      <c r="O598" s="65"/>
      <c r="P598" s="65"/>
      <c r="Q598" s="65"/>
    </row>
    <row r="599" ht="21.0" customHeight="1">
      <c r="I599" s="65"/>
      <c r="J599" s="65"/>
      <c r="K599" s="65"/>
      <c r="L599" s="65"/>
      <c r="M599" s="65"/>
      <c r="N599" s="65"/>
      <c r="O599" s="65"/>
      <c r="P599" s="65"/>
      <c r="Q599" s="65"/>
    </row>
    <row r="600" ht="21.0" customHeight="1">
      <c r="I600" s="65"/>
      <c r="J600" s="65"/>
      <c r="K600" s="65"/>
      <c r="L600" s="65"/>
      <c r="M600" s="65"/>
      <c r="N600" s="65"/>
      <c r="O600" s="65"/>
      <c r="P600" s="65"/>
      <c r="Q600" s="65"/>
    </row>
    <row r="601" ht="21.0" customHeight="1">
      <c r="I601" s="65"/>
      <c r="J601" s="65"/>
      <c r="K601" s="65"/>
      <c r="L601" s="65"/>
      <c r="M601" s="65"/>
      <c r="N601" s="65"/>
      <c r="O601" s="65"/>
      <c r="P601" s="65"/>
      <c r="Q601" s="65"/>
    </row>
    <row r="602" ht="21.0" customHeight="1">
      <c r="I602" s="65"/>
      <c r="J602" s="65"/>
      <c r="K602" s="65"/>
      <c r="L602" s="65"/>
      <c r="M602" s="65"/>
      <c r="N602" s="65"/>
      <c r="O602" s="65"/>
      <c r="P602" s="65"/>
      <c r="Q602" s="65"/>
    </row>
    <row r="603" ht="21.0" customHeight="1">
      <c r="I603" s="65"/>
      <c r="J603" s="65"/>
      <c r="K603" s="65"/>
      <c r="L603" s="65"/>
      <c r="M603" s="65"/>
      <c r="N603" s="65"/>
      <c r="O603" s="65"/>
      <c r="P603" s="65"/>
      <c r="Q603" s="65"/>
    </row>
    <row r="604" ht="21.0" customHeight="1">
      <c r="I604" s="65"/>
      <c r="J604" s="65"/>
      <c r="K604" s="65"/>
      <c r="L604" s="65"/>
      <c r="M604" s="65"/>
      <c r="N604" s="65"/>
      <c r="O604" s="65"/>
      <c r="P604" s="65"/>
      <c r="Q604" s="65"/>
    </row>
    <row r="605" ht="21.0" customHeight="1">
      <c r="I605" s="65"/>
      <c r="J605" s="65"/>
      <c r="K605" s="65"/>
      <c r="L605" s="65"/>
      <c r="M605" s="65"/>
      <c r="N605" s="65"/>
      <c r="O605" s="65"/>
      <c r="P605" s="65"/>
      <c r="Q605" s="65"/>
    </row>
    <row r="606" ht="21.0" customHeight="1">
      <c r="I606" s="65"/>
      <c r="J606" s="65"/>
      <c r="K606" s="65"/>
      <c r="L606" s="65"/>
      <c r="M606" s="65"/>
      <c r="N606" s="65"/>
      <c r="O606" s="65"/>
      <c r="P606" s="65"/>
      <c r="Q606" s="65"/>
    </row>
    <row r="607" ht="21.0" customHeight="1">
      <c r="I607" s="65"/>
      <c r="J607" s="65"/>
      <c r="K607" s="65"/>
      <c r="L607" s="65"/>
      <c r="M607" s="65"/>
      <c r="N607" s="65"/>
      <c r="O607" s="65"/>
      <c r="P607" s="65"/>
      <c r="Q607" s="65"/>
    </row>
    <row r="608" ht="21.0" customHeight="1">
      <c r="I608" s="65"/>
      <c r="J608" s="65"/>
      <c r="K608" s="65"/>
      <c r="L608" s="65"/>
      <c r="M608" s="65"/>
      <c r="N608" s="65"/>
      <c r="O608" s="65"/>
      <c r="P608" s="65"/>
      <c r="Q608" s="65"/>
    </row>
    <row r="609" ht="21.0" customHeight="1">
      <c r="I609" s="65"/>
      <c r="J609" s="65"/>
      <c r="K609" s="65"/>
      <c r="L609" s="65"/>
      <c r="M609" s="65"/>
      <c r="N609" s="65"/>
      <c r="O609" s="65"/>
      <c r="P609" s="65"/>
      <c r="Q609" s="65"/>
    </row>
    <row r="610" ht="21.0" customHeight="1">
      <c r="I610" s="65"/>
      <c r="J610" s="65"/>
      <c r="K610" s="65"/>
      <c r="L610" s="65"/>
      <c r="M610" s="65"/>
      <c r="N610" s="65"/>
      <c r="O610" s="65"/>
      <c r="P610" s="65"/>
      <c r="Q610" s="65"/>
    </row>
    <row r="611" ht="21.0" customHeight="1">
      <c r="I611" s="65"/>
      <c r="J611" s="65"/>
      <c r="K611" s="65"/>
      <c r="L611" s="65"/>
      <c r="M611" s="65"/>
      <c r="N611" s="65"/>
      <c r="O611" s="65"/>
      <c r="P611" s="65"/>
      <c r="Q611" s="65"/>
    </row>
    <row r="612" ht="21.0" customHeight="1">
      <c r="I612" s="65"/>
      <c r="J612" s="65"/>
      <c r="K612" s="65"/>
      <c r="L612" s="65"/>
      <c r="M612" s="65"/>
      <c r="N612" s="65"/>
      <c r="O612" s="65"/>
      <c r="P612" s="65"/>
      <c r="Q612" s="65"/>
    </row>
    <row r="613" ht="21.0" customHeight="1">
      <c r="I613" s="65"/>
      <c r="J613" s="65"/>
      <c r="K613" s="65"/>
      <c r="L613" s="65"/>
      <c r="M613" s="65"/>
      <c r="N613" s="65"/>
      <c r="O613" s="65"/>
      <c r="P613" s="65"/>
      <c r="Q613" s="65"/>
    </row>
    <row r="614" ht="21.0" customHeight="1">
      <c r="I614" s="65"/>
      <c r="J614" s="65"/>
      <c r="K614" s="65"/>
      <c r="L614" s="65"/>
      <c r="M614" s="65"/>
      <c r="N614" s="65"/>
      <c r="O614" s="65"/>
      <c r="P614" s="65"/>
      <c r="Q614" s="65"/>
    </row>
    <row r="615" ht="21.0" customHeight="1">
      <c r="I615" s="65"/>
      <c r="J615" s="65"/>
      <c r="K615" s="65"/>
      <c r="L615" s="65"/>
      <c r="M615" s="65"/>
      <c r="N615" s="65"/>
      <c r="O615" s="65"/>
      <c r="P615" s="65"/>
      <c r="Q615" s="65"/>
    </row>
    <row r="616" ht="21.0" customHeight="1">
      <c r="I616" s="65"/>
      <c r="J616" s="65"/>
      <c r="K616" s="65"/>
      <c r="L616" s="65"/>
      <c r="M616" s="65"/>
      <c r="N616" s="65"/>
      <c r="O616" s="65"/>
      <c r="P616" s="65"/>
      <c r="Q616" s="65"/>
    </row>
    <row r="617" ht="21.0" customHeight="1">
      <c r="I617" s="65"/>
      <c r="J617" s="65"/>
      <c r="K617" s="65"/>
      <c r="L617" s="65"/>
      <c r="M617" s="65"/>
      <c r="N617" s="65"/>
      <c r="O617" s="65"/>
      <c r="P617" s="65"/>
      <c r="Q617" s="65"/>
    </row>
    <row r="618" ht="21.0" customHeight="1">
      <c r="I618" s="65"/>
      <c r="J618" s="65"/>
      <c r="K618" s="65"/>
      <c r="L618" s="65"/>
      <c r="M618" s="65"/>
      <c r="N618" s="65"/>
      <c r="O618" s="65"/>
      <c r="P618" s="65"/>
      <c r="Q618" s="65"/>
    </row>
    <row r="619" ht="21.0" customHeight="1">
      <c r="I619" s="65"/>
      <c r="J619" s="65"/>
      <c r="K619" s="65"/>
      <c r="L619" s="65"/>
      <c r="M619" s="65"/>
      <c r="N619" s="65"/>
      <c r="O619" s="65"/>
      <c r="P619" s="65"/>
      <c r="Q619" s="65"/>
    </row>
    <row r="620" ht="21.0" customHeight="1">
      <c r="I620" s="65"/>
      <c r="J620" s="65"/>
      <c r="K620" s="65"/>
      <c r="L620" s="65"/>
      <c r="M620" s="65"/>
      <c r="N620" s="65"/>
      <c r="O620" s="65"/>
      <c r="P620" s="65"/>
      <c r="Q620" s="65"/>
    </row>
    <row r="621" ht="21.0" customHeight="1">
      <c r="I621" s="65"/>
      <c r="J621" s="65"/>
      <c r="K621" s="65"/>
      <c r="L621" s="65"/>
      <c r="M621" s="65"/>
      <c r="N621" s="65"/>
      <c r="O621" s="65"/>
      <c r="P621" s="65"/>
      <c r="Q621" s="65"/>
    </row>
    <row r="622" ht="21.0" customHeight="1">
      <c r="I622" s="65"/>
      <c r="J622" s="65"/>
      <c r="K622" s="65"/>
      <c r="L622" s="65"/>
      <c r="M622" s="65"/>
      <c r="N622" s="65"/>
      <c r="O622" s="65"/>
      <c r="P622" s="65"/>
      <c r="Q622" s="65"/>
    </row>
    <row r="623" ht="21.0" customHeight="1">
      <c r="I623" s="65"/>
      <c r="J623" s="65"/>
      <c r="K623" s="65"/>
      <c r="L623" s="65"/>
      <c r="M623" s="65"/>
      <c r="N623" s="65"/>
      <c r="O623" s="65"/>
      <c r="P623" s="65"/>
      <c r="Q623" s="65"/>
    </row>
    <row r="624" ht="21.0" customHeight="1">
      <c r="I624" s="65"/>
      <c r="J624" s="65"/>
      <c r="K624" s="65"/>
      <c r="L624" s="65"/>
      <c r="M624" s="65"/>
      <c r="N624" s="65"/>
      <c r="O624" s="65"/>
      <c r="P624" s="65"/>
      <c r="Q624" s="65"/>
    </row>
    <row r="625" ht="21.0" customHeight="1">
      <c r="I625" s="65"/>
      <c r="J625" s="65"/>
      <c r="K625" s="65"/>
      <c r="L625" s="65"/>
      <c r="M625" s="65"/>
      <c r="N625" s="65"/>
      <c r="O625" s="65"/>
      <c r="P625" s="65"/>
      <c r="Q625" s="65"/>
    </row>
    <row r="626" ht="21.0" customHeight="1">
      <c r="I626" s="65"/>
      <c r="J626" s="65"/>
      <c r="K626" s="65"/>
      <c r="L626" s="65"/>
      <c r="M626" s="65"/>
      <c r="N626" s="65"/>
      <c r="O626" s="65"/>
      <c r="P626" s="65"/>
      <c r="Q626" s="65"/>
    </row>
    <row r="627" ht="21.0" customHeight="1">
      <c r="I627" s="65"/>
      <c r="J627" s="65"/>
      <c r="K627" s="65"/>
      <c r="L627" s="65"/>
      <c r="M627" s="65"/>
      <c r="N627" s="65"/>
      <c r="O627" s="65"/>
      <c r="P627" s="65"/>
      <c r="Q627" s="65"/>
    </row>
    <row r="628" ht="21.0" customHeight="1">
      <c r="I628" s="65"/>
      <c r="J628" s="65"/>
      <c r="K628" s="65"/>
      <c r="L628" s="65"/>
      <c r="M628" s="65"/>
      <c r="N628" s="65"/>
      <c r="O628" s="65"/>
      <c r="P628" s="65"/>
      <c r="Q628" s="65"/>
    </row>
    <row r="629" ht="21.0" customHeight="1">
      <c r="I629" s="65"/>
      <c r="J629" s="65"/>
      <c r="K629" s="65"/>
      <c r="L629" s="65"/>
      <c r="M629" s="65"/>
      <c r="N629" s="65"/>
      <c r="O629" s="65"/>
      <c r="P629" s="65"/>
      <c r="Q629" s="65"/>
    </row>
    <row r="630" ht="21.0" customHeight="1">
      <c r="I630" s="65"/>
      <c r="J630" s="65"/>
      <c r="K630" s="65"/>
      <c r="L630" s="65"/>
      <c r="M630" s="65"/>
      <c r="N630" s="65"/>
      <c r="O630" s="65"/>
      <c r="P630" s="65"/>
      <c r="Q630" s="65"/>
    </row>
    <row r="631" ht="21.0" customHeight="1">
      <c r="I631" s="65"/>
      <c r="J631" s="65"/>
      <c r="K631" s="65"/>
      <c r="L631" s="65"/>
      <c r="M631" s="65"/>
      <c r="N631" s="65"/>
      <c r="O631" s="65"/>
      <c r="P631" s="65"/>
      <c r="Q631" s="65"/>
    </row>
    <row r="632" ht="21.0" customHeight="1">
      <c r="I632" s="65"/>
      <c r="J632" s="65"/>
      <c r="K632" s="65"/>
      <c r="L632" s="65"/>
      <c r="M632" s="65"/>
      <c r="N632" s="65"/>
      <c r="O632" s="65"/>
      <c r="P632" s="65"/>
      <c r="Q632" s="65"/>
    </row>
    <row r="633" ht="21.0" customHeight="1">
      <c r="I633" s="65"/>
      <c r="J633" s="65"/>
      <c r="K633" s="65"/>
      <c r="L633" s="65"/>
      <c r="M633" s="65"/>
      <c r="N633" s="65"/>
      <c r="O633" s="65"/>
      <c r="P633" s="65"/>
      <c r="Q633" s="65"/>
    </row>
    <row r="634" ht="21.0" customHeight="1">
      <c r="I634" s="65"/>
      <c r="J634" s="65"/>
      <c r="K634" s="65"/>
      <c r="L634" s="65"/>
      <c r="M634" s="65"/>
      <c r="N634" s="65"/>
      <c r="O634" s="65"/>
      <c r="P634" s="65"/>
      <c r="Q634" s="65"/>
    </row>
    <row r="635" ht="21.0" customHeight="1">
      <c r="I635" s="65"/>
      <c r="J635" s="65"/>
      <c r="K635" s="65"/>
      <c r="L635" s="65"/>
      <c r="M635" s="65"/>
      <c r="N635" s="65"/>
      <c r="O635" s="65"/>
      <c r="P635" s="65"/>
      <c r="Q635" s="65"/>
    </row>
    <row r="636" ht="21.0" customHeight="1">
      <c r="I636" s="65"/>
      <c r="J636" s="65"/>
      <c r="K636" s="65"/>
      <c r="L636" s="65"/>
      <c r="M636" s="65"/>
      <c r="N636" s="65"/>
      <c r="O636" s="65"/>
      <c r="P636" s="65"/>
      <c r="Q636" s="65"/>
    </row>
    <row r="637" ht="21.0" customHeight="1">
      <c r="I637" s="65"/>
      <c r="J637" s="65"/>
      <c r="K637" s="65"/>
      <c r="L637" s="65"/>
      <c r="M637" s="65"/>
      <c r="N637" s="65"/>
      <c r="O637" s="65"/>
      <c r="P637" s="65"/>
      <c r="Q637" s="65"/>
    </row>
    <row r="638" ht="21.0" customHeight="1">
      <c r="I638" s="65"/>
      <c r="J638" s="65"/>
      <c r="K638" s="65"/>
      <c r="L638" s="65"/>
      <c r="M638" s="65"/>
      <c r="N638" s="65"/>
      <c r="O638" s="65"/>
      <c r="P638" s="65"/>
      <c r="Q638" s="65"/>
    </row>
    <row r="639" ht="21.0" customHeight="1">
      <c r="I639" s="65"/>
      <c r="J639" s="65"/>
      <c r="K639" s="65"/>
      <c r="L639" s="65"/>
      <c r="M639" s="65"/>
      <c r="N639" s="65"/>
      <c r="O639" s="65"/>
      <c r="P639" s="65"/>
      <c r="Q639" s="65"/>
    </row>
    <row r="640" ht="21.0" customHeight="1">
      <c r="I640" s="65"/>
      <c r="J640" s="65"/>
      <c r="K640" s="65"/>
      <c r="L640" s="65"/>
      <c r="M640" s="65"/>
      <c r="N640" s="65"/>
      <c r="O640" s="65"/>
      <c r="P640" s="65"/>
      <c r="Q640" s="65"/>
    </row>
    <row r="641" ht="21.0" customHeight="1">
      <c r="I641" s="65"/>
      <c r="J641" s="65"/>
      <c r="K641" s="65"/>
      <c r="L641" s="65"/>
      <c r="M641" s="65"/>
      <c r="N641" s="65"/>
      <c r="O641" s="65"/>
      <c r="P641" s="65"/>
      <c r="Q641" s="65"/>
    </row>
    <row r="642" ht="21.0" customHeight="1">
      <c r="I642" s="65"/>
      <c r="J642" s="65"/>
      <c r="K642" s="65"/>
      <c r="L642" s="65"/>
      <c r="M642" s="65"/>
      <c r="N642" s="65"/>
      <c r="O642" s="65"/>
      <c r="P642" s="65"/>
      <c r="Q642" s="65"/>
    </row>
    <row r="643" ht="21.0" customHeight="1">
      <c r="I643" s="65"/>
      <c r="J643" s="65"/>
      <c r="K643" s="65"/>
      <c r="L643" s="65"/>
      <c r="M643" s="65"/>
      <c r="N643" s="65"/>
      <c r="O643" s="65"/>
      <c r="P643" s="65"/>
      <c r="Q643" s="65"/>
    </row>
    <row r="644" ht="21.0" customHeight="1">
      <c r="I644" s="65"/>
      <c r="J644" s="65"/>
      <c r="K644" s="65"/>
      <c r="L644" s="65"/>
      <c r="M644" s="65"/>
      <c r="N644" s="65"/>
      <c r="O644" s="65"/>
      <c r="P644" s="65"/>
      <c r="Q644" s="65"/>
    </row>
    <row r="645" ht="21.0" customHeight="1">
      <c r="I645" s="65"/>
      <c r="J645" s="65"/>
      <c r="K645" s="65"/>
      <c r="L645" s="65"/>
      <c r="M645" s="65"/>
      <c r="N645" s="65"/>
      <c r="O645" s="65"/>
      <c r="P645" s="65"/>
      <c r="Q645" s="65"/>
    </row>
    <row r="646" ht="21.0" customHeight="1">
      <c r="I646" s="65"/>
      <c r="J646" s="65"/>
      <c r="K646" s="65"/>
      <c r="L646" s="65"/>
      <c r="M646" s="65"/>
      <c r="N646" s="65"/>
      <c r="O646" s="65"/>
      <c r="P646" s="65"/>
      <c r="Q646" s="65"/>
    </row>
    <row r="647" ht="21.0" customHeight="1">
      <c r="I647" s="65"/>
      <c r="J647" s="65"/>
      <c r="K647" s="65"/>
      <c r="L647" s="65"/>
      <c r="M647" s="65"/>
      <c r="N647" s="65"/>
      <c r="O647" s="65"/>
      <c r="P647" s="65"/>
      <c r="Q647" s="65"/>
    </row>
    <row r="648" ht="21.0" customHeight="1">
      <c r="I648" s="65"/>
      <c r="J648" s="65"/>
      <c r="K648" s="65"/>
      <c r="L648" s="65"/>
      <c r="M648" s="65"/>
      <c r="N648" s="65"/>
      <c r="O648" s="65"/>
      <c r="P648" s="65"/>
      <c r="Q648" s="65"/>
    </row>
    <row r="649" ht="21.0" customHeight="1">
      <c r="I649" s="65"/>
      <c r="J649" s="65"/>
      <c r="K649" s="65"/>
      <c r="L649" s="65"/>
      <c r="M649" s="65"/>
      <c r="N649" s="65"/>
      <c r="O649" s="65"/>
      <c r="P649" s="65"/>
      <c r="Q649" s="65"/>
    </row>
    <row r="650" ht="21.0" customHeight="1">
      <c r="I650" s="65"/>
      <c r="J650" s="65"/>
      <c r="K650" s="65"/>
      <c r="L650" s="65"/>
      <c r="M650" s="65"/>
      <c r="N650" s="65"/>
      <c r="O650" s="65"/>
      <c r="P650" s="65"/>
      <c r="Q650" s="65"/>
    </row>
    <row r="651" ht="21.0" customHeight="1">
      <c r="I651" s="65"/>
      <c r="J651" s="65"/>
      <c r="K651" s="65"/>
      <c r="L651" s="65"/>
      <c r="M651" s="65"/>
      <c r="N651" s="65"/>
      <c r="O651" s="65"/>
      <c r="P651" s="65"/>
      <c r="Q651" s="65"/>
    </row>
    <row r="652" ht="21.0" customHeight="1">
      <c r="I652" s="65"/>
      <c r="J652" s="65"/>
      <c r="K652" s="65"/>
      <c r="L652" s="65"/>
      <c r="M652" s="65"/>
      <c r="N652" s="65"/>
      <c r="O652" s="65"/>
      <c r="P652" s="65"/>
      <c r="Q652" s="65"/>
    </row>
    <row r="653" ht="21.0" customHeight="1">
      <c r="I653" s="65"/>
      <c r="J653" s="65"/>
      <c r="K653" s="65"/>
      <c r="L653" s="65"/>
      <c r="M653" s="65"/>
      <c r="N653" s="65"/>
      <c r="O653" s="65"/>
      <c r="P653" s="65"/>
      <c r="Q653" s="65"/>
    </row>
    <row r="654" ht="21.0" customHeight="1">
      <c r="I654" s="65"/>
      <c r="J654" s="65"/>
      <c r="K654" s="65"/>
      <c r="L654" s="65"/>
      <c r="M654" s="65"/>
      <c r="N654" s="65"/>
      <c r="O654" s="65"/>
      <c r="P654" s="65"/>
      <c r="Q654" s="65"/>
    </row>
    <row r="655" ht="21.0" customHeight="1">
      <c r="I655" s="65"/>
      <c r="J655" s="65"/>
      <c r="K655" s="65"/>
      <c r="L655" s="65"/>
      <c r="M655" s="65"/>
      <c r="N655" s="65"/>
      <c r="O655" s="65"/>
      <c r="P655" s="65"/>
      <c r="Q655" s="65"/>
    </row>
    <row r="656" ht="21.0" customHeight="1">
      <c r="I656" s="65"/>
      <c r="J656" s="65"/>
      <c r="K656" s="65"/>
      <c r="L656" s="65"/>
      <c r="M656" s="65"/>
      <c r="N656" s="65"/>
      <c r="O656" s="65"/>
      <c r="P656" s="65"/>
      <c r="Q656" s="65"/>
    </row>
    <row r="657" ht="21.0" customHeight="1">
      <c r="I657" s="65"/>
      <c r="J657" s="65"/>
      <c r="K657" s="65"/>
      <c r="L657" s="65"/>
      <c r="M657" s="65"/>
      <c r="N657" s="65"/>
      <c r="O657" s="65"/>
      <c r="P657" s="65"/>
      <c r="Q657" s="65"/>
    </row>
    <row r="658" ht="21.0" customHeight="1">
      <c r="I658" s="65"/>
      <c r="J658" s="65"/>
      <c r="K658" s="65"/>
      <c r="L658" s="65"/>
      <c r="M658" s="65"/>
      <c r="N658" s="65"/>
      <c r="O658" s="65"/>
      <c r="P658" s="65"/>
      <c r="Q658" s="65"/>
    </row>
    <row r="659" ht="21.0" customHeight="1">
      <c r="I659" s="65"/>
      <c r="J659" s="65"/>
      <c r="K659" s="65"/>
      <c r="L659" s="65"/>
      <c r="M659" s="65"/>
      <c r="N659" s="65"/>
      <c r="O659" s="65"/>
      <c r="P659" s="65"/>
      <c r="Q659" s="65"/>
    </row>
    <row r="660" ht="21.0" customHeight="1">
      <c r="I660" s="65"/>
      <c r="J660" s="65"/>
      <c r="K660" s="65"/>
      <c r="L660" s="65"/>
      <c r="M660" s="65"/>
      <c r="N660" s="65"/>
      <c r="O660" s="65"/>
      <c r="P660" s="65"/>
      <c r="Q660" s="65"/>
    </row>
    <row r="661" ht="21.0" customHeight="1">
      <c r="I661" s="65"/>
      <c r="J661" s="65"/>
      <c r="K661" s="65"/>
      <c r="L661" s="65"/>
      <c r="M661" s="65"/>
      <c r="N661" s="65"/>
      <c r="O661" s="65"/>
      <c r="P661" s="65"/>
      <c r="Q661" s="65"/>
    </row>
    <row r="662" ht="21.0" customHeight="1">
      <c r="I662" s="65"/>
      <c r="J662" s="65"/>
      <c r="K662" s="65"/>
      <c r="L662" s="65"/>
      <c r="M662" s="65"/>
      <c r="N662" s="65"/>
      <c r="O662" s="65"/>
      <c r="P662" s="65"/>
      <c r="Q662" s="65"/>
    </row>
    <row r="663" ht="21.0" customHeight="1">
      <c r="I663" s="65"/>
      <c r="J663" s="65"/>
      <c r="K663" s="65"/>
      <c r="L663" s="65"/>
      <c r="M663" s="65"/>
      <c r="N663" s="65"/>
      <c r="O663" s="65"/>
      <c r="P663" s="65"/>
      <c r="Q663" s="65"/>
    </row>
    <row r="664" ht="21.0" customHeight="1">
      <c r="I664" s="65"/>
      <c r="J664" s="65"/>
      <c r="K664" s="65"/>
      <c r="L664" s="65"/>
      <c r="M664" s="65"/>
      <c r="N664" s="65"/>
      <c r="O664" s="65"/>
      <c r="P664" s="65"/>
      <c r="Q664" s="65"/>
    </row>
    <row r="665" ht="21.0" customHeight="1">
      <c r="I665" s="65"/>
      <c r="J665" s="65"/>
      <c r="K665" s="65"/>
      <c r="L665" s="65"/>
      <c r="M665" s="65"/>
      <c r="N665" s="65"/>
      <c r="O665" s="65"/>
      <c r="P665" s="65"/>
      <c r="Q665" s="65"/>
    </row>
    <row r="666" ht="21.0" customHeight="1">
      <c r="I666" s="65"/>
      <c r="J666" s="65"/>
      <c r="K666" s="65"/>
      <c r="L666" s="65"/>
      <c r="M666" s="65"/>
      <c r="N666" s="65"/>
      <c r="O666" s="65"/>
      <c r="P666" s="65"/>
      <c r="Q666" s="65"/>
    </row>
    <row r="667" ht="21.0" customHeight="1">
      <c r="I667" s="65"/>
      <c r="J667" s="65"/>
      <c r="K667" s="65"/>
      <c r="L667" s="65"/>
      <c r="M667" s="65"/>
      <c r="N667" s="65"/>
      <c r="O667" s="65"/>
      <c r="P667" s="65"/>
      <c r="Q667" s="65"/>
    </row>
    <row r="668" ht="21.0" customHeight="1">
      <c r="I668" s="65"/>
      <c r="J668" s="65"/>
      <c r="K668" s="65"/>
      <c r="L668" s="65"/>
      <c r="M668" s="65"/>
      <c r="N668" s="65"/>
      <c r="O668" s="65"/>
      <c r="P668" s="65"/>
      <c r="Q668" s="65"/>
    </row>
    <row r="669" ht="21.0" customHeight="1">
      <c r="I669" s="65"/>
      <c r="J669" s="65"/>
      <c r="K669" s="65"/>
      <c r="L669" s="65"/>
      <c r="M669" s="65"/>
      <c r="N669" s="65"/>
      <c r="O669" s="65"/>
      <c r="P669" s="65"/>
      <c r="Q669" s="65"/>
    </row>
    <row r="670" ht="21.0" customHeight="1">
      <c r="I670" s="65"/>
      <c r="J670" s="65"/>
      <c r="K670" s="65"/>
      <c r="L670" s="65"/>
      <c r="M670" s="65"/>
      <c r="N670" s="65"/>
      <c r="O670" s="65"/>
      <c r="P670" s="65"/>
      <c r="Q670" s="65"/>
    </row>
    <row r="671" ht="21.0" customHeight="1">
      <c r="I671" s="65"/>
      <c r="J671" s="65"/>
      <c r="K671" s="65"/>
      <c r="L671" s="65"/>
      <c r="M671" s="65"/>
      <c r="N671" s="65"/>
      <c r="O671" s="65"/>
      <c r="P671" s="65"/>
      <c r="Q671" s="65"/>
    </row>
    <row r="672" ht="21.0" customHeight="1">
      <c r="I672" s="65"/>
      <c r="J672" s="65"/>
      <c r="K672" s="65"/>
      <c r="L672" s="65"/>
      <c r="M672" s="65"/>
      <c r="N672" s="65"/>
      <c r="O672" s="65"/>
      <c r="P672" s="65"/>
      <c r="Q672" s="65"/>
    </row>
    <row r="673" ht="21.0" customHeight="1">
      <c r="I673" s="65"/>
      <c r="J673" s="65"/>
      <c r="K673" s="65"/>
      <c r="L673" s="65"/>
      <c r="M673" s="65"/>
      <c r="N673" s="65"/>
      <c r="O673" s="65"/>
      <c r="P673" s="65"/>
      <c r="Q673" s="65"/>
    </row>
    <row r="674" ht="21.0" customHeight="1">
      <c r="I674" s="65"/>
      <c r="J674" s="65"/>
      <c r="K674" s="65"/>
      <c r="L674" s="65"/>
      <c r="M674" s="65"/>
      <c r="N674" s="65"/>
      <c r="O674" s="65"/>
      <c r="P674" s="65"/>
      <c r="Q674" s="65"/>
    </row>
    <row r="675" ht="21.0" customHeight="1">
      <c r="I675" s="65"/>
      <c r="J675" s="65"/>
      <c r="K675" s="65"/>
      <c r="L675" s="65"/>
      <c r="M675" s="65"/>
      <c r="N675" s="65"/>
      <c r="O675" s="65"/>
      <c r="P675" s="65"/>
      <c r="Q675" s="65"/>
    </row>
    <row r="676" ht="21.0" customHeight="1">
      <c r="I676" s="65"/>
      <c r="J676" s="65"/>
      <c r="K676" s="65"/>
      <c r="L676" s="65"/>
      <c r="M676" s="65"/>
      <c r="N676" s="65"/>
      <c r="O676" s="65"/>
      <c r="P676" s="65"/>
      <c r="Q676" s="65"/>
    </row>
    <row r="677" ht="21.0" customHeight="1">
      <c r="I677" s="65"/>
      <c r="J677" s="65"/>
      <c r="K677" s="65"/>
      <c r="L677" s="65"/>
      <c r="M677" s="65"/>
      <c r="N677" s="65"/>
      <c r="O677" s="65"/>
      <c r="P677" s="65"/>
      <c r="Q677" s="65"/>
    </row>
    <row r="678" ht="21.0" customHeight="1">
      <c r="I678" s="65"/>
      <c r="J678" s="65"/>
      <c r="K678" s="65"/>
      <c r="L678" s="65"/>
      <c r="M678" s="65"/>
      <c r="N678" s="65"/>
      <c r="O678" s="65"/>
      <c r="P678" s="65"/>
      <c r="Q678" s="65"/>
    </row>
    <row r="679" ht="21.0" customHeight="1">
      <c r="I679" s="65"/>
      <c r="J679" s="65"/>
      <c r="K679" s="65"/>
      <c r="L679" s="65"/>
      <c r="M679" s="65"/>
      <c r="N679" s="65"/>
      <c r="O679" s="65"/>
      <c r="P679" s="65"/>
      <c r="Q679" s="65"/>
    </row>
    <row r="680" ht="21.0" customHeight="1">
      <c r="I680" s="65"/>
      <c r="J680" s="65"/>
      <c r="K680" s="65"/>
      <c r="L680" s="65"/>
      <c r="M680" s="65"/>
      <c r="N680" s="65"/>
      <c r="O680" s="65"/>
      <c r="P680" s="65"/>
      <c r="Q680" s="65"/>
    </row>
    <row r="681" ht="21.0" customHeight="1">
      <c r="I681" s="65"/>
      <c r="J681" s="65"/>
      <c r="K681" s="65"/>
      <c r="L681" s="65"/>
      <c r="M681" s="65"/>
      <c r="N681" s="65"/>
      <c r="O681" s="65"/>
      <c r="P681" s="65"/>
      <c r="Q681" s="65"/>
    </row>
    <row r="682" ht="21.0" customHeight="1">
      <c r="I682" s="65"/>
      <c r="J682" s="65"/>
      <c r="K682" s="65"/>
      <c r="L682" s="65"/>
      <c r="M682" s="65"/>
      <c r="N682" s="65"/>
      <c r="O682" s="65"/>
      <c r="P682" s="65"/>
      <c r="Q682" s="65"/>
    </row>
    <row r="683" ht="21.0" customHeight="1">
      <c r="I683" s="65"/>
      <c r="J683" s="65"/>
      <c r="K683" s="65"/>
      <c r="L683" s="65"/>
      <c r="M683" s="65"/>
      <c r="N683" s="65"/>
      <c r="O683" s="65"/>
      <c r="P683" s="65"/>
      <c r="Q683" s="65"/>
    </row>
    <row r="684" ht="21.0" customHeight="1">
      <c r="I684" s="65"/>
      <c r="J684" s="65"/>
      <c r="K684" s="65"/>
      <c r="L684" s="65"/>
      <c r="M684" s="65"/>
      <c r="N684" s="65"/>
      <c r="O684" s="65"/>
      <c r="P684" s="65"/>
      <c r="Q684" s="65"/>
    </row>
    <row r="685" ht="21.0" customHeight="1">
      <c r="I685" s="65"/>
      <c r="J685" s="65"/>
      <c r="K685" s="65"/>
      <c r="L685" s="65"/>
      <c r="M685" s="65"/>
      <c r="N685" s="65"/>
      <c r="O685" s="65"/>
      <c r="P685" s="65"/>
      <c r="Q685" s="65"/>
    </row>
    <row r="686" ht="21.0" customHeight="1">
      <c r="I686" s="65"/>
      <c r="J686" s="65"/>
      <c r="K686" s="65"/>
      <c r="L686" s="65"/>
      <c r="M686" s="65"/>
      <c r="N686" s="65"/>
      <c r="O686" s="65"/>
      <c r="P686" s="65"/>
      <c r="Q686" s="65"/>
    </row>
    <row r="687" ht="21.0" customHeight="1">
      <c r="I687" s="65"/>
      <c r="J687" s="65"/>
      <c r="K687" s="65"/>
      <c r="L687" s="65"/>
      <c r="M687" s="65"/>
      <c r="N687" s="65"/>
      <c r="O687" s="65"/>
      <c r="P687" s="65"/>
      <c r="Q687" s="65"/>
    </row>
    <row r="688" ht="21.0" customHeight="1">
      <c r="I688" s="65"/>
      <c r="J688" s="65"/>
      <c r="K688" s="65"/>
      <c r="L688" s="65"/>
      <c r="M688" s="65"/>
      <c r="N688" s="65"/>
      <c r="O688" s="65"/>
      <c r="P688" s="65"/>
      <c r="Q688" s="65"/>
    </row>
    <row r="689" ht="21.0" customHeight="1">
      <c r="I689" s="65"/>
      <c r="J689" s="65"/>
      <c r="K689" s="65"/>
      <c r="L689" s="65"/>
      <c r="M689" s="65"/>
      <c r="N689" s="65"/>
      <c r="O689" s="65"/>
      <c r="P689" s="65"/>
      <c r="Q689" s="65"/>
    </row>
    <row r="690" ht="21.0" customHeight="1">
      <c r="I690" s="65"/>
      <c r="J690" s="65"/>
      <c r="K690" s="65"/>
      <c r="L690" s="65"/>
      <c r="M690" s="65"/>
      <c r="N690" s="65"/>
      <c r="O690" s="65"/>
      <c r="P690" s="65"/>
      <c r="Q690" s="65"/>
    </row>
    <row r="691" ht="21.0" customHeight="1">
      <c r="I691" s="65"/>
      <c r="J691" s="65"/>
      <c r="K691" s="65"/>
      <c r="L691" s="65"/>
      <c r="M691" s="65"/>
      <c r="N691" s="65"/>
      <c r="O691" s="65"/>
      <c r="P691" s="65"/>
      <c r="Q691" s="65"/>
    </row>
    <row r="692" ht="21.0" customHeight="1">
      <c r="I692" s="65"/>
      <c r="J692" s="65"/>
      <c r="K692" s="65"/>
      <c r="L692" s="65"/>
      <c r="M692" s="65"/>
      <c r="N692" s="65"/>
      <c r="O692" s="65"/>
      <c r="P692" s="65"/>
      <c r="Q692" s="65"/>
    </row>
    <row r="693" ht="21.0" customHeight="1">
      <c r="I693" s="65"/>
      <c r="J693" s="65"/>
      <c r="K693" s="65"/>
      <c r="L693" s="65"/>
      <c r="M693" s="65"/>
      <c r="N693" s="65"/>
      <c r="O693" s="65"/>
      <c r="P693" s="65"/>
      <c r="Q693" s="65"/>
    </row>
    <row r="694" ht="21.0" customHeight="1">
      <c r="I694" s="65"/>
      <c r="J694" s="65"/>
      <c r="K694" s="65"/>
      <c r="L694" s="65"/>
      <c r="M694" s="65"/>
      <c r="N694" s="65"/>
      <c r="O694" s="65"/>
      <c r="P694" s="65"/>
      <c r="Q694" s="65"/>
    </row>
    <row r="695" ht="21.0" customHeight="1">
      <c r="I695" s="65"/>
      <c r="J695" s="65"/>
      <c r="K695" s="65"/>
      <c r="L695" s="65"/>
      <c r="M695" s="65"/>
      <c r="N695" s="65"/>
      <c r="O695" s="65"/>
      <c r="P695" s="65"/>
      <c r="Q695" s="65"/>
    </row>
    <row r="696" ht="21.0" customHeight="1">
      <c r="I696" s="65"/>
      <c r="J696" s="65"/>
      <c r="K696" s="65"/>
      <c r="L696" s="65"/>
      <c r="M696" s="65"/>
      <c r="N696" s="65"/>
      <c r="O696" s="65"/>
      <c r="P696" s="65"/>
      <c r="Q696" s="65"/>
    </row>
    <row r="697" ht="21.0" customHeight="1">
      <c r="I697" s="65"/>
      <c r="J697" s="65"/>
      <c r="K697" s="65"/>
      <c r="L697" s="65"/>
      <c r="M697" s="65"/>
      <c r="N697" s="65"/>
      <c r="O697" s="65"/>
      <c r="P697" s="65"/>
      <c r="Q697" s="65"/>
    </row>
    <row r="698" ht="21.0" customHeight="1">
      <c r="I698" s="65"/>
      <c r="J698" s="65"/>
      <c r="K698" s="65"/>
      <c r="L698" s="65"/>
      <c r="M698" s="65"/>
      <c r="N698" s="65"/>
      <c r="O698" s="65"/>
      <c r="P698" s="65"/>
      <c r="Q698" s="65"/>
    </row>
    <row r="699" ht="21.0" customHeight="1">
      <c r="I699" s="65"/>
      <c r="J699" s="65"/>
      <c r="K699" s="65"/>
      <c r="L699" s="65"/>
      <c r="M699" s="65"/>
      <c r="N699" s="65"/>
      <c r="O699" s="65"/>
      <c r="P699" s="65"/>
      <c r="Q699" s="65"/>
    </row>
    <row r="700" ht="21.0" customHeight="1">
      <c r="I700" s="65"/>
      <c r="J700" s="65"/>
      <c r="K700" s="65"/>
      <c r="L700" s="65"/>
      <c r="M700" s="65"/>
      <c r="N700" s="65"/>
      <c r="O700" s="65"/>
      <c r="P700" s="65"/>
      <c r="Q700" s="65"/>
    </row>
    <row r="701" ht="21.0" customHeight="1">
      <c r="I701" s="65"/>
      <c r="J701" s="65"/>
      <c r="K701" s="65"/>
      <c r="L701" s="65"/>
      <c r="M701" s="65"/>
      <c r="N701" s="65"/>
      <c r="O701" s="65"/>
      <c r="P701" s="65"/>
      <c r="Q701" s="65"/>
    </row>
    <row r="702" ht="21.0" customHeight="1">
      <c r="I702" s="65"/>
      <c r="J702" s="65"/>
      <c r="K702" s="65"/>
      <c r="L702" s="65"/>
      <c r="M702" s="65"/>
      <c r="N702" s="65"/>
      <c r="O702" s="65"/>
      <c r="P702" s="65"/>
      <c r="Q702" s="65"/>
    </row>
    <row r="703" ht="21.0" customHeight="1">
      <c r="I703" s="65"/>
      <c r="J703" s="65"/>
      <c r="K703" s="65"/>
      <c r="L703" s="65"/>
      <c r="M703" s="65"/>
      <c r="N703" s="65"/>
      <c r="O703" s="65"/>
      <c r="P703" s="65"/>
      <c r="Q703" s="65"/>
    </row>
    <row r="704" ht="21.0" customHeight="1">
      <c r="I704" s="65"/>
      <c r="J704" s="65"/>
      <c r="K704" s="65"/>
      <c r="L704" s="65"/>
      <c r="M704" s="65"/>
      <c r="N704" s="65"/>
      <c r="O704" s="65"/>
      <c r="P704" s="65"/>
      <c r="Q704" s="65"/>
    </row>
    <row r="705" ht="21.0" customHeight="1">
      <c r="I705" s="65"/>
      <c r="J705" s="65"/>
      <c r="K705" s="65"/>
      <c r="L705" s="65"/>
      <c r="M705" s="65"/>
      <c r="N705" s="65"/>
      <c r="O705" s="65"/>
      <c r="P705" s="65"/>
      <c r="Q705" s="65"/>
    </row>
    <row r="706" ht="21.0" customHeight="1">
      <c r="I706" s="65"/>
      <c r="J706" s="65"/>
      <c r="K706" s="65"/>
      <c r="L706" s="65"/>
      <c r="M706" s="65"/>
      <c r="N706" s="65"/>
      <c r="O706" s="65"/>
      <c r="P706" s="65"/>
      <c r="Q706" s="65"/>
    </row>
    <row r="707" ht="21.0" customHeight="1">
      <c r="I707" s="65"/>
      <c r="J707" s="65"/>
      <c r="K707" s="65"/>
      <c r="L707" s="65"/>
      <c r="M707" s="65"/>
      <c r="N707" s="65"/>
      <c r="O707" s="65"/>
      <c r="P707" s="65"/>
      <c r="Q707" s="65"/>
    </row>
    <row r="708" ht="21.0" customHeight="1">
      <c r="I708" s="65"/>
      <c r="J708" s="65"/>
      <c r="K708" s="65"/>
      <c r="L708" s="65"/>
      <c r="M708" s="65"/>
      <c r="N708" s="65"/>
      <c r="O708" s="65"/>
      <c r="P708" s="65"/>
      <c r="Q708" s="65"/>
    </row>
    <row r="709" ht="21.0" customHeight="1">
      <c r="I709" s="65"/>
      <c r="J709" s="65"/>
      <c r="K709" s="65"/>
      <c r="L709" s="65"/>
      <c r="M709" s="65"/>
      <c r="N709" s="65"/>
      <c r="O709" s="65"/>
      <c r="P709" s="65"/>
      <c r="Q709" s="65"/>
    </row>
    <row r="710" ht="21.0" customHeight="1">
      <c r="I710" s="65"/>
      <c r="J710" s="65"/>
      <c r="K710" s="65"/>
      <c r="L710" s="65"/>
      <c r="M710" s="65"/>
      <c r="N710" s="65"/>
      <c r="O710" s="65"/>
      <c r="P710" s="65"/>
      <c r="Q710" s="65"/>
    </row>
    <row r="711" ht="21.0" customHeight="1">
      <c r="I711" s="65"/>
      <c r="J711" s="65"/>
      <c r="K711" s="65"/>
      <c r="L711" s="65"/>
      <c r="M711" s="65"/>
      <c r="N711" s="65"/>
      <c r="O711" s="65"/>
      <c r="P711" s="65"/>
      <c r="Q711" s="65"/>
    </row>
    <row r="712" ht="21.0" customHeight="1">
      <c r="I712" s="65"/>
      <c r="J712" s="65"/>
      <c r="K712" s="65"/>
      <c r="L712" s="65"/>
      <c r="M712" s="65"/>
      <c r="N712" s="65"/>
      <c r="O712" s="65"/>
      <c r="P712" s="65"/>
      <c r="Q712" s="65"/>
    </row>
    <row r="713" ht="21.0" customHeight="1">
      <c r="I713" s="65"/>
      <c r="J713" s="65"/>
      <c r="K713" s="65"/>
      <c r="L713" s="65"/>
      <c r="M713" s="65"/>
      <c r="N713" s="65"/>
      <c r="O713" s="65"/>
      <c r="P713" s="65"/>
      <c r="Q713" s="65"/>
    </row>
    <row r="714" ht="21.0" customHeight="1">
      <c r="I714" s="65"/>
      <c r="J714" s="65"/>
      <c r="K714" s="65"/>
      <c r="L714" s="65"/>
      <c r="M714" s="65"/>
      <c r="N714" s="65"/>
      <c r="O714" s="65"/>
      <c r="P714" s="65"/>
      <c r="Q714" s="65"/>
    </row>
    <row r="715" ht="21.0" customHeight="1">
      <c r="I715" s="65"/>
      <c r="J715" s="65"/>
      <c r="K715" s="65"/>
      <c r="L715" s="65"/>
      <c r="M715" s="65"/>
      <c r="N715" s="65"/>
      <c r="O715" s="65"/>
      <c r="P715" s="65"/>
      <c r="Q715" s="65"/>
    </row>
    <row r="716" ht="21.0" customHeight="1">
      <c r="I716" s="65"/>
      <c r="J716" s="65"/>
      <c r="K716" s="65"/>
      <c r="L716" s="65"/>
      <c r="M716" s="65"/>
      <c r="N716" s="65"/>
      <c r="O716" s="65"/>
      <c r="P716" s="65"/>
      <c r="Q716" s="65"/>
    </row>
    <row r="717" ht="21.0" customHeight="1">
      <c r="I717" s="65"/>
      <c r="J717" s="65"/>
      <c r="K717" s="65"/>
      <c r="L717" s="65"/>
      <c r="M717" s="65"/>
      <c r="N717" s="65"/>
      <c r="O717" s="65"/>
      <c r="P717" s="65"/>
      <c r="Q717" s="65"/>
    </row>
    <row r="718" ht="21.0" customHeight="1">
      <c r="I718" s="65"/>
      <c r="J718" s="65"/>
      <c r="K718" s="65"/>
      <c r="L718" s="65"/>
      <c r="M718" s="65"/>
      <c r="N718" s="65"/>
      <c r="O718" s="65"/>
      <c r="P718" s="65"/>
      <c r="Q718" s="65"/>
    </row>
    <row r="719" ht="21.0" customHeight="1">
      <c r="I719" s="65"/>
      <c r="J719" s="65"/>
      <c r="K719" s="65"/>
      <c r="L719" s="65"/>
      <c r="M719" s="65"/>
      <c r="N719" s="65"/>
      <c r="O719" s="65"/>
      <c r="P719" s="65"/>
      <c r="Q719" s="65"/>
    </row>
    <row r="720" ht="21.0" customHeight="1">
      <c r="I720" s="65"/>
      <c r="J720" s="65"/>
      <c r="K720" s="65"/>
      <c r="L720" s="65"/>
      <c r="M720" s="65"/>
      <c r="N720" s="65"/>
      <c r="O720" s="65"/>
      <c r="P720" s="65"/>
      <c r="Q720" s="65"/>
    </row>
    <row r="721" ht="21.0" customHeight="1">
      <c r="I721" s="65"/>
      <c r="J721" s="65"/>
      <c r="K721" s="65"/>
      <c r="L721" s="65"/>
      <c r="M721" s="65"/>
      <c r="N721" s="65"/>
      <c r="O721" s="65"/>
      <c r="P721" s="65"/>
      <c r="Q721" s="65"/>
    </row>
    <row r="722" ht="21.0" customHeight="1">
      <c r="I722" s="65"/>
      <c r="J722" s="65"/>
      <c r="K722" s="65"/>
      <c r="L722" s="65"/>
      <c r="M722" s="65"/>
      <c r="N722" s="65"/>
      <c r="O722" s="65"/>
      <c r="P722" s="65"/>
      <c r="Q722" s="65"/>
    </row>
    <row r="723" ht="21.0" customHeight="1">
      <c r="I723" s="65"/>
      <c r="J723" s="65"/>
      <c r="K723" s="65"/>
      <c r="L723" s="65"/>
      <c r="M723" s="65"/>
      <c r="N723" s="65"/>
      <c r="O723" s="65"/>
      <c r="P723" s="65"/>
      <c r="Q723" s="65"/>
    </row>
    <row r="724" ht="21.0" customHeight="1">
      <c r="I724" s="65"/>
      <c r="J724" s="65"/>
      <c r="K724" s="65"/>
      <c r="L724" s="65"/>
      <c r="M724" s="65"/>
      <c r="N724" s="65"/>
      <c r="O724" s="65"/>
      <c r="P724" s="65"/>
      <c r="Q724" s="65"/>
    </row>
    <row r="725" ht="21.0" customHeight="1">
      <c r="I725" s="65"/>
      <c r="J725" s="65"/>
      <c r="K725" s="65"/>
      <c r="L725" s="65"/>
      <c r="M725" s="65"/>
      <c r="N725" s="65"/>
      <c r="O725" s="65"/>
      <c r="P725" s="65"/>
      <c r="Q725" s="65"/>
    </row>
    <row r="726" ht="21.0" customHeight="1">
      <c r="I726" s="65"/>
      <c r="J726" s="65"/>
      <c r="K726" s="65"/>
      <c r="L726" s="65"/>
      <c r="M726" s="65"/>
      <c r="N726" s="65"/>
      <c r="O726" s="65"/>
      <c r="P726" s="65"/>
      <c r="Q726" s="65"/>
    </row>
    <row r="727" ht="21.0" customHeight="1">
      <c r="I727" s="65"/>
      <c r="J727" s="65"/>
      <c r="K727" s="65"/>
      <c r="L727" s="65"/>
      <c r="M727" s="65"/>
      <c r="N727" s="65"/>
      <c r="O727" s="65"/>
      <c r="P727" s="65"/>
      <c r="Q727" s="65"/>
    </row>
    <row r="728" ht="21.0" customHeight="1">
      <c r="I728" s="65"/>
      <c r="J728" s="65"/>
      <c r="K728" s="65"/>
      <c r="L728" s="65"/>
      <c r="M728" s="65"/>
      <c r="N728" s="65"/>
      <c r="O728" s="65"/>
      <c r="P728" s="65"/>
      <c r="Q728" s="65"/>
    </row>
    <row r="729" ht="21.0" customHeight="1">
      <c r="I729" s="65"/>
      <c r="J729" s="65"/>
      <c r="K729" s="65"/>
      <c r="L729" s="65"/>
      <c r="M729" s="65"/>
      <c r="N729" s="65"/>
      <c r="O729" s="65"/>
      <c r="P729" s="65"/>
      <c r="Q729" s="65"/>
    </row>
    <row r="730" ht="21.0" customHeight="1">
      <c r="I730" s="65"/>
      <c r="J730" s="65"/>
      <c r="K730" s="65"/>
      <c r="L730" s="65"/>
      <c r="M730" s="65"/>
      <c r="N730" s="65"/>
      <c r="O730" s="65"/>
      <c r="P730" s="65"/>
      <c r="Q730" s="65"/>
    </row>
    <row r="731" ht="21.0" customHeight="1">
      <c r="I731" s="65"/>
      <c r="J731" s="65"/>
      <c r="K731" s="65"/>
      <c r="L731" s="65"/>
      <c r="M731" s="65"/>
      <c r="N731" s="65"/>
      <c r="O731" s="65"/>
      <c r="P731" s="65"/>
      <c r="Q731" s="65"/>
    </row>
    <row r="732" ht="21.0" customHeight="1">
      <c r="I732" s="65"/>
      <c r="J732" s="65"/>
      <c r="K732" s="65"/>
      <c r="L732" s="65"/>
      <c r="M732" s="65"/>
      <c r="N732" s="65"/>
      <c r="O732" s="65"/>
      <c r="P732" s="65"/>
      <c r="Q732" s="65"/>
    </row>
    <row r="733" ht="21.0" customHeight="1">
      <c r="I733" s="65"/>
      <c r="J733" s="65"/>
      <c r="K733" s="65"/>
      <c r="L733" s="65"/>
      <c r="M733" s="65"/>
      <c r="N733" s="65"/>
      <c r="O733" s="65"/>
      <c r="P733" s="65"/>
      <c r="Q733" s="65"/>
    </row>
    <row r="734" ht="21.0" customHeight="1">
      <c r="I734" s="65"/>
      <c r="J734" s="65"/>
      <c r="K734" s="65"/>
      <c r="L734" s="65"/>
      <c r="M734" s="65"/>
      <c r="N734" s="65"/>
      <c r="O734" s="65"/>
      <c r="P734" s="65"/>
      <c r="Q734" s="65"/>
    </row>
    <row r="735" ht="21.0" customHeight="1">
      <c r="I735" s="65"/>
      <c r="J735" s="65"/>
      <c r="K735" s="65"/>
      <c r="L735" s="65"/>
      <c r="M735" s="65"/>
      <c r="N735" s="65"/>
      <c r="O735" s="65"/>
      <c r="P735" s="65"/>
      <c r="Q735" s="65"/>
    </row>
    <row r="736" ht="21.0" customHeight="1">
      <c r="I736" s="65"/>
      <c r="J736" s="65"/>
      <c r="K736" s="65"/>
      <c r="L736" s="65"/>
      <c r="M736" s="65"/>
      <c r="N736" s="65"/>
      <c r="O736" s="65"/>
      <c r="P736" s="65"/>
      <c r="Q736" s="65"/>
    </row>
    <row r="737" ht="21.0" customHeight="1">
      <c r="I737" s="65"/>
      <c r="J737" s="65"/>
      <c r="K737" s="65"/>
      <c r="L737" s="65"/>
      <c r="M737" s="65"/>
      <c r="N737" s="65"/>
      <c r="O737" s="65"/>
      <c r="P737" s="65"/>
      <c r="Q737" s="65"/>
    </row>
    <row r="738" ht="21.0" customHeight="1">
      <c r="I738" s="65"/>
      <c r="J738" s="65"/>
      <c r="K738" s="65"/>
      <c r="L738" s="65"/>
      <c r="M738" s="65"/>
      <c r="N738" s="65"/>
      <c r="O738" s="65"/>
      <c r="P738" s="65"/>
      <c r="Q738" s="65"/>
    </row>
    <row r="739" ht="21.0" customHeight="1">
      <c r="I739" s="65"/>
      <c r="J739" s="65"/>
      <c r="K739" s="65"/>
      <c r="L739" s="65"/>
      <c r="M739" s="65"/>
      <c r="N739" s="65"/>
      <c r="O739" s="65"/>
      <c r="P739" s="65"/>
      <c r="Q739" s="65"/>
    </row>
    <row r="740" ht="21.0" customHeight="1">
      <c r="I740" s="65"/>
      <c r="J740" s="65"/>
      <c r="K740" s="65"/>
      <c r="L740" s="65"/>
      <c r="M740" s="65"/>
      <c r="N740" s="65"/>
      <c r="O740" s="65"/>
      <c r="P740" s="65"/>
      <c r="Q740" s="65"/>
    </row>
    <row r="741" ht="21.0" customHeight="1">
      <c r="I741" s="65"/>
      <c r="J741" s="65"/>
      <c r="K741" s="65"/>
      <c r="L741" s="65"/>
      <c r="M741" s="65"/>
      <c r="N741" s="65"/>
      <c r="O741" s="65"/>
      <c r="P741" s="65"/>
      <c r="Q741" s="65"/>
    </row>
    <row r="742" ht="21.0" customHeight="1">
      <c r="I742" s="65"/>
      <c r="J742" s="65"/>
      <c r="K742" s="65"/>
      <c r="L742" s="65"/>
      <c r="M742" s="65"/>
      <c r="N742" s="65"/>
      <c r="O742" s="65"/>
      <c r="P742" s="65"/>
      <c r="Q742" s="65"/>
    </row>
    <row r="743" ht="21.0" customHeight="1">
      <c r="I743" s="65"/>
      <c r="J743" s="65"/>
      <c r="K743" s="65"/>
      <c r="L743" s="65"/>
      <c r="M743" s="65"/>
      <c r="N743" s="65"/>
      <c r="O743" s="65"/>
      <c r="P743" s="65"/>
      <c r="Q743" s="65"/>
    </row>
    <row r="744" ht="21.0" customHeight="1">
      <c r="I744" s="65"/>
      <c r="J744" s="65"/>
      <c r="K744" s="65"/>
      <c r="L744" s="65"/>
      <c r="M744" s="65"/>
      <c r="N744" s="65"/>
      <c r="O744" s="65"/>
      <c r="P744" s="65"/>
      <c r="Q744" s="65"/>
    </row>
    <row r="745" ht="21.0" customHeight="1">
      <c r="I745" s="65"/>
      <c r="J745" s="65"/>
      <c r="K745" s="65"/>
      <c r="L745" s="65"/>
      <c r="M745" s="65"/>
      <c r="N745" s="65"/>
      <c r="O745" s="65"/>
      <c r="P745" s="65"/>
      <c r="Q745" s="65"/>
    </row>
    <row r="746" ht="21.0" customHeight="1">
      <c r="I746" s="65"/>
      <c r="J746" s="65"/>
      <c r="K746" s="65"/>
      <c r="L746" s="65"/>
      <c r="M746" s="65"/>
      <c r="N746" s="65"/>
      <c r="O746" s="65"/>
      <c r="P746" s="65"/>
      <c r="Q746" s="65"/>
    </row>
    <row r="747" ht="21.0" customHeight="1">
      <c r="I747" s="65"/>
      <c r="J747" s="65"/>
      <c r="K747" s="65"/>
      <c r="L747" s="65"/>
      <c r="M747" s="65"/>
      <c r="N747" s="65"/>
      <c r="O747" s="65"/>
      <c r="P747" s="65"/>
      <c r="Q747" s="65"/>
    </row>
    <row r="748" ht="21.0" customHeight="1">
      <c r="I748" s="65"/>
      <c r="J748" s="65"/>
      <c r="K748" s="65"/>
      <c r="L748" s="65"/>
      <c r="M748" s="65"/>
      <c r="N748" s="65"/>
      <c r="O748" s="65"/>
      <c r="P748" s="65"/>
      <c r="Q748" s="65"/>
    </row>
    <row r="749" ht="21.0" customHeight="1">
      <c r="I749" s="65"/>
      <c r="J749" s="65"/>
      <c r="K749" s="65"/>
      <c r="L749" s="65"/>
      <c r="M749" s="65"/>
      <c r="N749" s="65"/>
      <c r="O749" s="65"/>
      <c r="P749" s="65"/>
      <c r="Q749" s="65"/>
    </row>
    <row r="750" ht="21.0" customHeight="1">
      <c r="I750" s="65"/>
      <c r="J750" s="65"/>
      <c r="K750" s="65"/>
      <c r="L750" s="65"/>
      <c r="M750" s="65"/>
      <c r="N750" s="65"/>
      <c r="O750" s="65"/>
      <c r="P750" s="65"/>
      <c r="Q750" s="65"/>
    </row>
    <row r="751" ht="21.0" customHeight="1">
      <c r="I751" s="65"/>
      <c r="J751" s="65"/>
      <c r="K751" s="65"/>
      <c r="L751" s="65"/>
      <c r="M751" s="65"/>
      <c r="N751" s="65"/>
      <c r="O751" s="65"/>
      <c r="P751" s="65"/>
      <c r="Q751" s="65"/>
    </row>
    <row r="752" ht="21.0" customHeight="1">
      <c r="I752" s="65"/>
      <c r="J752" s="65"/>
      <c r="K752" s="65"/>
      <c r="L752" s="65"/>
      <c r="M752" s="65"/>
      <c r="N752" s="65"/>
      <c r="O752" s="65"/>
      <c r="P752" s="65"/>
      <c r="Q752" s="65"/>
    </row>
    <row r="753" ht="21.0" customHeight="1">
      <c r="I753" s="65"/>
      <c r="J753" s="65"/>
      <c r="K753" s="65"/>
      <c r="L753" s="65"/>
      <c r="M753" s="65"/>
      <c r="N753" s="65"/>
      <c r="O753" s="65"/>
      <c r="P753" s="65"/>
      <c r="Q753" s="65"/>
    </row>
    <row r="754" ht="21.0" customHeight="1">
      <c r="I754" s="65"/>
      <c r="J754" s="65"/>
      <c r="K754" s="65"/>
      <c r="L754" s="65"/>
      <c r="M754" s="65"/>
      <c r="N754" s="65"/>
      <c r="O754" s="65"/>
      <c r="P754" s="65"/>
      <c r="Q754" s="65"/>
    </row>
    <row r="755" ht="21.0" customHeight="1">
      <c r="I755" s="65"/>
      <c r="J755" s="65"/>
      <c r="K755" s="65"/>
      <c r="L755" s="65"/>
      <c r="M755" s="65"/>
      <c r="N755" s="65"/>
      <c r="O755" s="65"/>
      <c r="P755" s="65"/>
      <c r="Q755" s="65"/>
    </row>
    <row r="756" ht="21.0" customHeight="1">
      <c r="I756" s="65"/>
      <c r="J756" s="65"/>
      <c r="K756" s="65"/>
      <c r="L756" s="65"/>
      <c r="M756" s="65"/>
      <c r="N756" s="65"/>
      <c r="O756" s="65"/>
      <c r="P756" s="65"/>
      <c r="Q756" s="65"/>
    </row>
    <row r="757" ht="21.0" customHeight="1">
      <c r="I757" s="65"/>
      <c r="J757" s="65"/>
      <c r="K757" s="65"/>
      <c r="L757" s="65"/>
      <c r="M757" s="65"/>
      <c r="N757" s="65"/>
      <c r="O757" s="65"/>
      <c r="P757" s="65"/>
      <c r="Q757" s="65"/>
    </row>
    <row r="758" ht="21.0" customHeight="1">
      <c r="I758" s="65"/>
      <c r="J758" s="65"/>
      <c r="K758" s="65"/>
      <c r="L758" s="65"/>
      <c r="M758" s="65"/>
      <c r="N758" s="65"/>
      <c r="O758" s="65"/>
      <c r="P758" s="65"/>
      <c r="Q758" s="65"/>
    </row>
    <row r="759" ht="21.0" customHeight="1">
      <c r="I759" s="65"/>
      <c r="J759" s="65"/>
      <c r="K759" s="65"/>
      <c r="L759" s="65"/>
      <c r="M759" s="65"/>
      <c r="N759" s="65"/>
      <c r="O759" s="65"/>
      <c r="P759" s="65"/>
      <c r="Q759" s="65"/>
    </row>
    <row r="760" ht="21.0" customHeight="1">
      <c r="I760" s="65"/>
      <c r="J760" s="65"/>
      <c r="K760" s="65"/>
      <c r="L760" s="65"/>
      <c r="M760" s="65"/>
      <c r="N760" s="65"/>
      <c r="O760" s="65"/>
      <c r="P760" s="65"/>
      <c r="Q760" s="65"/>
    </row>
    <row r="761" ht="21.0" customHeight="1">
      <c r="I761" s="65"/>
      <c r="J761" s="65"/>
      <c r="K761" s="65"/>
      <c r="L761" s="65"/>
      <c r="M761" s="65"/>
      <c r="N761" s="65"/>
      <c r="O761" s="65"/>
      <c r="P761" s="65"/>
      <c r="Q761" s="65"/>
    </row>
    <row r="762" ht="21.0" customHeight="1">
      <c r="I762" s="65"/>
      <c r="J762" s="65"/>
      <c r="K762" s="65"/>
      <c r="L762" s="65"/>
      <c r="M762" s="65"/>
      <c r="N762" s="65"/>
      <c r="O762" s="65"/>
      <c r="P762" s="65"/>
      <c r="Q762" s="65"/>
    </row>
    <row r="763" ht="21.0" customHeight="1">
      <c r="I763" s="65"/>
      <c r="J763" s="65"/>
      <c r="K763" s="65"/>
      <c r="L763" s="65"/>
      <c r="M763" s="65"/>
      <c r="N763" s="65"/>
      <c r="O763" s="65"/>
      <c r="P763" s="65"/>
      <c r="Q763" s="65"/>
    </row>
    <row r="764" ht="21.0" customHeight="1">
      <c r="I764" s="65"/>
      <c r="J764" s="65"/>
      <c r="K764" s="65"/>
      <c r="L764" s="65"/>
      <c r="M764" s="65"/>
      <c r="N764" s="65"/>
      <c r="O764" s="65"/>
      <c r="P764" s="65"/>
      <c r="Q764" s="65"/>
    </row>
    <row r="765" ht="21.0" customHeight="1">
      <c r="I765" s="65"/>
      <c r="J765" s="65"/>
      <c r="K765" s="65"/>
      <c r="L765" s="65"/>
      <c r="M765" s="65"/>
      <c r="N765" s="65"/>
      <c r="O765" s="65"/>
      <c r="P765" s="65"/>
      <c r="Q765" s="65"/>
    </row>
    <row r="766" ht="21.0" customHeight="1">
      <c r="I766" s="65"/>
      <c r="J766" s="65"/>
      <c r="K766" s="65"/>
      <c r="L766" s="65"/>
      <c r="M766" s="65"/>
      <c r="N766" s="65"/>
      <c r="O766" s="65"/>
      <c r="P766" s="65"/>
      <c r="Q766" s="65"/>
    </row>
    <row r="767" ht="21.0" customHeight="1">
      <c r="I767" s="65"/>
      <c r="J767" s="65"/>
      <c r="K767" s="65"/>
      <c r="L767" s="65"/>
      <c r="M767" s="65"/>
      <c r="N767" s="65"/>
      <c r="O767" s="65"/>
      <c r="P767" s="65"/>
      <c r="Q767" s="65"/>
    </row>
    <row r="768" ht="21.0" customHeight="1">
      <c r="I768" s="65"/>
      <c r="J768" s="65"/>
      <c r="K768" s="65"/>
      <c r="L768" s="65"/>
      <c r="M768" s="65"/>
      <c r="N768" s="65"/>
      <c r="O768" s="65"/>
      <c r="P768" s="65"/>
      <c r="Q768" s="65"/>
    </row>
    <row r="769" ht="21.0" customHeight="1">
      <c r="I769" s="65"/>
      <c r="J769" s="65"/>
      <c r="K769" s="65"/>
      <c r="L769" s="65"/>
      <c r="M769" s="65"/>
      <c r="N769" s="65"/>
      <c r="O769" s="65"/>
      <c r="P769" s="65"/>
      <c r="Q769" s="65"/>
    </row>
    <row r="770" ht="21.0" customHeight="1">
      <c r="I770" s="65"/>
      <c r="J770" s="65"/>
      <c r="K770" s="65"/>
      <c r="L770" s="65"/>
      <c r="M770" s="65"/>
      <c r="N770" s="65"/>
      <c r="O770" s="65"/>
      <c r="P770" s="65"/>
      <c r="Q770" s="65"/>
    </row>
    <row r="771" ht="21.0" customHeight="1">
      <c r="I771" s="65"/>
      <c r="J771" s="65"/>
      <c r="K771" s="65"/>
      <c r="L771" s="65"/>
      <c r="M771" s="65"/>
      <c r="N771" s="65"/>
      <c r="O771" s="65"/>
      <c r="P771" s="65"/>
      <c r="Q771" s="65"/>
    </row>
    <row r="772" ht="21.0" customHeight="1">
      <c r="I772" s="65"/>
      <c r="J772" s="65"/>
      <c r="K772" s="65"/>
      <c r="L772" s="65"/>
      <c r="M772" s="65"/>
      <c r="N772" s="65"/>
      <c r="O772" s="65"/>
      <c r="P772" s="65"/>
      <c r="Q772" s="65"/>
    </row>
    <row r="773" ht="21.0" customHeight="1">
      <c r="I773" s="65"/>
      <c r="J773" s="65"/>
      <c r="K773" s="65"/>
      <c r="L773" s="65"/>
      <c r="M773" s="65"/>
      <c r="N773" s="65"/>
      <c r="O773" s="65"/>
      <c r="P773" s="65"/>
      <c r="Q773" s="65"/>
    </row>
    <row r="774" ht="21.0" customHeight="1">
      <c r="I774" s="65"/>
      <c r="J774" s="65"/>
      <c r="K774" s="65"/>
      <c r="L774" s="65"/>
      <c r="M774" s="65"/>
      <c r="N774" s="65"/>
      <c r="O774" s="65"/>
      <c r="P774" s="65"/>
      <c r="Q774" s="65"/>
    </row>
    <row r="775" ht="21.0" customHeight="1">
      <c r="I775" s="65"/>
      <c r="J775" s="65"/>
      <c r="K775" s="65"/>
      <c r="L775" s="65"/>
      <c r="M775" s="65"/>
      <c r="N775" s="65"/>
      <c r="O775" s="65"/>
      <c r="P775" s="65"/>
      <c r="Q775" s="65"/>
    </row>
    <row r="776" ht="21.0" customHeight="1">
      <c r="I776" s="65"/>
      <c r="J776" s="65"/>
      <c r="K776" s="65"/>
      <c r="L776" s="65"/>
      <c r="M776" s="65"/>
      <c r="N776" s="65"/>
      <c r="O776" s="65"/>
      <c r="P776" s="65"/>
      <c r="Q776" s="65"/>
    </row>
    <row r="777" ht="21.0" customHeight="1">
      <c r="I777" s="65"/>
      <c r="J777" s="65"/>
      <c r="K777" s="65"/>
      <c r="L777" s="65"/>
      <c r="M777" s="65"/>
      <c r="N777" s="65"/>
      <c r="O777" s="65"/>
      <c r="P777" s="65"/>
      <c r="Q777" s="65"/>
    </row>
    <row r="778" ht="21.0" customHeight="1">
      <c r="I778" s="65"/>
      <c r="J778" s="65"/>
      <c r="K778" s="65"/>
      <c r="L778" s="65"/>
      <c r="M778" s="65"/>
      <c r="N778" s="65"/>
      <c r="O778" s="65"/>
      <c r="P778" s="65"/>
      <c r="Q778" s="65"/>
    </row>
    <row r="779" ht="21.0" customHeight="1">
      <c r="I779" s="65"/>
      <c r="J779" s="65"/>
      <c r="K779" s="65"/>
      <c r="L779" s="65"/>
      <c r="M779" s="65"/>
      <c r="N779" s="65"/>
      <c r="O779" s="65"/>
      <c r="P779" s="65"/>
      <c r="Q779" s="65"/>
    </row>
    <row r="780" ht="21.0" customHeight="1">
      <c r="I780" s="65"/>
      <c r="J780" s="65"/>
      <c r="K780" s="65"/>
      <c r="L780" s="65"/>
      <c r="M780" s="65"/>
      <c r="N780" s="65"/>
      <c r="O780" s="65"/>
      <c r="P780" s="65"/>
      <c r="Q780" s="65"/>
    </row>
    <row r="781" ht="21.0" customHeight="1">
      <c r="I781" s="65"/>
      <c r="J781" s="65"/>
      <c r="K781" s="65"/>
      <c r="L781" s="65"/>
      <c r="M781" s="65"/>
      <c r="N781" s="65"/>
      <c r="O781" s="65"/>
      <c r="P781" s="65"/>
      <c r="Q781" s="65"/>
    </row>
    <row r="782" ht="21.0" customHeight="1">
      <c r="I782" s="65"/>
      <c r="J782" s="65"/>
      <c r="K782" s="65"/>
      <c r="L782" s="65"/>
      <c r="M782" s="65"/>
      <c r="N782" s="65"/>
      <c r="O782" s="65"/>
      <c r="P782" s="65"/>
      <c r="Q782" s="65"/>
    </row>
    <row r="783" ht="21.0" customHeight="1">
      <c r="I783" s="65"/>
      <c r="J783" s="65"/>
      <c r="K783" s="65"/>
      <c r="L783" s="65"/>
      <c r="M783" s="65"/>
      <c r="N783" s="65"/>
      <c r="O783" s="65"/>
      <c r="P783" s="65"/>
      <c r="Q783" s="65"/>
    </row>
    <row r="784" ht="21.0" customHeight="1">
      <c r="I784" s="65"/>
      <c r="J784" s="65"/>
      <c r="K784" s="65"/>
      <c r="L784" s="65"/>
      <c r="M784" s="65"/>
      <c r="N784" s="65"/>
      <c r="O784" s="65"/>
      <c r="P784" s="65"/>
      <c r="Q784" s="65"/>
    </row>
    <row r="785" ht="21.0" customHeight="1">
      <c r="I785" s="65"/>
      <c r="J785" s="65"/>
      <c r="K785" s="65"/>
      <c r="L785" s="65"/>
      <c r="M785" s="65"/>
      <c r="N785" s="65"/>
      <c r="O785" s="65"/>
      <c r="P785" s="65"/>
      <c r="Q785" s="65"/>
    </row>
    <row r="786" ht="21.0" customHeight="1">
      <c r="I786" s="65"/>
      <c r="J786" s="65"/>
      <c r="K786" s="65"/>
      <c r="L786" s="65"/>
      <c r="M786" s="65"/>
      <c r="N786" s="65"/>
      <c r="O786" s="65"/>
      <c r="P786" s="65"/>
      <c r="Q786" s="65"/>
    </row>
    <row r="787" ht="21.0" customHeight="1">
      <c r="I787" s="65"/>
      <c r="J787" s="65"/>
      <c r="K787" s="65"/>
      <c r="L787" s="65"/>
      <c r="M787" s="65"/>
      <c r="N787" s="65"/>
      <c r="O787" s="65"/>
      <c r="P787" s="65"/>
      <c r="Q787" s="65"/>
    </row>
    <row r="788" ht="21.0" customHeight="1">
      <c r="I788" s="65"/>
      <c r="J788" s="65"/>
      <c r="K788" s="65"/>
      <c r="L788" s="65"/>
      <c r="M788" s="65"/>
      <c r="N788" s="65"/>
      <c r="O788" s="65"/>
      <c r="P788" s="65"/>
      <c r="Q788" s="65"/>
    </row>
    <row r="789" ht="21.0" customHeight="1">
      <c r="I789" s="65"/>
      <c r="J789" s="65"/>
      <c r="K789" s="65"/>
      <c r="L789" s="65"/>
      <c r="M789" s="65"/>
      <c r="N789" s="65"/>
      <c r="O789" s="65"/>
      <c r="P789" s="65"/>
      <c r="Q789" s="65"/>
    </row>
    <row r="790" ht="21.0" customHeight="1">
      <c r="I790" s="65"/>
      <c r="J790" s="65"/>
      <c r="K790" s="65"/>
      <c r="L790" s="65"/>
      <c r="M790" s="65"/>
      <c r="N790" s="65"/>
      <c r="O790" s="65"/>
      <c r="P790" s="65"/>
      <c r="Q790" s="65"/>
    </row>
    <row r="791" ht="21.0" customHeight="1">
      <c r="I791" s="65"/>
      <c r="J791" s="65"/>
      <c r="K791" s="65"/>
      <c r="L791" s="65"/>
      <c r="M791" s="65"/>
      <c r="N791" s="65"/>
      <c r="O791" s="65"/>
      <c r="P791" s="65"/>
      <c r="Q791" s="65"/>
    </row>
    <row r="792" ht="21.0" customHeight="1">
      <c r="I792" s="65"/>
      <c r="J792" s="65"/>
      <c r="K792" s="65"/>
      <c r="L792" s="65"/>
      <c r="M792" s="65"/>
      <c r="N792" s="65"/>
      <c r="O792" s="65"/>
      <c r="P792" s="65"/>
      <c r="Q792" s="65"/>
    </row>
    <row r="793" ht="21.0" customHeight="1">
      <c r="I793" s="65"/>
      <c r="J793" s="65"/>
      <c r="K793" s="65"/>
      <c r="L793" s="65"/>
      <c r="M793" s="65"/>
      <c r="N793" s="65"/>
      <c r="O793" s="65"/>
      <c r="P793" s="65"/>
      <c r="Q793" s="65"/>
    </row>
    <row r="794" ht="21.0" customHeight="1">
      <c r="I794" s="65"/>
      <c r="J794" s="65"/>
      <c r="K794" s="65"/>
      <c r="L794" s="65"/>
      <c r="M794" s="65"/>
      <c r="N794" s="65"/>
      <c r="O794" s="65"/>
      <c r="P794" s="65"/>
      <c r="Q794" s="65"/>
    </row>
    <row r="795" ht="21.0" customHeight="1">
      <c r="I795" s="65"/>
      <c r="J795" s="65"/>
      <c r="K795" s="65"/>
      <c r="L795" s="65"/>
      <c r="M795" s="65"/>
      <c r="N795" s="65"/>
      <c r="O795" s="65"/>
      <c r="P795" s="65"/>
      <c r="Q795" s="65"/>
    </row>
    <row r="796" ht="21.0" customHeight="1">
      <c r="I796" s="65"/>
      <c r="J796" s="65"/>
      <c r="K796" s="65"/>
      <c r="L796" s="65"/>
      <c r="M796" s="65"/>
      <c r="N796" s="65"/>
      <c r="O796" s="65"/>
      <c r="P796" s="65"/>
      <c r="Q796" s="65"/>
    </row>
    <row r="797" ht="21.0" customHeight="1">
      <c r="I797" s="65"/>
      <c r="J797" s="65"/>
      <c r="K797" s="65"/>
      <c r="L797" s="65"/>
      <c r="M797" s="65"/>
      <c r="N797" s="65"/>
      <c r="O797" s="65"/>
      <c r="P797" s="65"/>
      <c r="Q797" s="65"/>
    </row>
    <row r="798" ht="21.0" customHeight="1">
      <c r="I798" s="65"/>
      <c r="J798" s="65"/>
      <c r="K798" s="65"/>
      <c r="L798" s="65"/>
      <c r="M798" s="65"/>
      <c r="N798" s="65"/>
      <c r="O798" s="65"/>
      <c r="P798" s="65"/>
      <c r="Q798" s="65"/>
    </row>
    <row r="799" ht="21.0" customHeight="1">
      <c r="I799" s="65"/>
      <c r="J799" s="65"/>
      <c r="K799" s="65"/>
      <c r="L799" s="65"/>
      <c r="M799" s="65"/>
      <c r="N799" s="65"/>
      <c r="O799" s="65"/>
      <c r="P799" s="65"/>
      <c r="Q799" s="65"/>
    </row>
    <row r="800" ht="21.0" customHeight="1">
      <c r="I800" s="65"/>
      <c r="J800" s="65"/>
      <c r="K800" s="65"/>
      <c r="L800" s="65"/>
      <c r="M800" s="65"/>
      <c r="N800" s="65"/>
      <c r="O800" s="65"/>
      <c r="P800" s="65"/>
      <c r="Q800" s="65"/>
    </row>
    <row r="801" ht="21.0" customHeight="1">
      <c r="I801" s="65"/>
      <c r="J801" s="65"/>
      <c r="K801" s="65"/>
      <c r="L801" s="65"/>
      <c r="M801" s="65"/>
      <c r="N801" s="65"/>
      <c r="O801" s="65"/>
      <c r="P801" s="65"/>
      <c r="Q801" s="65"/>
    </row>
    <row r="802" ht="21.0" customHeight="1">
      <c r="I802" s="65"/>
      <c r="J802" s="65"/>
      <c r="K802" s="65"/>
      <c r="L802" s="65"/>
      <c r="M802" s="65"/>
      <c r="N802" s="65"/>
      <c r="O802" s="65"/>
      <c r="P802" s="65"/>
      <c r="Q802" s="65"/>
    </row>
    <row r="803" ht="21.0" customHeight="1">
      <c r="I803" s="65"/>
      <c r="J803" s="65"/>
      <c r="K803" s="65"/>
      <c r="L803" s="65"/>
      <c r="M803" s="65"/>
      <c r="N803" s="65"/>
      <c r="O803" s="65"/>
      <c r="P803" s="65"/>
      <c r="Q803" s="65"/>
    </row>
    <row r="804" ht="21.0" customHeight="1">
      <c r="I804" s="65"/>
      <c r="J804" s="65"/>
      <c r="K804" s="65"/>
      <c r="L804" s="65"/>
      <c r="M804" s="65"/>
      <c r="N804" s="65"/>
      <c r="O804" s="65"/>
      <c r="P804" s="65"/>
      <c r="Q804" s="65"/>
    </row>
    <row r="805" ht="21.0" customHeight="1">
      <c r="I805" s="65"/>
      <c r="J805" s="65"/>
      <c r="K805" s="65"/>
      <c r="L805" s="65"/>
      <c r="M805" s="65"/>
      <c r="N805" s="65"/>
      <c r="O805" s="65"/>
      <c r="P805" s="65"/>
      <c r="Q805" s="65"/>
    </row>
    <row r="806" ht="21.0" customHeight="1">
      <c r="I806" s="65"/>
      <c r="J806" s="65"/>
      <c r="K806" s="65"/>
      <c r="L806" s="65"/>
      <c r="M806" s="65"/>
      <c r="N806" s="65"/>
      <c r="O806" s="65"/>
      <c r="P806" s="65"/>
      <c r="Q806" s="65"/>
    </row>
    <row r="807" ht="21.0" customHeight="1">
      <c r="I807" s="65"/>
      <c r="J807" s="65"/>
      <c r="K807" s="65"/>
      <c r="L807" s="65"/>
      <c r="M807" s="65"/>
      <c r="N807" s="65"/>
      <c r="O807" s="65"/>
      <c r="P807" s="65"/>
      <c r="Q807" s="65"/>
    </row>
    <row r="808" ht="21.0" customHeight="1">
      <c r="I808" s="65"/>
      <c r="J808" s="65"/>
      <c r="K808" s="65"/>
      <c r="L808" s="65"/>
      <c r="M808" s="65"/>
      <c r="N808" s="65"/>
      <c r="O808" s="65"/>
      <c r="P808" s="65"/>
      <c r="Q808" s="65"/>
    </row>
    <row r="809" ht="21.0" customHeight="1">
      <c r="I809" s="65"/>
      <c r="J809" s="65"/>
      <c r="K809" s="65"/>
      <c r="L809" s="65"/>
      <c r="M809" s="65"/>
      <c r="N809" s="65"/>
      <c r="O809" s="65"/>
      <c r="P809" s="65"/>
      <c r="Q809" s="65"/>
    </row>
    <row r="810" ht="21.0" customHeight="1">
      <c r="I810" s="65"/>
      <c r="J810" s="65"/>
      <c r="K810" s="65"/>
      <c r="L810" s="65"/>
      <c r="M810" s="65"/>
      <c r="N810" s="65"/>
      <c r="O810" s="65"/>
      <c r="P810" s="65"/>
      <c r="Q810" s="65"/>
    </row>
    <row r="811" ht="21.0" customHeight="1">
      <c r="I811" s="65"/>
      <c r="J811" s="65"/>
      <c r="K811" s="65"/>
      <c r="L811" s="65"/>
      <c r="M811" s="65"/>
      <c r="N811" s="65"/>
      <c r="O811" s="65"/>
      <c r="P811" s="65"/>
      <c r="Q811" s="65"/>
    </row>
    <row r="812" ht="21.0" customHeight="1">
      <c r="I812" s="65"/>
      <c r="J812" s="65"/>
      <c r="K812" s="65"/>
      <c r="L812" s="65"/>
      <c r="M812" s="65"/>
      <c r="N812" s="65"/>
      <c r="O812" s="65"/>
      <c r="P812" s="65"/>
      <c r="Q812" s="65"/>
    </row>
    <row r="813" ht="21.0" customHeight="1">
      <c r="I813" s="65"/>
      <c r="J813" s="65"/>
      <c r="K813" s="65"/>
      <c r="L813" s="65"/>
      <c r="M813" s="65"/>
      <c r="N813" s="65"/>
      <c r="O813" s="65"/>
      <c r="P813" s="65"/>
      <c r="Q813" s="65"/>
    </row>
    <row r="814" ht="21.0" customHeight="1">
      <c r="I814" s="65"/>
      <c r="J814" s="65"/>
      <c r="K814" s="65"/>
      <c r="L814" s="65"/>
      <c r="M814" s="65"/>
      <c r="N814" s="65"/>
      <c r="O814" s="65"/>
      <c r="P814" s="65"/>
      <c r="Q814" s="65"/>
    </row>
    <row r="815" ht="21.0" customHeight="1">
      <c r="I815" s="65"/>
      <c r="J815" s="65"/>
      <c r="K815" s="65"/>
      <c r="L815" s="65"/>
      <c r="M815" s="65"/>
      <c r="N815" s="65"/>
      <c r="O815" s="65"/>
      <c r="P815" s="65"/>
      <c r="Q815" s="65"/>
    </row>
    <row r="816" ht="21.0" customHeight="1">
      <c r="I816" s="65"/>
      <c r="J816" s="65"/>
      <c r="K816" s="65"/>
      <c r="L816" s="65"/>
      <c r="M816" s="65"/>
      <c r="N816" s="65"/>
      <c r="O816" s="65"/>
      <c r="P816" s="65"/>
      <c r="Q816" s="65"/>
    </row>
    <row r="817" ht="21.0" customHeight="1">
      <c r="I817" s="65"/>
      <c r="J817" s="65"/>
      <c r="K817" s="65"/>
      <c r="L817" s="65"/>
      <c r="M817" s="65"/>
      <c r="N817" s="65"/>
      <c r="O817" s="65"/>
      <c r="P817" s="65"/>
      <c r="Q817" s="65"/>
    </row>
    <row r="818" ht="21.0" customHeight="1">
      <c r="I818" s="65"/>
      <c r="J818" s="65"/>
      <c r="K818" s="65"/>
      <c r="L818" s="65"/>
      <c r="M818" s="65"/>
      <c r="N818" s="65"/>
      <c r="O818" s="65"/>
      <c r="P818" s="65"/>
      <c r="Q818" s="65"/>
    </row>
    <row r="819" ht="21.0" customHeight="1">
      <c r="I819" s="65"/>
      <c r="J819" s="65"/>
      <c r="K819" s="65"/>
      <c r="L819" s="65"/>
      <c r="M819" s="65"/>
      <c r="N819" s="65"/>
      <c r="O819" s="65"/>
      <c r="P819" s="65"/>
      <c r="Q819" s="65"/>
    </row>
    <row r="820" ht="21.0" customHeight="1">
      <c r="I820" s="65"/>
      <c r="J820" s="65"/>
      <c r="K820" s="65"/>
      <c r="L820" s="65"/>
      <c r="M820" s="65"/>
      <c r="N820" s="65"/>
      <c r="O820" s="65"/>
      <c r="P820" s="65"/>
      <c r="Q820" s="65"/>
    </row>
    <row r="821" ht="21.0" customHeight="1">
      <c r="I821" s="65"/>
      <c r="J821" s="65"/>
      <c r="K821" s="65"/>
      <c r="L821" s="65"/>
      <c r="M821" s="65"/>
      <c r="N821" s="65"/>
      <c r="O821" s="65"/>
      <c r="P821" s="65"/>
      <c r="Q821" s="65"/>
    </row>
    <row r="822" ht="21.0" customHeight="1">
      <c r="I822" s="65"/>
      <c r="J822" s="65"/>
      <c r="K822" s="65"/>
      <c r="L822" s="65"/>
      <c r="M822" s="65"/>
      <c r="N822" s="65"/>
      <c r="O822" s="65"/>
      <c r="P822" s="65"/>
      <c r="Q822" s="65"/>
    </row>
    <row r="823" ht="21.0" customHeight="1">
      <c r="I823" s="65"/>
      <c r="J823" s="65"/>
      <c r="K823" s="65"/>
      <c r="L823" s="65"/>
      <c r="M823" s="65"/>
      <c r="N823" s="65"/>
      <c r="O823" s="65"/>
      <c r="P823" s="65"/>
      <c r="Q823" s="65"/>
    </row>
    <row r="824" ht="21.0" customHeight="1">
      <c r="I824" s="65"/>
      <c r="J824" s="65"/>
      <c r="K824" s="65"/>
      <c r="L824" s="65"/>
      <c r="M824" s="65"/>
      <c r="N824" s="65"/>
      <c r="O824" s="65"/>
      <c r="P824" s="65"/>
      <c r="Q824" s="65"/>
    </row>
    <row r="825" ht="21.0" customHeight="1">
      <c r="I825" s="65"/>
      <c r="J825" s="65"/>
      <c r="K825" s="65"/>
      <c r="L825" s="65"/>
      <c r="M825" s="65"/>
      <c r="N825" s="65"/>
      <c r="O825" s="65"/>
      <c r="P825" s="65"/>
      <c r="Q825" s="65"/>
    </row>
    <row r="826" ht="21.0" customHeight="1">
      <c r="I826" s="65"/>
      <c r="J826" s="65"/>
      <c r="K826" s="65"/>
      <c r="L826" s="65"/>
      <c r="M826" s="65"/>
      <c r="N826" s="65"/>
      <c r="O826" s="65"/>
      <c r="P826" s="65"/>
      <c r="Q826" s="65"/>
    </row>
    <row r="827" ht="21.0" customHeight="1">
      <c r="I827" s="65"/>
      <c r="J827" s="65"/>
      <c r="K827" s="65"/>
      <c r="L827" s="65"/>
      <c r="M827" s="65"/>
      <c r="N827" s="65"/>
      <c r="O827" s="65"/>
      <c r="P827" s="65"/>
      <c r="Q827" s="65"/>
    </row>
    <row r="828" ht="21.0" customHeight="1">
      <c r="I828" s="65"/>
      <c r="J828" s="65"/>
      <c r="K828" s="65"/>
      <c r="L828" s="65"/>
      <c r="M828" s="65"/>
      <c r="N828" s="65"/>
      <c r="O828" s="65"/>
      <c r="P828" s="65"/>
      <c r="Q828" s="65"/>
    </row>
    <row r="829" ht="21.0" customHeight="1">
      <c r="I829" s="65"/>
      <c r="J829" s="65"/>
      <c r="K829" s="65"/>
      <c r="L829" s="65"/>
      <c r="M829" s="65"/>
      <c r="N829" s="65"/>
      <c r="O829" s="65"/>
      <c r="P829" s="65"/>
      <c r="Q829" s="65"/>
    </row>
    <row r="830" ht="21.0" customHeight="1">
      <c r="I830" s="65"/>
      <c r="J830" s="65"/>
      <c r="K830" s="65"/>
      <c r="L830" s="65"/>
      <c r="M830" s="65"/>
      <c r="N830" s="65"/>
      <c r="O830" s="65"/>
      <c r="P830" s="65"/>
      <c r="Q830" s="65"/>
    </row>
    <row r="831" ht="21.0" customHeight="1">
      <c r="I831" s="65"/>
      <c r="J831" s="65"/>
      <c r="K831" s="65"/>
      <c r="L831" s="65"/>
      <c r="M831" s="65"/>
      <c r="N831" s="65"/>
      <c r="O831" s="65"/>
      <c r="P831" s="65"/>
      <c r="Q831" s="65"/>
    </row>
    <row r="832" ht="21.0" customHeight="1">
      <c r="I832" s="65"/>
      <c r="J832" s="65"/>
      <c r="K832" s="65"/>
      <c r="L832" s="65"/>
      <c r="M832" s="65"/>
      <c r="N832" s="65"/>
      <c r="O832" s="65"/>
      <c r="P832" s="65"/>
      <c r="Q832" s="65"/>
    </row>
    <row r="833" ht="21.0" customHeight="1">
      <c r="I833" s="65"/>
      <c r="J833" s="65"/>
      <c r="K833" s="65"/>
      <c r="L833" s="65"/>
      <c r="M833" s="65"/>
      <c r="N833" s="65"/>
      <c r="O833" s="65"/>
      <c r="P833" s="65"/>
      <c r="Q833" s="65"/>
    </row>
    <row r="834" ht="21.0" customHeight="1">
      <c r="I834" s="65"/>
      <c r="J834" s="65"/>
      <c r="K834" s="65"/>
      <c r="L834" s="65"/>
      <c r="M834" s="65"/>
      <c r="N834" s="65"/>
      <c r="O834" s="65"/>
      <c r="P834" s="65"/>
      <c r="Q834" s="65"/>
    </row>
    <row r="835" ht="21.0" customHeight="1">
      <c r="I835" s="65"/>
      <c r="J835" s="65"/>
      <c r="K835" s="65"/>
      <c r="L835" s="65"/>
      <c r="M835" s="65"/>
      <c r="N835" s="65"/>
      <c r="O835" s="65"/>
      <c r="P835" s="65"/>
      <c r="Q835" s="65"/>
    </row>
    <row r="836" ht="21.0" customHeight="1">
      <c r="I836" s="65"/>
      <c r="J836" s="65"/>
      <c r="K836" s="65"/>
      <c r="L836" s="65"/>
      <c r="M836" s="65"/>
      <c r="N836" s="65"/>
      <c r="O836" s="65"/>
      <c r="P836" s="65"/>
      <c r="Q836" s="65"/>
    </row>
    <row r="837" ht="21.0" customHeight="1">
      <c r="I837" s="65"/>
      <c r="J837" s="65"/>
      <c r="K837" s="65"/>
      <c r="L837" s="65"/>
      <c r="M837" s="65"/>
      <c r="N837" s="65"/>
      <c r="O837" s="65"/>
      <c r="P837" s="65"/>
      <c r="Q837" s="65"/>
    </row>
    <row r="838" ht="21.0" customHeight="1">
      <c r="I838" s="65"/>
      <c r="J838" s="65"/>
      <c r="K838" s="65"/>
      <c r="L838" s="65"/>
      <c r="M838" s="65"/>
      <c r="N838" s="65"/>
      <c r="O838" s="65"/>
      <c r="P838" s="65"/>
      <c r="Q838" s="65"/>
    </row>
    <row r="839" ht="21.0" customHeight="1">
      <c r="I839" s="65"/>
      <c r="J839" s="65"/>
      <c r="K839" s="65"/>
      <c r="L839" s="65"/>
      <c r="M839" s="65"/>
      <c r="N839" s="65"/>
      <c r="O839" s="65"/>
      <c r="P839" s="65"/>
      <c r="Q839" s="65"/>
    </row>
    <row r="840" ht="21.0" customHeight="1">
      <c r="I840" s="65"/>
      <c r="J840" s="65"/>
      <c r="K840" s="65"/>
      <c r="L840" s="65"/>
      <c r="M840" s="65"/>
      <c r="N840" s="65"/>
      <c r="O840" s="65"/>
      <c r="P840" s="65"/>
      <c r="Q840" s="65"/>
    </row>
    <row r="841" ht="21.0" customHeight="1">
      <c r="I841" s="65"/>
      <c r="J841" s="65"/>
      <c r="K841" s="65"/>
      <c r="L841" s="65"/>
      <c r="M841" s="65"/>
      <c r="N841" s="65"/>
      <c r="O841" s="65"/>
      <c r="P841" s="65"/>
      <c r="Q841" s="65"/>
    </row>
    <row r="842" ht="21.0" customHeight="1">
      <c r="I842" s="65"/>
      <c r="J842" s="65"/>
      <c r="K842" s="65"/>
      <c r="L842" s="65"/>
      <c r="M842" s="65"/>
      <c r="N842" s="65"/>
      <c r="O842" s="65"/>
      <c r="P842" s="65"/>
      <c r="Q842" s="65"/>
    </row>
    <row r="843" ht="21.0" customHeight="1">
      <c r="I843" s="65"/>
      <c r="J843" s="65"/>
      <c r="K843" s="65"/>
      <c r="L843" s="65"/>
      <c r="M843" s="65"/>
      <c r="N843" s="65"/>
      <c r="O843" s="65"/>
      <c r="P843" s="65"/>
      <c r="Q843" s="65"/>
    </row>
    <row r="844" ht="21.0" customHeight="1">
      <c r="I844" s="65"/>
      <c r="J844" s="65"/>
      <c r="K844" s="65"/>
      <c r="L844" s="65"/>
      <c r="M844" s="65"/>
      <c r="N844" s="65"/>
      <c r="O844" s="65"/>
      <c r="P844" s="65"/>
      <c r="Q844" s="65"/>
    </row>
    <row r="845" ht="21.0" customHeight="1">
      <c r="I845" s="65"/>
      <c r="J845" s="65"/>
      <c r="K845" s="65"/>
      <c r="L845" s="65"/>
      <c r="M845" s="65"/>
      <c r="N845" s="65"/>
      <c r="O845" s="65"/>
      <c r="P845" s="65"/>
      <c r="Q845" s="65"/>
    </row>
    <row r="846" ht="21.0" customHeight="1">
      <c r="I846" s="65"/>
      <c r="J846" s="65"/>
      <c r="K846" s="65"/>
      <c r="L846" s="65"/>
      <c r="M846" s="65"/>
      <c r="N846" s="65"/>
      <c r="O846" s="65"/>
      <c r="P846" s="65"/>
      <c r="Q846" s="65"/>
    </row>
    <row r="847" ht="21.0" customHeight="1">
      <c r="I847" s="65"/>
      <c r="J847" s="65"/>
      <c r="K847" s="65"/>
      <c r="L847" s="65"/>
      <c r="M847" s="65"/>
      <c r="N847" s="65"/>
      <c r="O847" s="65"/>
      <c r="P847" s="65"/>
      <c r="Q847" s="65"/>
    </row>
    <row r="848" ht="21.0" customHeight="1">
      <c r="I848" s="65"/>
      <c r="J848" s="65"/>
      <c r="K848" s="65"/>
      <c r="L848" s="65"/>
      <c r="M848" s="65"/>
      <c r="N848" s="65"/>
      <c r="O848" s="65"/>
      <c r="P848" s="65"/>
      <c r="Q848" s="65"/>
    </row>
    <row r="849" ht="21.0" customHeight="1">
      <c r="I849" s="65"/>
      <c r="J849" s="65"/>
      <c r="K849" s="65"/>
      <c r="L849" s="65"/>
      <c r="M849" s="65"/>
      <c r="N849" s="65"/>
      <c r="O849" s="65"/>
      <c r="P849" s="65"/>
      <c r="Q849" s="65"/>
    </row>
    <row r="850" ht="21.0" customHeight="1">
      <c r="I850" s="65"/>
      <c r="J850" s="65"/>
      <c r="K850" s="65"/>
      <c r="L850" s="65"/>
      <c r="M850" s="65"/>
      <c r="N850" s="65"/>
      <c r="O850" s="65"/>
      <c r="P850" s="65"/>
      <c r="Q850" s="65"/>
    </row>
    <row r="851" ht="21.0" customHeight="1">
      <c r="I851" s="65"/>
      <c r="J851" s="65"/>
      <c r="K851" s="65"/>
      <c r="L851" s="65"/>
      <c r="M851" s="65"/>
      <c r="N851" s="65"/>
      <c r="O851" s="65"/>
      <c r="P851" s="65"/>
      <c r="Q851" s="65"/>
    </row>
    <row r="852" ht="21.0" customHeight="1">
      <c r="I852" s="65"/>
      <c r="J852" s="65"/>
      <c r="K852" s="65"/>
      <c r="L852" s="65"/>
      <c r="M852" s="65"/>
      <c r="N852" s="65"/>
      <c r="O852" s="65"/>
      <c r="P852" s="65"/>
      <c r="Q852" s="65"/>
    </row>
    <row r="853" ht="21.0" customHeight="1">
      <c r="I853" s="65"/>
      <c r="J853" s="65"/>
      <c r="K853" s="65"/>
      <c r="L853" s="65"/>
      <c r="M853" s="65"/>
      <c r="N853" s="65"/>
      <c r="O853" s="65"/>
      <c r="P853" s="65"/>
      <c r="Q853" s="65"/>
    </row>
    <row r="854" ht="21.0" customHeight="1">
      <c r="I854" s="65"/>
      <c r="J854" s="65"/>
      <c r="K854" s="65"/>
      <c r="L854" s="65"/>
      <c r="M854" s="65"/>
      <c r="N854" s="65"/>
      <c r="O854" s="65"/>
      <c r="P854" s="65"/>
      <c r="Q854" s="65"/>
    </row>
    <row r="855" ht="21.0" customHeight="1">
      <c r="I855" s="65"/>
      <c r="J855" s="65"/>
      <c r="K855" s="65"/>
      <c r="L855" s="65"/>
      <c r="M855" s="65"/>
      <c r="N855" s="65"/>
      <c r="O855" s="65"/>
      <c r="P855" s="65"/>
      <c r="Q855" s="65"/>
    </row>
    <row r="856" ht="21.0" customHeight="1">
      <c r="I856" s="65"/>
      <c r="J856" s="65"/>
      <c r="K856" s="65"/>
      <c r="L856" s="65"/>
      <c r="M856" s="65"/>
      <c r="N856" s="65"/>
      <c r="O856" s="65"/>
      <c r="P856" s="65"/>
      <c r="Q856" s="65"/>
    </row>
    <row r="857" ht="21.0" customHeight="1">
      <c r="I857" s="65"/>
      <c r="J857" s="65"/>
      <c r="K857" s="65"/>
      <c r="L857" s="65"/>
      <c r="M857" s="65"/>
      <c r="N857" s="65"/>
      <c r="O857" s="65"/>
      <c r="P857" s="65"/>
      <c r="Q857" s="65"/>
    </row>
    <row r="858" ht="21.0" customHeight="1">
      <c r="I858" s="65"/>
      <c r="J858" s="65"/>
      <c r="K858" s="65"/>
      <c r="L858" s="65"/>
      <c r="M858" s="65"/>
      <c r="N858" s="65"/>
      <c r="O858" s="65"/>
      <c r="P858" s="65"/>
      <c r="Q858" s="65"/>
    </row>
    <row r="859" ht="21.0" customHeight="1">
      <c r="I859" s="65"/>
      <c r="J859" s="65"/>
      <c r="K859" s="65"/>
      <c r="L859" s="65"/>
      <c r="M859" s="65"/>
      <c r="N859" s="65"/>
      <c r="O859" s="65"/>
      <c r="P859" s="65"/>
      <c r="Q859" s="65"/>
    </row>
    <row r="860" ht="21.0" customHeight="1">
      <c r="I860" s="65"/>
      <c r="J860" s="65"/>
      <c r="K860" s="65"/>
      <c r="L860" s="65"/>
      <c r="M860" s="65"/>
      <c r="N860" s="65"/>
      <c r="O860" s="65"/>
      <c r="P860" s="65"/>
      <c r="Q860" s="65"/>
    </row>
    <row r="861" ht="21.0" customHeight="1">
      <c r="I861" s="65"/>
      <c r="J861" s="65"/>
      <c r="K861" s="65"/>
      <c r="L861" s="65"/>
      <c r="M861" s="65"/>
      <c r="N861" s="65"/>
      <c r="O861" s="65"/>
      <c r="P861" s="65"/>
      <c r="Q861" s="65"/>
    </row>
    <row r="862" ht="21.0" customHeight="1">
      <c r="I862" s="65"/>
      <c r="J862" s="65"/>
      <c r="K862" s="65"/>
      <c r="L862" s="65"/>
      <c r="M862" s="65"/>
      <c r="N862" s="65"/>
      <c r="O862" s="65"/>
      <c r="P862" s="65"/>
      <c r="Q862" s="65"/>
    </row>
    <row r="863" ht="21.0" customHeight="1">
      <c r="I863" s="65"/>
      <c r="J863" s="65"/>
      <c r="K863" s="65"/>
      <c r="L863" s="65"/>
      <c r="M863" s="65"/>
      <c r="N863" s="65"/>
      <c r="O863" s="65"/>
      <c r="P863" s="65"/>
      <c r="Q863" s="65"/>
    </row>
    <row r="864" ht="21.0" customHeight="1">
      <c r="I864" s="65"/>
      <c r="J864" s="65"/>
      <c r="K864" s="65"/>
      <c r="L864" s="65"/>
      <c r="M864" s="65"/>
      <c r="N864" s="65"/>
      <c r="O864" s="65"/>
      <c r="P864" s="65"/>
      <c r="Q864" s="65"/>
    </row>
    <row r="865" ht="21.0" customHeight="1">
      <c r="I865" s="65"/>
      <c r="J865" s="65"/>
      <c r="K865" s="65"/>
      <c r="L865" s="65"/>
      <c r="M865" s="65"/>
      <c r="N865" s="65"/>
      <c r="O865" s="65"/>
      <c r="P865" s="65"/>
      <c r="Q865" s="65"/>
    </row>
    <row r="866" ht="21.0" customHeight="1">
      <c r="I866" s="65"/>
      <c r="J866" s="65"/>
      <c r="K866" s="65"/>
      <c r="L866" s="65"/>
      <c r="M866" s="65"/>
      <c r="N866" s="65"/>
      <c r="O866" s="65"/>
      <c r="P866" s="65"/>
      <c r="Q866" s="65"/>
    </row>
    <row r="867" ht="21.0" customHeight="1">
      <c r="I867" s="65"/>
      <c r="J867" s="65"/>
      <c r="K867" s="65"/>
      <c r="L867" s="65"/>
      <c r="M867" s="65"/>
      <c r="N867" s="65"/>
      <c r="O867" s="65"/>
      <c r="P867" s="65"/>
      <c r="Q867" s="65"/>
    </row>
    <row r="868" ht="21.0" customHeight="1">
      <c r="I868" s="65"/>
      <c r="J868" s="65"/>
      <c r="K868" s="65"/>
      <c r="L868" s="65"/>
      <c r="M868" s="65"/>
      <c r="N868" s="65"/>
      <c r="O868" s="65"/>
      <c r="P868" s="65"/>
      <c r="Q868" s="65"/>
    </row>
    <row r="869" ht="21.0" customHeight="1">
      <c r="I869" s="65"/>
      <c r="J869" s="65"/>
      <c r="K869" s="65"/>
      <c r="L869" s="65"/>
      <c r="M869" s="65"/>
      <c r="N869" s="65"/>
      <c r="O869" s="65"/>
      <c r="P869" s="65"/>
      <c r="Q869" s="65"/>
    </row>
    <row r="870" ht="21.0" customHeight="1">
      <c r="I870" s="65"/>
      <c r="J870" s="65"/>
      <c r="K870" s="65"/>
      <c r="L870" s="65"/>
      <c r="M870" s="65"/>
      <c r="N870" s="65"/>
      <c r="O870" s="65"/>
      <c r="P870" s="65"/>
      <c r="Q870" s="65"/>
    </row>
    <row r="871" ht="21.0" customHeight="1">
      <c r="I871" s="65"/>
      <c r="J871" s="65"/>
      <c r="K871" s="65"/>
      <c r="L871" s="65"/>
      <c r="M871" s="65"/>
      <c r="N871" s="65"/>
      <c r="O871" s="65"/>
      <c r="P871" s="65"/>
      <c r="Q871" s="65"/>
    </row>
    <row r="872" ht="21.0" customHeight="1">
      <c r="I872" s="65"/>
      <c r="J872" s="65"/>
      <c r="K872" s="65"/>
      <c r="L872" s="65"/>
      <c r="M872" s="65"/>
      <c r="N872" s="65"/>
      <c r="O872" s="65"/>
      <c r="P872" s="65"/>
      <c r="Q872" s="65"/>
    </row>
    <row r="873" ht="21.0" customHeight="1">
      <c r="I873" s="65"/>
      <c r="J873" s="65"/>
      <c r="K873" s="65"/>
      <c r="L873" s="65"/>
      <c r="M873" s="65"/>
      <c r="N873" s="65"/>
      <c r="O873" s="65"/>
      <c r="P873" s="65"/>
      <c r="Q873" s="65"/>
    </row>
    <row r="874" ht="21.0" customHeight="1">
      <c r="I874" s="65"/>
      <c r="J874" s="65"/>
      <c r="K874" s="65"/>
      <c r="L874" s="65"/>
      <c r="M874" s="65"/>
      <c r="N874" s="65"/>
      <c r="O874" s="65"/>
      <c r="P874" s="65"/>
      <c r="Q874" s="65"/>
    </row>
    <row r="875" ht="21.0" customHeight="1">
      <c r="I875" s="65"/>
      <c r="J875" s="65"/>
      <c r="K875" s="65"/>
      <c r="L875" s="65"/>
      <c r="M875" s="65"/>
      <c r="N875" s="65"/>
      <c r="O875" s="65"/>
      <c r="P875" s="65"/>
      <c r="Q875" s="65"/>
    </row>
    <row r="876" ht="21.0" customHeight="1">
      <c r="I876" s="65"/>
      <c r="J876" s="65"/>
      <c r="K876" s="65"/>
      <c r="L876" s="65"/>
      <c r="M876" s="65"/>
      <c r="N876" s="65"/>
      <c r="O876" s="65"/>
      <c r="P876" s="65"/>
      <c r="Q876" s="65"/>
    </row>
    <row r="877" ht="21.0" customHeight="1">
      <c r="I877" s="65"/>
      <c r="J877" s="65"/>
      <c r="K877" s="65"/>
      <c r="L877" s="65"/>
      <c r="M877" s="65"/>
      <c r="N877" s="65"/>
      <c r="O877" s="65"/>
      <c r="P877" s="65"/>
      <c r="Q877" s="65"/>
    </row>
    <row r="878" ht="21.0" customHeight="1">
      <c r="I878" s="65"/>
      <c r="J878" s="65"/>
      <c r="K878" s="65"/>
      <c r="L878" s="65"/>
      <c r="M878" s="65"/>
      <c r="N878" s="65"/>
      <c r="O878" s="65"/>
      <c r="P878" s="65"/>
      <c r="Q878" s="65"/>
    </row>
    <row r="879" ht="21.0" customHeight="1">
      <c r="I879" s="65"/>
      <c r="J879" s="65"/>
      <c r="K879" s="65"/>
      <c r="L879" s="65"/>
      <c r="M879" s="65"/>
      <c r="N879" s="65"/>
      <c r="O879" s="65"/>
      <c r="P879" s="65"/>
      <c r="Q879" s="65"/>
    </row>
    <row r="880" ht="21.0" customHeight="1">
      <c r="I880" s="65"/>
      <c r="J880" s="65"/>
      <c r="K880" s="65"/>
      <c r="L880" s="65"/>
      <c r="M880" s="65"/>
      <c r="N880" s="65"/>
      <c r="O880" s="65"/>
      <c r="P880" s="65"/>
      <c r="Q880" s="65"/>
    </row>
    <row r="881" ht="21.0" customHeight="1">
      <c r="I881" s="65"/>
      <c r="J881" s="65"/>
      <c r="K881" s="65"/>
      <c r="L881" s="65"/>
      <c r="M881" s="65"/>
      <c r="N881" s="65"/>
      <c r="O881" s="65"/>
      <c r="P881" s="65"/>
      <c r="Q881" s="65"/>
    </row>
    <row r="882" ht="21.0" customHeight="1">
      <c r="I882" s="65"/>
      <c r="J882" s="65"/>
      <c r="K882" s="65"/>
      <c r="L882" s="65"/>
      <c r="M882" s="65"/>
      <c r="N882" s="65"/>
      <c r="O882" s="65"/>
      <c r="P882" s="65"/>
      <c r="Q882" s="65"/>
    </row>
    <row r="883" ht="21.0" customHeight="1">
      <c r="I883" s="65"/>
      <c r="J883" s="65"/>
      <c r="K883" s="65"/>
      <c r="L883" s="65"/>
      <c r="M883" s="65"/>
      <c r="N883" s="65"/>
      <c r="O883" s="65"/>
      <c r="P883" s="65"/>
      <c r="Q883" s="65"/>
    </row>
    <row r="884" ht="21.0" customHeight="1">
      <c r="I884" s="65"/>
      <c r="J884" s="65"/>
      <c r="K884" s="65"/>
      <c r="L884" s="65"/>
      <c r="M884" s="65"/>
      <c r="N884" s="65"/>
      <c r="O884" s="65"/>
      <c r="P884" s="65"/>
      <c r="Q884" s="65"/>
    </row>
    <row r="885" ht="21.0" customHeight="1">
      <c r="I885" s="65"/>
      <c r="J885" s="65"/>
      <c r="K885" s="65"/>
      <c r="L885" s="65"/>
      <c r="M885" s="65"/>
      <c r="N885" s="65"/>
      <c r="O885" s="65"/>
      <c r="P885" s="65"/>
      <c r="Q885" s="65"/>
    </row>
    <row r="886" ht="21.0" customHeight="1">
      <c r="I886" s="65"/>
      <c r="J886" s="65"/>
      <c r="K886" s="65"/>
      <c r="L886" s="65"/>
      <c r="M886" s="65"/>
      <c r="N886" s="65"/>
      <c r="O886" s="65"/>
      <c r="P886" s="65"/>
      <c r="Q886" s="65"/>
    </row>
    <row r="887" ht="21.0" customHeight="1">
      <c r="I887" s="65"/>
      <c r="J887" s="65"/>
      <c r="K887" s="65"/>
      <c r="L887" s="65"/>
      <c r="M887" s="65"/>
      <c r="N887" s="65"/>
      <c r="O887" s="65"/>
      <c r="P887" s="65"/>
      <c r="Q887" s="65"/>
    </row>
    <row r="888" ht="21.0" customHeight="1">
      <c r="I888" s="65"/>
      <c r="J888" s="65"/>
      <c r="K888" s="65"/>
      <c r="L888" s="65"/>
      <c r="M888" s="65"/>
      <c r="N888" s="65"/>
      <c r="O888" s="65"/>
      <c r="P888" s="65"/>
      <c r="Q888" s="65"/>
    </row>
    <row r="889" ht="21.0" customHeight="1">
      <c r="I889" s="65"/>
      <c r="J889" s="65"/>
      <c r="K889" s="65"/>
      <c r="L889" s="65"/>
      <c r="M889" s="65"/>
      <c r="N889" s="65"/>
      <c r="O889" s="65"/>
      <c r="P889" s="65"/>
      <c r="Q889" s="65"/>
    </row>
    <row r="890" ht="21.0" customHeight="1">
      <c r="I890" s="65"/>
      <c r="J890" s="65"/>
      <c r="K890" s="65"/>
      <c r="L890" s="65"/>
      <c r="M890" s="65"/>
      <c r="N890" s="65"/>
      <c r="O890" s="65"/>
      <c r="P890" s="65"/>
      <c r="Q890" s="65"/>
    </row>
    <row r="891" ht="21.0" customHeight="1">
      <c r="I891" s="65"/>
      <c r="J891" s="65"/>
      <c r="K891" s="65"/>
      <c r="L891" s="65"/>
      <c r="M891" s="65"/>
      <c r="N891" s="65"/>
      <c r="O891" s="65"/>
      <c r="P891" s="65"/>
      <c r="Q891" s="65"/>
    </row>
    <row r="892" ht="21.0" customHeight="1">
      <c r="I892" s="65"/>
      <c r="J892" s="65"/>
      <c r="K892" s="65"/>
      <c r="L892" s="65"/>
      <c r="M892" s="65"/>
      <c r="N892" s="65"/>
      <c r="O892" s="65"/>
      <c r="P892" s="65"/>
      <c r="Q892" s="65"/>
    </row>
    <row r="893" ht="21.0" customHeight="1">
      <c r="I893" s="65"/>
      <c r="J893" s="65"/>
      <c r="K893" s="65"/>
      <c r="L893" s="65"/>
      <c r="M893" s="65"/>
      <c r="N893" s="65"/>
      <c r="O893" s="65"/>
      <c r="P893" s="65"/>
      <c r="Q893" s="65"/>
    </row>
    <row r="894" ht="21.0" customHeight="1">
      <c r="I894" s="65"/>
      <c r="J894" s="65"/>
      <c r="K894" s="65"/>
      <c r="L894" s="65"/>
      <c r="M894" s="65"/>
      <c r="N894" s="65"/>
      <c r="O894" s="65"/>
      <c r="P894" s="65"/>
      <c r="Q894" s="65"/>
    </row>
    <row r="895" ht="21.0" customHeight="1">
      <c r="I895" s="65"/>
      <c r="J895" s="65"/>
      <c r="K895" s="65"/>
      <c r="L895" s="65"/>
      <c r="M895" s="65"/>
      <c r="N895" s="65"/>
      <c r="O895" s="65"/>
      <c r="P895" s="65"/>
      <c r="Q895" s="65"/>
    </row>
    <row r="896" ht="21.0" customHeight="1">
      <c r="I896" s="65"/>
      <c r="J896" s="65"/>
      <c r="K896" s="65"/>
      <c r="L896" s="65"/>
      <c r="M896" s="65"/>
      <c r="N896" s="65"/>
      <c r="O896" s="65"/>
      <c r="P896" s="65"/>
      <c r="Q896" s="65"/>
    </row>
    <row r="897" ht="21.0" customHeight="1">
      <c r="I897" s="65"/>
      <c r="J897" s="65"/>
      <c r="K897" s="65"/>
      <c r="L897" s="65"/>
      <c r="M897" s="65"/>
      <c r="N897" s="65"/>
      <c r="O897" s="65"/>
      <c r="P897" s="65"/>
      <c r="Q897" s="65"/>
    </row>
    <row r="898" ht="21.0" customHeight="1">
      <c r="I898" s="65"/>
      <c r="J898" s="65"/>
      <c r="K898" s="65"/>
      <c r="L898" s="65"/>
      <c r="M898" s="65"/>
      <c r="N898" s="65"/>
      <c r="O898" s="65"/>
      <c r="P898" s="65"/>
      <c r="Q898" s="65"/>
    </row>
    <row r="899" ht="21.0" customHeight="1">
      <c r="I899" s="65"/>
      <c r="J899" s="65"/>
      <c r="K899" s="65"/>
      <c r="L899" s="65"/>
      <c r="M899" s="65"/>
      <c r="N899" s="65"/>
      <c r="O899" s="65"/>
      <c r="P899" s="65"/>
      <c r="Q899" s="65"/>
    </row>
    <row r="900" ht="21.0" customHeight="1">
      <c r="I900" s="65"/>
      <c r="J900" s="65"/>
      <c r="K900" s="65"/>
      <c r="L900" s="65"/>
      <c r="M900" s="65"/>
      <c r="N900" s="65"/>
      <c r="O900" s="65"/>
      <c r="P900" s="65"/>
      <c r="Q900" s="65"/>
    </row>
    <row r="901" ht="21.0" customHeight="1">
      <c r="I901" s="65"/>
      <c r="J901" s="65"/>
      <c r="K901" s="65"/>
      <c r="L901" s="65"/>
      <c r="M901" s="65"/>
      <c r="N901" s="65"/>
      <c r="O901" s="65"/>
      <c r="P901" s="65"/>
      <c r="Q901" s="65"/>
    </row>
    <row r="902" ht="21.0" customHeight="1">
      <c r="I902" s="65"/>
      <c r="J902" s="65"/>
      <c r="K902" s="65"/>
      <c r="L902" s="65"/>
      <c r="M902" s="65"/>
      <c r="N902" s="65"/>
      <c r="O902" s="65"/>
      <c r="P902" s="65"/>
      <c r="Q902" s="65"/>
    </row>
    <row r="903" ht="21.0" customHeight="1">
      <c r="I903" s="65"/>
      <c r="J903" s="65"/>
      <c r="K903" s="65"/>
      <c r="L903" s="65"/>
      <c r="M903" s="65"/>
      <c r="N903" s="65"/>
      <c r="O903" s="65"/>
      <c r="P903" s="65"/>
      <c r="Q903" s="65"/>
    </row>
    <row r="904" ht="21.0" customHeight="1">
      <c r="I904" s="65"/>
      <c r="J904" s="65"/>
      <c r="K904" s="65"/>
      <c r="L904" s="65"/>
      <c r="M904" s="65"/>
      <c r="N904" s="65"/>
      <c r="O904" s="65"/>
      <c r="P904" s="65"/>
      <c r="Q904" s="65"/>
    </row>
    <row r="905" ht="21.0" customHeight="1">
      <c r="I905" s="65"/>
      <c r="J905" s="65"/>
      <c r="K905" s="65"/>
      <c r="L905" s="65"/>
      <c r="M905" s="65"/>
      <c r="N905" s="65"/>
      <c r="O905" s="65"/>
      <c r="P905" s="65"/>
      <c r="Q905" s="65"/>
    </row>
    <row r="906" ht="21.0" customHeight="1">
      <c r="I906" s="65"/>
      <c r="J906" s="65"/>
      <c r="K906" s="65"/>
      <c r="L906" s="65"/>
      <c r="M906" s="65"/>
      <c r="N906" s="65"/>
      <c r="O906" s="65"/>
      <c r="P906" s="65"/>
      <c r="Q906" s="65"/>
    </row>
    <row r="907" ht="21.0" customHeight="1">
      <c r="I907" s="65"/>
      <c r="J907" s="65"/>
      <c r="K907" s="65"/>
      <c r="L907" s="65"/>
      <c r="M907" s="65"/>
      <c r="N907" s="65"/>
      <c r="O907" s="65"/>
      <c r="P907" s="65"/>
      <c r="Q907" s="65"/>
    </row>
    <row r="908" ht="21.0" customHeight="1">
      <c r="I908" s="65"/>
      <c r="J908" s="65"/>
      <c r="K908" s="65"/>
      <c r="L908" s="65"/>
      <c r="M908" s="65"/>
      <c r="N908" s="65"/>
      <c r="O908" s="65"/>
      <c r="P908" s="65"/>
      <c r="Q908" s="65"/>
    </row>
    <row r="909" ht="21.0" customHeight="1">
      <c r="I909" s="65"/>
      <c r="J909" s="65"/>
      <c r="K909" s="65"/>
      <c r="L909" s="65"/>
      <c r="M909" s="65"/>
      <c r="N909" s="65"/>
      <c r="O909" s="65"/>
      <c r="P909" s="65"/>
      <c r="Q909" s="65"/>
    </row>
    <row r="910" ht="21.0" customHeight="1">
      <c r="I910" s="65"/>
      <c r="J910" s="65"/>
      <c r="K910" s="65"/>
      <c r="L910" s="65"/>
      <c r="M910" s="65"/>
      <c r="N910" s="65"/>
      <c r="O910" s="65"/>
      <c r="P910" s="65"/>
      <c r="Q910" s="65"/>
    </row>
    <row r="911" ht="21.0" customHeight="1">
      <c r="I911" s="65"/>
      <c r="J911" s="65"/>
      <c r="K911" s="65"/>
      <c r="L911" s="65"/>
      <c r="M911" s="65"/>
      <c r="N911" s="65"/>
      <c r="O911" s="65"/>
      <c r="P911" s="65"/>
      <c r="Q911" s="65"/>
    </row>
    <row r="912" ht="21.0" customHeight="1">
      <c r="I912" s="65"/>
      <c r="J912" s="65"/>
      <c r="K912" s="65"/>
      <c r="L912" s="65"/>
      <c r="M912" s="65"/>
      <c r="N912" s="65"/>
      <c r="O912" s="65"/>
      <c r="P912" s="65"/>
      <c r="Q912" s="65"/>
    </row>
    <row r="913" ht="21.0" customHeight="1">
      <c r="I913" s="65"/>
      <c r="J913" s="65"/>
      <c r="K913" s="65"/>
      <c r="L913" s="65"/>
      <c r="M913" s="65"/>
      <c r="N913" s="65"/>
      <c r="O913" s="65"/>
      <c r="P913" s="65"/>
      <c r="Q913" s="65"/>
    </row>
    <row r="914" ht="21.0" customHeight="1">
      <c r="I914" s="65"/>
      <c r="J914" s="65"/>
      <c r="K914" s="65"/>
      <c r="L914" s="65"/>
      <c r="M914" s="65"/>
      <c r="N914" s="65"/>
      <c r="O914" s="65"/>
      <c r="P914" s="65"/>
      <c r="Q914" s="65"/>
    </row>
    <row r="915" ht="21.0" customHeight="1">
      <c r="I915" s="65"/>
      <c r="J915" s="65"/>
      <c r="K915" s="65"/>
      <c r="L915" s="65"/>
      <c r="M915" s="65"/>
      <c r="N915" s="65"/>
      <c r="O915" s="65"/>
      <c r="P915" s="65"/>
      <c r="Q915" s="65"/>
    </row>
    <row r="916" ht="21.0" customHeight="1">
      <c r="I916" s="65"/>
      <c r="J916" s="65"/>
      <c r="K916" s="65"/>
      <c r="L916" s="65"/>
      <c r="M916" s="65"/>
      <c r="N916" s="65"/>
      <c r="O916" s="65"/>
      <c r="P916" s="65"/>
      <c r="Q916" s="65"/>
    </row>
    <row r="917" ht="21.0" customHeight="1">
      <c r="I917" s="65"/>
      <c r="J917" s="65"/>
      <c r="K917" s="65"/>
      <c r="L917" s="65"/>
      <c r="M917" s="65"/>
      <c r="N917" s="65"/>
      <c r="O917" s="65"/>
      <c r="P917" s="65"/>
      <c r="Q917" s="65"/>
    </row>
    <row r="918" ht="21.0" customHeight="1">
      <c r="I918" s="65"/>
      <c r="J918" s="65"/>
      <c r="K918" s="65"/>
      <c r="L918" s="65"/>
      <c r="M918" s="65"/>
      <c r="N918" s="65"/>
      <c r="O918" s="65"/>
      <c r="P918" s="65"/>
      <c r="Q918" s="65"/>
    </row>
    <row r="919" ht="21.0" customHeight="1">
      <c r="I919" s="65"/>
      <c r="J919" s="65"/>
      <c r="K919" s="65"/>
      <c r="L919" s="65"/>
      <c r="M919" s="65"/>
      <c r="N919" s="65"/>
      <c r="O919" s="65"/>
      <c r="P919" s="65"/>
      <c r="Q919" s="65"/>
    </row>
    <row r="920" ht="21.0" customHeight="1">
      <c r="I920" s="65"/>
      <c r="J920" s="65"/>
      <c r="K920" s="65"/>
      <c r="L920" s="65"/>
      <c r="M920" s="65"/>
      <c r="N920" s="65"/>
      <c r="O920" s="65"/>
      <c r="P920" s="65"/>
      <c r="Q920" s="65"/>
    </row>
    <row r="921" ht="21.0" customHeight="1">
      <c r="I921" s="65"/>
      <c r="J921" s="65"/>
      <c r="K921" s="65"/>
      <c r="L921" s="65"/>
      <c r="M921" s="65"/>
      <c r="N921" s="65"/>
      <c r="O921" s="65"/>
      <c r="P921" s="65"/>
      <c r="Q921" s="65"/>
    </row>
    <row r="922" ht="21.0" customHeight="1">
      <c r="I922" s="65"/>
      <c r="J922" s="65"/>
      <c r="K922" s="65"/>
      <c r="L922" s="65"/>
      <c r="M922" s="65"/>
      <c r="N922" s="65"/>
      <c r="O922" s="65"/>
      <c r="P922" s="65"/>
      <c r="Q922" s="65"/>
    </row>
    <row r="923" ht="21.0" customHeight="1">
      <c r="I923" s="65"/>
      <c r="J923" s="65"/>
      <c r="K923" s="65"/>
      <c r="L923" s="65"/>
      <c r="M923" s="65"/>
      <c r="N923" s="65"/>
      <c r="O923" s="65"/>
      <c r="P923" s="65"/>
      <c r="Q923" s="65"/>
    </row>
    <row r="924" ht="21.0" customHeight="1">
      <c r="I924" s="65"/>
      <c r="J924" s="65"/>
      <c r="K924" s="65"/>
      <c r="L924" s="65"/>
      <c r="M924" s="65"/>
      <c r="N924" s="65"/>
      <c r="O924" s="65"/>
      <c r="P924" s="65"/>
      <c r="Q924" s="65"/>
    </row>
    <row r="925" ht="21.0" customHeight="1">
      <c r="I925" s="65"/>
      <c r="J925" s="65"/>
      <c r="K925" s="65"/>
      <c r="L925" s="65"/>
      <c r="M925" s="65"/>
      <c r="N925" s="65"/>
      <c r="O925" s="65"/>
      <c r="P925" s="65"/>
      <c r="Q925" s="65"/>
    </row>
    <row r="926" ht="21.0" customHeight="1">
      <c r="I926" s="65"/>
      <c r="J926" s="65"/>
      <c r="K926" s="65"/>
      <c r="L926" s="65"/>
      <c r="M926" s="65"/>
      <c r="N926" s="65"/>
      <c r="O926" s="65"/>
      <c r="P926" s="65"/>
      <c r="Q926" s="65"/>
    </row>
    <row r="927" ht="21.0" customHeight="1">
      <c r="I927" s="65"/>
      <c r="J927" s="65"/>
      <c r="K927" s="65"/>
      <c r="L927" s="65"/>
      <c r="M927" s="65"/>
      <c r="N927" s="65"/>
      <c r="O927" s="65"/>
      <c r="P927" s="65"/>
      <c r="Q927" s="65"/>
    </row>
    <row r="928" ht="21.0" customHeight="1">
      <c r="I928" s="65"/>
      <c r="J928" s="65"/>
      <c r="K928" s="65"/>
      <c r="L928" s="65"/>
      <c r="M928" s="65"/>
      <c r="N928" s="65"/>
      <c r="O928" s="65"/>
      <c r="P928" s="65"/>
      <c r="Q928" s="65"/>
    </row>
    <row r="929" ht="21.0" customHeight="1">
      <c r="I929" s="65"/>
      <c r="J929" s="65"/>
      <c r="K929" s="65"/>
      <c r="L929" s="65"/>
      <c r="M929" s="65"/>
      <c r="N929" s="65"/>
      <c r="O929" s="65"/>
      <c r="P929" s="65"/>
      <c r="Q929" s="65"/>
    </row>
    <row r="930" ht="21.0" customHeight="1">
      <c r="I930" s="65"/>
      <c r="J930" s="65"/>
      <c r="K930" s="65"/>
      <c r="L930" s="65"/>
      <c r="M930" s="65"/>
      <c r="N930" s="65"/>
      <c r="O930" s="65"/>
      <c r="P930" s="65"/>
      <c r="Q930" s="65"/>
    </row>
    <row r="931" ht="21.0" customHeight="1">
      <c r="I931" s="65"/>
      <c r="J931" s="65"/>
      <c r="K931" s="65"/>
      <c r="L931" s="65"/>
      <c r="M931" s="65"/>
      <c r="N931" s="65"/>
      <c r="O931" s="65"/>
      <c r="P931" s="65"/>
      <c r="Q931" s="65"/>
    </row>
    <row r="932" ht="21.0" customHeight="1">
      <c r="I932" s="65"/>
      <c r="J932" s="65"/>
      <c r="K932" s="65"/>
      <c r="L932" s="65"/>
      <c r="M932" s="65"/>
      <c r="N932" s="65"/>
      <c r="O932" s="65"/>
      <c r="P932" s="65"/>
      <c r="Q932" s="65"/>
    </row>
    <row r="933" ht="21.0" customHeight="1">
      <c r="I933" s="65"/>
      <c r="J933" s="65"/>
      <c r="K933" s="65"/>
      <c r="L933" s="65"/>
      <c r="M933" s="65"/>
      <c r="N933" s="65"/>
      <c r="O933" s="65"/>
      <c r="P933" s="65"/>
      <c r="Q933" s="65"/>
    </row>
    <row r="934" ht="21.0" customHeight="1">
      <c r="I934" s="65"/>
      <c r="J934" s="65"/>
      <c r="K934" s="65"/>
      <c r="L934" s="65"/>
      <c r="M934" s="65"/>
      <c r="N934" s="65"/>
      <c r="O934" s="65"/>
      <c r="P934" s="65"/>
      <c r="Q934" s="65"/>
    </row>
    <row r="935" ht="21.0" customHeight="1">
      <c r="I935" s="65"/>
      <c r="J935" s="65"/>
      <c r="K935" s="65"/>
      <c r="L935" s="65"/>
      <c r="M935" s="65"/>
      <c r="N935" s="65"/>
      <c r="O935" s="65"/>
      <c r="P935" s="65"/>
      <c r="Q935" s="65"/>
    </row>
    <row r="936" ht="21.0" customHeight="1">
      <c r="I936" s="65"/>
      <c r="J936" s="65"/>
      <c r="K936" s="65"/>
      <c r="L936" s="65"/>
      <c r="M936" s="65"/>
      <c r="N936" s="65"/>
      <c r="O936" s="65"/>
      <c r="P936" s="65"/>
      <c r="Q936" s="65"/>
    </row>
    <row r="937" ht="21.0" customHeight="1">
      <c r="I937" s="65"/>
      <c r="J937" s="65"/>
      <c r="K937" s="65"/>
      <c r="L937" s="65"/>
      <c r="M937" s="65"/>
      <c r="N937" s="65"/>
      <c r="O937" s="65"/>
      <c r="P937" s="65"/>
      <c r="Q937" s="65"/>
    </row>
    <row r="938" ht="21.0" customHeight="1">
      <c r="I938" s="65"/>
      <c r="J938" s="65"/>
      <c r="K938" s="65"/>
      <c r="L938" s="65"/>
      <c r="M938" s="65"/>
      <c r="N938" s="65"/>
      <c r="O938" s="65"/>
      <c r="P938" s="65"/>
      <c r="Q938" s="65"/>
    </row>
    <row r="939" ht="21.0" customHeight="1">
      <c r="I939" s="65"/>
      <c r="J939" s="65"/>
      <c r="K939" s="65"/>
      <c r="L939" s="65"/>
      <c r="M939" s="65"/>
      <c r="N939" s="65"/>
      <c r="O939" s="65"/>
      <c r="P939" s="65"/>
      <c r="Q939" s="65"/>
    </row>
    <row r="940" ht="21.0" customHeight="1">
      <c r="I940" s="65"/>
      <c r="J940" s="65"/>
      <c r="K940" s="65"/>
      <c r="L940" s="65"/>
      <c r="M940" s="65"/>
      <c r="N940" s="65"/>
      <c r="O940" s="65"/>
      <c r="P940" s="65"/>
      <c r="Q940" s="65"/>
    </row>
    <row r="941" ht="21.0" customHeight="1">
      <c r="I941" s="65"/>
      <c r="J941" s="65"/>
      <c r="K941" s="65"/>
      <c r="L941" s="65"/>
      <c r="M941" s="65"/>
      <c r="N941" s="65"/>
      <c r="O941" s="65"/>
      <c r="P941" s="65"/>
      <c r="Q941" s="65"/>
    </row>
    <row r="942" ht="21.0" customHeight="1">
      <c r="I942" s="65"/>
      <c r="J942" s="65"/>
      <c r="K942" s="65"/>
      <c r="L942" s="65"/>
      <c r="M942" s="65"/>
      <c r="N942" s="65"/>
      <c r="O942" s="65"/>
      <c r="P942" s="65"/>
      <c r="Q942" s="65"/>
    </row>
    <row r="943" ht="21.0" customHeight="1">
      <c r="I943" s="65"/>
      <c r="J943" s="65"/>
      <c r="K943" s="65"/>
      <c r="L943" s="65"/>
      <c r="M943" s="65"/>
      <c r="N943" s="65"/>
      <c r="O943" s="65"/>
      <c r="P943" s="65"/>
      <c r="Q943" s="65"/>
    </row>
    <row r="944" ht="21.0" customHeight="1">
      <c r="I944" s="65"/>
      <c r="J944" s="65"/>
      <c r="K944" s="65"/>
      <c r="L944" s="65"/>
      <c r="M944" s="65"/>
      <c r="N944" s="65"/>
      <c r="O944" s="65"/>
      <c r="P944" s="65"/>
      <c r="Q944" s="65"/>
    </row>
    <row r="945" ht="21.0" customHeight="1">
      <c r="I945" s="65"/>
      <c r="J945" s="65"/>
      <c r="K945" s="65"/>
      <c r="L945" s="65"/>
      <c r="M945" s="65"/>
      <c r="N945" s="65"/>
      <c r="O945" s="65"/>
      <c r="P945" s="65"/>
      <c r="Q945" s="65"/>
    </row>
    <row r="946" ht="21.0" customHeight="1">
      <c r="I946" s="65"/>
      <c r="J946" s="65"/>
      <c r="K946" s="65"/>
      <c r="L946" s="65"/>
      <c r="M946" s="65"/>
      <c r="N946" s="65"/>
      <c r="O946" s="65"/>
      <c r="P946" s="65"/>
      <c r="Q946" s="65"/>
    </row>
    <row r="947" ht="21.0" customHeight="1">
      <c r="I947" s="65"/>
      <c r="J947" s="65"/>
      <c r="K947" s="65"/>
      <c r="L947" s="65"/>
      <c r="M947" s="65"/>
      <c r="N947" s="65"/>
      <c r="O947" s="65"/>
      <c r="P947" s="65"/>
      <c r="Q947" s="65"/>
    </row>
    <row r="948" ht="21.0" customHeight="1">
      <c r="I948" s="65"/>
      <c r="J948" s="65"/>
      <c r="K948" s="65"/>
      <c r="L948" s="65"/>
      <c r="M948" s="65"/>
      <c r="N948" s="65"/>
      <c r="O948" s="65"/>
      <c r="P948" s="65"/>
      <c r="Q948" s="65"/>
    </row>
    <row r="949" ht="21.0" customHeight="1">
      <c r="I949" s="65"/>
      <c r="J949" s="65"/>
      <c r="K949" s="65"/>
      <c r="L949" s="65"/>
      <c r="M949" s="65"/>
      <c r="N949" s="65"/>
      <c r="O949" s="65"/>
      <c r="P949" s="65"/>
      <c r="Q949" s="65"/>
    </row>
    <row r="950" ht="21.0" customHeight="1">
      <c r="I950" s="65"/>
      <c r="J950" s="65"/>
      <c r="K950" s="65"/>
      <c r="L950" s="65"/>
      <c r="M950" s="65"/>
      <c r="N950" s="65"/>
      <c r="O950" s="65"/>
      <c r="P950" s="65"/>
      <c r="Q950" s="65"/>
    </row>
    <row r="951" ht="21.0" customHeight="1">
      <c r="I951" s="65"/>
      <c r="J951" s="65"/>
      <c r="K951" s="65"/>
      <c r="L951" s="65"/>
      <c r="M951" s="65"/>
      <c r="N951" s="65"/>
      <c r="O951" s="65"/>
      <c r="P951" s="65"/>
      <c r="Q951" s="65"/>
    </row>
    <row r="952" ht="21.0" customHeight="1">
      <c r="I952" s="65"/>
      <c r="J952" s="65"/>
      <c r="K952" s="65"/>
      <c r="L952" s="65"/>
      <c r="M952" s="65"/>
      <c r="N952" s="65"/>
      <c r="O952" s="65"/>
      <c r="P952" s="65"/>
      <c r="Q952" s="65"/>
    </row>
    <row r="953" ht="21.0" customHeight="1">
      <c r="I953" s="65"/>
      <c r="J953" s="65"/>
      <c r="K953" s="65"/>
      <c r="L953" s="65"/>
      <c r="M953" s="65"/>
      <c r="N953" s="65"/>
      <c r="O953" s="65"/>
      <c r="P953" s="65"/>
      <c r="Q953" s="65"/>
    </row>
    <row r="954" ht="21.0" customHeight="1">
      <c r="I954" s="65"/>
      <c r="J954" s="65"/>
      <c r="K954" s="65"/>
      <c r="L954" s="65"/>
      <c r="M954" s="65"/>
      <c r="N954" s="65"/>
      <c r="O954" s="65"/>
      <c r="P954" s="65"/>
      <c r="Q954" s="65"/>
    </row>
    <row r="955" ht="21.0" customHeight="1">
      <c r="I955" s="65"/>
      <c r="J955" s="65"/>
      <c r="K955" s="65"/>
      <c r="L955" s="65"/>
      <c r="M955" s="65"/>
      <c r="N955" s="65"/>
      <c r="O955" s="65"/>
      <c r="P955" s="65"/>
      <c r="Q955" s="65"/>
    </row>
    <row r="956" ht="21.0" customHeight="1">
      <c r="I956" s="65"/>
      <c r="J956" s="65"/>
      <c r="K956" s="65"/>
      <c r="L956" s="65"/>
      <c r="M956" s="65"/>
      <c r="N956" s="65"/>
      <c r="O956" s="65"/>
      <c r="P956" s="65"/>
      <c r="Q956" s="65"/>
    </row>
    <row r="957" ht="21.0" customHeight="1">
      <c r="I957" s="65"/>
      <c r="J957" s="65"/>
      <c r="K957" s="65"/>
      <c r="L957" s="65"/>
      <c r="M957" s="65"/>
      <c r="N957" s="65"/>
      <c r="O957" s="65"/>
      <c r="P957" s="65"/>
      <c r="Q957" s="65"/>
    </row>
    <row r="958" ht="21.0" customHeight="1">
      <c r="I958" s="65"/>
      <c r="J958" s="65"/>
      <c r="K958" s="65"/>
      <c r="L958" s="65"/>
      <c r="M958" s="65"/>
      <c r="N958" s="65"/>
      <c r="O958" s="65"/>
      <c r="P958" s="65"/>
      <c r="Q958" s="65"/>
    </row>
    <row r="959" ht="21.0" customHeight="1">
      <c r="I959" s="65"/>
      <c r="J959" s="65"/>
      <c r="K959" s="65"/>
      <c r="L959" s="65"/>
      <c r="M959" s="65"/>
      <c r="N959" s="65"/>
      <c r="O959" s="65"/>
      <c r="P959" s="65"/>
      <c r="Q959" s="65"/>
    </row>
    <row r="960" ht="21.0" customHeight="1">
      <c r="I960" s="65"/>
      <c r="J960" s="65"/>
      <c r="K960" s="65"/>
      <c r="L960" s="65"/>
      <c r="M960" s="65"/>
      <c r="N960" s="65"/>
      <c r="O960" s="65"/>
      <c r="P960" s="65"/>
      <c r="Q960" s="65"/>
    </row>
    <row r="961" ht="21.0" customHeight="1">
      <c r="I961" s="65"/>
      <c r="J961" s="65"/>
      <c r="K961" s="65"/>
      <c r="L961" s="65"/>
      <c r="M961" s="65"/>
      <c r="N961" s="65"/>
      <c r="O961" s="65"/>
      <c r="P961" s="65"/>
      <c r="Q961" s="65"/>
    </row>
    <row r="962" ht="21.0" customHeight="1">
      <c r="I962" s="65"/>
      <c r="J962" s="65"/>
      <c r="K962" s="65"/>
      <c r="L962" s="65"/>
      <c r="M962" s="65"/>
      <c r="N962" s="65"/>
      <c r="O962" s="65"/>
      <c r="P962" s="65"/>
      <c r="Q962" s="65"/>
    </row>
    <row r="963" ht="21.0" customHeight="1">
      <c r="I963" s="65"/>
      <c r="J963" s="65"/>
      <c r="K963" s="65"/>
      <c r="L963" s="65"/>
      <c r="M963" s="65"/>
      <c r="N963" s="65"/>
      <c r="O963" s="65"/>
      <c r="P963" s="65"/>
      <c r="Q963" s="65"/>
    </row>
    <row r="964" ht="21.0" customHeight="1">
      <c r="I964" s="65"/>
      <c r="J964" s="65"/>
      <c r="K964" s="65"/>
      <c r="L964" s="65"/>
      <c r="M964" s="65"/>
      <c r="N964" s="65"/>
      <c r="O964" s="65"/>
      <c r="P964" s="65"/>
      <c r="Q964" s="65"/>
    </row>
    <row r="965" ht="21.0" customHeight="1">
      <c r="I965" s="65"/>
      <c r="J965" s="65"/>
      <c r="K965" s="65"/>
      <c r="L965" s="65"/>
      <c r="M965" s="65"/>
      <c r="N965" s="65"/>
      <c r="O965" s="65"/>
      <c r="P965" s="65"/>
      <c r="Q965" s="65"/>
    </row>
    <row r="966" ht="21.0" customHeight="1">
      <c r="I966" s="65"/>
      <c r="J966" s="65"/>
      <c r="K966" s="65"/>
      <c r="L966" s="65"/>
      <c r="M966" s="65"/>
      <c r="N966" s="65"/>
      <c r="O966" s="65"/>
      <c r="P966" s="65"/>
      <c r="Q966" s="65"/>
    </row>
    <row r="967" ht="21.0" customHeight="1">
      <c r="I967" s="65"/>
      <c r="J967" s="65"/>
      <c r="K967" s="65"/>
      <c r="L967" s="65"/>
      <c r="M967" s="65"/>
      <c r="N967" s="65"/>
      <c r="O967" s="65"/>
      <c r="P967" s="65"/>
      <c r="Q967" s="65"/>
    </row>
    <row r="968" ht="21.0" customHeight="1">
      <c r="I968" s="65"/>
      <c r="J968" s="65"/>
      <c r="K968" s="65"/>
      <c r="L968" s="65"/>
      <c r="M968" s="65"/>
      <c r="N968" s="65"/>
      <c r="O968" s="65"/>
      <c r="P968" s="65"/>
      <c r="Q968" s="65"/>
    </row>
    <row r="969" ht="21.0" customHeight="1">
      <c r="I969" s="65"/>
      <c r="J969" s="65"/>
      <c r="K969" s="65"/>
      <c r="L969" s="65"/>
      <c r="M969" s="65"/>
      <c r="N969" s="65"/>
      <c r="O969" s="65"/>
      <c r="P969" s="65"/>
      <c r="Q969" s="65"/>
    </row>
    <row r="970" ht="21.0" customHeight="1">
      <c r="I970" s="65"/>
      <c r="J970" s="65"/>
      <c r="K970" s="65"/>
      <c r="L970" s="65"/>
      <c r="M970" s="65"/>
      <c r="N970" s="65"/>
      <c r="O970" s="65"/>
      <c r="P970" s="65"/>
      <c r="Q970" s="65"/>
    </row>
    <row r="971" ht="21.0" customHeight="1">
      <c r="I971" s="65"/>
      <c r="J971" s="65"/>
      <c r="K971" s="65"/>
      <c r="L971" s="65"/>
      <c r="M971" s="65"/>
      <c r="N971" s="65"/>
      <c r="O971" s="65"/>
      <c r="P971" s="65"/>
      <c r="Q971" s="65"/>
    </row>
    <row r="972" ht="21.0" customHeight="1">
      <c r="I972" s="65"/>
      <c r="J972" s="65"/>
      <c r="K972" s="65"/>
      <c r="L972" s="65"/>
      <c r="M972" s="65"/>
      <c r="N972" s="65"/>
      <c r="O972" s="65"/>
      <c r="P972" s="65"/>
      <c r="Q972" s="65"/>
    </row>
    <row r="973" ht="21.0" customHeight="1">
      <c r="I973" s="65"/>
      <c r="J973" s="65"/>
      <c r="K973" s="65"/>
      <c r="L973" s="65"/>
      <c r="M973" s="65"/>
      <c r="N973" s="65"/>
      <c r="O973" s="65"/>
      <c r="P973" s="65"/>
      <c r="Q973" s="65"/>
    </row>
    <row r="974" ht="21.0" customHeight="1">
      <c r="I974" s="65"/>
      <c r="J974" s="65"/>
      <c r="K974" s="65"/>
      <c r="L974" s="65"/>
      <c r="M974" s="65"/>
      <c r="N974" s="65"/>
      <c r="O974" s="65"/>
      <c r="P974" s="65"/>
      <c r="Q974" s="65"/>
    </row>
    <row r="975" ht="21.0" customHeight="1">
      <c r="I975" s="65"/>
      <c r="J975" s="65"/>
      <c r="K975" s="65"/>
      <c r="L975" s="65"/>
      <c r="M975" s="65"/>
      <c r="N975" s="65"/>
      <c r="O975" s="65"/>
      <c r="P975" s="65"/>
      <c r="Q975" s="65"/>
    </row>
    <row r="976" ht="21.0" customHeight="1">
      <c r="I976" s="65"/>
      <c r="J976" s="65"/>
      <c r="K976" s="65"/>
      <c r="L976" s="65"/>
      <c r="M976" s="65"/>
      <c r="N976" s="65"/>
      <c r="O976" s="65"/>
      <c r="P976" s="65"/>
      <c r="Q976" s="65"/>
    </row>
    <row r="977" ht="21.0" customHeight="1">
      <c r="I977" s="65"/>
      <c r="J977" s="65"/>
      <c r="K977" s="65"/>
      <c r="L977" s="65"/>
      <c r="M977" s="65"/>
      <c r="N977" s="65"/>
      <c r="O977" s="65"/>
      <c r="P977" s="65"/>
      <c r="Q977" s="65"/>
    </row>
    <row r="978" ht="21.0" customHeight="1">
      <c r="I978" s="65"/>
      <c r="J978" s="65"/>
      <c r="K978" s="65"/>
      <c r="L978" s="65"/>
      <c r="M978" s="65"/>
      <c r="N978" s="65"/>
      <c r="O978" s="65"/>
      <c r="P978" s="65"/>
      <c r="Q978" s="65"/>
    </row>
    <row r="979" ht="21.0" customHeight="1">
      <c r="I979" s="65"/>
      <c r="J979" s="65"/>
      <c r="K979" s="65"/>
      <c r="L979" s="65"/>
      <c r="M979" s="65"/>
      <c r="N979" s="65"/>
      <c r="O979" s="65"/>
      <c r="P979" s="65"/>
      <c r="Q979" s="65"/>
    </row>
    <row r="980" ht="21.0" customHeight="1">
      <c r="I980" s="65"/>
      <c r="J980" s="65"/>
      <c r="K980" s="65"/>
      <c r="L980" s="65"/>
      <c r="M980" s="65"/>
      <c r="N980" s="65"/>
      <c r="O980" s="65"/>
      <c r="P980" s="65"/>
      <c r="Q980" s="65"/>
    </row>
    <row r="981" ht="21.0" customHeight="1">
      <c r="I981" s="65"/>
      <c r="J981" s="65"/>
      <c r="K981" s="65"/>
      <c r="L981" s="65"/>
      <c r="M981" s="65"/>
      <c r="N981" s="65"/>
      <c r="O981" s="65"/>
      <c r="P981" s="65"/>
      <c r="Q981" s="65"/>
    </row>
    <row r="982" ht="21.0" customHeight="1">
      <c r="I982" s="65"/>
      <c r="J982" s="65"/>
      <c r="K982" s="65"/>
      <c r="L982" s="65"/>
      <c r="M982" s="65"/>
      <c r="N982" s="65"/>
      <c r="O982" s="65"/>
      <c r="P982" s="65"/>
      <c r="Q982" s="65"/>
    </row>
    <row r="983" ht="21.0" customHeight="1">
      <c r="I983" s="65"/>
      <c r="J983" s="65"/>
      <c r="K983" s="65"/>
      <c r="L983" s="65"/>
      <c r="M983" s="65"/>
      <c r="N983" s="65"/>
      <c r="O983" s="65"/>
      <c r="P983" s="65"/>
      <c r="Q983" s="65"/>
    </row>
    <row r="984" ht="21.0" customHeight="1">
      <c r="I984" s="65"/>
      <c r="J984" s="65"/>
      <c r="K984" s="65"/>
      <c r="L984" s="65"/>
      <c r="M984" s="65"/>
      <c r="N984" s="65"/>
      <c r="O984" s="65"/>
      <c r="P984" s="65"/>
      <c r="Q984" s="65"/>
    </row>
    <row r="985" ht="21.0" customHeight="1">
      <c r="I985" s="65"/>
      <c r="J985" s="65"/>
      <c r="K985" s="65"/>
      <c r="L985" s="65"/>
      <c r="M985" s="65"/>
      <c r="N985" s="65"/>
      <c r="O985" s="65"/>
      <c r="P985" s="65"/>
      <c r="Q985" s="65"/>
    </row>
    <row r="986" ht="21.0" customHeight="1">
      <c r="I986" s="65"/>
      <c r="J986" s="65"/>
      <c r="K986" s="65"/>
      <c r="L986" s="65"/>
      <c r="M986" s="65"/>
      <c r="N986" s="65"/>
      <c r="O986" s="65"/>
      <c r="P986" s="65"/>
      <c r="Q986" s="65"/>
    </row>
    <row r="987" ht="21.0" customHeight="1">
      <c r="I987" s="65"/>
      <c r="J987" s="65"/>
      <c r="K987" s="65"/>
      <c r="L987" s="65"/>
      <c r="M987" s="65"/>
      <c r="N987" s="65"/>
      <c r="O987" s="65"/>
      <c r="P987" s="65"/>
      <c r="Q987" s="65"/>
    </row>
    <row r="988" ht="21.0" customHeight="1">
      <c r="I988" s="65"/>
      <c r="J988" s="65"/>
      <c r="K988" s="65"/>
      <c r="L988" s="65"/>
      <c r="M988" s="65"/>
      <c r="N988" s="65"/>
      <c r="O988" s="65"/>
      <c r="P988" s="65"/>
      <c r="Q988" s="65"/>
    </row>
    <row r="989" ht="21.0" customHeight="1">
      <c r="I989" s="65"/>
      <c r="J989" s="65"/>
      <c r="K989" s="65"/>
      <c r="L989" s="65"/>
      <c r="M989" s="65"/>
      <c r="N989" s="65"/>
      <c r="O989" s="65"/>
      <c r="P989" s="65"/>
      <c r="Q989" s="65"/>
    </row>
    <row r="990" ht="21.0" customHeight="1">
      <c r="I990" s="65"/>
      <c r="J990" s="65"/>
      <c r="K990" s="65"/>
      <c r="L990" s="65"/>
      <c r="M990" s="65"/>
      <c r="N990" s="65"/>
      <c r="O990" s="65"/>
      <c r="P990" s="65"/>
      <c r="Q990" s="65"/>
    </row>
    <row r="991" ht="21.0" customHeight="1">
      <c r="I991" s="65"/>
      <c r="J991" s="65"/>
      <c r="K991" s="65"/>
      <c r="L991" s="65"/>
      <c r="M991" s="65"/>
      <c r="N991" s="65"/>
      <c r="O991" s="65"/>
      <c r="P991" s="65"/>
      <c r="Q991" s="65"/>
    </row>
    <row r="992" ht="21.0" customHeight="1">
      <c r="I992" s="65"/>
      <c r="J992" s="65"/>
      <c r="K992" s="65"/>
      <c r="L992" s="65"/>
      <c r="M992" s="65"/>
      <c r="N992" s="65"/>
      <c r="O992" s="65"/>
      <c r="P992" s="65"/>
      <c r="Q992" s="65"/>
    </row>
    <row r="993" ht="21.0" customHeight="1">
      <c r="I993" s="65"/>
      <c r="J993" s="65"/>
      <c r="K993" s="65"/>
      <c r="L993" s="65"/>
      <c r="M993" s="65"/>
      <c r="N993" s="65"/>
      <c r="O993" s="65"/>
      <c r="P993" s="65"/>
      <c r="Q993" s="65"/>
    </row>
    <row r="994" ht="21.0" customHeight="1">
      <c r="I994" s="65"/>
      <c r="J994" s="65"/>
      <c r="K994" s="65"/>
      <c r="L994" s="65"/>
      <c r="M994" s="65"/>
      <c r="N994" s="65"/>
      <c r="O994" s="65"/>
      <c r="P994" s="65"/>
      <c r="Q994" s="65"/>
    </row>
    <row r="995" ht="21.0" customHeight="1">
      <c r="I995" s="65"/>
      <c r="J995" s="65"/>
      <c r="K995" s="65"/>
      <c r="L995" s="65"/>
      <c r="M995" s="65"/>
      <c r="N995" s="65"/>
      <c r="O995" s="65"/>
      <c r="P995" s="65"/>
      <c r="Q995" s="65"/>
    </row>
    <row r="996" ht="21.0" customHeight="1">
      <c r="I996" s="65"/>
      <c r="J996" s="65"/>
      <c r="K996" s="65"/>
      <c r="L996" s="65"/>
      <c r="M996" s="65"/>
      <c r="N996" s="65"/>
      <c r="O996" s="65"/>
      <c r="P996" s="65"/>
      <c r="Q996" s="65"/>
    </row>
    <row r="997" ht="21.0" customHeight="1">
      <c r="I997" s="65"/>
      <c r="J997" s="65"/>
      <c r="K997" s="65"/>
      <c r="L997" s="65"/>
      <c r="M997" s="65"/>
      <c r="N997" s="65"/>
      <c r="O997" s="65"/>
      <c r="P997" s="65"/>
      <c r="Q997" s="65"/>
    </row>
    <row r="998" ht="21.0" customHeight="1">
      <c r="I998" s="65"/>
      <c r="J998" s="65"/>
      <c r="K998" s="65"/>
      <c r="L998" s="65"/>
      <c r="M998" s="65"/>
      <c r="N998" s="65"/>
      <c r="O998" s="65"/>
      <c r="P998" s="65"/>
      <c r="Q998" s="65"/>
    </row>
    <row r="999" ht="21.0" customHeight="1">
      <c r="I999" s="65"/>
      <c r="J999" s="65"/>
      <c r="K999" s="65"/>
      <c r="L999" s="65"/>
      <c r="M999" s="65"/>
      <c r="N999" s="65"/>
      <c r="O999" s="65"/>
      <c r="P999" s="65"/>
      <c r="Q999" s="65"/>
    </row>
    <row r="1000" ht="21.0" customHeight="1">
      <c r="I1000" s="65"/>
      <c r="J1000" s="65"/>
      <c r="K1000" s="65"/>
      <c r="L1000" s="65"/>
      <c r="M1000" s="65"/>
      <c r="N1000" s="65"/>
      <c r="O1000" s="65"/>
      <c r="P1000" s="65"/>
      <c r="Q1000" s="65"/>
    </row>
  </sheetData>
  <customSheetViews>
    <customSheetView guid="{8F2E7E27-8319-4556-9AB2-7C5468732A3B}" filter="1" showAutoFilter="1">
      <autoFilter ref="$A$1:$R$248"/>
    </customSheetView>
  </customSheetView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s>
  <drawing r:id="rId248"/>
  <tableParts count="1">
    <tablePart r:id="rId250"/>
  </tableParts>
  <extLst>
    <ext uri="{3A4CF648-6AED-40f4-86FF-DC5316D8AED3}">
      <x14:slicerList>
        <x14:slicer r:id="rId251"/>
      </x14:slicerList>
    </ext>
  </extLst>
</worksheet>
</file>