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epinef\Desktop\AAV\"/>
    </mc:Choice>
  </mc:AlternateContent>
  <xr:revisionPtr revIDLastSave="0" documentId="13_ncr:1_{2FE2CCB6-65C9-4D28-9F38-47125D08D008}" xr6:coauthVersionLast="47" xr6:coauthVersionMax="47" xr10:uidLastSave="{00000000-0000-0000-0000-000000000000}"/>
  <bookViews>
    <workbookView xWindow="-104" yWindow="-104" windowWidth="22326" windowHeight="11947" xr2:uid="{62315A25-5649-40EC-B779-DEF672E42B3D}"/>
  </bookViews>
  <sheets>
    <sheet name="Sheet1" sheetId="1" r:id="rId1"/>
    <sheet name="Плазмиды" sheetId="2" r:id="rId2"/>
    <sheet name="Трансдукция ААВ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N26" i="1"/>
  <c r="B28" i="1"/>
  <c r="C28" i="1" s="1"/>
  <c r="H27" i="1"/>
  <c r="J27" i="1" s="1"/>
  <c r="B27" i="1"/>
  <c r="C27" i="1" s="1"/>
  <c r="B26" i="1"/>
  <c r="C26" i="1" s="1"/>
  <c r="S15" i="1"/>
  <c r="R15" i="1"/>
  <c r="S10" i="1"/>
  <c r="R10" i="1"/>
  <c r="N11" i="1"/>
  <c r="N10" i="1"/>
  <c r="N9" i="1"/>
  <c r="N16" i="1"/>
  <c r="N15" i="1"/>
  <c r="N14" i="1"/>
  <c r="N23" i="1"/>
  <c r="N22" i="1"/>
  <c r="N21" i="1"/>
  <c r="S22" i="1"/>
  <c r="J22" i="1"/>
  <c r="H22" i="1"/>
  <c r="C23" i="1"/>
  <c r="C22" i="1"/>
  <c r="C21" i="1"/>
  <c r="E21" i="1" s="1"/>
  <c r="H6" i="1"/>
  <c r="H10" i="1"/>
  <c r="J10" i="1" s="1"/>
  <c r="L10" i="1" s="1"/>
  <c r="C6" i="1"/>
  <c r="H15" i="1" s="1"/>
  <c r="J15" i="1" s="1"/>
  <c r="D6" i="1"/>
  <c r="J6" i="1" s="1"/>
  <c r="B16" i="1"/>
  <c r="C16" i="1" s="1"/>
  <c r="B15" i="1"/>
  <c r="C15" i="1" s="1"/>
  <c r="B14" i="1"/>
  <c r="C14" i="1" s="1"/>
  <c r="F5" i="3"/>
  <c r="C5" i="3"/>
  <c r="I5" i="3"/>
  <c r="E4" i="3"/>
  <c r="C4" i="3"/>
  <c r="B4" i="3"/>
  <c r="H22" i="3"/>
  <c r="H23" i="3"/>
  <c r="H24" i="3"/>
  <c r="E22" i="3"/>
  <c r="H14" i="3"/>
  <c r="I14" i="3" s="1"/>
  <c r="D12" i="3"/>
  <c r="F12" i="3" s="1"/>
  <c r="D13" i="3"/>
  <c r="D14" i="3"/>
  <c r="F14" i="3" s="1"/>
  <c r="D22" i="3"/>
  <c r="I22" i="3" s="1"/>
  <c r="D23" i="3"/>
  <c r="D24" i="3"/>
  <c r="F24" i="3" s="1"/>
  <c r="C24" i="3"/>
  <c r="H12" i="3"/>
  <c r="H13" i="3"/>
  <c r="F13" i="3"/>
  <c r="E12" i="3"/>
  <c r="C14" i="3"/>
  <c r="C23" i="3"/>
  <c r="C22" i="3"/>
  <c r="B22" i="3"/>
  <c r="C13" i="3"/>
  <c r="C12" i="3"/>
  <c r="B12" i="3"/>
  <c r="H4" i="3"/>
  <c r="H5" i="3"/>
  <c r="B10" i="1"/>
  <c r="C10" i="1" s="1"/>
  <c r="E10" i="1" s="1"/>
  <c r="B11" i="1"/>
  <c r="C11" i="1" s="1"/>
  <c r="E11" i="1" s="1"/>
  <c r="B9" i="1"/>
  <c r="C9" i="1" s="1"/>
  <c r="L27" i="1" l="1"/>
  <c r="E26" i="1"/>
  <c r="E27" i="1"/>
  <c r="E28" i="1"/>
  <c r="S27" i="1"/>
  <c r="I6" i="1"/>
  <c r="E22" i="1"/>
  <c r="L22" i="1"/>
  <c r="E23" i="1"/>
  <c r="L15" i="1"/>
  <c r="E16" i="1"/>
  <c r="E15" i="1"/>
  <c r="E14" i="1"/>
  <c r="D4" i="3"/>
  <c r="F4" i="3" s="1"/>
  <c r="D5" i="3"/>
  <c r="I23" i="3"/>
  <c r="F22" i="3"/>
  <c r="I24" i="3"/>
  <c r="F23" i="3"/>
  <c r="I13" i="3"/>
  <c r="I12" i="3"/>
  <c r="E9" i="1"/>
  <c r="F26" i="1" l="1"/>
  <c r="M27" i="1" s="1"/>
  <c r="F21" i="1"/>
  <c r="M21" i="1" s="1"/>
  <c r="F14" i="1"/>
  <c r="M15" i="1" s="1"/>
  <c r="F9" i="1"/>
  <c r="M10" i="1" s="1"/>
  <c r="I4" i="3"/>
  <c r="P27" i="1" l="1"/>
  <c r="N28" i="1"/>
  <c r="P28" i="1" s="1"/>
  <c r="P26" i="1"/>
  <c r="Q26" i="1" s="1"/>
  <c r="R27" i="1" s="1"/>
  <c r="P14" i="1"/>
  <c r="P15" i="1"/>
  <c r="P22" i="1"/>
  <c r="P23" i="1"/>
  <c r="P21" i="1"/>
  <c r="P16" i="1"/>
  <c r="P9" i="1"/>
  <c r="P10" i="1"/>
  <c r="P11" i="1"/>
  <c r="Q14" i="1" l="1"/>
  <c r="Q21" i="1"/>
  <c r="R22" i="1" s="1"/>
  <c r="Q9" i="1"/>
</calcChain>
</file>

<file path=xl/sharedStrings.xml><?xml version="1.0" encoding="utf-8"?>
<sst xmlns="http://schemas.openxmlformats.org/spreadsheetml/2006/main" count="106" uniqueCount="70">
  <si>
    <t xml:space="preserve">Название плазмиды </t>
  </si>
  <si>
    <t>Соотношение плазмид</t>
  </si>
  <si>
    <t xml:space="preserve">Кол-во ДНК с учетом соотношения </t>
  </si>
  <si>
    <t xml:space="preserve">Днк всего </t>
  </si>
  <si>
    <t>Кол-во ДНК на 1 мл КЖ</t>
  </si>
  <si>
    <t>Объем наработки</t>
  </si>
  <si>
    <t>Суммарное кол-во плазмид</t>
  </si>
  <si>
    <t>Соотношение PEI/DNA</t>
  </si>
  <si>
    <t>Коэффициент</t>
  </si>
  <si>
    <t>pAAV-Helper (Сириус)</t>
  </si>
  <si>
    <t>Название плазмиды</t>
  </si>
  <si>
    <t>Источник</t>
  </si>
  <si>
    <t>pAAV-Helper</t>
  </si>
  <si>
    <t>Сириус</t>
  </si>
  <si>
    <t>Китай</t>
  </si>
  <si>
    <t>pITR GFP</t>
  </si>
  <si>
    <t xml:space="preserve">Китай </t>
  </si>
  <si>
    <t>AAV-CMV-EGFP</t>
  </si>
  <si>
    <t>Длина плазмиды, bp</t>
  </si>
  <si>
    <t>AAV2/9</t>
  </si>
  <si>
    <t>AAV2/6</t>
  </si>
  <si>
    <t>AAV2/5</t>
  </si>
  <si>
    <t>AAV2/2</t>
  </si>
  <si>
    <t>AAV2/6 (Сириус)</t>
  </si>
  <si>
    <t>AAV-CMV-EGFP (Сириус)</t>
  </si>
  <si>
    <t>Кол-во мкг на 1 pmol</t>
  </si>
  <si>
    <t>1xT175</t>
  </si>
  <si>
    <t>Объем плазмид, мкл</t>
  </si>
  <si>
    <t>Концентрация плазмид, мкг/мкл</t>
  </si>
  <si>
    <t>Общий объем пламид, мкл</t>
  </si>
  <si>
    <t xml:space="preserve">Суммарное кол-во PEI, мкл </t>
  </si>
  <si>
    <t>Сколько среды к ДНК, мл</t>
  </si>
  <si>
    <t>Сколько среды к PEI, мл</t>
  </si>
  <si>
    <t>Клетки</t>
  </si>
  <si>
    <t>Кератоциты</t>
  </si>
  <si>
    <t>Количество клеток на лунку</t>
  </si>
  <si>
    <t>MOI</t>
  </si>
  <si>
    <t>C исх</t>
  </si>
  <si>
    <t>AAV5</t>
  </si>
  <si>
    <t xml:space="preserve">разведение </t>
  </si>
  <si>
    <t>всего VG/well</t>
  </si>
  <si>
    <t>V нужен вируса из стока</t>
  </si>
  <si>
    <t>V разведения</t>
  </si>
  <si>
    <t xml:space="preserve">С разведения </t>
  </si>
  <si>
    <t>AAV6</t>
  </si>
  <si>
    <t>AAV8</t>
  </si>
  <si>
    <t>V разведения, мкл</t>
  </si>
  <si>
    <t>С разведения, VG/ul</t>
  </si>
  <si>
    <t>C исх, vg/ul</t>
  </si>
  <si>
    <t>V нужен вируса из стока, ul</t>
  </si>
  <si>
    <t>С разведения, vg/ul</t>
  </si>
  <si>
    <t>V разведения, ul</t>
  </si>
  <si>
    <t>5xКруглые10СМ</t>
  </si>
  <si>
    <t>Расчет за 03.03.25 Кирилл</t>
  </si>
  <si>
    <t xml:space="preserve">перевод единиц объема наработки в объем КЖ </t>
  </si>
  <si>
    <t xml:space="preserve">Единица объема </t>
  </si>
  <si>
    <t xml:space="preserve">Т175 </t>
  </si>
  <si>
    <t>5-level cellstack</t>
  </si>
  <si>
    <t>Объем среды, мл</t>
  </si>
  <si>
    <t>Площадь поверхности, см2</t>
  </si>
  <si>
    <t>ND</t>
  </si>
  <si>
    <t>Коэффициент перевода площадь-КЖ</t>
  </si>
  <si>
    <t xml:space="preserve">Коэффициент по площади относительно Т175 </t>
  </si>
  <si>
    <t>КРУГЛЫЕ 10см</t>
  </si>
  <si>
    <t>Расчет объема КЖ к плазамидам и PEI 10%</t>
  </si>
  <si>
    <t>calc</t>
  </si>
  <si>
    <t>Объем ТФ микса на флакон, мл</t>
  </si>
  <si>
    <t>Объем ТФ микса (DMEM+mix), мл</t>
  </si>
  <si>
    <t xml:space="preserve">Проверка </t>
  </si>
  <si>
    <t>4xT175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</si>
</sst>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wrapText="1"/>
    </xf>
    <xf numFmtId="166" fontId="0" fillId="2" borderId="0" xfId="0" applyNumberFormat="1" applyFill="1"/>
    <xf numFmtId="165" fontId="0" fillId="2" borderId="0" xfId="0" applyNumberFormat="1" applyFill="1" applyAlignment="1">
      <alignment horizontal="center" wrapText="1"/>
    </xf>
    <xf numFmtId="165" fontId="0" fillId="2" borderId="0" xfId="0" applyNumberFormat="1" applyFill="1" applyAlignment="1">
      <alignment horizontal="center" wrapText="1"/>
    </xf>
    <xf numFmtId="166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4BE4-B202-465B-8675-B0257FA8F02C}">
  <dimension ref="A2:S28"/>
  <sheetViews>
    <sheetView tabSelected="1" topLeftCell="A4" workbookViewId="0">
      <pane xSplit="1" topLeftCell="E1" activePane="topRight" state="frozen"/>
      <selection pane="topRight" activeCell="K24" sqref="K24"/>
    </sheetView>
  </sheetViews>
  <sheetFormatPr defaultRowHeight="14.4" x14ac:dyDescent="0.3"/>
  <cols>
    <col min="1" max="1" width="18" style="1" customWidth="1"/>
    <col min="2" max="2" width="12.09765625" style="1" customWidth="1"/>
    <col min="3" max="3" width="11.3984375" style="5" customWidth="1"/>
    <col min="4" max="4" width="12.69921875" style="1" customWidth="1"/>
    <col min="5" max="5" width="12.796875" style="6" customWidth="1"/>
    <col min="6" max="6" width="8.796875" style="4" customWidth="1"/>
    <col min="7" max="7" width="25.09765625" style="1" customWidth="1"/>
    <col min="8" max="8" width="12.09765625" customWidth="1"/>
    <col min="9" max="9" width="8.796875" style="4"/>
    <col min="10" max="10" width="10.296875" style="1" customWidth="1"/>
    <col min="11" max="11" width="12.296875" style="1" customWidth="1"/>
    <col min="12" max="12" width="10.3984375" style="1" customWidth="1"/>
    <col min="13" max="13" width="13.69921875" style="6" customWidth="1"/>
    <col min="14" max="14" width="10.59765625" style="6" customWidth="1"/>
    <col min="15" max="15" width="12.8984375" style="1" customWidth="1"/>
    <col min="16" max="17" width="8.796875" style="4"/>
    <col min="18" max="18" width="10.3984375" style="18" bestFit="1" customWidth="1"/>
    <col min="19" max="19" width="8.796875" style="18"/>
    <col min="20" max="16384" width="8.796875" style="1"/>
  </cols>
  <sheetData>
    <row r="2" spans="1:19" ht="43.2" customHeight="1" x14ac:dyDescent="0.3">
      <c r="A2" s="16" t="s">
        <v>54</v>
      </c>
      <c r="B2" s="16"/>
      <c r="C2" s="16"/>
      <c r="D2" s="16"/>
      <c r="E2" s="16"/>
      <c r="F2" s="16"/>
      <c r="H2" s="22" t="s">
        <v>64</v>
      </c>
      <c r="I2" s="22"/>
      <c r="J2" s="22"/>
      <c r="K2" s="22"/>
    </row>
    <row r="3" spans="1:19" ht="28.8" x14ac:dyDescent="0.3">
      <c r="A3" s="1" t="s">
        <v>55</v>
      </c>
      <c r="B3" s="1" t="s">
        <v>56</v>
      </c>
      <c r="C3" s="5" t="s">
        <v>63</v>
      </c>
      <c r="D3" s="1" t="s">
        <v>57</v>
      </c>
      <c r="G3" s="1" t="s">
        <v>55</v>
      </c>
      <c r="H3" s="1" t="s">
        <v>56</v>
      </c>
      <c r="I3" s="5" t="s">
        <v>63</v>
      </c>
      <c r="J3" s="1" t="s">
        <v>57</v>
      </c>
    </row>
    <row r="4" spans="1:19" s="17" customFormat="1" x14ac:dyDescent="0.3">
      <c r="A4" s="1" t="s">
        <v>58</v>
      </c>
      <c r="B4" s="17">
        <v>30</v>
      </c>
      <c r="C4" s="17" t="s">
        <v>60</v>
      </c>
      <c r="D4" s="17" t="s">
        <v>60</v>
      </c>
      <c r="F4" s="4"/>
      <c r="G4" s="1" t="s">
        <v>58</v>
      </c>
      <c r="H4" s="10">
        <v>30</v>
      </c>
      <c r="I4" s="17">
        <v>8</v>
      </c>
      <c r="J4" s="17" t="s">
        <v>65</v>
      </c>
      <c r="P4" s="4"/>
      <c r="R4" s="18"/>
      <c r="S4" s="18"/>
    </row>
    <row r="5" spans="1:19" s="17" customFormat="1" ht="31.1" customHeight="1" x14ac:dyDescent="0.3">
      <c r="A5" s="1" t="s">
        <v>59</v>
      </c>
      <c r="B5" s="17">
        <v>175</v>
      </c>
      <c r="C5" s="17">
        <v>100</v>
      </c>
      <c r="D5" s="17">
        <v>3180</v>
      </c>
      <c r="F5" s="4"/>
      <c r="G5" s="20" t="s">
        <v>66</v>
      </c>
      <c r="H5" s="21">
        <v>3</v>
      </c>
      <c r="I5" s="21"/>
      <c r="J5" s="21"/>
      <c r="P5" s="4"/>
      <c r="R5" s="18"/>
      <c r="S5" s="18"/>
    </row>
    <row r="6" spans="1:19" s="18" customFormat="1" ht="32.25" customHeight="1" x14ac:dyDescent="0.3">
      <c r="A6" s="1" t="s">
        <v>62</v>
      </c>
      <c r="B6" s="18">
        <v>1</v>
      </c>
      <c r="C6" s="18">
        <f>C5/B5</f>
        <v>0.5714285714285714</v>
      </c>
      <c r="D6" s="18">
        <f>D5/B5</f>
        <v>18.171428571428571</v>
      </c>
      <c r="F6" s="4"/>
      <c r="G6" s="17" t="s">
        <v>67</v>
      </c>
      <c r="H6" s="19">
        <f>H5*B6</f>
        <v>3</v>
      </c>
      <c r="I6" s="18">
        <f>H5*C6</f>
        <v>1.7142857142857142</v>
      </c>
      <c r="J6" s="18">
        <f>D6*H5</f>
        <v>54.514285714285712</v>
      </c>
      <c r="P6" s="4"/>
    </row>
    <row r="7" spans="1:19" x14ac:dyDescent="0.3">
      <c r="C7" s="1"/>
      <c r="E7" s="1"/>
      <c r="I7" s="1"/>
      <c r="M7" s="1"/>
      <c r="N7" s="1"/>
      <c r="Q7" s="1"/>
    </row>
    <row r="8" spans="1:19" ht="57.6" x14ac:dyDescent="0.3">
      <c r="A8" s="2" t="s">
        <v>0</v>
      </c>
      <c r="B8" s="2" t="s">
        <v>18</v>
      </c>
      <c r="C8" s="2" t="s">
        <v>25</v>
      </c>
      <c r="D8" s="2" t="s">
        <v>1</v>
      </c>
      <c r="E8" s="2" t="s">
        <v>2</v>
      </c>
      <c r="F8" s="13" t="s">
        <v>3</v>
      </c>
      <c r="G8" s="2" t="s">
        <v>5</v>
      </c>
      <c r="H8" s="12" t="s">
        <v>61</v>
      </c>
      <c r="I8" s="2" t="s">
        <v>4</v>
      </c>
      <c r="J8" s="2" t="s">
        <v>6</v>
      </c>
      <c r="K8" s="2" t="s">
        <v>7</v>
      </c>
      <c r="L8" s="2" t="s">
        <v>30</v>
      </c>
      <c r="M8" s="2" t="s">
        <v>8</v>
      </c>
      <c r="N8" s="2" t="s">
        <v>6</v>
      </c>
      <c r="O8" s="1" t="s">
        <v>28</v>
      </c>
      <c r="P8" s="4" t="s">
        <v>27</v>
      </c>
      <c r="Q8" s="1" t="s">
        <v>29</v>
      </c>
      <c r="R8" s="18" t="s">
        <v>31</v>
      </c>
      <c r="S8" s="18" t="s">
        <v>32</v>
      </c>
    </row>
    <row r="9" spans="1:19" ht="28.8" x14ac:dyDescent="0.3">
      <c r="A9" s="1" t="s">
        <v>9</v>
      </c>
      <c r="B9" s="1">
        <f>IFERROR(VLOOKUP(TRIM(LEFT(A9,FIND("(",A9&amp;"(")-1)),Плазмиды!B:C,2,FALSE),"Не найдено")</f>
        <v>11600</v>
      </c>
      <c r="C9" s="5">
        <f>B9*660/10^6</f>
        <v>7.6559999999999997</v>
      </c>
      <c r="D9" s="1">
        <v>1</v>
      </c>
      <c r="E9" s="6">
        <f>C9*D9</f>
        <v>7.6559999999999997</v>
      </c>
      <c r="F9" s="15">
        <f>SUM(E9:E11)</f>
        <v>15.906000000000001</v>
      </c>
      <c r="G9" s="14" t="s">
        <v>26</v>
      </c>
      <c r="I9" s="15">
        <v>1.5</v>
      </c>
      <c r="N9" s="6">
        <f>C9*M10</f>
        <v>21.659751037344396</v>
      </c>
      <c r="O9" s="1">
        <v>1.08</v>
      </c>
      <c r="P9" s="4">
        <f>N9/O9</f>
        <v>20.055325034578143</v>
      </c>
      <c r="Q9" s="15">
        <f>SUM(P9:P11)</f>
        <v>30.986810227835157</v>
      </c>
      <c r="R9" s="27"/>
    </row>
    <row r="10" spans="1:19" x14ac:dyDescent="0.3">
      <c r="A10" s="1" t="s">
        <v>23</v>
      </c>
      <c r="B10" s="1">
        <f>IFERROR(VLOOKUP(TRIM(LEFT(A10,FIND("(",A10&amp;"(")-1)),Плазмиды!B:C,2,FALSE),"Не найдено")</f>
        <v>7300</v>
      </c>
      <c r="C10" s="5">
        <f t="shared" ref="C10:C11" si="0">B10*660/10^6</f>
        <v>4.8179999999999996</v>
      </c>
      <c r="D10" s="1">
        <v>1</v>
      </c>
      <c r="E10" s="6">
        <f t="shared" ref="E10:E11" si="1">C10*D10</f>
        <v>4.8179999999999996</v>
      </c>
      <c r="F10" s="15"/>
      <c r="G10" s="14"/>
      <c r="H10" s="24">
        <f>$B$6</f>
        <v>1</v>
      </c>
      <c r="I10" s="15"/>
      <c r="J10" s="1">
        <f>VALUE(LEFT(G9,FIND("x",G9)-1)) * $B$4 * I9*H10</f>
        <v>45</v>
      </c>
      <c r="K10" s="1">
        <v>3</v>
      </c>
      <c r="L10" s="1">
        <f>J10*K10</f>
        <v>135</v>
      </c>
      <c r="M10" s="23">
        <f>J10/F9</f>
        <v>2.8291210863824969</v>
      </c>
      <c r="N10" s="6">
        <f>C10*M10</f>
        <v>13.630705394190869</v>
      </c>
      <c r="O10" s="1">
        <v>2.74</v>
      </c>
      <c r="P10" s="4">
        <f t="shared" ref="P10:P11" si="2">N10/O10</f>
        <v>4.974709997879879</v>
      </c>
      <c r="Q10" s="15"/>
      <c r="R10" s="27">
        <f>VALUE(LEFT(G9,FIND("x",G9)-1))*H10*$I$9 - Q9*0.001</f>
        <v>1.4690131897721648</v>
      </c>
      <c r="S10" s="18">
        <f>VALUE(LEFT(G9,FIND("x",G9)-1))*H10*$I$9 - L10*0.001</f>
        <v>1.365</v>
      </c>
    </row>
    <row r="11" spans="1:19" ht="28.8" x14ac:dyDescent="0.3">
      <c r="A11" s="1" t="s">
        <v>24</v>
      </c>
      <c r="B11" s="1">
        <f>IFERROR(VLOOKUP(TRIM(LEFT(A11,FIND("(",A11&amp;"(")-1)),Плазмиды!B:C,2,FALSE),"Не найдено")</f>
        <v>5200</v>
      </c>
      <c r="C11" s="5">
        <f t="shared" si="0"/>
        <v>3.4319999999999999</v>
      </c>
      <c r="D11" s="1">
        <v>1</v>
      </c>
      <c r="E11" s="6">
        <f t="shared" si="1"/>
        <v>3.4319999999999999</v>
      </c>
      <c r="F11" s="15"/>
      <c r="G11" s="14"/>
      <c r="I11" s="15"/>
      <c r="N11" s="6">
        <f>C11*M10</f>
        <v>9.7095435684647295</v>
      </c>
      <c r="O11" s="1">
        <v>1.63</v>
      </c>
      <c r="P11" s="4">
        <f t="shared" si="2"/>
        <v>5.9567751953771353</v>
      </c>
      <c r="Q11" s="15"/>
      <c r="R11" s="27"/>
    </row>
    <row r="13" spans="1:19" ht="28.8" x14ac:dyDescent="0.3">
      <c r="A13" s="1" t="s">
        <v>53</v>
      </c>
    </row>
    <row r="14" spans="1:19" ht="28.8" x14ac:dyDescent="0.3">
      <c r="A14" s="1" t="s">
        <v>9</v>
      </c>
      <c r="B14" s="1">
        <f>IFERROR(VLOOKUP(TRIM(LEFT(A14,FIND("(",A14&amp;"(")-1)),Плазмиды!B:C,2,FALSE),"Не найдено")</f>
        <v>11600</v>
      </c>
      <c r="C14" s="5">
        <f>B14*660/10^6</f>
        <v>7.6559999999999997</v>
      </c>
      <c r="D14" s="1">
        <v>1</v>
      </c>
      <c r="E14" s="6">
        <f>C14*D14</f>
        <v>7.6559999999999997</v>
      </c>
      <c r="F14" s="15">
        <f>SUM(E14:E16)</f>
        <v>15.906000000000001</v>
      </c>
      <c r="G14" s="14" t="s">
        <v>52</v>
      </c>
      <c r="I14" s="15">
        <v>1.5</v>
      </c>
      <c r="N14" s="6">
        <f>C14*M15</f>
        <v>61.885002963841131</v>
      </c>
      <c r="O14" s="1">
        <v>1.08</v>
      </c>
      <c r="P14" s="4">
        <f>N14/O14</f>
        <v>57.300928670223264</v>
      </c>
      <c r="Q14" s="15">
        <f>SUM(P14:P16)</f>
        <v>88.533743508100443</v>
      </c>
      <c r="R14" s="27"/>
    </row>
    <row r="15" spans="1:19" x14ac:dyDescent="0.3">
      <c r="A15" s="1" t="s">
        <v>23</v>
      </c>
      <c r="B15" s="1">
        <f>IFERROR(VLOOKUP(TRIM(LEFT(A15,FIND("(",A15&amp;"(")-1)),Плазмиды!B:C,2,FALSE),"Не найдено")</f>
        <v>7300</v>
      </c>
      <c r="C15" s="5">
        <f t="shared" ref="C15:C16" si="3">B15*660/10^6</f>
        <v>4.8179999999999996</v>
      </c>
      <c r="D15" s="1">
        <v>1</v>
      </c>
      <c r="E15" s="6">
        <f t="shared" ref="E15:E16" si="4">C15*D15</f>
        <v>4.8179999999999996</v>
      </c>
      <c r="F15" s="15"/>
      <c r="G15" s="14"/>
      <c r="H15" s="24">
        <f>$C$6</f>
        <v>0.5714285714285714</v>
      </c>
      <c r="I15" s="15"/>
      <c r="J15" s="1">
        <f>VALUE(LEFT(G14,FIND("x",G14)-1)) *$B$4 * I14*H15</f>
        <v>128.57142857142856</v>
      </c>
      <c r="K15" s="1">
        <v>3</v>
      </c>
      <c r="L15" s="1">
        <f>J15*K15</f>
        <v>385.71428571428567</v>
      </c>
      <c r="M15" s="23">
        <f>J15/F14</f>
        <v>8.083203103949991</v>
      </c>
      <c r="N15" s="6">
        <f>C15*M15</f>
        <v>38.944872554831051</v>
      </c>
      <c r="O15" s="1">
        <v>2.74</v>
      </c>
      <c r="P15" s="4">
        <f t="shared" ref="P15:P16" si="5">N15/O15</f>
        <v>14.213457136799653</v>
      </c>
      <c r="Q15" s="15"/>
      <c r="R15" s="27">
        <f>VALUE(LEFT(G14,FIND("x",G14)-1))*H15*$H$5/2-0.001*Q14</f>
        <v>4.1971805422061843</v>
      </c>
      <c r="S15" s="18">
        <f>VALUE(LEFT(G14,FIND("x",G14)-1))*H15*$H$5/2-0.001*L15</f>
        <v>3.899999999999999</v>
      </c>
    </row>
    <row r="16" spans="1:19" ht="28.8" x14ac:dyDescent="0.3">
      <c r="A16" s="1" t="s">
        <v>24</v>
      </c>
      <c r="B16" s="1">
        <f>IFERROR(VLOOKUP(TRIM(LEFT(A16,FIND("(",A16&amp;"(")-1)),Плазмиды!B:C,2,FALSE),"Не найдено")</f>
        <v>5200</v>
      </c>
      <c r="C16" s="5">
        <f t="shared" si="3"/>
        <v>3.4319999999999999</v>
      </c>
      <c r="D16" s="1">
        <v>1</v>
      </c>
      <c r="E16" s="6">
        <f t="shared" si="4"/>
        <v>3.4319999999999999</v>
      </c>
      <c r="F16" s="15"/>
      <c r="G16" s="14"/>
      <c r="I16" s="15"/>
      <c r="N16" s="6">
        <f>C16*M15</f>
        <v>27.74155305275637</v>
      </c>
      <c r="O16" s="1">
        <v>1.63</v>
      </c>
      <c r="P16" s="4">
        <f t="shared" si="5"/>
        <v>17.019357701077528</v>
      </c>
      <c r="Q16" s="15"/>
      <c r="R16" s="27"/>
    </row>
    <row r="20" spans="1:19" x14ac:dyDescent="0.3">
      <c r="A20" s="1" t="s">
        <v>68</v>
      </c>
    </row>
    <row r="21" spans="1:19" ht="28.8" x14ac:dyDescent="0.3">
      <c r="A21" s="1" t="s">
        <v>9</v>
      </c>
      <c r="B21" s="1">
        <v>11635</v>
      </c>
      <c r="C21" s="5">
        <f>B21*660/10^6</f>
        <v>7.6791</v>
      </c>
      <c r="D21" s="1">
        <v>1</v>
      </c>
      <c r="E21" s="6">
        <f>C21*D21</f>
        <v>7.6791</v>
      </c>
      <c r="F21" s="15">
        <f>SUM(E21:E23)</f>
        <v>17.326979999999999</v>
      </c>
      <c r="G21" s="14" t="s">
        <v>69</v>
      </c>
      <c r="I21" s="15">
        <v>1.5</v>
      </c>
      <c r="M21" s="26">
        <f>J22/F21</f>
        <v>10.388423141251391</v>
      </c>
      <c r="N21" s="6">
        <f>C21*M21</f>
        <v>79.773740143983559</v>
      </c>
      <c r="O21" s="1">
        <v>1.61</v>
      </c>
      <c r="P21" s="4">
        <f>N21/O21</f>
        <v>49.548906921728914</v>
      </c>
      <c r="Q21" s="15">
        <f>SUM(P21:P23)</f>
        <v>149.99561718389688</v>
      </c>
      <c r="R21" s="27"/>
    </row>
    <row r="22" spans="1:19" x14ac:dyDescent="0.3">
      <c r="A22" s="1" t="s">
        <v>23</v>
      </c>
      <c r="B22" s="1">
        <v>7333</v>
      </c>
      <c r="C22" s="5">
        <f t="shared" ref="C22:C23" si="6">B22*660/10^6</f>
        <v>4.8397800000000002</v>
      </c>
      <c r="D22" s="1">
        <v>1</v>
      </c>
      <c r="E22" s="6">
        <f t="shared" ref="E22:E23" si="7">C22*D22</f>
        <v>4.8397800000000002</v>
      </c>
      <c r="F22" s="15"/>
      <c r="G22" s="14"/>
      <c r="H22" s="24">
        <f>$B$6</f>
        <v>1</v>
      </c>
      <c r="I22" s="15"/>
      <c r="J22" s="1">
        <f>VALUE(LEFT(G21,FIND("x",G21)-1)) *$B$4 * I21*H22</f>
        <v>180</v>
      </c>
      <c r="K22" s="1">
        <v>3</v>
      </c>
      <c r="L22" s="1">
        <f>J22*K22</f>
        <v>540</v>
      </c>
      <c r="M22" s="26"/>
      <c r="N22" s="6">
        <f>C22*M21</f>
        <v>50.277682550565657</v>
      </c>
      <c r="O22" s="1">
        <v>1.57</v>
      </c>
      <c r="P22" s="4">
        <f t="shared" ref="P22:P23" si="8">N22/O22</f>
        <v>32.024001624564114</v>
      </c>
      <c r="Q22" s="15"/>
      <c r="R22" s="27">
        <f>VALUE(LEFT(G21,FIND("x",G21)-1))*H22*$H$5/2-0.001*Q21</f>
        <v>5.8500043828161035</v>
      </c>
      <c r="S22" s="18">
        <f>VALUE(LEFT(G21,FIND("x",G21)-1))*H22*$H$5/2-0.001*L22</f>
        <v>5.46</v>
      </c>
    </row>
    <row r="23" spans="1:19" ht="28.8" x14ac:dyDescent="0.3">
      <c r="A23" s="1" t="s">
        <v>24</v>
      </c>
      <c r="B23" s="1">
        <v>7285</v>
      </c>
      <c r="C23" s="5">
        <f t="shared" si="6"/>
        <v>4.8080999999999996</v>
      </c>
      <c r="D23" s="1">
        <v>1</v>
      </c>
      <c r="E23" s="6">
        <f t="shared" si="7"/>
        <v>4.8080999999999996</v>
      </c>
      <c r="F23" s="15"/>
      <c r="G23" s="14"/>
      <c r="I23" s="15"/>
      <c r="M23" s="25"/>
      <c r="N23" s="6">
        <f>C23*M21</f>
        <v>49.948577305450804</v>
      </c>
      <c r="O23" s="1">
        <v>0.73</v>
      </c>
      <c r="P23" s="4">
        <f t="shared" si="8"/>
        <v>68.422708637603847</v>
      </c>
      <c r="Q23" s="15"/>
      <c r="R23" s="27"/>
    </row>
    <row r="26" spans="1:19" ht="28.8" x14ac:dyDescent="0.3">
      <c r="A26" s="1" t="s">
        <v>9</v>
      </c>
      <c r="B26" s="1">
        <f>IFERROR(VLOOKUP(TRIM(LEFT(A26,FIND("(",A26&amp;"(")-1)),Плазмиды!B:C,2,FALSE),"Не найдено")</f>
        <v>11600</v>
      </c>
      <c r="C26" s="5">
        <f>B26*660/10^6</f>
        <v>7.6559999999999997</v>
      </c>
      <c r="D26" s="1">
        <v>1</v>
      </c>
      <c r="E26" s="6">
        <f>C26*D26</f>
        <v>7.6559999999999997</v>
      </c>
      <c r="F26" s="15">
        <f>SUM(E26:E28)</f>
        <v>15.906000000000001</v>
      </c>
      <c r="G26" s="14" t="s">
        <v>52</v>
      </c>
      <c r="I26" s="15">
        <v>1.5</v>
      </c>
      <c r="N26" s="6">
        <f>C26*M27</f>
        <v>61.885002963841131</v>
      </c>
      <c r="O26" s="1">
        <v>1.08</v>
      </c>
      <c r="P26" s="4">
        <f>N26/O26</f>
        <v>57.300928670223264</v>
      </c>
      <c r="Q26" s="15">
        <f>SUM(P26:P28)</f>
        <v>88.533743508100443</v>
      </c>
      <c r="R26" s="27"/>
    </row>
    <row r="27" spans="1:19" x14ac:dyDescent="0.3">
      <c r="A27" s="1" t="s">
        <v>23</v>
      </c>
      <c r="B27" s="1">
        <f>IFERROR(VLOOKUP(TRIM(LEFT(A27,FIND("(",A27&amp;"(")-1)),Плазмиды!B:C,2,FALSE),"Не найдено")</f>
        <v>7300</v>
      </c>
      <c r="C27" s="5">
        <f t="shared" ref="C27:C28" si="9">B27*660/10^6</f>
        <v>4.8179999999999996</v>
      </c>
      <c r="D27" s="1">
        <v>1</v>
      </c>
      <c r="E27" s="6">
        <f t="shared" ref="E27:E28" si="10">C27*D27</f>
        <v>4.8179999999999996</v>
      </c>
      <c r="F27" s="15"/>
      <c r="G27" s="14"/>
      <c r="H27" s="24">
        <f>$C$6</f>
        <v>0.5714285714285714</v>
      </c>
      <c r="I27" s="15"/>
      <c r="J27" s="1">
        <f>VALUE(LEFT(G26,FIND("x",G26)-1)) *$B$4 * I26*H27</f>
        <v>128.57142857142856</v>
      </c>
      <c r="K27" s="1">
        <v>3</v>
      </c>
      <c r="L27" s="1">
        <f>J27*K27</f>
        <v>385.71428571428567</v>
      </c>
      <c r="M27" s="23">
        <f>J27/F26</f>
        <v>8.083203103949991</v>
      </c>
      <c r="N27" s="6">
        <f>C27*M27</f>
        <v>38.944872554831051</v>
      </c>
      <c r="O27" s="1">
        <v>2.74</v>
      </c>
      <c r="P27" s="4">
        <f t="shared" ref="P27:P28" si="11">N27/O27</f>
        <v>14.213457136799653</v>
      </c>
      <c r="Q27" s="15"/>
      <c r="R27" s="27">
        <f>VALUE(LEFT(G26,FIND("x",G26)-1))*H27*$H$5/2-0.001*Q26</f>
        <v>4.1971805422061843</v>
      </c>
      <c r="S27" s="18">
        <f>VALUE(LEFT(G26,FIND("x",G26)-1))*H27*$H$5/2-0.001*L27</f>
        <v>3.899999999999999</v>
      </c>
    </row>
    <row r="28" spans="1:19" ht="28.8" x14ac:dyDescent="0.3">
      <c r="A28" s="1" t="s">
        <v>24</v>
      </c>
      <c r="B28" s="1">
        <f>IFERROR(VLOOKUP(TRIM(LEFT(A28,FIND("(",A28&amp;"(")-1)),Плазмиды!B:C,2,FALSE),"Не найдено")</f>
        <v>5200</v>
      </c>
      <c r="C28" s="5">
        <f t="shared" si="9"/>
        <v>3.4319999999999999</v>
      </c>
      <c r="D28" s="1">
        <v>1</v>
      </c>
      <c r="E28" s="6">
        <f t="shared" si="10"/>
        <v>3.4319999999999999</v>
      </c>
      <c r="F28" s="15"/>
      <c r="G28" s="14"/>
      <c r="I28" s="15"/>
      <c r="N28" s="6">
        <f>C28*M27</f>
        <v>27.74155305275637</v>
      </c>
      <c r="O28" s="1">
        <v>1.63</v>
      </c>
      <c r="P28" s="4">
        <f t="shared" si="11"/>
        <v>17.019357701077528</v>
      </c>
      <c r="Q28" s="15"/>
      <c r="R28" s="27"/>
    </row>
  </sheetData>
  <mergeCells count="20">
    <mergeCell ref="M21:M22"/>
    <mergeCell ref="F26:F28"/>
    <mergeCell ref="G26:G28"/>
    <mergeCell ref="I26:I28"/>
    <mergeCell ref="Q26:Q28"/>
    <mergeCell ref="Q21:Q23"/>
    <mergeCell ref="A2:F2"/>
    <mergeCell ref="H5:J5"/>
    <mergeCell ref="H2:K2"/>
    <mergeCell ref="F21:F23"/>
    <mergeCell ref="G21:G23"/>
    <mergeCell ref="I21:I23"/>
    <mergeCell ref="F9:F11"/>
    <mergeCell ref="G9:G11"/>
    <mergeCell ref="I9:I11"/>
    <mergeCell ref="Q9:Q11"/>
    <mergeCell ref="F14:F16"/>
    <mergeCell ref="G14:G16"/>
    <mergeCell ref="I14:I16"/>
    <mergeCell ref="Q14:Q16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37A1-178C-4885-B9B3-B96594329BB4}">
  <dimension ref="B2:D9"/>
  <sheetViews>
    <sheetView workbookViewId="0">
      <selection activeCell="B4" sqref="B4"/>
    </sheetView>
  </sheetViews>
  <sheetFormatPr defaultRowHeight="14.4" x14ac:dyDescent="0.3"/>
  <cols>
    <col min="1" max="1" width="8.796875" style="3"/>
    <col min="2" max="2" width="18.09765625" style="3" customWidth="1"/>
    <col min="3" max="3" width="11.09765625" style="3" customWidth="1"/>
    <col min="4" max="16384" width="8.796875" style="3"/>
  </cols>
  <sheetData>
    <row r="2" spans="2:4" ht="43.2" x14ac:dyDescent="0.3">
      <c r="B2" s="3" t="s">
        <v>10</v>
      </c>
      <c r="C2" s="2" t="s">
        <v>18</v>
      </c>
      <c r="D2" s="3" t="s">
        <v>11</v>
      </c>
    </row>
    <row r="3" spans="2:4" x14ac:dyDescent="0.3">
      <c r="B3" s="3" t="s">
        <v>12</v>
      </c>
      <c r="C3" s="3">
        <v>11600</v>
      </c>
      <c r="D3" s="3" t="s">
        <v>13</v>
      </c>
    </row>
    <row r="4" spans="2:4" x14ac:dyDescent="0.3">
      <c r="B4" s="3" t="s">
        <v>19</v>
      </c>
      <c r="C4" s="3">
        <v>7300</v>
      </c>
      <c r="D4" s="3" t="s">
        <v>13</v>
      </c>
    </row>
    <row r="5" spans="2:4" x14ac:dyDescent="0.3">
      <c r="B5" s="3" t="s">
        <v>20</v>
      </c>
      <c r="C5" s="3">
        <v>7300</v>
      </c>
      <c r="D5" s="3" t="s">
        <v>13</v>
      </c>
    </row>
    <row r="6" spans="2:4" x14ac:dyDescent="0.3">
      <c r="B6" s="3" t="s">
        <v>21</v>
      </c>
      <c r="D6" s="3" t="s">
        <v>14</v>
      </c>
    </row>
    <row r="7" spans="2:4" x14ac:dyDescent="0.3">
      <c r="B7" s="3" t="s">
        <v>22</v>
      </c>
      <c r="D7" s="3" t="s">
        <v>14</v>
      </c>
    </row>
    <row r="8" spans="2:4" x14ac:dyDescent="0.3">
      <c r="B8" s="3" t="s">
        <v>15</v>
      </c>
      <c r="D8" s="3" t="s">
        <v>16</v>
      </c>
    </row>
    <row r="9" spans="2:4" x14ac:dyDescent="0.3">
      <c r="B9" s="3" t="s">
        <v>17</v>
      </c>
      <c r="C9" s="3">
        <v>5200</v>
      </c>
      <c r="D9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9D90-3A2E-4259-8B65-F3825B7CAE53}">
  <dimension ref="A1:M24"/>
  <sheetViews>
    <sheetView workbookViewId="0">
      <selection activeCell="L7" sqref="L7"/>
    </sheetView>
  </sheetViews>
  <sheetFormatPr defaultRowHeight="14.4" x14ac:dyDescent="0.3"/>
  <cols>
    <col min="1" max="1" width="11.3984375" customWidth="1"/>
    <col min="2" max="2" width="11.5" style="8" customWidth="1"/>
    <col min="3" max="3" width="12.69921875" style="8" customWidth="1"/>
    <col min="4" max="4" width="15.09765625" style="8" customWidth="1"/>
    <col min="5" max="6" width="8.796875" style="8"/>
    <col min="7" max="7" width="10.5" style="10" customWidth="1"/>
    <col min="8" max="8" width="10.69921875" style="8" customWidth="1"/>
    <col min="9" max="9" width="10.296875" style="9" customWidth="1"/>
    <col min="10" max="13" width="8.796875" style="8"/>
  </cols>
  <sheetData>
    <row r="1" spans="1:13" x14ac:dyDescent="0.3">
      <c r="B1"/>
      <c r="C1"/>
      <c r="D1"/>
      <c r="E1"/>
      <c r="F1"/>
      <c r="G1"/>
      <c r="H1"/>
      <c r="I1"/>
      <c r="J1"/>
      <c r="K1"/>
      <c r="L1"/>
      <c r="M1"/>
    </row>
    <row r="2" spans="1:13" x14ac:dyDescent="0.3">
      <c r="A2" t="s">
        <v>38</v>
      </c>
      <c r="B2"/>
      <c r="C2"/>
      <c r="D2"/>
      <c r="E2"/>
      <c r="F2"/>
      <c r="G2"/>
      <c r="H2"/>
      <c r="I2"/>
      <c r="J2"/>
      <c r="K2"/>
      <c r="L2"/>
      <c r="M2"/>
    </row>
    <row r="3" spans="1:13" ht="43.2" x14ac:dyDescent="0.3">
      <c r="A3" s="7" t="s">
        <v>33</v>
      </c>
      <c r="B3" s="7" t="s">
        <v>35</v>
      </c>
      <c r="C3" s="7" t="s">
        <v>36</v>
      </c>
      <c r="D3" s="11" t="s">
        <v>40</v>
      </c>
      <c r="E3" s="7" t="s">
        <v>48</v>
      </c>
      <c r="F3" s="7" t="s">
        <v>49</v>
      </c>
      <c r="G3" s="11" t="s">
        <v>39</v>
      </c>
      <c r="H3" s="11" t="s">
        <v>50</v>
      </c>
      <c r="I3" s="7" t="s">
        <v>51</v>
      </c>
      <c r="J3"/>
      <c r="K3"/>
      <c r="L3"/>
      <c r="M3"/>
    </row>
    <row r="4" spans="1:13" x14ac:dyDescent="0.3">
      <c r="A4" t="s">
        <v>34</v>
      </c>
      <c r="B4" s="8">
        <f>3*10^4</f>
        <v>30000</v>
      </c>
      <c r="C4" s="8">
        <f>2*10^4</f>
        <v>20000</v>
      </c>
      <c r="D4" s="8">
        <f t="shared" ref="D4:D5" si="0">$B$4*C4</f>
        <v>600000000</v>
      </c>
      <c r="E4" s="8">
        <f>2*10^7</f>
        <v>20000000</v>
      </c>
      <c r="F4" s="8">
        <f>D4/$E$4</f>
        <v>30</v>
      </c>
      <c r="G4" s="10">
        <v>1</v>
      </c>
      <c r="H4" s="8">
        <f t="shared" ref="H4:H5" si="1">$E$4/G4</f>
        <v>20000000</v>
      </c>
      <c r="I4" s="9">
        <f>D4/H4</f>
        <v>30</v>
      </c>
    </row>
    <row r="5" spans="1:13" x14ac:dyDescent="0.3">
      <c r="C5" s="8">
        <f>3*10^4</f>
        <v>30000</v>
      </c>
      <c r="D5" s="8">
        <f t="shared" si="0"/>
        <v>900000000</v>
      </c>
      <c r="F5" s="8">
        <f>D5/$E$4</f>
        <v>45</v>
      </c>
      <c r="G5" s="10">
        <v>1</v>
      </c>
      <c r="H5" s="8">
        <f t="shared" si="1"/>
        <v>20000000</v>
      </c>
      <c r="I5" s="9">
        <f>D5/H5</f>
        <v>45</v>
      </c>
    </row>
    <row r="10" spans="1:13" x14ac:dyDescent="0.3">
      <c r="A10" t="s">
        <v>44</v>
      </c>
    </row>
    <row r="11" spans="1:13" ht="43.2" x14ac:dyDescent="0.3">
      <c r="A11" s="7" t="s">
        <v>33</v>
      </c>
      <c r="B11" s="7" t="s">
        <v>35</v>
      </c>
      <c r="C11" s="7" t="s">
        <v>36</v>
      </c>
      <c r="D11" s="11" t="s">
        <v>40</v>
      </c>
      <c r="E11" s="7" t="s">
        <v>37</v>
      </c>
      <c r="F11" s="7" t="s">
        <v>41</v>
      </c>
      <c r="G11" s="11" t="s">
        <v>39</v>
      </c>
      <c r="H11" s="11" t="s">
        <v>47</v>
      </c>
      <c r="I11" s="7" t="s">
        <v>46</v>
      </c>
    </row>
    <row r="12" spans="1:13" x14ac:dyDescent="0.3">
      <c r="A12" t="s">
        <v>34</v>
      </c>
      <c r="B12" s="8">
        <f>2.5*10^4</f>
        <v>25000</v>
      </c>
      <c r="C12" s="8">
        <f>10^5</f>
        <v>100000</v>
      </c>
      <c r="D12" s="8">
        <f>$B$12*C12</f>
        <v>2500000000</v>
      </c>
      <c r="E12" s="8">
        <f>3.1*10^8</f>
        <v>310000000</v>
      </c>
      <c r="F12" s="8">
        <f>D12/$E$12</f>
        <v>8.064516129032258</v>
      </c>
      <c r="G12" s="10">
        <v>1</v>
      </c>
      <c r="H12" s="8">
        <f t="shared" ref="H12:H13" si="2">$E$12/G12</f>
        <v>310000000</v>
      </c>
      <c r="I12" s="9">
        <f>D12/H12</f>
        <v>8.064516129032258</v>
      </c>
    </row>
    <row r="13" spans="1:13" x14ac:dyDescent="0.3">
      <c r="C13" s="8">
        <f>5*10^4</f>
        <v>50000</v>
      </c>
      <c r="D13" s="8">
        <f>$B$12*C13</f>
        <v>1250000000</v>
      </c>
      <c r="F13" s="8">
        <f>D13/$E$12</f>
        <v>4.032258064516129</v>
      </c>
      <c r="G13" s="10">
        <v>1</v>
      </c>
      <c r="H13" s="8">
        <f t="shared" si="2"/>
        <v>310000000</v>
      </c>
      <c r="I13" s="9">
        <f>D13/H13</f>
        <v>4.032258064516129</v>
      </c>
    </row>
    <row r="14" spans="1:13" x14ac:dyDescent="0.3">
      <c r="C14" s="8">
        <f>5*10^5</f>
        <v>500000</v>
      </c>
      <c r="D14" s="8">
        <f>$B$12*C14</f>
        <v>12500000000</v>
      </c>
      <c r="F14" s="8">
        <f>D14/$E$12</f>
        <v>40.322580645161288</v>
      </c>
      <c r="G14" s="10">
        <v>1</v>
      </c>
      <c r="H14" s="8">
        <f>$E$12/G14</f>
        <v>310000000</v>
      </c>
      <c r="I14" s="9">
        <f>D14/H14</f>
        <v>40.322580645161288</v>
      </c>
    </row>
    <row r="20" spans="1:9" x14ac:dyDescent="0.3">
      <c r="A20" t="s">
        <v>45</v>
      </c>
    </row>
    <row r="21" spans="1:9" ht="43.2" x14ac:dyDescent="0.3">
      <c r="A21" s="7" t="s">
        <v>33</v>
      </c>
      <c r="B21" s="7" t="s">
        <v>35</v>
      </c>
      <c r="C21" s="7" t="s">
        <v>36</v>
      </c>
      <c r="D21" s="11" t="s">
        <v>40</v>
      </c>
      <c r="E21" s="7" t="s">
        <v>37</v>
      </c>
      <c r="F21" s="7" t="s">
        <v>41</v>
      </c>
      <c r="G21" s="11" t="s">
        <v>39</v>
      </c>
      <c r="H21" s="11" t="s">
        <v>43</v>
      </c>
      <c r="I21" s="7" t="s">
        <v>42</v>
      </c>
    </row>
    <row r="22" spans="1:9" x14ac:dyDescent="0.3">
      <c r="A22" t="s">
        <v>34</v>
      </c>
      <c r="B22" s="8">
        <f>2.5*10^4</f>
        <v>25000</v>
      </c>
      <c r="C22" s="8">
        <f>10^5</f>
        <v>100000</v>
      </c>
      <c r="D22" s="8">
        <f t="shared" ref="D22:D24" si="3">$B$22*C22</f>
        <v>2500000000</v>
      </c>
      <c r="E22" s="8">
        <f>1.05*10^11</f>
        <v>105000000000</v>
      </c>
      <c r="F22" s="8">
        <f>D22/$E$22</f>
        <v>2.3809523809523808E-2</v>
      </c>
      <c r="G22" s="10">
        <v>100</v>
      </c>
      <c r="H22" s="8">
        <f t="shared" ref="H22:H24" si="4">$E$22/G22</f>
        <v>1050000000</v>
      </c>
      <c r="I22" s="9">
        <f>D22/H22</f>
        <v>2.3809523809523809</v>
      </c>
    </row>
    <row r="23" spans="1:9" x14ac:dyDescent="0.3">
      <c r="C23" s="8">
        <f>5*10^4</f>
        <v>50000</v>
      </c>
      <c r="D23" s="8">
        <f t="shared" si="3"/>
        <v>1250000000</v>
      </c>
      <c r="F23" s="8">
        <f>D23/$E$22</f>
        <v>1.1904761904761904E-2</v>
      </c>
      <c r="G23" s="10">
        <v>100</v>
      </c>
      <c r="H23" s="8">
        <f t="shared" si="4"/>
        <v>1050000000</v>
      </c>
      <c r="I23" s="9">
        <f>D23/H23</f>
        <v>1.1904761904761905</v>
      </c>
    </row>
    <row r="24" spans="1:9" x14ac:dyDescent="0.3">
      <c r="C24" s="8">
        <f>5*10^5</f>
        <v>500000</v>
      </c>
      <c r="D24" s="8">
        <f t="shared" si="3"/>
        <v>12500000000</v>
      </c>
      <c r="F24" s="8">
        <f>D24/$E$22</f>
        <v>0.11904761904761904</v>
      </c>
      <c r="G24" s="10">
        <v>100</v>
      </c>
      <c r="H24" s="8">
        <f t="shared" si="4"/>
        <v>1050000000</v>
      </c>
      <c r="I24" s="9">
        <f>D24/H24</f>
        <v>11.904761904761905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Плазмиды</vt:lpstr>
      <vt:lpstr>Трансдукция ААВ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Potapova</dc:creator>
  <cp:lastModifiedBy>Alisa Potapova</cp:lastModifiedBy>
  <dcterms:created xsi:type="dcterms:W3CDTF">2024-12-18T10:25:35Z</dcterms:created>
  <dcterms:modified xsi:type="dcterms:W3CDTF">2025-03-06T11:07:33Z</dcterms:modified>
</cp:coreProperties>
</file>