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8800" windowHeight="16060" tabRatio="500"/>
  </bookViews>
  <sheets>
    <sheet name="Allocation (2)" sheetId="8" r:id="rId1"/>
    <sheet name="Sheet1" sheetId="1" r:id="rId2"/>
    <sheet name="Sheet2" sheetId="2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0">'Allocation (2)'!$E$6:$E$7</definedName>
    <definedName name="ah">Sheet2!$E$6:$E$7</definedName>
    <definedName name="ak" localSheetId="0">'Allocation (2)'!$B$9:$C$9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0">'Allocation (2)'!$B$22:$C$22</definedName>
    <definedName name="ddphif">Sheet2!$B$22:$C$22</definedName>
    <definedName name="ddphiq" localSheetId="3">Allocation!$B$25:$C$25</definedName>
    <definedName name="ddphiq" localSheetId="0">'Allocation (2)'!$B$25:$C$25</definedName>
    <definedName name="ddphiq">Sheet2!$B$25:$C$25</definedName>
    <definedName name="ddre" localSheetId="3">Allocation!$B$27:$C$27</definedName>
    <definedName name="ddre" localSheetId="0">'Allocation (2)'!$B$27:$C$27</definedName>
    <definedName name="ddre">Sheet2!$B$27:$C$27</definedName>
    <definedName name="delta" localSheetId="3">Allocation!$B$39:$C$39</definedName>
    <definedName name="delta" localSheetId="0">'Allocation (2)'!$B$39:$C$39</definedName>
    <definedName name="delta">Sheet2!$B$37:$C$37</definedName>
    <definedName name="dfe" localSheetId="6">FlakLake!$B$22</definedName>
    <definedName name="dfe">SingleFleet!$B$19</definedName>
    <definedName name="dh" localSheetId="3">Allocation!$B$13</definedName>
    <definedName name="dh" localSheetId="0">'Allocation (2)'!$B$13</definedName>
    <definedName name="dh" localSheetId="6">FlakLake!$B$6</definedName>
    <definedName name="dh" localSheetId="4">SingleFleet!$B$6</definedName>
    <definedName name="dh">Sheet2!$B$13</definedName>
    <definedName name="dlam" localSheetId="0">'Allocation (2)'!$B$14:$C$14</definedName>
    <definedName name="dlam">Allocation!$B$14:$C$14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0">'Allocation (2)'!$B$21:$C$21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0">'Allocation (2)'!$B$24:$C$24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0">'Allocation (2)'!$B$26:$C$26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0">'Allocation (2)'!$B$47:$C$47</definedName>
    <definedName name="dta">Sheet2!$B$45:$C$45</definedName>
    <definedName name="dYe" localSheetId="0">'Allocation (2)'!$B$30:$C$30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0">'Allocation (2)'!$B$20:$C$20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0">'Allocation (2)'!$G$3:$Z$3</definedName>
    <definedName name="fa" localSheetId="6">FlakLake!$F$3:$L$3</definedName>
    <definedName name="fa" localSheetId="4">SingleFleet!$F$3:$L$3</definedName>
    <definedName name="fa">Sheet2!$G$3:$Z$3</definedName>
    <definedName name="fbar">#REF!</definedName>
    <definedName name="fe" localSheetId="3">Allocation!$B$6:$B$7</definedName>
    <definedName name="fe" localSheetId="0">'Allocation (2)'!$B$6:$B$7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0">'Allocation (2)'!$B$40:$C$40</definedName>
    <definedName name="fiter">Sheet2!$B$38:$C$38</definedName>
    <definedName name="ft">Sheet5!$B$3</definedName>
    <definedName name="h" localSheetId="3">Allocation!$B$2</definedName>
    <definedName name="h" localSheetId="0">'Allocation (2)'!$B$2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 localSheetId="0">'Allocation (2)'!$B$11:$C$11</definedName>
    <definedName name="lambda">Allocation!$B$11:$C$11</definedName>
    <definedName name="lw">FlakLake!$F$10:$L$10</definedName>
    <definedName name="lx" localSheetId="3">Allocation!$G$4:$Z$4</definedName>
    <definedName name="lx" localSheetId="0">'Allocation (2)'!$G$4:$Z$4</definedName>
    <definedName name="lx" localSheetId="6">FlakLake!$F$8:$L$8</definedName>
    <definedName name="lx" localSheetId="4">SingleFleet!$F$8:$L$8</definedName>
    <definedName name="lx">Sheet2!$G$4:$Z$4</definedName>
    <definedName name="lYe" localSheetId="0">'Allocation (2)'!$B$31:$C$31</definedName>
    <definedName name="lYe">Allocation!$B$31:$C$31</definedName>
    <definedName name="lz" localSheetId="3">Allocation!$G$14:$Z$14</definedName>
    <definedName name="lz" localSheetId="0">'Allocation (2)'!$G$14:$Z$14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0">'Allocation (2)'!$B$3</definedName>
    <definedName name="m" localSheetId="6">FlakLake!$B$3</definedName>
    <definedName name="m" localSheetId="2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0">'Allocation (2)'!$G$10:$Z$10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0">'Allocation (2)'!$B$18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0">'Allocation (2)'!$B$19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0">'Allocation (2)'!$B$23:$C$23</definedName>
    <definedName name="phiq" localSheetId="6">FlakLake!$B$13</definedName>
    <definedName name="phiq" localSheetId="4">SingleFleet!$B$13</definedName>
    <definedName name="phiq">Sheet2!$B$23:$C$23</definedName>
    <definedName name="pk" localSheetId="0">'Allocation (2)'!$B$10:$C$10</definedName>
    <definedName name="pk">Allocation!$B$10:$C$10</definedName>
    <definedName name="qa" localSheetId="6">FlakLake!$F$19:$L$19</definedName>
    <definedName name="qa">SingleFleet!$F$16:$L$16</definedName>
    <definedName name="re" localSheetId="3">Allocation!$B$17</definedName>
    <definedName name="re" localSheetId="0">'Allocation (2)'!$B$17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0">'Allocation (2)'!$B$8</definedName>
    <definedName name="reck">Sheet2!$B$8</definedName>
    <definedName name="ro" localSheetId="3">Allocation!$B$1</definedName>
    <definedName name="ro" localSheetId="0">'Allocation (2)'!$B$1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0">'Allocation (2)'!$G$9:$Z$9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0">'Allocation (2)'!$G$6:$Z$7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0">'Allocation (2)'!$B$4</definedName>
    <definedName name="vbk">Sheet2!$B$4</definedName>
    <definedName name="wa" localSheetId="3">Allocation!$G$2:$Z$2</definedName>
    <definedName name="wa" localSheetId="0">'Allocation (2)'!$G$2:$Z$2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0">'Allocation (2)'!$B$29:$C$29</definedName>
    <definedName name="ye" localSheetId="6">FlakLake!$B$23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0">'Allocation (2)'!$G$8:$Z$8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Count="25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8" l="1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B19" i="8"/>
  <c r="B17" i="8"/>
  <c r="C6" i="8"/>
  <c r="C7" i="8"/>
  <c r="B8" i="8"/>
  <c r="C9" i="8"/>
  <c r="B3" i="8"/>
  <c r="G15" i="8"/>
  <c r="G2" i="8"/>
  <c r="G6" i="8"/>
  <c r="G7" i="8"/>
  <c r="G18" i="8"/>
  <c r="G14" i="8"/>
  <c r="H2" i="8"/>
  <c r="H7" i="8"/>
  <c r="H6" i="8"/>
  <c r="Z2" i="8"/>
  <c r="Z7" i="8"/>
  <c r="Z6" i="8"/>
  <c r="Y2" i="8"/>
  <c r="Y7" i="8"/>
  <c r="X2" i="8"/>
  <c r="X7" i="8"/>
  <c r="X6" i="8"/>
  <c r="W2" i="8"/>
  <c r="W7" i="8"/>
  <c r="W6" i="8"/>
  <c r="V2" i="8"/>
  <c r="V7" i="8"/>
  <c r="V6" i="8"/>
  <c r="U2" i="8"/>
  <c r="U7" i="8"/>
  <c r="U6" i="8"/>
  <c r="T2" i="8"/>
  <c r="T7" i="8"/>
  <c r="T6" i="8"/>
  <c r="S2" i="8"/>
  <c r="S7" i="8"/>
  <c r="S6" i="8"/>
  <c r="R2" i="8"/>
  <c r="R7" i="8"/>
  <c r="R6" i="8"/>
  <c r="Q2" i="8"/>
  <c r="Q7" i="8"/>
  <c r="Q6" i="8"/>
  <c r="P2" i="8"/>
  <c r="P7" i="8"/>
  <c r="P6" i="8"/>
  <c r="O2" i="8"/>
  <c r="O7" i="8"/>
  <c r="O6" i="8"/>
  <c r="N2" i="8"/>
  <c r="N7" i="8"/>
  <c r="N6" i="8"/>
  <c r="M2" i="8"/>
  <c r="M7" i="8"/>
  <c r="M6" i="8"/>
  <c r="L2" i="8"/>
  <c r="L7" i="8"/>
  <c r="L6" i="8"/>
  <c r="K2" i="8"/>
  <c r="K7" i="8"/>
  <c r="K6" i="8"/>
  <c r="J2" i="8"/>
  <c r="J7" i="8"/>
  <c r="J6" i="8"/>
  <c r="I2" i="8"/>
  <c r="I7" i="8"/>
  <c r="I6" i="8"/>
  <c r="Y6" i="8"/>
  <c r="G17" i="8"/>
  <c r="G16" i="8"/>
  <c r="D7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C20" i="3"/>
  <c r="B20" i="3"/>
  <c r="B3" i="3"/>
  <c r="B8" i="3"/>
  <c r="B8" i="2"/>
  <c r="G14" i="2"/>
  <c r="G6" i="2"/>
  <c r="B3" i="2"/>
  <c r="G7" i="2"/>
  <c r="G8" i="2"/>
  <c r="G18" i="2"/>
  <c r="H18" i="2"/>
  <c r="H6" i="2"/>
  <c r="H7" i="2"/>
  <c r="H8" i="2"/>
  <c r="H14" i="2"/>
  <c r="I18" i="2"/>
  <c r="I6" i="2"/>
  <c r="I7" i="2"/>
  <c r="I8" i="2"/>
  <c r="I14" i="2"/>
  <c r="J18" i="2"/>
  <c r="J6" i="2"/>
  <c r="J7" i="2"/>
  <c r="J8" i="2"/>
  <c r="J14" i="2"/>
  <c r="K18" i="2"/>
  <c r="K6" i="2"/>
  <c r="K7" i="2"/>
  <c r="K8" i="2"/>
  <c r="K14" i="2"/>
  <c r="L18" i="2"/>
  <c r="L6" i="2"/>
  <c r="L7" i="2"/>
  <c r="L8" i="2"/>
  <c r="L14" i="2"/>
  <c r="M18" i="2"/>
  <c r="M6" i="2"/>
  <c r="M7" i="2"/>
  <c r="M8" i="2"/>
  <c r="M14" i="2"/>
  <c r="N18" i="2"/>
  <c r="N6" i="2"/>
  <c r="N7" i="2"/>
  <c r="N8" i="2"/>
  <c r="N14" i="2"/>
  <c r="O18" i="2"/>
  <c r="O6" i="2"/>
  <c r="O7" i="2"/>
  <c r="O8" i="2"/>
  <c r="O14" i="2"/>
  <c r="P18" i="2"/>
  <c r="P6" i="2"/>
  <c r="P7" i="2"/>
  <c r="P8" i="2"/>
  <c r="P14" i="2"/>
  <c r="Q18" i="2"/>
  <c r="Q6" i="2"/>
  <c r="Q7" i="2"/>
  <c r="Q8" i="2"/>
  <c r="Q14" i="2"/>
  <c r="R18" i="2"/>
  <c r="R6" i="2"/>
  <c r="R7" i="2"/>
  <c r="R8" i="2"/>
  <c r="R14" i="2"/>
  <c r="S18" i="2"/>
  <c r="S6" i="2"/>
  <c r="S7" i="2"/>
  <c r="S8" i="2"/>
  <c r="S14" i="2"/>
  <c r="T18" i="2"/>
  <c r="T6" i="2"/>
  <c r="T7" i="2"/>
  <c r="T8" i="2"/>
  <c r="T14" i="2"/>
  <c r="U18" i="2"/>
  <c r="U6" i="2"/>
  <c r="U7" i="2"/>
  <c r="U8" i="2"/>
  <c r="U14" i="2"/>
  <c r="V18" i="2"/>
  <c r="V6" i="2"/>
  <c r="V7" i="2"/>
  <c r="V8" i="2"/>
  <c r="V14" i="2"/>
  <c r="W18" i="2"/>
  <c r="W6" i="2"/>
  <c r="W7" i="2"/>
  <c r="W8" i="2"/>
  <c r="W14" i="2"/>
  <c r="X18" i="2"/>
  <c r="X6" i="2"/>
  <c r="X7" i="2"/>
  <c r="X8" i="2"/>
  <c r="X14" i="2"/>
  <c r="Y18" i="2"/>
  <c r="Y14" i="2"/>
  <c r="Y6" i="2"/>
  <c r="Y7" i="2"/>
  <c r="Y8" i="2"/>
  <c r="Y9" i="2"/>
  <c r="Z6" i="2"/>
  <c r="Z7" i="2"/>
  <c r="Z8" i="2"/>
  <c r="Z9" i="2"/>
  <c r="Z10" i="2"/>
  <c r="Z18" i="2"/>
  <c r="C6" i="2"/>
  <c r="C7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Z14" i="2"/>
  <c r="Z17" i="2"/>
  <c r="D6" i="2"/>
  <c r="D7" i="2"/>
  <c r="G16" i="2"/>
  <c r="H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G2" i="2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G6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7" i="3"/>
  <c r="G14" i="3"/>
  <c r="H2" i="3"/>
  <c r="H6" i="3"/>
  <c r="I2" i="3"/>
  <c r="I6" i="3"/>
  <c r="J2" i="3"/>
  <c r="J6" i="3"/>
  <c r="K2" i="3"/>
  <c r="K6" i="3"/>
  <c r="L2" i="3"/>
  <c r="L6" i="3"/>
  <c r="M2" i="3"/>
  <c r="M6" i="3"/>
  <c r="N2" i="3"/>
  <c r="N6" i="3"/>
  <c r="O2" i="3"/>
  <c r="O6" i="3"/>
  <c r="P2" i="3"/>
  <c r="P6" i="3"/>
  <c r="Q2" i="3"/>
  <c r="Q6" i="3"/>
  <c r="R2" i="3"/>
  <c r="R6" i="3"/>
  <c r="S2" i="3"/>
  <c r="S6" i="3"/>
  <c r="T2" i="3"/>
  <c r="T6" i="3"/>
  <c r="U2" i="3"/>
  <c r="U6" i="3"/>
  <c r="V2" i="3"/>
  <c r="V6" i="3"/>
  <c r="W2" i="3"/>
  <c r="W6" i="3"/>
  <c r="X2" i="3"/>
  <c r="X6" i="3"/>
  <c r="Y2" i="3"/>
  <c r="Y6" i="3"/>
  <c r="Z2" i="3"/>
  <c r="Z6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C9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C20" i="2"/>
  <c r="B20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J11" i="2"/>
  <c r="J9" i="2"/>
  <c r="J10" i="2"/>
  <c r="K11" i="2"/>
  <c r="K9" i="2"/>
  <c r="K10" i="2"/>
  <c r="L11" i="2"/>
  <c r="L9" i="2"/>
  <c r="L10" i="2"/>
  <c r="M11" i="2"/>
  <c r="M9" i="2"/>
  <c r="M10" i="2"/>
  <c r="N11" i="2"/>
  <c r="N9" i="2"/>
  <c r="N10" i="2"/>
  <c r="O11" i="2"/>
  <c r="O9" i="2"/>
  <c r="O10" i="2"/>
  <c r="P11" i="2"/>
  <c r="P9" i="2"/>
  <c r="P10" i="2"/>
  <c r="Q11" i="2"/>
  <c r="Q9" i="2"/>
  <c r="Q10" i="2"/>
  <c r="R11" i="2"/>
  <c r="R9" i="2"/>
  <c r="R10" i="2"/>
  <c r="S11" i="2"/>
  <c r="S9" i="2"/>
  <c r="S10" i="2"/>
  <c r="T11" i="2"/>
  <c r="T9" i="2"/>
  <c r="T10" i="2"/>
  <c r="U11" i="2"/>
  <c r="U9" i="2"/>
  <c r="U10" i="2"/>
  <c r="V11" i="2"/>
  <c r="V9" i="2"/>
  <c r="V10" i="2"/>
  <c r="W11" i="2"/>
  <c r="W9" i="2"/>
  <c r="W10" i="2"/>
  <c r="X11" i="2"/>
  <c r="X9" i="2"/>
  <c r="X10" i="2"/>
  <c r="Y11" i="2"/>
  <c r="Y10" i="2"/>
  <c r="Z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6" i="3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5" i="3"/>
  <c r="D20" i="3"/>
  <c r="B13" i="4"/>
  <c r="B10" i="4"/>
  <c r="B12" i="4"/>
  <c r="B17" i="4"/>
  <c r="B21" i="4"/>
  <c r="F28" i="4"/>
  <c r="B20" i="4"/>
  <c r="E28" i="4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Z9" i="3"/>
  <c r="Z10" i="3"/>
  <c r="Y9" i="3"/>
  <c r="H12" i="3"/>
  <c r="H9" i="3"/>
  <c r="H10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11" i="2"/>
  <c r="H11" i="2"/>
  <c r="I11" i="2"/>
  <c r="B23" i="2"/>
  <c r="B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G12" i="2"/>
  <c r="G23" i="2"/>
  <c r="H12" i="2"/>
  <c r="H23" i="2"/>
  <c r="I1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G9" i="2"/>
  <c r="G10" i="2"/>
  <c r="G25" i="2"/>
  <c r="H9" i="2"/>
  <c r="H10" i="2"/>
  <c r="H25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3" i="2"/>
  <c r="G26" i="2"/>
  <c r="H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Z27" i="2"/>
  <c r="Z30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H27" i="2"/>
  <c r="I27" i="2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B18" i="2"/>
  <c r="B19" i="2"/>
  <c r="C26" i="2"/>
  <c r="B17" i="2"/>
  <c r="C27" i="2"/>
  <c r="C41" i="2"/>
  <c r="C30" i="2"/>
  <c r="C33" i="2"/>
  <c r="C29" i="2"/>
  <c r="B26" i="2"/>
  <c r="C32" i="2"/>
  <c r="B27" i="2"/>
  <c r="C40" i="2"/>
  <c r="B32" i="2"/>
  <c r="B33" i="2"/>
  <c r="B40" i="2"/>
  <c r="B41" i="2"/>
  <c r="B30" i="2"/>
  <c r="H29" i="2"/>
  <c r="B29" i="2"/>
  <c r="G29" i="2"/>
  <c r="B15" i="2"/>
  <c r="B34" i="2" a="1"/>
  <c r="B34" i="2"/>
  <c r="C34" i="2"/>
  <c r="B35" i="2"/>
  <c r="C35" i="2"/>
  <c r="B42" i="2" a="1"/>
  <c r="B42" i="2"/>
  <c r="C42" i="2"/>
  <c r="B43" i="2"/>
  <c r="C43" i="2"/>
  <c r="B45" i="2" a="1"/>
  <c r="B45" i="2"/>
  <c r="B46" i="2"/>
  <c r="C45" i="2"/>
  <c r="C46" i="2"/>
  <c r="B37" i="2" a="1"/>
  <c r="B37" i="2"/>
  <c r="B38" i="2"/>
  <c r="C37" i="2"/>
  <c r="C38" i="2"/>
  <c r="G8" i="3"/>
  <c r="G11" i="3"/>
  <c r="H18" i="3"/>
  <c r="G22" i="3"/>
  <c r="G12" i="3"/>
  <c r="H19" i="3"/>
  <c r="G23" i="3"/>
  <c r="H21" i="3"/>
  <c r="G9" i="3"/>
  <c r="G10" i="3"/>
  <c r="G25" i="3"/>
  <c r="H20" i="3"/>
  <c r="G24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G26" i="3"/>
  <c r="B18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B23" i="3"/>
  <c r="B29" i="3"/>
  <c r="G29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H29" i="3"/>
  <c r="C23" i="3"/>
  <c r="C29" i="3"/>
  <c r="B10" i="3"/>
  <c r="B11" i="3"/>
  <c r="B12" i="3"/>
  <c r="C10" i="3"/>
  <c r="C11" i="3"/>
  <c r="C12" i="3"/>
  <c r="D29" i="3"/>
  <c r="B31" i="3"/>
  <c r="C31" i="3"/>
  <c r="B32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C42" i="3"/>
  <c r="B43" i="3"/>
  <c r="B44" i="3" a="1"/>
  <c r="B44" i="3"/>
  <c r="C44" i="3"/>
  <c r="B45" i="3"/>
  <c r="C45" i="3"/>
  <c r="B35" i="3"/>
  <c r="B34" i="3"/>
  <c r="Y17" i="3"/>
  <c r="H17" i="3"/>
  <c r="Z27" i="3"/>
  <c r="Y27" i="3"/>
  <c r="Z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C32" i="3"/>
  <c r="C34" i="3"/>
  <c r="C35" i="3"/>
  <c r="Z30" i="3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18" i="8"/>
  <c r="G8" i="8"/>
  <c r="G9" i="8"/>
  <c r="G10" i="8"/>
  <c r="G11" i="8"/>
  <c r="G26" i="8"/>
  <c r="Z8" i="8"/>
  <c r="Z9" i="8"/>
  <c r="Z10" i="8"/>
  <c r="X8" i="8"/>
  <c r="X9" i="8"/>
  <c r="X10" i="8"/>
  <c r="W8" i="8"/>
  <c r="W9" i="8"/>
  <c r="W10" i="8"/>
  <c r="V8" i="8"/>
  <c r="V9" i="8"/>
  <c r="V10" i="8"/>
  <c r="U8" i="8"/>
  <c r="U9" i="8"/>
  <c r="U10" i="8"/>
  <c r="T8" i="8"/>
  <c r="T9" i="8"/>
  <c r="T10" i="8"/>
  <c r="S8" i="8"/>
  <c r="S9" i="8"/>
  <c r="S10" i="8"/>
  <c r="R8" i="8"/>
  <c r="R9" i="8"/>
  <c r="R10" i="8"/>
  <c r="Q8" i="8"/>
  <c r="Q9" i="8"/>
  <c r="Q10" i="8"/>
  <c r="P8" i="8"/>
  <c r="P9" i="8"/>
  <c r="P10" i="8"/>
  <c r="O8" i="8"/>
  <c r="O9" i="8"/>
  <c r="O10" i="8"/>
  <c r="N8" i="8"/>
  <c r="N9" i="8"/>
  <c r="N10" i="8"/>
  <c r="M8" i="8"/>
  <c r="M9" i="8"/>
  <c r="M10" i="8"/>
  <c r="L8" i="8"/>
  <c r="L9" i="8"/>
  <c r="L10" i="8"/>
  <c r="K8" i="8"/>
  <c r="K9" i="8"/>
  <c r="K10" i="8"/>
  <c r="J8" i="8"/>
  <c r="J9" i="8"/>
  <c r="J10" i="8"/>
  <c r="I8" i="8"/>
  <c r="I9" i="8"/>
  <c r="I10" i="8"/>
  <c r="H8" i="8"/>
  <c r="H9" i="8"/>
  <c r="H10" i="8"/>
  <c r="Y8" i="8"/>
  <c r="Y9" i="8"/>
  <c r="Y10" i="8"/>
  <c r="D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H15" i="8"/>
  <c r="H17" i="8"/>
  <c r="I15" i="8"/>
  <c r="I17" i="8"/>
  <c r="J15" i="8"/>
  <c r="J17" i="8"/>
  <c r="K15" i="8"/>
  <c r="K17" i="8"/>
  <c r="L15" i="8"/>
  <c r="L17" i="8"/>
  <c r="M15" i="8"/>
  <c r="M17" i="8"/>
  <c r="N15" i="8"/>
  <c r="N17" i="8"/>
  <c r="O15" i="8"/>
  <c r="O17" i="8"/>
  <c r="P15" i="8"/>
  <c r="P17" i="8"/>
  <c r="Q15" i="8"/>
  <c r="Q17" i="8"/>
  <c r="R15" i="8"/>
  <c r="R17" i="8"/>
  <c r="S15" i="8"/>
  <c r="S17" i="8"/>
  <c r="T15" i="8"/>
  <c r="T17" i="8"/>
  <c r="U15" i="8"/>
  <c r="U17" i="8"/>
  <c r="V15" i="8"/>
  <c r="V17" i="8"/>
  <c r="W15" i="8"/>
  <c r="W17" i="8"/>
  <c r="X15" i="8"/>
  <c r="X17" i="8"/>
  <c r="Y15" i="8"/>
  <c r="Y17" i="8"/>
  <c r="Z15" i="8"/>
  <c r="Z17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B22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C22" i="8"/>
  <c r="I11" i="8"/>
  <c r="I22" i="8"/>
  <c r="J11" i="8"/>
  <c r="J22" i="8"/>
  <c r="K11" i="8"/>
  <c r="K22" i="8"/>
  <c r="L11" i="8"/>
  <c r="L22" i="8"/>
  <c r="M11" i="8"/>
  <c r="M22" i="8"/>
  <c r="N11" i="8"/>
  <c r="N22" i="8"/>
  <c r="O11" i="8"/>
  <c r="O22" i="8"/>
  <c r="P11" i="8"/>
  <c r="P22" i="8"/>
  <c r="Q11" i="8"/>
  <c r="Q22" i="8"/>
  <c r="R11" i="8"/>
  <c r="R22" i="8"/>
  <c r="S11" i="8"/>
  <c r="S22" i="8"/>
  <c r="T11" i="8"/>
  <c r="T22" i="8"/>
  <c r="U11" i="8"/>
  <c r="U22" i="8"/>
  <c r="V11" i="8"/>
  <c r="V22" i="8"/>
  <c r="W11" i="8"/>
  <c r="W22" i="8"/>
  <c r="X11" i="8"/>
  <c r="X22" i="8"/>
  <c r="Y11" i="8"/>
  <c r="Y22" i="8"/>
  <c r="Z11" i="8"/>
  <c r="Z22" i="8"/>
  <c r="I12" i="8"/>
  <c r="I23" i="8"/>
  <c r="J12" i="8"/>
  <c r="J23" i="8"/>
  <c r="K12" i="8"/>
  <c r="K23" i="8"/>
  <c r="L12" i="8"/>
  <c r="L23" i="8"/>
  <c r="M12" i="8"/>
  <c r="M23" i="8"/>
  <c r="N12" i="8"/>
  <c r="N23" i="8"/>
  <c r="O12" i="8"/>
  <c r="O23" i="8"/>
  <c r="P12" i="8"/>
  <c r="P23" i="8"/>
  <c r="Q12" i="8"/>
  <c r="Q23" i="8"/>
  <c r="R12" i="8"/>
  <c r="R23" i="8"/>
  <c r="S12" i="8"/>
  <c r="S23" i="8"/>
  <c r="T12" i="8"/>
  <c r="T23" i="8"/>
  <c r="U12" i="8"/>
  <c r="U23" i="8"/>
  <c r="V12" i="8"/>
  <c r="V23" i="8"/>
  <c r="W12" i="8"/>
  <c r="W23" i="8"/>
  <c r="X12" i="8"/>
  <c r="X23" i="8"/>
  <c r="Y12" i="8"/>
  <c r="Y23" i="8"/>
  <c r="Z12" i="8"/>
  <c r="Z23" i="8"/>
  <c r="H11" i="8"/>
  <c r="H22" i="8"/>
  <c r="G22" i="8"/>
  <c r="B24" i="8"/>
  <c r="H12" i="8"/>
  <c r="H23" i="8"/>
  <c r="G12" i="8"/>
  <c r="G23" i="8"/>
  <c r="C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H24" i="8"/>
  <c r="G24" i="8"/>
  <c r="B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G25" i="8"/>
  <c r="C25" i="8"/>
  <c r="Y27" i="8"/>
  <c r="Z27" i="8"/>
  <c r="Z30" i="8"/>
  <c r="C21" i="8"/>
  <c r="C27" i="8"/>
  <c r="C23" i="8"/>
  <c r="C26" i="8"/>
  <c r="B21" i="8"/>
  <c r="B26" i="8"/>
  <c r="B27" i="8"/>
  <c r="B23" i="8"/>
  <c r="B20" i="8"/>
  <c r="C20" i="8"/>
  <c r="C29" i="8"/>
  <c r="B29" i="8"/>
  <c r="C10" i="8"/>
  <c r="B35" i="8"/>
  <c r="B34" i="8"/>
  <c r="B43" i="8"/>
  <c r="B30" i="8"/>
  <c r="C30" i="8"/>
  <c r="D30" i="8"/>
  <c r="B42" i="8"/>
  <c r="C43" i="8"/>
  <c r="D42" i="8"/>
  <c r="D47" i="8"/>
  <c r="D48" i="8"/>
  <c r="B32" i="8"/>
  <c r="C31" i="8"/>
  <c r="B31" i="8"/>
  <c r="H29" i="8"/>
  <c r="G29" i="8"/>
  <c r="D29" i="8"/>
  <c r="B10" i="8"/>
  <c r="B11" i="8"/>
  <c r="C11" i="8"/>
  <c r="C12" i="8"/>
  <c r="B15" i="8"/>
  <c r="C42" i="8"/>
  <c r="C35" i="8"/>
  <c r="C34" i="8"/>
  <c r="C32" i="8"/>
  <c r="B12" i="8"/>
  <c r="D20" i="8"/>
  <c r="B44" i="8" a="1"/>
  <c r="B44" i="8"/>
  <c r="C44" i="8"/>
  <c r="B45" i="8"/>
  <c r="C45" i="8"/>
  <c r="B36" i="8" a="1"/>
  <c r="B36" i="8"/>
  <c r="C36" i="8"/>
  <c r="B37" i="8"/>
  <c r="C37" i="8"/>
  <c r="B39" i="8" a="1"/>
  <c r="B39" i="8"/>
  <c r="B40" i="8"/>
  <c r="C39" i="8"/>
  <c r="C40" i="8"/>
  <c r="B47" i="8" a="1"/>
  <c r="C47" i="8"/>
  <c r="C48" i="8"/>
  <c r="B47" i="8"/>
  <c r="B48" i="8"/>
  <c r="D49" i="8"/>
</calcChain>
</file>

<file path=xl/sharedStrings.xml><?xml version="1.0" encoding="utf-8"?>
<sst xmlns="http://schemas.openxmlformats.org/spreadsheetml/2006/main" count="309" uniqueCount="106">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</sst>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</cellXfs>
  <cellStyles count="701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 (2)'!$G$6:$Z$6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 (2)'!$G$7:$Z$7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718536"/>
        <c:axId val="2106073592"/>
      </c:lineChart>
      <c:catAx>
        <c:axId val="2121718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073592"/>
        <c:crosses val="autoZero"/>
        <c:auto val="1"/>
        <c:lblAlgn val="ctr"/>
        <c:lblOffset val="100"/>
        <c:noMultiLvlLbl val="0"/>
      </c:catAx>
      <c:valAx>
        <c:axId val="210607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718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0.000335350130466478</c:v>
                </c:pt>
                <c:pt idx="1">
                  <c:v>0.00247262315663477</c:v>
                </c:pt>
                <c:pt idx="2">
                  <c:v>0.0179862099620916</c:v>
                </c:pt>
                <c:pt idx="3">
                  <c:v>0.119202922022118</c:v>
                </c:pt>
                <c:pt idx="4">
                  <c:v>0.5</c:v>
                </c:pt>
                <c:pt idx="5">
                  <c:v>0.880797077977882</c:v>
                </c:pt>
                <c:pt idx="6">
                  <c:v>0.982013790037908</c:v>
                </c:pt>
                <c:pt idx="7">
                  <c:v>0.997527376843365</c:v>
                </c:pt>
                <c:pt idx="8">
                  <c:v>0.999664649869534</c:v>
                </c:pt>
                <c:pt idx="9">
                  <c:v>0.999954602131298</c:v>
                </c:pt>
                <c:pt idx="10">
                  <c:v>0.999993855825398</c:v>
                </c:pt>
                <c:pt idx="11">
                  <c:v>0.999999168471972</c:v>
                </c:pt>
                <c:pt idx="12">
                  <c:v>0.999999887464838</c:v>
                </c:pt>
                <c:pt idx="13">
                  <c:v>0.99999998477002</c:v>
                </c:pt>
                <c:pt idx="14">
                  <c:v>0.999999997938846</c:v>
                </c:pt>
                <c:pt idx="15">
                  <c:v>0.999999999721053</c:v>
                </c:pt>
                <c:pt idx="16">
                  <c:v>0.999999999962249</c:v>
                </c:pt>
                <c:pt idx="17">
                  <c:v>0.999999999994891</c:v>
                </c:pt>
                <c:pt idx="18">
                  <c:v>0.999999999999309</c:v>
                </c:pt>
                <c:pt idx="19">
                  <c:v>0.999999999999906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607608"/>
        <c:axId val="2105604616"/>
      </c:lineChart>
      <c:catAx>
        <c:axId val="2105607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604616"/>
        <c:crosses val="autoZero"/>
        <c:auto val="1"/>
        <c:lblAlgn val="ctr"/>
        <c:lblOffset val="100"/>
        <c:noMultiLvlLbl val="0"/>
      </c:catAx>
      <c:valAx>
        <c:axId val="210560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607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043192"/>
        <c:axId val="2108046168"/>
      </c:lineChart>
      <c:catAx>
        <c:axId val="2108043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046168"/>
        <c:crosses val="autoZero"/>
        <c:auto val="1"/>
        <c:lblAlgn val="ctr"/>
        <c:lblOffset val="100"/>
        <c:noMultiLvlLbl val="0"/>
      </c:catAx>
      <c:valAx>
        <c:axId val="2108046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43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314.4635454718704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94024"/>
        <c:axId val="2108097016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12.53157348863539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103352"/>
        <c:axId val="2108100056"/>
      </c:scatterChart>
      <c:valAx>
        <c:axId val="210809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097016"/>
        <c:crosses val="autoZero"/>
        <c:crossBetween val="midCat"/>
      </c:valAx>
      <c:valAx>
        <c:axId val="2108097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94024"/>
        <c:crosses val="autoZero"/>
        <c:crossBetween val="midCat"/>
      </c:valAx>
      <c:valAx>
        <c:axId val="2108100056"/>
        <c:scaling>
          <c:orientation val="minMax"/>
          <c:max val="300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108103352"/>
        <c:crosses val="max"/>
        <c:crossBetween val="midCat"/>
      </c:valAx>
      <c:valAx>
        <c:axId val="2108103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8100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154392"/>
        <c:axId val="2108157384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163720"/>
        <c:axId val="2108160424"/>
      </c:scatterChart>
      <c:valAx>
        <c:axId val="2108154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157384"/>
        <c:crosses val="autoZero"/>
        <c:crossBetween val="midCat"/>
      </c:valAx>
      <c:valAx>
        <c:axId val="2108157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154392"/>
        <c:crosses val="autoZero"/>
        <c:crossBetween val="midCat"/>
      </c:valAx>
      <c:valAx>
        <c:axId val="2108160424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108163720"/>
        <c:crosses val="max"/>
        <c:crossBetween val="midCat"/>
      </c:valAx>
      <c:valAx>
        <c:axId val="2108163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8160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56"/>
  <sheetViews>
    <sheetView tabSelected="1" topLeftCell="A6" zoomScale="150" zoomScaleNormal="150" zoomScalePageLayoutView="150" workbookViewId="0">
      <selection activeCell="B6" sqref="B6:B7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0.23230263539903045</v>
      </c>
      <c r="C6">
        <f>B6+dh</f>
        <v>0.23231263539903046</v>
      </c>
      <c r="D6">
        <f>B6-dh</f>
        <v>0.23229263539903044</v>
      </c>
      <c r="E6">
        <v>3</v>
      </c>
      <c r="F6" t="s">
        <v>24</v>
      </c>
      <c r="G6">
        <f t="shared" ref="G6:Z6" si="4">1/(1+EXP(-(G1-ah)/(0.5*ah)))</f>
        <v>0.20860852732604496</v>
      </c>
      <c r="H6">
        <f t="shared" si="4"/>
        <v>0.33924363123418283</v>
      </c>
      <c r="I6">
        <f t="shared" si="4"/>
        <v>0.5</v>
      </c>
      <c r="J6">
        <f t="shared" si="4"/>
        <v>0.66075636876581723</v>
      </c>
      <c r="K6">
        <f t="shared" si="4"/>
        <v>0.79139147267395504</v>
      </c>
      <c r="L6">
        <f t="shared" si="4"/>
        <v>0.88079707797788231</v>
      </c>
      <c r="M6">
        <f t="shared" si="4"/>
        <v>0.93503083087133598</v>
      </c>
      <c r="N6">
        <f t="shared" si="4"/>
        <v>0.96555480433378893</v>
      </c>
      <c r="O6">
        <f t="shared" si="4"/>
        <v>0.98201379003790845</v>
      </c>
      <c r="P6">
        <f t="shared" si="4"/>
        <v>0.99068404065493332</v>
      </c>
      <c r="Q6">
        <f t="shared" si="4"/>
        <v>0.99519524711284046</v>
      </c>
      <c r="R6">
        <f t="shared" si="4"/>
        <v>0.99752737684336534</v>
      </c>
      <c r="S6">
        <f t="shared" si="4"/>
        <v>0.99872898373691865</v>
      </c>
      <c r="T6">
        <f t="shared" si="4"/>
        <v>0.99934703466244723</v>
      </c>
      <c r="U6">
        <f t="shared" si="4"/>
        <v>0.99966464986953363</v>
      </c>
      <c r="V6">
        <f t="shared" si="4"/>
        <v>0.99982779740288108</v>
      </c>
      <c r="W6">
        <f t="shared" si="4"/>
        <v>0.99991158082998111</v>
      </c>
      <c r="X6">
        <f t="shared" si="4"/>
        <v>0.99995460213129761</v>
      </c>
      <c r="Y6">
        <f t="shared" si="4"/>
        <v>0.99997669144215851</v>
      </c>
      <c r="Z6">
        <f t="shared" si="4"/>
        <v>0.99998803285165838</v>
      </c>
    </row>
    <row r="7" spans="1:26">
      <c r="A7" t="s">
        <v>28</v>
      </c>
      <c r="B7">
        <v>0.23230263539903045</v>
      </c>
      <c r="C7">
        <f>B7</f>
        <v>0.23230263539903045</v>
      </c>
      <c r="D7">
        <f>C7</f>
        <v>0.23230263539903045</v>
      </c>
      <c r="E7">
        <v>4</v>
      </c>
      <c r="G7">
        <f t="shared" ref="G7:Z7" si="5">1/(1+EXP(-(G1-ah)/(0.5*ah)))</f>
        <v>0.18242552380635635</v>
      </c>
      <c r="H7">
        <f t="shared" si="5"/>
        <v>0.2689414213699951</v>
      </c>
      <c r="I7">
        <f t="shared" si="5"/>
        <v>0.37754066879814541</v>
      </c>
      <c r="J7">
        <f t="shared" si="5"/>
        <v>0.5</v>
      </c>
      <c r="K7">
        <f t="shared" si="5"/>
        <v>0.62245933120185459</v>
      </c>
      <c r="L7">
        <f t="shared" si="5"/>
        <v>0.7310585786300049</v>
      </c>
      <c r="M7">
        <f t="shared" si="5"/>
        <v>0.81757447619364365</v>
      </c>
      <c r="N7">
        <f t="shared" si="5"/>
        <v>0.88079707797788231</v>
      </c>
      <c r="O7">
        <f t="shared" si="5"/>
        <v>0.92414181997875655</v>
      </c>
      <c r="P7">
        <f t="shared" si="5"/>
        <v>0.95257412682243336</v>
      </c>
      <c r="Q7">
        <f t="shared" si="5"/>
        <v>0.97068776924864364</v>
      </c>
      <c r="R7">
        <f t="shared" si="5"/>
        <v>0.98201379003790845</v>
      </c>
      <c r="S7">
        <f t="shared" si="5"/>
        <v>0.98901305736940681</v>
      </c>
      <c r="T7">
        <f t="shared" si="5"/>
        <v>0.99330714907571527</v>
      </c>
      <c r="U7">
        <f t="shared" si="5"/>
        <v>0.99592986228410396</v>
      </c>
      <c r="V7">
        <f t="shared" si="5"/>
        <v>0.99752737684336534</v>
      </c>
      <c r="W7">
        <f t="shared" si="5"/>
        <v>0.99849881774326299</v>
      </c>
      <c r="X7">
        <f t="shared" si="5"/>
        <v>0.9990889488055994</v>
      </c>
      <c r="Y7">
        <f t="shared" si="5"/>
        <v>0.9994472213630764</v>
      </c>
      <c r="Z7">
        <f t="shared" si="5"/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0.39083824060881611</v>
      </c>
      <c r="H8">
        <f t="shared" si="6"/>
        <v>0.44128299053024855</v>
      </c>
      <c r="I8">
        <f t="shared" si="6"/>
        <v>0.50385501003163702</v>
      </c>
      <c r="J8">
        <f t="shared" si="6"/>
        <v>0.56964676352050825</v>
      </c>
      <c r="K8">
        <f t="shared" si="6"/>
        <v>0.62844126780138843</v>
      </c>
      <c r="L8">
        <f t="shared" si="6"/>
        <v>0.67443831691284695</v>
      </c>
      <c r="M8">
        <f t="shared" si="6"/>
        <v>0.70713483164552182</v>
      </c>
      <c r="N8">
        <f t="shared" si="6"/>
        <v>0.72891240813496183</v>
      </c>
      <c r="O8">
        <f t="shared" si="6"/>
        <v>0.7428049716875178</v>
      </c>
      <c r="P8">
        <f t="shared" si="6"/>
        <v>0.75142399356568279</v>
      </c>
      <c r="Q8">
        <f t="shared" si="6"/>
        <v>0.75667980558696812</v>
      </c>
      <c r="R8">
        <f t="shared" si="6"/>
        <v>0.75985262994739189</v>
      </c>
      <c r="S8">
        <f t="shared" si="6"/>
        <v>0.76175771464244735</v>
      </c>
      <c r="T8">
        <f t="shared" si="6"/>
        <v>0.76289881832127904</v>
      </c>
      <c r="U8">
        <f t="shared" si="6"/>
        <v>0.76358186436113251</v>
      </c>
      <c r="V8">
        <f t="shared" si="6"/>
        <v>0.76399087080529271</v>
      </c>
      <c r="W8">
        <f t="shared" si="6"/>
        <v>0.76423600219739152</v>
      </c>
      <c r="X8">
        <f t="shared" si="6"/>
        <v>0.76438308516007725</v>
      </c>
      <c r="Y8">
        <f t="shared" si="6"/>
        <v>0.76447144422449742</v>
      </c>
      <c r="Z8">
        <f t="shared" si="6"/>
        <v>0.76452458807887425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 t="shared" ref="G9:Z9" si="7">EXP(-za)</f>
        <v>0.67648957573113178</v>
      </c>
      <c r="H9" s="7">
        <f t="shared" si="7"/>
        <v>0.64321065828995005</v>
      </c>
      <c r="I9" s="7">
        <f t="shared" si="7"/>
        <v>0.60419697900630087</v>
      </c>
      <c r="J9" s="7">
        <f t="shared" si="7"/>
        <v>0.56572523820072507</v>
      </c>
      <c r="K9" s="7">
        <f t="shared" si="7"/>
        <v>0.53342261633693056</v>
      </c>
      <c r="L9" s="7">
        <f t="shared" si="7"/>
        <v>0.50944248548910187</v>
      </c>
      <c r="M9" s="7">
        <f t="shared" si="7"/>
        <v>0.49305486078611865</v>
      </c>
      <c r="N9" s="7">
        <f t="shared" si="7"/>
        <v>0.48243339550535369</v>
      </c>
      <c r="O9" s="7">
        <f t="shared" si="7"/>
        <v>0.47577749967680832</v>
      </c>
      <c r="P9" s="7">
        <f t="shared" si="7"/>
        <v>0.47169438450447254</v>
      </c>
      <c r="Q9" s="7">
        <f t="shared" si="7"/>
        <v>0.46922175102830427</v>
      </c>
      <c r="R9" s="7">
        <f t="shared" si="7"/>
        <v>0.46773535211448414</v>
      </c>
      <c r="S9" s="7">
        <f t="shared" si="7"/>
        <v>0.46684512490219843</v>
      </c>
      <c r="T9" s="7">
        <f t="shared" si="7"/>
        <v>0.46631271004077862</v>
      </c>
      <c r="U9" s="7">
        <f t="shared" si="7"/>
        <v>0.46599430574562767</v>
      </c>
      <c r="V9" s="7">
        <f t="shared" si="7"/>
        <v>0.46580375004354729</v>
      </c>
      <c r="W9" s="7">
        <f t="shared" si="7"/>
        <v>0.46568958091564461</v>
      </c>
      <c r="X9" s="7">
        <f t="shared" si="7"/>
        <v>0.46562109094936871</v>
      </c>
      <c r="Y9" s="7">
        <f t="shared" si="7"/>
        <v>0.465579950922972</v>
      </c>
      <c r="Z9" s="7">
        <f t="shared" si="7"/>
        <v>0.46555520886730928</v>
      </c>
    </row>
    <row r="10" spans="1:26">
      <c r="A10" t="s">
        <v>69</v>
      </c>
      <c r="B10">
        <f>Ye/SUM(Ye)</f>
        <v>0.40000000015067633</v>
      </c>
      <c r="C10">
        <f>Ye/SUM(Ye)</f>
        <v>0.59999999984932373</v>
      </c>
      <c r="F10" t="s">
        <v>61</v>
      </c>
      <c r="G10">
        <f t="shared" ref="G10:Z10" si="8">1-sa</f>
        <v>0.32351042426886822</v>
      </c>
      <c r="H10">
        <f t="shared" si="8"/>
        <v>0.35678934171004995</v>
      </c>
      <c r="I10">
        <f t="shared" si="8"/>
        <v>0.39580302099369913</v>
      </c>
      <c r="J10">
        <f t="shared" si="8"/>
        <v>0.43427476179927493</v>
      </c>
      <c r="K10">
        <f t="shared" si="8"/>
        <v>0.46657738366306944</v>
      </c>
      <c r="L10">
        <f t="shared" si="8"/>
        <v>0.49055751451089813</v>
      </c>
      <c r="M10">
        <f t="shared" si="8"/>
        <v>0.50694513921388129</v>
      </c>
      <c r="N10">
        <f t="shared" si="8"/>
        <v>0.51756660449464631</v>
      </c>
      <c r="O10">
        <f t="shared" si="8"/>
        <v>0.52422250032319173</v>
      </c>
      <c r="P10">
        <f t="shared" si="8"/>
        <v>0.52830561549552746</v>
      </c>
      <c r="Q10">
        <f t="shared" si="8"/>
        <v>0.53077824897169568</v>
      </c>
      <c r="R10">
        <f t="shared" si="8"/>
        <v>0.53226464788551586</v>
      </c>
      <c r="S10">
        <f t="shared" si="8"/>
        <v>0.53315487509780157</v>
      </c>
      <c r="T10">
        <f t="shared" si="8"/>
        <v>0.53368728995922132</v>
      </c>
      <c r="U10">
        <f t="shared" si="8"/>
        <v>0.53400569425437228</v>
      </c>
      <c r="V10">
        <f t="shared" si="8"/>
        <v>0.53419624995645276</v>
      </c>
      <c r="W10">
        <f t="shared" si="8"/>
        <v>0.53431041908435539</v>
      </c>
      <c r="X10">
        <f t="shared" si="8"/>
        <v>0.53437890905063123</v>
      </c>
      <c r="Y10">
        <f t="shared" si="8"/>
        <v>0.534420049077028</v>
      </c>
      <c r="Z10">
        <f t="shared" si="8"/>
        <v>0.53444479113269072</v>
      </c>
    </row>
    <row r="11" spans="1:26">
      <c r="A11" t="s">
        <v>70</v>
      </c>
      <c r="B11">
        <f>B14*(B9/B10)</f>
        <v>0.70319686971099504</v>
      </c>
      <c r="C11">
        <f>2-B11</f>
        <v>1.2968031302890051</v>
      </c>
      <c r="F11" t="s">
        <v>40</v>
      </c>
      <c r="G11">
        <f t="shared" ref="G11:Z11" si="9">wa*G6/za*(1-EXP(-za))</f>
        <v>1.0284795915383269E-3</v>
      </c>
      <c r="H11">
        <f t="shared" si="9"/>
        <v>9.8284268676304184E-3</v>
      </c>
      <c r="I11">
        <f t="shared" si="9"/>
        <v>3.6075902114062308E-2</v>
      </c>
      <c r="J11">
        <f t="shared" si="9"/>
        <v>8.4115690946383742E-2</v>
      </c>
      <c r="K11">
        <f t="shared" si="9"/>
        <v>0.1484055353435759</v>
      </c>
      <c r="L11">
        <f t="shared" si="9"/>
        <v>0.21862158700171061</v>
      </c>
      <c r="M11">
        <f t="shared" si="9"/>
        <v>0.28665977940889542</v>
      </c>
      <c r="N11">
        <f t="shared" si="9"/>
        <v>0.34853423930955524</v>
      </c>
      <c r="O11">
        <f t="shared" si="9"/>
        <v>0.40304303266015967</v>
      </c>
      <c r="P11">
        <f t="shared" si="9"/>
        <v>0.4502757397560187</v>
      </c>
      <c r="Q11">
        <f t="shared" si="9"/>
        <v>0.49079824530204397</v>
      </c>
      <c r="R11">
        <f t="shared" si="9"/>
        <v>0.5253139373841258</v>
      </c>
      <c r="S11">
        <f t="shared" si="9"/>
        <v>0.55453907702858851</v>
      </c>
      <c r="T11">
        <f t="shared" si="9"/>
        <v>0.57915730481623873</v>
      </c>
      <c r="U11">
        <f t="shared" si="9"/>
        <v>0.59980133418435377</v>
      </c>
      <c r="V11">
        <f t="shared" si="9"/>
        <v>0.61704483373238728</v>
      </c>
      <c r="W11">
        <f t="shared" si="9"/>
        <v>0.63139937824954029</v>
      </c>
      <c r="X11">
        <f t="shared" si="9"/>
        <v>0.64331473154381302</v>
      </c>
      <c r="Y11">
        <f t="shared" si="9"/>
        <v>0.65318151185729689</v>
      </c>
      <c r="Z11">
        <f t="shared" si="9"/>
        <v>0.66133546243833108</v>
      </c>
    </row>
    <row r="12" spans="1:26">
      <c r="A12" t="s">
        <v>71</v>
      </c>
      <c r="B12">
        <f>B20*lambda</f>
        <v>0.11487036327859029</v>
      </c>
      <c r="C12">
        <f>C20*lambda</f>
        <v>0.39066296059879263</v>
      </c>
      <c r="G12">
        <f t="shared" ref="G12:Z12" si="10">wa*G7/za*(1-EXP(-za))</f>
        <v>8.9939241993345915E-4</v>
      </c>
      <c r="H12">
        <f t="shared" si="10"/>
        <v>7.7916601764791886E-3</v>
      </c>
      <c r="I12">
        <f t="shared" si="10"/>
        <v>2.7240240423279022E-2</v>
      </c>
      <c r="J12">
        <f t="shared" si="10"/>
        <v>6.3651063328755975E-2</v>
      </c>
      <c r="K12">
        <f t="shared" si="10"/>
        <v>0.1167265676549355</v>
      </c>
      <c r="L12">
        <f t="shared" si="10"/>
        <v>0.18145517355510557</v>
      </c>
      <c r="M12">
        <f t="shared" si="10"/>
        <v>0.25065025800016938</v>
      </c>
      <c r="N12">
        <f t="shared" si="10"/>
        <v>0.31793942527261826</v>
      </c>
      <c r="O12">
        <f t="shared" si="10"/>
        <v>0.37929092800004266</v>
      </c>
      <c r="P12">
        <f t="shared" si="10"/>
        <v>0.43295440526513224</v>
      </c>
      <c r="Q12">
        <f t="shared" si="10"/>
        <v>0.47871194649040721</v>
      </c>
      <c r="R12">
        <f t="shared" si="10"/>
        <v>0.51714423341718929</v>
      </c>
      <c r="S12">
        <f t="shared" si="10"/>
        <v>0.5491443594144485</v>
      </c>
      <c r="T12">
        <f t="shared" si="10"/>
        <v>0.57565697536462668</v>
      </c>
      <c r="U12">
        <f t="shared" si="10"/>
        <v>0.59756045212762787</v>
      </c>
      <c r="V12">
        <f t="shared" si="10"/>
        <v>0.61562512663347668</v>
      </c>
      <c r="W12">
        <f t="shared" si="10"/>
        <v>0.63050728163653036</v>
      </c>
      <c r="X12">
        <f t="shared" si="10"/>
        <v>0.64275781872432636</v>
      </c>
      <c r="Y12">
        <f t="shared" si="10"/>
        <v>0.65283566372933777</v>
      </c>
      <c r="Z12">
        <f t="shared" si="10"/>
        <v>0.66112159524492242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0.70319686997588282</v>
      </c>
      <c r="C14">
        <v>1.2968031300241172</v>
      </c>
      <c r="F14" t="s">
        <v>25</v>
      </c>
      <c r="G14">
        <f>1</f>
        <v>1</v>
      </c>
      <c r="H14">
        <f t="shared" ref="H14:Y14" si="11">G14*EXP(-m-SUMPRODUCT(G$6:G$7,$B$6:$B$7))</f>
        <v>0.67648957573113178</v>
      </c>
      <c r="I14">
        <f t="shared" si="11"/>
        <v>0.43512530533231031</v>
      </c>
      <c r="J14">
        <f t="shared" si="11"/>
        <v>0.26290139497097614</v>
      </c>
      <c r="K14">
        <f t="shared" si="11"/>
        <v>0.14872995429325839</v>
      </c>
      <c r="L14">
        <f t="shared" si="11"/>
        <v>7.9335921346781982E-2</v>
      </c>
      <c r="M14">
        <f t="shared" si="11"/>
        <v>4.0417088959472505E-2</v>
      </c>
      <c r="N14">
        <f t="shared" si="11"/>
        <v>1.9927842170292889E-2</v>
      </c>
      <c r="O14">
        <f t="shared" si="11"/>
        <v>9.6138565633091758E-3</v>
      </c>
      <c r="P14">
        <f t="shared" si="11"/>
        <v>4.5740566379427134E-3</v>
      </c>
      <c r="Q14">
        <f t="shared" si="11"/>
        <v>2.1575568305229852E-3</v>
      </c>
      <c r="R14">
        <f t="shared" si="11"/>
        <v>1.0123725939610733E-3</v>
      </c>
      <c r="S14">
        <f t="shared" si="11"/>
        <v>4.735224517074363E-4</v>
      </c>
      <c r="T14">
        <f t="shared" si="11"/>
        <v>2.2106164811135331E-4</v>
      </c>
      <c r="U14">
        <f t="shared" si="11"/>
        <v>1.0308385621688613E-4</v>
      </c>
      <c r="V14">
        <f t="shared" si="11"/>
        <v>4.803649001136996E-5</v>
      </c>
      <c r="W14">
        <f t="shared" si="11"/>
        <v>2.237557718622553E-5</v>
      </c>
      <c r="X14">
        <f t="shared" si="11"/>
        <v>1.0420073162599026E-5</v>
      </c>
      <c r="Y14">
        <f t="shared" si="11"/>
        <v>4.851805833741597E-6</v>
      </c>
      <c r="Z14">
        <f>Y14*EXP(-m-SUMPRODUCT(Y$6:Y$7,$B$6:$B$7))/(1-EXP(-m-SUMPRODUCT(B$6:B$7,Z6:Z7)))</f>
        <v>4.2266358648079076E-6</v>
      </c>
    </row>
    <row r="15" spans="1:26">
      <c r="B15">
        <f>EXP(B14)</f>
        <v>2.0202007142679697</v>
      </c>
      <c r="F15" t="s">
        <v>26</v>
      </c>
      <c r="G15">
        <f>1</f>
        <v>1</v>
      </c>
      <c r="H15">
        <f t="shared" ref="H15:Y15" si="12">G15*EXP(-m-SUMPRODUCT(G$6:G$7,$C$6:$C$7))</f>
        <v>0.67648816451766225</v>
      </c>
      <c r="I15">
        <f t="shared" si="12"/>
        <v>0.4351229214954625</v>
      </c>
      <c r="J15">
        <f t="shared" si="12"/>
        <v>0.26289864016746722</v>
      </c>
      <c r="K15">
        <f t="shared" si="12"/>
        <v>0.14872741310228621</v>
      </c>
      <c r="L15">
        <f t="shared" si="12"/>
        <v>7.9333937973540603E-2</v>
      </c>
      <c r="M15">
        <f t="shared" si="12"/>
        <v>4.0415722562807649E-2</v>
      </c>
      <c r="N15">
        <f t="shared" si="12"/>
        <v>1.9926982137477778E-2</v>
      </c>
      <c r="O15">
        <f t="shared" si="12"/>
        <v>9.6133488321583031E-3</v>
      </c>
      <c r="P15">
        <f t="shared" si="12"/>
        <v>4.5737701556110531E-3</v>
      </c>
      <c r="Q15">
        <f t="shared" si="12"/>
        <v>2.1574003252892958E-3</v>
      </c>
      <c r="R15">
        <f t="shared" si="12"/>
        <v>1.0122890839982961E-3</v>
      </c>
      <c r="S15">
        <f t="shared" si="12"/>
        <v>4.7347866804269733E-4</v>
      </c>
      <c r="T15">
        <f t="shared" si="12"/>
        <v>2.2103900032933399E-4</v>
      </c>
      <c r="U15">
        <f t="shared" si="12"/>
        <v>1.0307226521350341E-4</v>
      </c>
      <c r="V15">
        <f t="shared" si="12"/>
        <v>4.8030608522381281E-5</v>
      </c>
      <c r="W15">
        <f t="shared" si="12"/>
        <v>2.2372613877867954E-5</v>
      </c>
      <c r="X15">
        <f t="shared" si="12"/>
        <v>1.0418589003573017E-5</v>
      </c>
      <c r="Y15">
        <f t="shared" si="12"/>
        <v>4.8510662692938209E-6</v>
      </c>
      <c r="Z15">
        <f>Y15*EXP(-m-SUMPRODUCT(Y$6:Y$7,$C$6:$C$7))/(1-EXP(-m-SUMPRODUCT(C$6:C$7,Z6:Z7)))</f>
        <v>4.2259125254464144E-6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0.67649098694754517</v>
      </c>
      <c r="I16">
        <f t="shared" si="13"/>
        <v>0.43512768918221795</v>
      </c>
      <c r="J16">
        <f t="shared" si="13"/>
        <v>0.26290414980335147</v>
      </c>
      <c r="K16">
        <f t="shared" si="13"/>
        <v>0.14873249552764992</v>
      </c>
      <c r="L16">
        <f t="shared" si="13"/>
        <v>7.933790476960835E-2</v>
      </c>
      <c r="M16">
        <f t="shared" si="13"/>
        <v>4.0418455402333263E-2</v>
      </c>
      <c r="N16">
        <f t="shared" si="13"/>
        <v>1.9928702240226349E-2</v>
      </c>
      <c r="O16">
        <f t="shared" si="13"/>
        <v>9.614364321275987E-3</v>
      </c>
      <c r="P16">
        <f t="shared" si="13"/>
        <v>4.5743431382184608E-3</v>
      </c>
      <c r="Q16">
        <f t="shared" si="13"/>
        <v>2.1577133471101023E-3</v>
      </c>
      <c r="R16">
        <f t="shared" si="13"/>
        <v>1.0124561108131021E-3</v>
      </c>
      <c r="S16">
        <f t="shared" si="13"/>
        <v>4.7356623942095189E-4</v>
      </c>
      <c r="T16">
        <f t="shared" si="13"/>
        <v>2.2108429821387734E-4</v>
      </c>
      <c r="U16">
        <f t="shared" si="13"/>
        <v>1.0309544852373648E-4</v>
      </c>
      <c r="V16">
        <f t="shared" si="13"/>
        <v>4.8042372220564218E-5</v>
      </c>
      <c r="W16">
        <f t="shared" si="13"/>
        <v>2.2378540887080657E-5</v>
      </c>
      <c r="X16">
        <f t="shared" si="13"/>
        <v>1.0421557533047901E-5</v>
      </c>
      <c r="Y16">
        <f t="shared" si="13"/>
        <v>4.8525455109389282E-6</v>
      </c>
      <c r="Z16">
        <f>Y16*EXP(-m-SUMPRODUCT(Y$6:Y$7,$D$6:$D$7))/(1-EXP(-m-SUMPRODUCT(D$6:D$7,Z6:Z7)))</f>
        <v>4.2273593286706818E-6</v>
      </c>
    </row>
    <row r="17" spans="1:26">
      <c r="A17" t="s">
        <v>51</v>
      </c>
      <c r="B17">
        <f>ro*(reck-phie/phif)/(reck-1)</f>
        <v>0.62175614930612622</v>
      </c>
      <c r="F17" s="3" t="s">
        <v>31</v>
      </c>
      <c r="G17" s="3">
        <f>(G14-G15)/dh</f>
        <v>0</v>
      </c>
      <c r="H17" s="3">
        <f t="shared" ref="H17:Z17" si="14">(H15-H14)/dh</f>
        <v>-0.1411213469526551</v>
      </c>
      <c r="I17" s="3">
        <f t="shared" si="14"/>
        <v>-0.23838368478079627</v>
      </c>
      <c r="J17" s="3">
        <f t="shared" si="14"/>
        <v>-0.27548035089197676</v>
      </c>
      <c r="K17" s="3">
        <f t="shared" si="14"/>
        <v>-0.25411909721773096</v>
      </c>
      <c r="L17" s="3">
        <f t="shared" si="14"/>
        <v>-0.19833732413793156</v>
      </c>
      <c r="M17" s="3">
        <f t="shared" si="14"/>
        <v>-0.13663966648563841</v>
      </c>
      <c r="N17" s="3">
        <f t="shared" si="14"/>
        <v>-8.6003281511010096E-2</v>
      </c>
      <c r="O17" s="3">
        <f t="shared" si="14"/>
        <v>-5.0773115087276992E-2</v>
      </c>
      <c r="P17" s="3">
        <f t="shared" si="14"/>
        <v>-2.8648233166023853E-2</v>
      </c>
      <c r="Q17" s="3">
        <f t="shared" si="14"/>
        <v>-1.5650523368937463E-2</v>
      </c>
      <c r="R17" s="3">
        <f t="shared" si="14"/>
        <v>-8.3509962777198951E-3</v>
      </c>
      <c r="S17" s="3">
        <f t="shared" si="14"/>
        <v>-4.3783664738976467E-3</v>
      </c>
      <c r="T17" s="3">
        <f t="shared" si="14"/>
        <v>-2.2647782019316913E-3</v>
      </c>
      <c r="U17" s="3">
        <f t="shared" si="14"/>
        <v>-1.1591003382717966E-3</v>
      </c>
      <c r="V17" s="3">
        <f t="shared" si="14"/>
        <v>-5.8814889886788738E-4</v>
      </c>
      <c r="W17" s="3">
        <f t="shared" si="14"/>
        <v>-2.9633083575759153E-4</v>
      </c>
      <c r="X17" s="3">
        <f t="shared" si="14"/>
        <v>-1.4841590260087121E-4</v>
      </c>
      <c r="Y17" s="3">
        <f>(Y15-Y14)/dh</f>
        <v>-7.3956444777613118E-5</v>
      </c>
      <c r="Z17" s="3">
        <f t="shared" si="14"/>
        <v>-7.2333936149323859E-5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-0.14112149414469236</v>
      </c>
      <c r="I18">
        <f t="shared" si="15"/>
        <v>-0.2383843377704844</v>
      </c>
      <c r="J18">
        <f t="shared" si="15"/>
        <v>-0.27548179420883234</v>
      </c>
      <c r="K18">
        <f t="shared" si="15"/>
        <v>-0.25412126817427416</v>
      </c>
      <c r="L18">
        <f t="shared" si="15"/>
        <v>-0.19833980336695495</v>
      </c>
      <c r="M18">
        <f t="shared" si="15"/>
        <v>-0.13664197625455679</v>
      </c>
      <c r="N18">
        <f t="shared" si="15"/>
        <v>-8.6005137401692439E-2</v>
      </c>
      <c r="O18">
        <f t="shared" si="15"/>
        <v>-5.0774455860482084E-2</v>
      </c>
      <c r="P18">
        <f t="shared" si="15"/>
        <v>-2.8649130351624811E-2</v>
      </c>
      <c r="Q18">
        <f t="shared" si="15"/>
        <v>-1.5651091026603229E-2</v>
      </c>
      <c r="R18">
        <f t="shared" si="15"/>
        <v>-8.3513407308235046E-3</v>
      </c>
      <c r="S18">
        <f t="shared" si="15"/>
        <v>-4.3785689064879231E-3</v>
      </c>
      <c r="T18">
        <f t="shared" si="15"/>
        <v>-2.2648942232036968E-3</v>
      </c>
      <c r="U18">
        <f t="shared" si="15"/>
        <v>-1.1591655092097353E-3</v>
      </c>
      <c r="V18">
        <f t="shared" si="15"/>
        <v>-5.8818490767664517E-4</v>
      </c>
      <c r="W18">
        <f t="shared" si="15"/>
        <v>-2.9635045976852096E-4</v>
      </c>
      <c r="X18">
        <f t="shared" si="15"/>
        <v>-1.484264732421396E-4</v>
      </c>
      <c r="Y18">
        <f t="shared" si="15"/>
        <v>-7.3962081968869715E-5</v>
      </c>
      <c r="Z18">
        <f>(Y18-Y14*Y6)*Y$9/oa-Y14*Y$9*Z6*sa/oa^2</f>
        <v>-7.2340160853973006E-5</v>
      </c>
    </row>
    <row r="19" spans="1:26">
      <c r="A19" t="s">
        <v>38</v>
      </c>
      <c r="B19">
        <f>SUMPRODUCT(lz,fa)</f>
        <v>0.10360815958597024</v>
      </c>
      <c r="F19" t="s">
        <v>34</v>
      </c>
      <c r="G19">
        <v>0</v>
      </c>
      <c r="H19">
        <f t="shared" ref="H19:X19" si="16">G19*EXP(-G8) - G14*G7*EXP(-G8)</f>
        <v>-0.12340896520229148</v>
      </c>
      <c r="I19">
        <f t="shared" si="16"/>
        <v>-0.19640117983677208</v>
      </c>
      <c r="J19">
        <f t="shared" si="16"/>
        <v>-0.21792096801595862</v>
      </c>
      <c r="K19">
        <f t="shared" si="16"/>
        <v>-0.19764836868638996</v>
      </c>
      <c r="L19">
        <f t="shared" si="16"/>
        <v>-0.15481349448122125</v>
      </c>
      <c r="M19">
        <f t="shared" si="16"/>
        <v>-0.10841583102284115</v>
      </c>
      <c r="N19">
        <f t="shared" si="16"/>
        <v>-6.9747447596025108E-2</v>
      </c>
      <c r="O19">
        <f t="shared" si="16"/>
        <v>-4.2116354740643319E-2</v>
      </c>
      <c r="P19">
        <f t="shared" si="16"/>
        <v>-2.4265090980079063E-2</v>
      </c>
      <c r="Q19">
        <f t="shared" si="16"/>
        <v>-1.3500939968698632E-2</v>
      </c>
      <c r="R19">
        <f t="shared" si="16"/>
        <v>-7.3176323875213285E-3</v>
      </c>
      <c r="S19">
        <f t="shared" si="16"/>
        <v>-3.8877209388909042E-3</v>
      </c>
      <c r="T19">
        <f t="shared" si="16"/>
        <v>-2.0335964237671459E-3</v>
      </c>
      <c r="U19">
        <f t="shared" si="16"/>
        <v>-1.0506857908306195E-3</v>
      </c>
      <c r="V19">
        <f t="shared" si="16"/>
        <v>-5.3745457053654578E-4</v>
      </c>
      <c r="W19">
        <f t="shared" si="16"/>
        <v>-2.7266860524989903E-4</v>
      </c>
      <c r="X19">
        <f t="shared" si="16"/>
        <v>-1.3738335924133225E-4</v>
      </c>
      <c r="Y19">
        <f>X19*EXP(-X8) - X14*X7*EXP(-X8)</f>
        <v>-6.8815975198479936E-5</v>
      </c>
      <c r="Z19">
        <f>Y19*EXP(-Y8)/(1-EXP(-za))-Y14*Y7*EXP(-Y8)/(1-EXP(-za))-Y14*EXP(-Y8)*Z7*EXP(-za)/(1-EXP(-za))^2</f>
        <v>-6.785371710830537E-5</v>
      </c>
    </row>
    <row r="20" spans="1:26">
      <c r="A20" t="s">
        <v>49</v>
      </c>
      <c r="B20">
        <f>B6*B14</f>
        <v>0.16335448609974693</v>
      </c>
      <c r="C20">
        <f>B7*C14</f>
        <v>0.30125078469831396</v>
      </c>
      <c r="D20">
        <f>AVERAGE(f)</f>
        <v>0.23230263539903045</v>
      </c>
      <c r="F20" s="4" t="s">
        <v>58</v>
      </c>
      <c r="G20" s="4">
        <v>0</v>
      </c>
      <c r="H20" s="4">
        <f t="shared" ref="H20:Y21" si="17">G20*EXP(-G$8)+G$14*G6^2*EXP(-G$8)</f>
        <v>2.9439147067575347E-2</v>
      </c>
      <c r="I20" s="4">
        <f t="shared" si="17"/>
        <v>6.9012509064379446E-2</v>
      </c>
      <c r="J20" s="4">
        <f t="shared" si="17"/>
        <v>0.10742249823308705</v>
      </c>
      <c r="K20" s="4">
        <f t="shared" si="17"/>
        <v>0.12570696457204369</v>
      </c>
      <c r="L20" s="4">
        <f t="shared" si="17"/>
        <v>0.11674306220748465</v>
      </c>
      <c r="M20" s="4">
        <f t="shared" si="17"/>
        <v>9.0829594549037829E-2</v>
      </c>
      <c r="N20" s="4">
        <f t="shared" si="17"/>
        <v>6.2206539850321985E-2</v>
      </c>
      <c r="O20" s="4">
        <f t="shared" si="17"/>
        <v>3.8973473031939515E-2</v>
      </c>
      <c r="P20" s="4">
        <f t="shared" si="17"/>
        <v>2.2953698029132941E-2</v>
      </c>
      <c r="Q20" s="4">
        <f t="shared" si="17"/>
        <v>1.2944675119137937E-2</v>
      </c>
      <c r="R20" s="4">
        <f t="shared" si="17"/>
        <v>7.0765906908477521E-3</v>
      </c>
      <c r="S20" s="4">
        <f t="shared" si="17"/>
        <v>3.7811553001551078E-3</v>
      </c>
      <c r="T20" s="4">
        <f t="shared" si="17"/>
        <v>1.9857139777082768E-3</v>
      </c>
      <c r="U20" s="4">
        <f t="shared" si="17"/>
        <v>1.0289129461091629E-3</v>
      </c>
      <c r="V20" s="4">
        <f t="shared" si="17"/>
        <v>5.2747185132198259E-4</v>
      </c>
      <c r="W20" s="4">
        <f t="shared" si="17"/>
        <v>2.6806623797292985E-4</v>
      </c>
      <c r="X20" s="4">
        <f t="shared" si="17"/>
        <v>1.3525388459486866E-4</v>
      </c>
      <c r="Y20" s="4">
        <f t="shared" si="17"/>
        <v>6.7828426620655349E-5</v>
      </c>
      <c r="Z20" s="4">
        <f>Y20*EXP(-Y$8)/oa+2*Y$14*(Y6)*Y$9*sa/oa^2 + 2*Y$14*Y$9*Z6^2*sa^2/oa^3 +Y$14*Y$9*Z6^2*sa/oa^2</f>
        <v>7.6548070525609413E-5</v>
      </c>
    </row>
    <row r="21" spans="1:26">
      <c r="A21" t="s">
        <v>48</v>
      </c>
      <c r="B21">
        <f>SUMPRODUCT(fa,G18:Z18)</f>
        <v>-0.30676169745969067</v>
      </c>
      <c r="C21">
        <f>SUMPRODUCT(fa,G19:Z19)</f>
        <v>-0.24639130101153253</v>
      </c>
      <c r="F21" s="4" t="s">
        <v>59</v>
      </c>
      <c r="G21" s="4">
        <v>0</v>
      </c>
      <c r="H21" s="4">
        <f t="shared" si="17"/>
        <v>2.2512945119428428E-2</v>
      </c>
      <c r="I21" s="4">
        <f t="shared" si="17"/>
        <v>4.5952956856762116E-2</v>
      </c>
      <c r="J21" s="4">
        <f t="shared" si="17"/>
        <v>6.5237802433413261E-2</v>
      </c>
      <c r="K21" s="4">
        <f t="shared" si="17"/>
        <v>7.4089159894649148E-2</v>
      </c>
      <c r="L21" s="4">
        <f t="shared" si="17"/>
        <v>7.0259982027582296E-2</v>
      </c>
      <c r="M21" s="4">
        <f t="shared" si="17"/>
        <v>5.7394197485310744E-2</v>
      </c>
      <c r="N21" s="4">
        <f t="shared" si="17"/>
        <v>4.1618816217980956E-2</v>
      </c>
      <c r="O21" s="4">
        <f t="shared" si="17"/>
        <v>2.7536770323878176E-2</v>
      </c>
      <c r="P21" s="4">
        <f t="shared" si="17"/>
        <v>1.7007794389935979E-2</v>
      </c>
      <c r="Q21" s="4">
        <f t="shared" si="17"/>
        <v>9.9802427096620412E-3</v>
      </c>
      <c r="R21" s="4">
        <f t="shared" si="17"/>
        <v>5.6368395932044641E-3</v>
      </c>
      <c r="S21" s="4">
        <f t="shared" si="17"/>
        <v>3.0931910414597119E-3</v>
      </c>
      <c r="T21" s="4">
        <f t="shared" si="17"/>
        <v>1.6602719079111983E-3</v>
      </c>
      <c r="U21" s="4">
        <f t="shared" si="17"/>
        <v>8.7591451679919761E-4</v>
      </c>
      <c r="V21" s="4">
        <f t="shared" si="17"/>
        <v>4.5581743267376343E-4</v>
      </c>
      <c r="W21" s="4">
        <f t="shared" si="17"/>
        <v>2.3458653072156357E-4</v>
      </c>
      <c r="X21" s="4">
        <f t="shared" si="17"/>
        <v>1.1963331496702455E-4</v>
      </c>
      <c r="Y21" s="4">
        <f t="shared" si="17"/>
        <v>6.0546764002645463E-5</v>
      </c>
      <c r="Z21" s="4">
        <f>Y21*EXP(-Y$8)/oa+2*Y$14*(Y7)*Y$9*sa/oa^2 + 2*Y$14*Y$9*Z7^2*sa^2/oa^3 +Y$14*Y$9*Z7^2*sa/oa^2</f>
        <v>7.0194244683036554E-5</v>
      </c>
    </row>
    <row r="22" spans="1:26">
      <c r="A22" t="s">
        <v>64</v>
      </c>
      <c r="B22">
        <f>SUMPRODUCT(fa,G20:Z20)</f>
        <v>0.2004763254718937</v>
      </c>
      <c r="C22">
        <f>SUMPRODUCT(fa,G21:Z21)</f>
        <v>0.13208308009253333</v>
      </c>
      <c r="F22" t="s">
        <v>44</v>
      </c>
      <c r="G22">
        <f t="shared" ref="G22:Z22" si="18">G11*G18+lz*wa*G6/za*(EXP(-za)-(1-EXP(-za))/za)</f>
        <v>-4.8082733867651226E-4</v>
      </c>
      <c r="H22">
        <f t="shared" si="18"/>
        <v>-4.4677050786176139E-3</v>
      </c>
      <c r="I22">
        <f t="shared" si="18"/>
        <v>-1.5792364108160036E-2</v>
      </c>
      <c r="J22">
        <f t="shared" si="18"/>
        <v>-3.3185271325200751E-2</v>
      </c>
      <c r="K22">
        <f t="shared" si="18"/>
        <v>-4.7600783714507572E-2</v>
      </c>
      <c r="L22">
        <f t="shared" si="18"/>
        <v>-5.1066127358431829E-2</v>
      </c>
      <c r="M22">
        <f t="shared" si="18"/>
        <v>-4.4285622727573068E-2</v>
      </c>
      <c r="N22">
        <f t="shared" si="18"/>
        <v>-3.3030301517686503E-2</v>
      </c>
      <c r="O22">
        <f t="shared" si="18"/>
        <v>-2.216401511862395E-2</v>
      </c>
      <c r="P22">
        <f t="shared" si="18"/>
        <v>-1.3802030743116835E-2</v>
      </c>
      <c r="Q22">
        <f t="shared" si="18"/>
        <v>-8.1448469223009568E-3</v>
      </c>
      <c r="R22">
        <f t="shared" si="18"/>
        <v>-4.619627072902208E-3</v>
      </c>
      <c r="S22">
        <f t="shared" si="18"/>
        <v>-2.5428709719842618E-3</v>
      </c>
      <c r="T22">
        <f t="shared" si="18"/>
        <v>-1.3676831836490196E-3</v>
      </c>
      <c r="U22">
        <f t="shared" si="18"/>
        <v>-7.2228730052888591E-4</v>
      </c>
      <c r="V22">
        <f t="shared" si="18"/>
        <v>-3.7588779889837387E-4</v>
      </c>
      <c r="W22">
        <f t="shared" si="18"/>
        <v>-1.9328834145563819E-4</v>
      </c>
      <c r="X22">
        <f t="shared" si="18"/>
        <v>-9.8413734884634531E-5</v>
      </c>
      <c r="Y22">
        <f t="shared" si="18"/>
        <v>-4.9695267795684659E-5</v>
      </c>
      <c r="Z22">
        <f t="shared" si="18"/>
        <v>-4.9062352062817063E-5</v>
      </c>
    </row>
    <row r="23" spans="1:26">
      <c r="A23" t="s">
        <v>41</v>
      </c>
      <c r="B23">
        <f>SUMPRODUCT(lz*G11:Z11)</f>
        <v>0.11147136646300285</v>
      </c>
      <c r="C23">
        <f>SUMPRODUCT(lz*G12:Z12)</f>
        <v>9.0668715387101292E-2</v>
      </c>
      <c r="F23" t="s">
        <v>45</v>
      </c>
      <c r="G23">
        <f t="shared" ref="G23:Z23" si="19">G12*G19+lz*wa*G7/za*(EXP(-za)-(1-EXP(-za))/za)</f>
        <v>-4.2047743801663722E-4</v>
      </c>
      <c r="H23">
        <f t="shared" si="19"/>
        <v>-3.4038426430928748E-3</v>
      </c>
      <c r="I23">
        <f t="shared" si="19"/>
        <v>-1.0780888098754316E-2</v>
      </c>
      <c r="J23">
        <f t="shared" si="19"/>
        <v>-2.1447771068391977E-2</v>
      </c>
      <c r="K23">
        <f t="shared" si="19"/>
        <v>-3.0847929382569264E-2</v>
      </c>
      <c r="L23">
        <f t="shared" si="19"/>
        <v>-3.4486638069491794E-2</v>
      </c>
      <c r="M23">
        <f t="shared" si="19"/>
        <v>-3.1647677280450939E-2</v>
      </c>
      <c r="N23">
        <f t="shared" si="19"/>
        <v>-2.4961895749360155E-2</v>
      </c>
      <c r="O23">
        <f t="shared" si="19"/>
        <v>-1.757390767469762E-2</v>
      </c>
      <c r="P23">
        <f t="shared" si="19"/>
        <v>-1.1373001162633255E-2</v>
      </c>
      <c r="Q23">
        <f t="shared" si="19"/>
        <v>-6.914970563031685E-3</v>
      </c>
      <c r="R23">
        <f t="shared" si="19"/>
        <v>-4.0132061338273824E-3</v>
      </c>
      <c r="S23">
        <f t="shared" si="19"/>
        <v>-2.2485867899899705E-3</v>
      </c>
      <c r="T23">
        <f t="shared" si="19"/>
        <v>-1.2262689446263185E-3</v>
      </c>
      <c r="U23">
        <f t="shared" si="19"/>
        <v>-6.547656163839444E-4</v>
      </c>
      <c r="V23">
        <f t="shared" si="19"/>
        <v>-3.4379207972244901E-4</v>
      </c>
      <c r="W23">
        <f t="shared" si="19"/>
        <v>-1.7808366495827472E-4</v>
      </c>
      <c r="X23">
        <f t="shared" si="19"/>
        <v>-9.1230490972935409E-5</v>
      </c>
      <c r="Y23">
        <f t="shared" si="19"/>
        <v>-4.6309392995932685E-5</v>
      </c>
      <c r="Z23">
        <f t="shared" si="19"/>
        <v>-4.608040109711233E-5</v>
      </c>
    </row>
    <row r="24" spans="1:26">
      <c r="A24" t="s">
        <v>43</v>
      </c>
      <c r="B24">
        <f>SUM(G22:Z22)</f>
        <v>-0.28403871197705699</v>
      </c>
      <c r="C24">
        <f>SUM(G23:Z23)</f>
        <v>-0.20270732264506483</v>
      </c>
      <c r="F24" s="4" t="s">
        <v>62</v>
      </c>
      <c r="G24" s="4">
        <f t="shared" ref="G24:Z24" si="20">G20*G11+2*G18*wa*G6^2*sa/za - 2*G18*wa*G6^2*oa/za^2-lz*wa*G6^3*sa/za -2*lz*wa*G6^3*sa/za^2+2*lz*wa*G6^3*oa/za^3</f>
        <v>1.3483854755621215E-5</v>
      </c>
      <c r="H24" s="4">
        <f t="shared" si="20"/>
        <v>9.5280477714334514E-4</v>
      </c>
      <c r="I24" s="4">
        <f t="shared" si="20"/>
        <v>7.5768743224682994E-3</v>
      </c>
      <c r="J24" s="4">
        <f t="shared" si="20"/>
        <v>2.5672425193234816E-2</v>
      </c>
      <c r="K24" s="4">
        <f t="shared" si="20"/>
        <v>4.9299452278941447E-2</v>
      </c>
      <c r="L24" s="4">
        <f t="shared" si="20"/>
        <v>6.3205768519838917E-2</v>
      </c>
      <c r="M24" s="4">
        <f t="shared" si="20"/>
        <v>6.1179595450578786E-2</v>
      </c>
      <c r="N24" s="4">
        <f t="shared" si="20"/>
        <v>4.8916875591183268E-2</v>
      </c>
      <c r="O24" s="4">
        <f t="shared" si="20"/>
        <v>3.4360863099554363E-2</v>
      </c>
      <c r="P24" s="4">
        <f t="shared" si="20"/>
        <v>2.2081199900247272E-2</v>
      </c>
      <c r="Q24" s="4">
        <f t="shared" si="20"/>
        <v>1.3328559428495293E-2</v>
      </c>
      <c r="R24" s="4">
        <f t="shared" si="20"/>
        <v>7.6887481968097218E-3</v>
      </c>
      <c r="S24" s="4">
        <f t="shared" si="20"/>
        <v>4.2881145174174014E-3</v>
      </c>
      <c r="T24" s="4">
        <f t="shared" si="20"/>
        <v>2.3306052996621444E-3</v>
      </c>
      <c r="U24" s="4">
        <f t="shared" si="20"/>
        <v>1.241375016296245E-3</v>
      </c>
      <c r="V24" s="4">
        <f t="shared" si="20"/>
        <v>6.5064152601083437E-4</v>
      </c>
      <c r="W24" s="4">
        <f t="shared" si="20"/>
        <v>3.3659343457467322E-4</v>
      </c>
      <c r="X24" s="4">
        <f t="shared" si="20"/>
        <v>1.7226641972398543E-4</v>
      </c>
      <c r="Y24" s="4">
        <f t="shared" si="20"/>
        <v>8.7379185753770402E-5</v>
      </c>
      <c r="Z24" s="4">
        <f t="shared" si="20"/>
        <v>9.3187011300130279E-5</v>
      </c>
    </row>
    <row r="25" spans="1:26">
      <c r="A25" t="s">
        <v>56</v>
      </c>
      <c r="B25">
        <f>SUM(G24:Z24)</f>
        <v>0.34347681302399036</v>
      </c>
      <c r="C25">
        <f>SUM(G25:Z25)</f>
        <v>0.20556961979493613</v>
      </c>
      <c r="F25" s="4" t="s">
        <v>63</v>
      </c>
      <c r="G25" s="4">
        <f t="shared" ref="G25:Z25" si="21">G21*G12+2*G19*wa*G7^2*sa/za - 2*G19*wa*G7^2*oa/za^2-lz*wa*G7^3*sa/za -2*lz*wa*G7^3*sa/za^2+2*lz*wa*G7^3*oa/za^3</f>
        <v>9.0172622404559115E-6</v>
      </c>
      <c r="H25" s="4">
        <f t="shared" si="21"/>
        <v>5.2837170996308889E-4</v>
      </c>
      <c r="I25" s="4">
        <f t="shared" si="21"/>
        <v>3.5964174066227886E-3</v>
      </c>
      <c r="J25" s="4">
        <f t="shared" si="21"/>
        <v>1.1633691902710276E-2</v>
      </c>
      <c r="K25" s="4">
        <f t="shared" si="21"/>
        <v>2.3414000565015296E-2</v>
      </c>
      <c r="L25" s="4">
        <f t="shared" si="21"/>
        <v>3.3139638557344933E-2</v>
      </c>
      <c r="M25" s="4">
        <f t="shared" si="21"/>
        <v>3.5876888740752108E-2</v>
      </c>
      <c r="N25" s="4">
        <f t="shared" si="21"/>
        <v>3.176189195470739E-2</v>
      </c>
      <c r="O25" s="4">
        <f t="shared" si="21"/>
        <v>2.4247743240183042E-2</v>
      </c>
      <c r="P25" s="4">
        <f t="shared" si="21"/>
        <v>1.6619662485916412E-2</v>
      </c>
      <c r="Q25" s="4">
        <f t="shared" si="21"/>
        <v>1.0532672377694664E-2</v>
      </c>
      <c r="R25" s="4">
        <f t="shared" si="21"/>
        <v>6.3025307390905446E-3</v>
      </c>
      <c r="S25" s="4">
        <f t="shared" si="21"/>
        <v>3.6137543998017189E-3</v>
      </c>
      <c r="T25" s="4">
        <f t="shared" si="21"/>
        <v>2.0062753835346872E-3</v>
      </c>
      <c r="U25" s="4">
        <f t="shared" si="21"/>
        <v>1.0865035961720897E-3</v>
      </c>
      <c r="V25" s="4">
        <f t="shared" si="21"/>
        <v>5.7704251995251621E-4</v>
      </c>
      <c r="W25" s="4">
        <f t="shared" si="21"/>
        <v>3.0173878380582267E-4</v>
      </c>
      <c r="X25" s="4">
        <f t="shared" si="21"/>
        <v>1.5580491986550175E-4</v>
      </c>
      <c r="Y25" s="4">
        <f t="shared" si="21"/>
        <v>7.9621936789209819E-5</v>
      </c>
      <c r="Z25" s="4">
        <f t="shared" si="21"/>
        <v>8.6351312773579511E-5</v>
      </c>
    </row>
    <row r="26" spans="1:26">
      <c r="A26" t="s">
        <v>46</v>
      </c>
      <c r="B26">
        <f>ro/(reck-1)*phie/phif^2*dphif</f>
        <v>-1.3890619552499104</v>
      </c>
      <c r="C26">
        <f>ro/(reck-1)*phie/phif^2*dphif</f>
        <v>-1.1156959463122724</v>
      </c>
      <c r="G26">
        <f>G20*G11+2*G18*wa*G6^2*sa/za-2*G18*wa*G6^2*oa/za^2-lz*wa*G6^3*sa/za-2*lz*wa*G6^3*sa/za^2+2*lz*wa*G6^3*oa/za^3</f>
        <v>1.3483854755621215E-5</v>
      </c>
    </row>
    <row r="27" spans="1:26">
      <c r="A27" t="s">
        <v>57</v>
      </c>
      <c r="B27">
        <f>-2*ro*phie*dphif^2/(phif^3*(reck-1)) + ro*phie*ddphif/(phif^2*(reck-1))</f>
        <v>-7.3176471018413061</v>
      </c>
      <c r="C27">
        <f>-2*ro*phie*dphif^2/(phif^3*(reck-1)) + ro*phie*ddphif/(phif^2*(reck-1))</f>
        <v>-4.7083973682996811</v>
      </c>
      <c r="Y27">
        <f>(Y15-2*Y14+Y16)/dh^2</f>
        <v>1.1274955510789766E-3</v>
      </c>
      <c r="Z27">
        <f>(Z15-2*Z14+Z16)/dh^2</f>
        <v>1.245012809007414E-3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1.1321773959183073E-2</v>
      </c>
      <c r="C29">
        <f>f*re*phiq</f>
        <v>1.698266092811259E-2</v>
      </c>
      <c r="D29">
        <f>SUM(Ye)</f>
        <v>2.8304434887295664E-2</v>
      </c>
      <c r="F29">
        <v>0</v>
      </c>
      <c r="G29">
        <f>B29</f>
        <v>1.1321773959183073E-2</v>
      </c>
      <c r="H29">
        <f>B30</f>
        <v>1.5165233113236684E-2</v>
      </c>
    </row>
    <row r="30" spans="1:26">
      <c r="A30" t="s">
        <v>53</v>
      </c>
      <c r="B30">
        <f>re*phiq+f*phiq*dre+f*re*dphiq</f>
        <v>1.5165233113236684E-2</v>
      </c>
      <c r="C30">
        <f>re*phiq+f*phiq*dre+f*re*dphiq</f>
        <v>-1.2068311263364565E-2</v>
      </c>
      <c r="D30">
        <f>SUM(dYe)</f>
        <v>3.0969218498721196E-3</v>
      </c>
      <c r="F30">
        <v>0.2</v>
      </c>
      <c r="G30">
        <f t="dataTable" ref="G30:H56" dt2D="0" dtr="0" r1="B6"/>
        <v>1.1297213740116758E-2</v>
      </c>
      <c r="H30">
        <v>2.8455754455137462E-2</v>
      </c>
      <c r="Z30" s="4">
        <f>Y30*EXP(-Y$8)/oa+Y$14*(Y16)^2*Y$9/oa + 2*Y$14*Y16*Y$9*Z16*sa/oa^2 + 2*Y$14*Y$9*Z16^2*sa/oa^3 + Y$14*Y$9*Z16^2*sa/oa^2</f>
        <v>5.6259865880015435E-16</v>
      </c>
    </row>
    <row r="31" spans="1:26">
      <c r="A31" t="s">
        <v>72</v>
      </c>
      <c r="B31">
        <f>ak*SUMPRODUCT(f*re,phiq)</f>
        <v>1.1321773954918266E-2</v>
      </c>
      <c r="C31">
        <f>ak*SUMPRODUCT(f*re,phiq)</f>
        <v>1.6982660932377398E-2</v>
      </c>
      <c r="F31">
        <v>0.20499999999999999</v>
      </c>
      <c r="G31">
        <v>1.1322457177649381E-2</v>
      </c>
      <c r="H31">
        <v>2.6269182449222044E-2</v>
      </c>
    </row>
    <row r="32" spans="1:26">
      <c r="A32" t="s">
        <v>73</v>
      </c>
      <c r="B32">
        <f>ak*(B30+C20*dre*phiq+C20*re*dphiq)</f>
        <v>-3.3872946520929585E-2</v>
      </c>
      <c r="C32">
        <f>ak*(C30+B20*dre*phiq+B20*re*dphiq)</f>
        <v>-2.9508807990083999E-2</v>
      </c>
      <c r="F32">
        <v>0.21</v>
      </c>
      <c r="G32">
        <v>1.1339563960600716E-2</v>
      </c>
      <c r="H32">
        <v>2.4132474473163905E-2</v>
      </c>
    </row>
    <row r="33" spans="1:8">
      <c r="A33" t="s">
        <v>52</v>
      </c>
      <c r="F33">
        <v>0.215</v>
      </c>
      <c r="G33">
        <v>1.134873075221624E-2</v>
      </c>
      <c r="H33">
        <v>2.2043910356780501E-2</v>
      </c>
    </row>
    <row r="34" spans="1:8">
      <c r="B34">
        <f>re*phiq+f*phiq*dre+f*re*dphiq</f>
        <v>1.5165233113236684E-2</v>
      </c>
      <c r="C34">
        <f>f*phiq*B26+f*re*B24</f>
        <v>-9.1142605173449465E-2</v>
      </c>
      <c r="F34">
        <v>0.22</v>
      </c>
      <c r="G34">
        <v>1.1350146961161434E-2</v>
      </c>
      <c r="H34">
        <v>2.0001835300009665E-2</v>
      </c>
    </row>
    <row r="35" spans="1:8">
      <c r="B35">
        <f>f*phiq*C26+f*re*C24</f>
        <v>-4.0904400465229272E-2</v>
      </c>
      <c r="C35">
        <f>re*phiq+f*phiq*dre+f*re*dphiq</f>
        <v>-1.2068311263364565E-2</v>
      </c>
      <c r="F35">
        <v>0.22500000000000001</v>
      </c>
      <c r="G35">
        <v>1.1343995024788018E-2</v>
      </c>
      <c r="H35">
        <v>1.8004656985793878E-2</v>
      </c>
    </row>
    <row r="36" spans="1:8">
      <c r="A36" t="s">
        <v>10</v>
      </c>
      <c r="B36">
        <f t="array" ref="B36:C37">-MINVERSE(B34:C35)</f>
        <v>-3.0856152116054947</v>
      </c>
      <c r="C36">
        <v>23.303261144935369</v>
      </c>
      <c r="F36">
        <v>0.23</v>
      </c>
      <c r="G36">
        <v>1.1330450679654115E-2</v>
      </c>
      <c r="H36">
        <v>1.6050842836438619E-2</v>
      </c>
    </row>
    <row r="37" spans="1:8">
      <c r="B37">
        <v>10.458401141861694</v>
      </c>
      <c r="C37">
        <v>3.8774334669174411</v>
      </c>
      <c r="F37">
        <v>0.23499999999999999</v>
      </c>
      <c r="G37">
        <v>1.1309683219939096E-2</v>
      </c>
      <c r="H37">
        <v>1.4138917405506025E-2</v>
      </c>
    </row>
    <row r="38" spans="1:8">
      <c r="F38">
        <v>0.24</v>
      </c>
      <c r="G38">
        <v>1.1281855744358148E-2</v>
      </c>
      <c r="H38">
        <v>1.2267459897789247E-2</v>
      </c>
    </row>
    <row r="39" spans="1:8">
      <c r="A39" t="s">
        <v>11</v>
      </c>
      <c r="B39">
        <f t="array" ref="B39:C39">MMULT(B30:C30,B36:C37)</f>
        <v>-0.17300931427886079</v>
      </c>
      <c r="C39">
        <v>0.30660531357982923</v>
      </c>
      <c r="F39">
        <v>0.245</v>
      </c>
      <c r="G39">
        <v>1.1247125392148052E-2</v>
      </c>
      <c r="H39">
        <v>1.043510181036485E-2</v>
      </c>
    </row>
    <row r="40" spans="1:8">
      <c r="A40" t="s">
        <v>54</v>
      </c>
      <c r="B40">
        <f>f+delta</f>
        <v>-9.6548281791138668E-3</v>
      </c>
      <c r="C40">
        <f>f+delta</f>
        <v>0.60785609827814313</v>
      </c>
      <c r="F40">
        <v>0.25</v>
      </c>
      <c r="G40">
        <v>1.1205643568664408E-2</v>
      </c>
      <c r="H40">
        <v>8.6405246881416063E-3</v>
      </c>
    </row>
    <row r="41" spans="1:8">
      <c r="F41">
        <v>0.255</v>
      </c>
      <c r="G41">
        <v>1.1157556161100323E-2</v>
      </c>
      <c r="H41">
        <v>6.8824579877171943E-3</v>
      </c>
    </row>
    <row r="42" spans="1:8">
      <c r="A42" t="s">
        <v>9</v>
      </c>
      <c r="B42">
        <f>2*dre*phiq+2*re*dphiq+f*ddre*phiq+2*f*dre*dphiq+f*re*ddphiq</f>
        <v>-0.6323485244803736</v>
      </c>
      <c r="C42">
        <f>f*B27*phiq+2*f*B26*B24+f*re*B25</f>
        <v>0.1021757996708077</v>
      </c>
      <c r="D42">
        <f>B42+C43</f>
        <v>-1.0405745595722342</v>
      </c>
      <c r="F42">
        <v>0.26</v>
      </c>
      <c r="G42">
        <v>1.1103003744809634E-2</v>
      </c>
      <c r="H42">
        <v>5.1596770437240987E-3</v>
      </c>
    </row>
    <row r="43" spans="1:8">
      <c r="B43">
        <f>f*C27*phiq+2*f*C26*C24+f*re*C25</f>
        <v>9.0305893352991169E-3</v>
      </c>
      <c r="C43">
        <f>2*dre*phiq+2*re*dphiq+f*ddre*phiq+2*f*dre*dphiq+f*re*ddphiq</f>
        <v>-0.40822603509186073</v>
      </c>
      <c r="F43">
        <v>0.26500000000000001</v>
      </c>
      <c r="G43">
        <v>1.1042121780690839E-2</v>
      </c>
      <c r="H43">
        <v>3.4710011321888237E-3</v>
      </c>
    </row>
    <row r="44" spans="1:8">
      <c r="A44" t="s">
        <v>10</v>
      </c>
      <c r="B44">
        <f t="array" ref="B44:C45">-MINVERSE(B42:C43)</f>
        <v>1.5870792998463739</v>
      </c>
      <c r="C44">
        <v>0.39723359772068112</v>
      </c>
      <c r="F44">
        <v>0.27</v>
      </c>
      <c r="G44">
        <v>1.0975040804063585E-2</v>
      </c>
      <c r="H44">
        <v>1.8152916257508124E-3</v>
      </c>
    </row>
    <row r="45" spans="1:8">
      <c r="B45">
        <v>3.5108641212071509E-2</v>
      </c>
      <c r="C45">
        <v>2.4584107019665407</v>
      </c>
      <c r="F45">
        <v>0.27500000000000002</v>
      </c>
      <c r="G45">
        <v>1.0901886605446755E-2</v>
      </c>
      <c r="H45">
        <v>1.9145023588976878E-4</v>
      </c>
    </row>
    <row r="46" spans="1:8">
      <c r="F46">
        <v>0.28000000000000003</v>
      </c>
      <c r="G46">
        <v>1.0822780403624626E-2</v>
      </c>
      <c r="H46">
        <v>-1.4015826624095666E-3</v>
      </c>
    </row>
    <row r="47" spans="1:8">
      <c r="A47" t="s">
        <v>65</v>
      </c>
      <c r="B47">
        <f t="array" ref="B47:C47">MMULT(B30:C30,B44:C45)</f>
        <v>2.3644725541181653E-2</v>
      </c>
      <c r="C47">
        <v>-2.3644725454674977E-2</v>
      </c>
      <c r="D47">
        <f>D30/D42</f>
        <v>-2.9761652554192958E-3</v>
      </c>
      <c r="F47">
        <v>0.28499999999999998</v>
      </c>
      <c r="G47">
        <v>1.0737839011368025E-2</v>
      </c>
      <c r="H47">
        <v>-2.9648296278598392E-3</v>
      </c>
    </row>
    <row r="48" spans="1:8">
      <c r="A48" s="5" t="s">
        <v>54</v>
      </c>
      <c r="B48" s="5">
        <f>(f+dta)</f>
        <v>0.18699921164092859</v>
      </c>
      <c r="C48" s="5">
        <f>(f+dta)</f>
        <v>0.27760605924363896</v>
      </c>
      <c r="D48" s="5">
        <f>B6-D47</f>
        <v>0.23527880065444975</v>
      </c>
      <c r="F48">
        <v>0.28999999999999998</v>
      </c>
      <c r="G48">
        <v>1.0647174994157229E-2</v>
      </c>
      <c r="H48">
        <v>-4.499277675999884E-3</v>
      </c>
    </row>
    <row r="49" spans="4:8">
      <c r="D49">
        <f>AVERAGE(B48:C48)</f>
        <v>0.23230263544228377</v>
      </c>
      <c r="F49">
        <v>0.29499999999999998</v>
      </c>
      <c r="G49">
        <v>1.0550896822235862E-2</v>
      </c>
      <c r="H49">
        <v>-6.0058797320750035E-3</v>
      </c>
    </row>
    <row r="50" spans="4:8">
      <c r="F50">
        <v>0.29999999999999899</v>
      </c>
      <c r="G50">
        <v>1.0449109016307306E-2</v>
      </c>
      <c r="H50">
        <v>-7.4855560172781832E-3</v>
      </c>
    </row>
    <row r="51" spans="4:8">
      <c r="F51">
        <v>0.30499999999999999</v>
      </c>
      <c r="G51">
        <v>1.0341912287169379E-2</v>
      </c>
      <c r="H51">
        <v>-8.939195371757639E-3</v>
      </c>
    </row>
    <row r="52" spans="4:8">
      <c r="F52">
        <v>0.309999999999999</v>
      </c>
      <c r="G52">
        <v>1.0229403669567922E-2</v>
      </c>
      <c r="H52">
        <v>-1.0367656517598422E-2</v>
      </c>
    </row>
    <row r="53" spans="4:8">
      <c r="F53">
        <v>0.314999999999999</v>
      </c>
      <c r="G53">
        <v>1.0111676650534512E-2</v>
      </c>
      <c r="H53">
        <v>-1.17717692648227E-2</v>
      </c>
    </row>
    <row r="54" spans="4:8">
      <c r="F54">
        <v>0.31999999999999901</v>
      </c>
      <c r="G54">
        <v>9.9888212924618171E-3</v>
      </c>
      <c r="H54">
        <v>-1.3152335663259077E-2</v>
      </c>
    </row>
    <row r="55" spans="4:8">
      <c r="F55">
        <v>0.32499999999999901</v>
      </c>
      <c r="G55">
        <v>9.860924351155145E-3</v>
      </c>
      <c r="H55">
        <v>-1.4510131102999351E-2</v>
      </c>
    </row>
    <row r="56" spans="4:8">
      <c r="F56">
        <v>0.32999999999999902</v>
      </c>
      <c r="G56">
        <v>9.7280693890884843E-3</v>
      </c>
      <c r="H56">
        <v>-1.5845905365992542E-2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Z56"/>
  <sheetViews>
    <sheetView topLeftCell="A2" zoomScale="175" zoomScaleNormal="175" zoomScalePageLayoutView="175" workbookViewId="0">
      <selection activeCell="B6" sqref="B6:B7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0.4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9.490851166541979E-2</v>
      </c>
      <c r="C6">
        <f>B6+dh</f>
        <v>9.5008511665419793E-2</v>
      </c>
      <c r="D6">
        <f>B6-dh</f>
        <v>9.4808511665419787E-2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6">
        <v>0.12559434822576479</v>
      </c>
      <c r="C7">
        <f>B7</f>
        <v>0.12559434822576479</v>
      </c>
      <c r="D7">
        <f>C7</f>
        <v>0.12559434822576479</v>
      </c>
      <c r="E7">
        <v>5</v>
      </c>
      <c r="G7">
        <f t="shared" ref="G7:Z7" si="5">1/(1+EXP(-(G1-ah)/(0.1*ah)))</f>
        <v>3.3535013046647811E-4</v>
      </c>
      <c r="H7">
        <f t="shared" si="5"/>
        <v>2.4726231566347743E-3</v>
      </c>
      <c r="I7">
        <f t="shared" si="5"/>
        <v>1.7986209962091559E-2</v>
      </c>
      <c r="J7">
        <f t="shared" si="5"/>
        <v>0.11920292202211755</v>
      </c>
      <c r="K7">
        <f t="shared" si="5"/>
        <v>0.5</v>
      </c>
      <c r="L7">
        <f t="shared" si="5"/>
        <v>0.88079707797788231</v>
      </c>
      <c r="M7">
        <f t="shared" si="5"/>
        <v>0.98201379003790845</v>
      </c>
      <c r="N7">
        <f t="shared" si="5"/>
        <v>0.99752737684336534</v>
      </c>
      <c r="O7">
        <f t="shared" si="5"/>
        <v>0.99966464986953363</v>
      </c>
      <c r="P7">
        <f t="shared" si="5"/>
        <v>0.99995460213129761</v>
      </c>
      <c r="Q7">
        <f t="shared" si="5"/>
        <v>0.99999385582539779</v>
      </c>
      <c r="R7">
        <f t="shared" si="5"/>
        <v>0.99999916847197223</v>
      </c>
      <c r="S7">
        <f t="shared" si="5"/>
        <v>0.99999988746483792</v>
      </c>
      <c r="T7">
        <f t="shared" si="5"/>
        <v>0.9999999847700205</v>
      </c>
      <c r="U7">
        <f t="shared" si="5"/>
        <v>0.99999999793884631</v>
      </c>
      <c r="V7">
        <f t="shared" si="5"/>
        <v>0.99999999972105313</v>
      </c>
      <c r="W7">
        <f t="shared" si="5"/>
        <v>0.99999999996224864</v>
      </c>
      <c r="X7">
        <f t="shared" si="5"/>
        <v>0.99999999999489098</v>
      </c>
      <c r="Y7">
        <f t="shared" si="5"/>
        <v>0.99999999999930855</v>
      </c>
      <c r="Z7">
        <f t="shared" si="5"/>
        <v>0.99999999999990652</v>
      </c>
    </row>
    <row r="8" spans="1:26">
      <c r="A8" t="s">
        <v>47</v>
      </c>
      <c r="B8">
        <f>4*h/(1-h)</f>
        <v>2.666666666666667</v>
      </c>
      <c r="C8" t="s">
        <v>36</v>
      </c>
      <c r="F8" t="s">
        <v>35</v>
      </c>
      <c r="G8">
        <f t="shared" ref="G8:Z8" si="6">m+SUMPRODUCT(fe,G6:G7)</f>
        <v>0.30009458147877427</v>
      </c>
      <c r="H8">
        <f t="shared" si="6"/>
        <v>0.30094575601378792</v>
      </c>
      <c r="I8">
        <f t="shared" si="6"/>
        <v>0.30945855328070437</v>
      </c>
      <c r="J8">
        <f t="shared" si="6"/>
        <v>0.36242546913068446</v>
      </c>
      <c r="K8">
        <f t="shared" si="6"/>
        <v>0.45050609881483855</v>
      </c>
      <c r="L8">
        <f t="shared" si="6"/>
        <v>0.50489643807318774</v>
      </c>
      <c r="M8">
        <f t="shared" si="6"/>
        <v>0.51819143017623315</v>
      </c>
      <c r="N8">
        <f t="shared" si="6"/>
        <v>0.52018800375326779</v>
      </c>
      <c r="O8">
        <f t="shared" si="6"/>
        <v>0.52046038812033335</v>
      </c>
      <c r="P8">
        <f t="shared" si="6"/>
        <v>0.52049712914272894</v>
      </c>
      <c r="Q8">
        <f t="shared" si="6"/>
        <v>0.52050208583442825</v>
      </c>
      <c r="R8">
        <f t="shared" si="6"/>
        <v>0.52050275526034295</v>
      </c>
      <c r="S8">
        <f t="shared" si="6"/>
        <v>0.52050284574134675</v>
      </c>
      <c r="T8">
        <f t="shared" si="6"/>
        <v>0.52050285797706719</v>
      </c>
      <c r="U8">
        <f t="shared" si="6"/>
        <v>0.52050285963220722</v>
      </c>
      <c r="V8">
        <f t="shared" si="6"/>
        <v>0.52050285985614164</v>
      </c>
      <c r="W8">
        <f t="shared" si="6"/>
        <v>0.52050285988644251</v>
      </c>
      <c r="X8">
        <f t="shared" si="6"/>
        <v>0.5205028598905429</v>
      </c>
      <c r="Y8">
        <f t="shared" si="6"/>
        <v>0.52050285989109779</v>
      </c>
      <c r="Z8">
        <f t="shared" si="6"/>
        <v>0.52050285989117295</v>
      </c>
    </row>
    <row r="9" spans="1:26">
      <c r="F9" s="7" t="s">
        <v>60</v>
      </c>
      <c r="G9" s="7">
        <f t="shared" ref="G9:Z9" si="7">EXP(-za)</f>
        <v>0.74074815631235091</v>
      </c>
      <c r="H9" s="7">
        <f t="shared" si="7"/>
        <v>0.7401179186040342</v>
      </c>
      <c r="I9" s="7">
        <f t="shared" si="7"/>
        <v>0.73384418620224401</v>
      </c>
      <c r="J9" s="7">
        <f t="shared" si="7"/>
        <v>0.69598618420098057</v>
      </c>
      <c r="K9" s="7">
        <f t="shared" si="7"/>
        <v>0.63730553041592097</v>
      </c>
      <c r="L9" s="7">
        <f t="shared" si="7"/>
        <v>0.603568078863706</v>
      </c>
      <c r="M9" s="7">
        <f t="shared" si="7"/>
        <v>0.59559675279529922</v>
      </c>
      <c r="N9" s="7">
        <f t="shared" si="7"/>
        <v>0.5944087863819093</v>
      </c>
      <c r="O9" s="7">
        <f t="shared" si="7"/>
        <v>0.59424690076940845</v>
      </c>
      <c r="P9" s="7">
        <f t="shared" si="7"/>
        <v>0.59422506793180163</v>
      </c>
      <c r="Q9" s="7">
        <f t="shared" si="7"/>
        <v>0.5942221225486396</v>
      </c>
      <c r="R9" s="7">
        <f t="shared" si="7"/>
        <v>0.59422172476108481</v>
      </c>
      <c r="S9" s="7">
        <f t="shared" si="7"/>
        <v>0.59422167099530909</v>
      </c>
      <c r="T9" s="7">
        <f t="shared" si="7"/>
        <v>0.59422166372457885</v>
      </c>
      <c r="U9" s="7">
        <f t="shared" si="7"/>
        <v>0.59422166274105881</v>
      </c>
      <c r="V9" s="7">
        <f t="shared" si="7"/>
        <v>0.59422166260799214</v>
      </c>
      <c r="W9" s="7">
        <f t="shared" si="7"/>
        <v>0.59422166258998665</v>
      </c>
      <c r="X9" s="7">
        <f t="shared" si="7"/>
        <v>0.59422166258755016</v>
      </c>
      <c r="Y9" s="7">
        <f t="shared" si="7"/>
        <v>0.59422166258722042</v>
      </c>
      <c r="Z9" s="7">
        <f t="shared" si="7"/>
        <v>0.59422166258717579</v>
      </c>
    </row>
    <row r="10" spans="1:26">
      <c r="F10" t="s">
        <v>61</v>
      </c>
      <c r="G10">
        <f t="shared" ref="G10:Z10" si="8">1-sa</f>
        <v>0.25925184368764909</v>
      </c>
      <c r="H10">
        <f t="shared" si="8"/>
        <v>0.2598820813959658</v>
      </c>
      <c r="I10">
        <f t="shared" si="8"/>
        <v>0.26615581379775599</v>
      </c>
      <c r="J10">
        <f t="shared" si="8"/>
        <v>0.30401381579901943</v>
      </c>
      <c r="K10">
        <f t="shared" si="8"/>
        <v>0.36269446958407903</v>
      </c>
      <c r="L10">
        <f t="shared" si="8"/>
        <v>0.396431921136294</v>
      </c>
      <c r="M10">
        <f t="shared" si="8"/>
        <v>0.40440324720470078</v>
      </c>
      <c r="N10">
        <f t="shared" si="8"/>
        <v>0.4055912136180907</v>
      </c>
      <c r="O10">
        <f t="shared" si="8"/>
        <v>0.40575309923059155</v>
      </c>
      <c r="P10">
        <f t="shared" si="8"/>
        <v>0.40577493206819837</v>
      </c>
      <c r="Q10">
        <f t="shared" si="8"/>
        <v>0.4057778774513604</v>
      </c>
      <c r="R10">
        <f t="shared" si="8"/>
        <v>0.40577827523891519</v>
      </c>
      <c r="S10">
        <f t="shared" si="8"/>
        <v>0.40577832900469091</v>
      </c>
      <c r="T10">
        <f t="shared" si="8"/>
        <v>0.40577833627542115</v>
      </c>
      <c r="U10">
        <f t="shared" si="8"/>
        <v>0.40577833725894119</v>
      </c>
      <c r="V10">
        <f t="shared" si="8"/>
        <v>0.40577833739200786</v>
      </c>
      <c r="W10">
        <f t="shared" si="8"/>
        <v>0.40577833741001335</v>
      </c>
      <c r="X10">
        <f t="shared" si="8"/>
        <v>0.40577833741244984</v>
      </c>
      <c r="Y10">
        <f t="shared" si="8"/>
        <v>0.40577833741277958</v>
      </c>
      <c r="Z10">
        <f t="shared" si="8"/>
        <v>0.40577833741282421</v>
      </c>
    </row>
    <row r="11" spans="1:26">
      <c r="F11" t="s">
        <v>40</v>
      </c>
      <c r="G11">
        <f t="shared" ref="G11:Z11" si="9">wa*G6/za*(1-EXP(-za))</f>
        <v>2.8443782025663814E-6</v>
      </c>
      <c r="H11">
        <f t="shared" si="9"/>
        <v>2.0709846858872849E-4</v>
      </c>
      <c r="I11">
        <f t="shared" si="9"/>
        <v>5.9925209000680716E-3</v>
      </c>
      <c r="J11">
        <f t="shared" si="9"/>
        <v>7.003599731163318E-2</v>
      </c>
      <c r="K11">
        <f t="shared" si="9"/>
        <v>0.18792243388167654</v>
      </c>
      <c r="L11">
        <f t="shared" si="9"/>
        <v>0.26614563756393161</v>
      </c>
      <c r="M11">
        <f t="shared" si="9"/>
        <v>0.3335541670884028</v>
      </c>
      <c r="N11">
        <f t="shared" si="9"/>
        <v>0.39635661058980376</v>
      </c>
      <c r="O11">
        <f t="shared" si="9"/>
        <v>0.45338330282349765</v>
      </c>
      <c r="P11">
        <f t="shared" si="9"/>
        <v>0.50397611616552862</v>
      </c>
      <c r="Q11">
        <f t="shared" si="9"/>
        <v>0.5480997643072828</v>
      </c>
      <c r="R11">
        <f t="shared" si="9"/>
        <v>0.58608635027989631</v>
      </c>
      <c r="S11">
        <f t="shared" si="9"/>
        <v>0.61846299499688662</v>
      </c>
      <c r="T11">
        <f t="shared" si="9"/>
        <v>0.64584162347524177</v>
      </c>
      <c r="U11">
        <f t="shared" si="9"/>
        <v>0.66884971742842203</v>
      </c>
      <c r="V11">
        <f t="shared" si="9"/>
        <v>0.68808895383191404</v>
      </c>
      <c r="W11">
        <f t="shared" si="9"/>
        <v>0.70411263843538596</v>
      </c>
      <c r="X11">
        <f t="shared" si="9"/>
        <v>0.71741542564978267</v>
      </c>
      <c r="Y11">
        <f t="shared" si="9"/>
        <v>0.72843074834867783</v>
      </c>
      <c r="Z11">
        <f t="shared" si="9"/>
        <v>0.7375328278047979</v>
      </c>
    </row>
    <row r="12" spans="1:26">
      <c r="G12">
        <f t="shared" ref="G12:Z12" si="10">wa*G7/za*(1-EXP(-za))</f>
        <v>1.7255779033632906E-6</v>
      </c>
      <c r="H12">
        <f t="shared" si="10"/>
        <v>7.6510962955716195E-5</v>
      </c>
      <c r="I12">
        <f t="shared" si="10"/>
        <v>1.4208453073968083E-3</v>
      </c>
      <c r="J12">
        <f t="shared" si="10"/>
        <v>1.6696991052559691E-2</v>
      </c>
      <c r="K12">
        <f t="shared" si="10"/>
        <v>0.10167402330412684</v>
      </c>
      <c r="L12">
        <f t="shared" si="10"/>
        <v>0.23599981143899196</v>
      </c>
      <c r="M12">
        <f t="shared" si="10"/>
        <v>0.3277359572411348</v>
      </c>
      <c r="N12">
        <f t="shared" si="10"/>
        <v>0.3953945201246844</v>
      </c>
      <c r="O12">
        <f t="shared" si="10"/>
        <v>0.45323294970945982</v>
      </c>
      <c r="P12">
        <f t="shared" si="10"/>
        <v>0.50395339088444235</v>
      </c>
      <c r="Q12">
        <f t="shared" si="10"/>
        <v>0.54809641044932733</v>
      </c>
      <c r="R12">
        <f t="shared" si="10"/>
        <v>0.58608586414068231</v>
      </c>
      <c r="S12">
        <f t="shared" si="10"/>
        <v>0.61846292550269077</v>
      </c>
      <c r="T12">
        <f t="shared" si="10"/>
        <v>0.64584161364805659</v>
      </c>
      <c r="U12">
        <f t="shared" si="10"/>
        <v>0.6688497160505823</v>
      </c>
      <c r="V12">
        <f t="shared" si="10"/>
        <v>0.68808895364003808</v>
      </c>
      <c r="W12">
        <f t="shared" si="10"/>
        <v>0.70411263840881022</v>
      </c>
      <c r="X12">
        <f t="shared" si="10"/>
        <v>0.71741542564611793</v>
      </c>
      <c r="Y12">
        <f t="shared" si="10"/>
        <v>0.72843074834817412</v>
      </c>
      <c r="Z12">
        <f t="shared" si="10"/>
        <v>0.73753282780472895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0.74074815631235091</v>
      </c>
      <c r="I14">
        <f t="shared" ref="I14:Y14" si="11">H14*EXP(-m-SUMPRODUCT(H$6:H$7,$B$6:$B$7))</f>
        <v>0.54824098365967289</v>
      </c>
      <c r="J14">
        <f t="shared" si="11"/>
        <v>0.4023234584964504</v>
      </c>
      <c r="K14">
        <f t="shared" si="11"/>
        <v>0.28001156869348609</v>
      </c>
      <c r="L14">
        <f t="shared" si="11"/>
        <v>0.17845292130879625</v>
      </c>
      <c r="M14">
        <f t="shared" si="11"/>
        <v>0.10770848688196626</v>
      </c>
      <c r="N14">
        <f t="shared" si="11"/>
        <v>6.4150825035394182E-2</v>
      </c>
      <c r="O14">
        <f t="shared" si="11"/>
        <v>3.8131814054686859E-2</v>
      </c>
      <c r="P14">
        <f t="shared" si="11"/>
        <v>2.2659712322713035E-2</v>
      </c>
      <c r="Q14">
        <f t="shared" si="11"/>
        <v>1.3464969094279236E-2</v>
      </c>
      <c r="R14">
        <f t="shared" si="11"/>
        <v>8.0011825152544406E-3</v>
      </c>
      <c r="S14">
        <f t="shared" si="11"/>
        <v>4.7544764743427288E-3</v>
      </c>
      <c r="T14">
        <f t="shared" si="11"/>
        <v>2.8252129552918223E-3</v>
      </c>
      <c r="U14">
        <f t="shared" si="11"/>
        <v>1.6788027426697409E-3</v>
      </c>
      <c r="V14">
        <f t="shared" si="11"/>
        <v>9.9758095716346337E-4</v>
      </c>
      <c r="W14">
        <f t="shared" si="11"/>
        <v>5.9278421495174538E-4</v>
      </c>
      <c r="X14">
        <f t="shared" si="11"/>
        <v>3.5224522176572617E-4</v>
      </c>
      <c r="Y14">
        <f t="shared" si="11"/>
        <v>2.0931174131615012E-4</v>
      </c>
      <c r="Z14">
        <f>Y14*EXP(-m-SUMPRODUCT(Y$6:Y$7,$B$6:$B$7))/(1-EXP(-m-SUMPRODUCT(B$6:B$7,Z6:Z7)))</f>
        <v>3.065160444909894E-4</v>
      </c>
    </row>
    <row r="15" spans="1:26">
      <c r="A15" t="s">
        <v>105</v>
      </c>
      <c r="B15">
        <f>phif/phie</f>
        <v>0.50941741215415914</v>
      </c>
      <c r="F15" t="s">
        <v>26</v>
      </c>
      <c r="G15">
        <f>1</f>
        <v>1</v>
      </c>
      <c r="H15">
        <f>G15*EXP(-m-SUMPRODUCT(G$6:G$7,$C$6:$C$7))</f>
        <v>0.74074811536537644</v>
      </c>
      <c r="I15">
        <f t="shared" ref="I15:Y15" si="12">H15*EXP(-m-SUMPRODUCT(H$6:H$7,$C$6:$C$7))</f>
        <v>0.54824058642470908</v>
      </c>
      <c r="J15">
        <f t="shared" si="12"/>
        <v>0.40232011504913456</v>
      </c>
      <c r="K15">
        <f t="shared" si="12"/>
        <v>0.27999524158826739</v>
      </c>
      <c r="L15">
        <f t="shared" si="12"/>
        <v>0.17842602609715921</v>
      </c>
      <c r="M15">
        <f t="shared" si="12"/>
        <v>0.10768155717344895</v>
      </c>
      <c r="N15">
        <f t="shared" si="12"/>
        <v>6.4128376175411492E-2</v>
      </c>
      <c r="O15">
        <f t="shared" si="12"/>
        <v>3.8114658771661807E-2</v>
      </c>
      <c r="P15">
        <f t="shared" si="12"/>
        <v>2.2647253018842309E-2</v>
      </c>
      <c r="Q15">
        <f t="shared" si="12"/>
        <v>1.3456219774741124E-2</v>
      </c>
      <c r="R15">
        <f t="shared" si="12"/>
        <v>7.9951839176787068E-3</v>
      </c>
      <c r="S15">
        <f t="shared" si="12"/>
        <v>4.7504369099021409E-3</v>
      </c>
      <c r="T15">
        <f t="shared" si="12"/>
        <v>2.8225302914176268E-3</v>
      </c>
      <c r="U15">
        <f t="shared" si="12"/>
        <v>1.6770409332004007E-3</v>
      </c>
      <c r="V15">
        <f t="shared" si="12"/>
        <v>9.9643440338848216E-4</v>
      </c>
      <c r="W15">
        <f t="shared" si="12"/>
        <v>5.9204370053093632E-4</v>
      </c>
      <c r="X15">
        <f t="shared" si="12"/>
        <v>3.5177001329518299E-4</v>
      </c>
      <c r="Y15">
        <f t="shared" si="12"/>
        <v>2.0900846025760539E-4</v>
      </c>
      <c r="Z15">
        <f>Y15*EXP(-m-SUMPRODUCT(Y$6:Y$7,$C$6:$C$7))/(1-EXP(-m-SUMPRODUCT(C$6:C$7,Z6:Z7)))</f>
        <v>3.0599650627008694E-4</v>
      </c>
    </row>
    <row r="16" spans="1:26">
      <c r="F16" t="s">
        <v>66</v>
      </c>
      <c r="G16">
        <f>1</f>
        <v>1</v>
      </c>
      <c r="H16">
        <f>G16*EXP(-m-SUMPRODUCT(G$6:G$7,$D$6:$D$7))</f>
        <v>0.74074819725932761</v>
      </c>
      <c r="I16">
        <f t="shared" ref="I16:Y16" si="13">H16*EXP(-m-SUMPRODUCT(H$6:H$7,$D$6:$D$7))</f>
        <v>0.54824138089492458</v>
      </c>
      <c r="J16">
        <f t="shared" si="13"/>
        <v>0.40232680197155168</v>
      </c>
      <c r="K16">
        <f t="shared" si="13"/>
        <v>0.28002789675077228</v>
      </c>
      <c r="L16">
        <f t="shared" si="13"/>
        <v>0.17847982057450784</v>
      </c>
      <c r="M16">
        <f t="shared" si="13"/>
        <v>0.10773542332524134</v>
      </c>
      <c r="N16">
        <f t="shared" si="13"/>
        <v>6.4173281753853062E-2</v>
      </c>
      <c r="O16">
        <f t="shared" si="13"/>
        <v>3.8148977059248614E-2</v>
      </c>
      <c r="P16">
        <f t="shared" si="13"/>
        <v>2.2672178481024478E-2</v>
      </c>
      <c r="Q16">
        <f t="shared" si="13"/>
        <v>1.3473724102680469E-2</v>
      </c>
      <c r="R16">
        <f t="shared" si="13"/>
        <v>8.0071856134361994E-3</v>
      </c>
      <c r="S16">
        <f t="shared" si="13"/>
        <v>4.7585194738528035E-3</v>
      </c>
      <c r="T16">
        <f t="shared" si="13"/>
        <v>2.8278981688943539E-3</v>
      </c>
      <c r="U16">
        <f t="shared" si="13"/>
        <v>1.6805664030018392E-3</v>
      </c>
      <c r="V16">
        <f t="shared" si="13"/>
        <v>9.9872883022805834E-4</v>
      </c>
      <c r="W16">
        <f t="shared" si="13"/>
        <v>5.935256555906817E-4</v>
      </c>
      <c r="X16">
        <f t="shared" si="13"/>
        <v>3.5272107219857997E-4</v>
      </c>
      <c r="Y16">
        <f t="shared" si="13"/>
        <v>2.0961546244970612E-4</v>
      </c>
      <c r="Z16">
        <f>Y16*EXP(-m-SUMPRODUCT(Y$6:Y$7,$D$6:$D$7))/(1-EXP(-m-SUMPRODUCT(D$6:D$7,Z6:Z7)))</f>
        <v>3.0703647589388079E-4</v>
      </c>
    </row>
    <row r="17" spans="1:26">
      <c r="A17" t="s">
        <v>51</v>
      </c>
      <c r="B17">
        <f>ro*(reck-phie/phif)/(reck-1)</f>
        <v>0.42218395821454791</v>
      </c>
      <c r="F17" s="3" t="s">
        <v>31</v>
      </c>
      <c r="G17" s="3">
        <f>(G14-G15)/dh</f>
        <v>0</v>
      </c>
      <c r="H17" s="3">
        <f t="shared" ref="H17:Y17" si="14">(H15-H14)/dh</f>
        <v>-4.094697447776241E-4</v>
      </c>
      <c r="I17" s="3">
        <f t="shared" si="14"/>
        <v>-3.9723496381149914E-3</v>
      </c>
      <c r="J17" s="3">
        <f t="shared" si="14"/>
        <v>-3.3434473158400202E-2</v>
      </c>
      <c r="K17" s="3">
        <f t="shared" si="14"/>
        <v>-0.16327105218705285</v>
      </c>
      <c r="L17" s="3">
        <f t="shared" si="14"/>
        <v>-0.26895211637040228</v>
      </c>
      <c r="M17" s="3">
        <f t="shared" si="14"/>
        <v>-0.26929708517309248</v>
      </c>
      <c r="N17" s="3">
        <f t="shared" si="14"/>
        <v>-0.22448859982690528</v>
      </c>
      <c r="O17" s="3">
        <f t="shared" si="14"/>
        <v>-0.17155283025052648</v>
      </c>
      <c r="P17" s="3">
        <f t="shared" si="14"/>
        <v>-0.12459303870726579</v>
      </c>
      <c r="Q17" s="3">
        <f t="shared" si="14"/>
        <v>-8.7493195381118521E-2</v>
      </c>
      <c r="R17" s="3">
        <f t="shared" si="14"/>
        <v>-5.9985975757338023E-2</v>
      </c>
      <c r="S17" s="3">
        <f t="shared" si="14"/>
        <v>-4.0395644405879713E-2</v>
      </c>
      <c r="T17" s="3">
        <f t="shared" si="14"/>
        <v>-2.6826638741955788E-2</v>
      </c>
      <c r="U17" s="3">
        <f t="shared" si="14"/>
        <v>-1.7618094693401618E-2</v>
      </c>
      <c r="V17" s="3">
        <f t="shared" si="14"/>
        <v>-1.1465537749812127E-2</v>
      </c>
      <c r="W17" s="3">
        <f t="shared" si="14"/>
        <v>-7.4051442080906062E-3</v>
      </c>
      <c r="X17" s="3">
        <f t="shared" si="14"/>
        <v>-4.7520847054318078E-3</v>
      </c>
      <c r="Y17" s="3">
        <f t="shared" si="14"/>
        <v>-3.0328105854473771E-3</v>
      </c>
      <c r="Z17" s="3">
        <f>(Z15-Z14)/dh</f>
        <v>-5.1953822090245686E-3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-4.094697561500108E-4</v>
      </c>
      <c r="I18">
        <f t="shared" si="15"/>
        <v>-3.9723510778705276E-3</v>
      </c>
      <c r="J18">
        <f t="shared" si="15"/>
        <v>-3.3434612085442544E-2</v>
      </c>
      <c r="K18">
        <f t="shared" si="15"/>
        <v>-0.16327581243233019</v>
      </c>
      <c r="L18">
        <f t="shared" si="15"/>
        <v>-0.26897238572511339</v>
      </c>
      <c r="M18">
        <f t="shared" si="15"/>
        <v>-0.26933075615547936</v>
      </c>
      <c r="N18">
        <f t="shared" si="15"/>
        <v>-0.22452788762387965</v>
      </c>
      <c r="O18">
        <f t="shared" si="15"/>
        <v>-0.17159143214300304</v>
      </c>
      <c r="P18">
        <f t="shared" si="15"/>
        <v>-0.12462730462770273</v>
      </c>
      <c r="Q18">
        <f t="shared" si="15"/>
        <v>-8.7521633533869186E-2</v>
      </c>
      <c r="R18">
        <f t="shared" si="15"/>
        <v>-6.0008473161764761E-2</v>
      </c>
      <c r="S18">
        <f t="shared" si="15"/>
        <v>-4.0412814887006147E-2</v>
      </c>
      <c r="T18">
        <f t="shared" si="15"/>
        <v>-2.6839383346594723E-2</v>
      </c>
      <c r="U18">
        <f t="shared" si="15"/>
        <v>-1.7627345768201699E-2</v>
      </c>
      <c r="V18">
        <f t="shared" si="15"/>
        <v>-1.1472131669254707E-2</v>
      </c>
      <c r="W18">
        <f t="shared" si="15"/>
        <v>-7.409773369114022E-3</v>
      </c>
      <c r="X18">
        <f t="shared" si="15"/>
        <v>-4.7552930725756641E-3</v>
      </c>
      <c r="Y18">
        <f t="shared" si="15"/>
        <v>-3.0350098969931212E-3</v>
      </c>
      <c r="Z18">
        <f>(Y18-Y14*Y6)*Y$9/oa-Y14*Y$9*Z6*sa/oa^2</f>
        <v>-5.1998455237995816E-3</v>
      </c>
    </row>
    <row r="19" spans="1:26">
      <c r="A19" t="s">
        <v>38</v>
      </c>
      <c r="B19">
        <f>SUMPRODUCT(lz,fa)</f>
        <v>0.2723797854569372</v>
      </c>
      <c r="F19" t="s">
        <v>34</v>
      </c>
      <c r="G19">
        <v>0</v>
      </c>
      <c r="H19">
        <f t="shared" ref="H19:Y19" si="16">G19*EXP(-G8) - G14*G7*EXP(-G8)</f>
        <v>-2.4840999086214998E-4</v>
      </c>
      <c r="I19">
        <f t="shared" si="16"/>
        <v>-1.5394460370104757E-3</v>
      </c>
      <c r="J19">
        <f t="shared" si="16"/>
        <v>-8.3659877214242086E-3</v>
      </c>
      <c r="K19">
        <f t="shared" si="16"/>
        <v>-3.9200809059566723E-2</v>
      </c>
      <c r="L19">
        <f t="shared" si="16"/>
        <v>-0.11420935306483854</v>
      </c>
      <c r="M19">
        <f t="shared" si="16"/>
        <v>-0.16380244033666624</v>
      </c>
      <c r="N19">
        <f t="shared" si="16"/>
        <v>-0.16055719639153035</v>
      </c>
      <c r="O19">
        <f t="shared" si="16"/>
        <v>-0.13347413670022218</v>
      </c>
      <c r="P19">
        <f t="shared" si="16"/>
        <v>-0.10196870545220867</v>
      </c>
      <c r="Q19">
        <f t="shared" si="16"/>
        <v>-7.4056718737636779E-2</v>
      </c>
      <c r="R19">
        <f t="shared" si="16"/>
        <v>-5.2007273951858182E-2</v>
      </c>
      <c r="S19">
        <f t="shared" si="16"/>
        <v>-3.5658324548657694E-2</v>
      </c>
      <c r="T19">
        <f t="shared" si="16"/>
        <v>-2.4014161835552453E-2</v>
      </c>
      <c r="U19">
        <f t="shared" si="16"/>
        <v>-1.5948537915974875E-2</v>
      </c>
      <c r="V19">
        <f t="shared" si="16"/>
        <v>-1.0474547673826705E-2</v>
      </c>
      <c r="W19">
        <f t="shared" si="16"/>
        <v>-6.8169873485943713E-3</v>
      </c>
      <c r="X19">
        <f t="shared" si="16"/>
        <v>-4.4030467778890803E-3</v>
      </c>
      <c r="Y19">
        <f t="shared" si="16"/>
        <v>-2.8256975181230855E-3</v>
      </c>
      <c r="Z19">
        <f>Y19*EXP(-Y8)/(1-EXP(-za))-Y14*Y7*EXP(-Y8)/(1-EXP(-za))-Y14*EXP(-Y8)*Z7*EXP(-za)/(1-EXP(-za))^2</f>
        <v>-4.8933285456746398E-3</v>
      </c>
    </row>
    <row r="20" spans="1:26">
      <c r="A20" t="s">
        <v>49</v>
      </c>
      <c r="B20">
        <f>B6</f>
        <v>9.490851166541979E-2</v>
      </c>
      <c r="C20">
        <f>B7</f>
        <v>0.12559434822576479</v>
      </c>
      <c r="F20" s="4" t="s">
        <v>58</v>
      </c>
      <c r="G20" s="4">
        <v>0</v>
      </c>
      <c r="H20" s="4">
        <f t="shared" ref="H20:Y20" si="17">G20*EXP(-G$8)+G$14*G6^2*EXP(-G$8)</f>
        <v>2.2634613366604166E-7</v>
      </c>
      <c r="I20" s="4">
        <f t="shared" si="17"/>
        <v>2.4725568427568407E-5</v>
      </c>
      <c r="J20" s="4">
        <f t="shared" si="17"/>
        <v>2.3333003621514152E-3</v>
      </c>
      <c r="K20" s="4">
        <f t="shared" si="17"/>
        <v>7.1626836989020046E-2</v>
      </c>
      <c r="L20" s="4">
        <f t="shared" si="17"/>
        <v>0.1980537738060606</v>
      </c>
      <c r="M20" s="4">
        <f t="shared" si="17"/>
        <v>0.22581049367909961</v>
      </c>
      <c r="N20" s="4">
        <f t="shared" si="17"/>
        <v>0.19857191900872509</v>
      </c>
      <c r="O20" s="4">
        <f t="shared" si="17"/>
        <v>0.15616124531460263</v>
      </c>
      <c r="P20" s="4">
        <f t="shared" si="17"/>
        <v>0.11545787948237343</v>
      </c>
      <c r="Q20" s="4">
        <f t="shared" si="17"/>
        <v>8.2072927135027549E-2</v>
      </c>
      <c r="R20" s="4">
        <f t="shared" si="17"/>
        <v>5.677073107939111E-2</v>
      </c>
      <c r="S20" s="4">
        <f t="shared" si="17"/>
        <v>3.8488878192686822E-2</v>
      </c>
      <c r="T20" s="4">
        <f t="shared" si="17"/>
        <v>2.5696138468729104E-2</v>
      </c>
      <c r="U20" s="4">
        <f t="shared" si="17"/>
        <v>1.694800489480847E-2</v>
      </c>
      <c r="V20" s="4">
        <f t="shared" si="17"/>
        <v>1.106845260589788E-2</v>
      </c>
      <c r="W20" s="4">
        <f t="shared" si="17"/>
        <v>7.1698985249260359E-3</v>
      </c>
      <c r="X20" s="4">
        <f t="shared" si="17"/>
        <v>4.6127542438487625E-3</v>
      </c>
      <c r="Y20" s="4">
        <f t="shared" si="17"/>
        <v>2.9503102372037391E-3</v>
      </c>
      <c r="Z20" s="4">
        <f>Y20*EXP(-Y$8)/oa+2*Y$14*(Y6)*Y$9*sa/oa^2 + 2*Y$14*Y$9*Z6^2*sa^2/oa^3 +Y$14*Y$9*Z6^2*sa/oa^2</f>
        <v>6.9816460225674733E-3</v>
      </c>
    </row>
    <row r="21" spans="1:26">
      <c r="A21" t="s">
        <v>48</v>
      </c>
      <c r="B21">
        <f>SUMPRODUCT(fa,G18:Z18)</f>
        <v>-0.74771846155642374</v>
      </c>
      <c r="C21">
        <f>SUMPRODUCT(fa,G19:Z19)</f>
        <v>-0.52384239047234948</v>
      </c>
      <c r="F21" s="4" t="s">
        <v>59</v>
      </c>
      <c r="G21" s="4">
        <v>0</v>
      </c>
      <c r="H21" s="4">
        <f t="shared" ref="H21:Y21" si="18">G21*EXP(-G$8)+G$14*G7^2*EXP(-G$8)</f>
        <v>8.3304322844798639E-8</v>
      </c>
      <c r="I21" s="4">
        <f t="shared" si="18"/>
        <v>3.4135265342133921E-6</v>
      </c>
      <c r="J21" s="4">
        <f t="shared" si="18"/>
        <v>1.326581436555402E-4</v>
      </c>
      <c r="K21" s="4">
        <f t="shared" si="18"/>
        <v>4.0711068718770763E-3</v>
      </c>
      <c r="L21" s="4">
        <f t="shared" si="18"/>
        <v>4.7207769251560582E-2</v>
      </c>
      <c r="M21" s="4">
        <f t="shared" si="18"/>
        <v>0.1120537228975363</v>
      </c>
      <c r="N21" s="4">
        <f t="shared" si="18"/>
        <v>0.12860275114752268</v>
      </c>
      <c r="O21" s="4">
        <f t="shared" si="18"/>
        <v>0.1143860812095621</v>
      </c>
      <c r="P21" s="4">
        <f t="shared" si="18"/>
        <v>9.0618091245990351E-2</v>
      </c>
      <c r="Q21" s="4">
        <f t="shared" si="18"/>
        <v>6.7311287986730861E-2</v>
      </c>
      <c r="R21" s="4">
        <f t="shared" si="18"/>
        <v>4.7998940613189656E-2</v>
      </c>
      <c r="S21" s="4">
        <f t="shared" si="18"/>
        <v>3.327648184525956E-2</v>
      </c>
      <c r="T21" s="4">
        <f t="shared" si="18"/>
        <v>2.2598818966355464E-2</v>
      </c>
      <c r="U21" s="4">
        <f t="shared" si="18"/>
        <v>1.510751049593179E-2</v>
      </c>
      <c r="V21" s="4">
        <f t="shared" si="18"/>
        <v>9.9747909598217142E-3</v>
      </c>
      <c r="W21" s="4">
        <f t="shared" si="18"/>
        <v>6.520021082933463E-3</v>
      </c>
      <c r="X21" s="4">
        <f t="shared" si="18"/>
        <v>4.2265829897616177E-3</v>
      </c>
      <c r="Y21" s="4">
        <f t="shared" si="18"/>
        <v>2.720838912554418E-3</v>
      </c>
      <c r="Z21" s="4">
        <f>Y21*EXP(-Y$8)/oa+2*Y$14*(Y7)*Y$9*sa/oa^2 + 2*Y$14*Y$9*Z7^2*sa^2/oa^3 +Y$14*Y$9*Z7^2*sa/oa^2</f>
        <v>6.6456082909355048E-3</v>
      </c>
    </row>
    <row r="22" spans="1:26">
      <c r="A22" t="s">
        <v>64</v>
      </c>
      <c r="B22">
        <f>SUMPRODUCT(fa,G20:Z20)</f>
        <v>0.64524264599688408</v>
      </c>
      <c r="C22">
        <f>SUMPRODUCT(fa,G21:Z21)</f>
        <v>0.42444056949366926</v>
      </c>
      <c r="F22" t="s">
        <v>44</v>
      </c>
      <c r="G22">
        <f t="shared" ref="G22:Z22" si="19">G11*G18+lz*wa*G6/za*(EXP(-za)-(1-EXP(-za))/za)</f>
        <v>-1.3511637641142215E-6</v>
      </c>
      <c r="H22">
        <f t="shared" si="19"/>
        <v>-7.2947214078422569E-5</v>
      </c>
      <c r="I22">
        <f t="shared" si="19"/>
        <v>-1.5818889002434814E-3</v>
      </c>
      <c r="J22">
        <f t="shared" si="19"/>
        <v>-1.558103698692102E-2</v>
      </c>
      <c r="K22">
        <f t="shared" si="19"/>
        <v>-5.5024579618445806E-2</v>
      </c>
      <c r="L22">
        <f t="shared" si="19"/>
        <v>-9.3343183748666139E-2</v>
      </c>
      <c r="M22">
        <f t="shared" si="19"/>
        <v>-0.10625519706065679</v>
      </c>
      <c r="N22">
        <f t="shared" si="19"/>
        <v>-0.10060913557352325</v>
      </c>
      <c r="O22">
        <f t="shared" si="19"/>
        <v>-8.5694393498747204E-2</v>
      </c>
      <c r="P22">
        <f t="shared" si="19"/>
        <v>-6.8026046357567427E-2</v>
      </c>
      <c r="Q22">
        <f t="shared" si="19"/>
        <v>-5.1341980951154914E-2</v>
      </c>
      <c r="R22">
        <f t="shared" si="19"/>
        <v>-3.7312348407597271E-2</v>
      </c>
      <c r="S22">
        <f t="shared" si="19"/>
        <v>-2.6337093143097495E-2</v>
      </c>
      <c r="T22">
        <f t="shared" si="19"/>
        <v>-1.8167521851641881E-2</v>
      </c>
      <c r="U22">
        <f t="shared" si="19"/>
        <v>-1.2302992504784888E-2</v>
      </c>
      <c r="V22">
        <f t="shared" si="19"/>
        <v>-8.2074190525145124E-3</v>
      </c>
      <c r="W22">
        <f t="shared" si="19"/>
        <v>-5.4079854754657342E-3</v>
      </c>
      <c r="X22">
        <f t="shared" si="19"/>
        <v>-3.5269616687735182E-3</v>
      </c>
      <c r="Y22">
        <f t="shared" si="19"/>
        <v>-2.2804453714404651E-3</v>
      </c>
      <c r="Z22">
        <f t="shared" si="19"/>
        <v>-3.9383279372409334E-3</v>
      </c>
    </row>
    <row r="23" spans="1:26">
      <c r="A23" t="s">
        <v>41</v>
      </c>
      <c r="B23">
        <f>SUMPRODUCT(lz*G11:Z11)</f>
        <v>0.24148770130563074</v>
      </c>
      <c r="C23">
        <f>SUMPRODUCT(lz*G12:Z12)</f>
        <v>0.18719908610467867</v>
      </c>
      <c r="F23" t="s">
        <v>45</v>
      </c>
      <c r="G23">
        <f t="shared" ref="G23:Z23" si="20">G12*G19+lz*wa*G7/za*(EXP(-za)-(1-EXP(-za))/za)</f>
        <v>-8.1970053527938217E-7</v>
      </c>
      <c r="H23">
        <f t="shared" si="20"/>
        <v>-2.6937473711270144E-5</v>
      </c>
      <c r="I23">
        <f t="shared" si="20"/>
        <v>-3.7161398703853003E-4</v>
      </c>
      <c r="J23">
        <f t="shared" si="20"/>
        <v>-3.2960396772453572E-3</v>
      </c>
      <c r="K23">
        <f t="shared" si="20"/>
        <v>-1.7155431295971302E-2</v>
      </c>
      <c r="L23">
        <f t="shared" si="20"/>
        <v>-4.6246326738630841E-2</v>
      </c>
      <c r="M23">
        <f t="shared" si="20"/>
        <v>-6.9816356249394973E-2</v>
      </c>
      <c r="N23">
        <f t="shared" si="20"/>
        <v>-7.507126268689307E-2</v>
      </c>
      <c r="O23">
        <f t="shared" si="20"/>
        <v>-6.8389960870416849E-2</v>
      </c>
      <c r="P23">
        <f t="shared" si="20"/>
        <v>-5.6604101041245622E-2</v>
      </c>
      <c r="Q23">
        <f t="shared" si="20"/>
        <v>-4.3961595319427289E-2</v>
      </c>
      <c r="R23">
        <f t="shared" si="20"/>
        <v>-3.2622927705140352E-2</v>
      </c>
      <c r="S23">
        <f t="shared" si="20"/>
        <v>-2.3396614179775153E-2</v>
      </c>
      <c r="T23">
        <f t="shared" si="20"/>
        <v>-1.6342875955598468E-2</v>
      </c>
      <c r="U23">
        <f t="shared" si="20"/>
        <v>-1.1180122324175153E-2</v>
      </c>
      <c r="V23">
        <f t="shared" si="20"/>
        <v>-7.5209925226437414E-3</v>
      </c>
      <c r="W23">
        <f t="shared" si="20"/>
        <v>-4.9905973463416665E-3</v>
      </c>
      <c r="X23">
        <f t="shared" si="20"/>
        <v>-3.2742547433206584E-3</v>
      </c>
      <c r="Y23">
        <f t="shared" si="20"/>
        <v>-2.1279757986600511E-3</v>
      </c>
      <c r="Z23">
        <f t="shared" si="20"/>
        <v>-3.7122616035939163E-3</v>
      </c>
    </row>
    <row r="24" spans="1:26">
      <c r="A24" t="s">
        <v>43</v>
      </c>
      <c r="B24">
        <f>SUM(G22:Z22)</f>
        <v>-0.69501283648632517</v>
      </c>
      <c r="C24">
        <f>SUM(G23:Z23)</f>
        <v>-0.48610906721975955</v>
      </c>
      <c r="F24" s="4" t="s">
        <v>62</v>
      </c>
      <c r="G24" s="4">
        <f t="shared" ref="G24:Z24" si="21">G20*G11+2*G18*wa*G6^2*sa/za - 2*G18*wa*G6^2*oa/za^2-lz*wa*G6^3*sa/za -2*lz*wa*G6^3*sa/za^2+2*lz*wa*G6^3*oa/za^3</f>
        <v>2.682275587249288E-13</v>
      </c>
      <c r="H24" s="4">
        <f t="shared" si="21"/>
        <v>2.7062534334496711E-9</v>
      </c>
      <c r="I24" s="4">
        <f t="shared" si="21"/>
        <v>7.6809983058494257E-6</v>
      </c>
      <c r="J24" s="4">
        <f t="shared" si="21"/>
        <v>3.4020284753716046E-3</v>
      </c>
      <c r="K24" s="4">
        <f t="shared" si="21"/>
        <v>5.3017721483024305E-2</v>
      </c>
      <c r="L24" s="4">
        <f t="shared" si="21"/>
        <v>0.13154947813549578</v>
      </c>
      <c r="M24" s="4">
        <f t="shared" si="21"/>
        <v>0.16783289919994263</v>
      </c>
      <c r="N24" s="4">
        <f t="shared" si="21"/>
        <v>0.1674103366180848</v>
      </c>
      <c r="O24" s="4">
        <f t="shared" si="21"/>
        <v>0.14690845146145548</v>
      </c>
      <c r="P24" s="4">
        <f t="shared" si="21"/>
        <v>0.11889503174703259</v>
      </c>
      <c r="Q24" s="4">
        <f t="shared" si="21"/>
        <v>9.0958830900510462E-2</v>
      </c>
      <c r="R24" s="4">
        <f t="shared" si="21"/>
        <v>6.6769503278264294E-2</v>
      </c>
      <c r="S24" s="4">
        <f t="shared" si="21"/>
        <v>4.7494661774019432E-2</v>
      </c>
      <c r="T24" s="4">
        <f t="shared" si="21"/>
        <v>3.296342977078294E-2</v>
      </c>
      <c r="U24" s="4">
        <f t="shared" si="21"/>
        <v>2.2434152616779474E-2</v>
      </c>
      <c r="V24" s="4">
        <f t="shared" si="21"/>
        <v>1.5027885528884934E-2</v>
      </c>
      <c r="W24" s="4">
        <f t="shared" si="21"/>
        <v>9.9365752857464035E-3</v>
      </c>
      <c r="X24" s="4">
        <f t="shared" si="21"/>
        <v>6.4996707175457285E-3</v>
      </c>
      <c r="Y24" s="4">
        <f t="shared" si="21"/>
        <v>4.2133175218455748E-3</v>
      </c>
      <c r="Z24" s="4">
        <f t="shared" si="21"/>
        <v>8.7188121119914953E-3</v>
      </c>
    </row>
    <row r="25" spans="1:26">
      <c r="A25" t="s">
        <v>56</v>
      </c>
      <c r="B25">
        <f>SUM(G24:Z24)</f>
        <v>1.0940404703316053</v>
      </c>
      <c r="C25">
        <f>SUM(G25:Z25)</f>
        <v>0.73121460307617137</v>
      </c>
      <c r="F25" s="4" t="s">
        <v>63</v>
      </c>
      <c r="G25" s="4">
        <f t="shared" ref="G25:Z25" si="22">G21*G12+2*G19*wa*G7^2*sa/za - 2*G19*wa*G7^2*oa/za^2-lz*wa*G7^3*sa/za -2*lz*wa*G7^3*sa/za^2+2*lz*wa*G7^3*oa/za^3</f>
        <v>5.9888727289967667E-14</v>
      </c>
      <c r="H25" s="4">
        <f t="shared" si="22"/>
        <v>1.5792694089035871E-10</v>
      </c>
      <c r="I25" s="4">
        <f t="shared" si="22"/>
        <v>1.1974381026735599E-7</v>
      </c>
      <c r="J25" s="4">
        <f t="shared" si="22"/>
        <v>4.6838115211372995E-5</v>
      </c>
      <c r="K25" s="4">
        <f t="shared" si="22"/>
        <v>4.3678286978605652E-3</v>
      </c>
      <c r="L25" s="4">
        <f t="shared" si="22"/>
        <v>4.2437230875664478E-2</v>
      </c>
      <c r="M25" s="4">
        <f t="shared" si="22"/>
        <v>9.4818568846636919E-2</v>
      </c>
      <c r="N25" s="4">
        <f t="shared" si="22"/>
        <v>0.1160524550847388</v>
      </c>
      <c r="O25" s="4">
        <f t="shared" si="22"/>
        <v>0.11212009158287457</v>
      </c>
      <c r="P25" s="4">
        <f t="shared" si="22"/>
        <v>9.5936421785997858E-2</v>
      </c>
      <c r="Q25" s="4">
        <f t="shared" si="22"/>
        <v>7.6124499830411349E-2</v>
      </c>
      <c r="R25" s="4">
        <f t="shared" si="22"/>
        <v>5.7343991987807208E-2</v>
      </c>
      <c r="S25" s="4">
        <f t="shared" si="22"/>
        <v>4.158444733185418E-2</v>
      </c>
      <c r="T25" s="4">
        <f t="shared" si="22"/>
        <v>2.9295984312974761E-2</v>
      </c>
      <c r="U25" s="4">
        <f t="shared" si="22"/>
        <v>2.0177240735371322E-2</v>
      </c>
      <c r="V25" s="4">
        <f t="shared" si="22"/>
        <v>1.3648203167197056E-2</v>
      </c>
      <c r="W25" s="4">
        <f t="shared" si="22"/>
        <v>9.0976464066960146E-3</v>
      </c>
      <c r="X25" s="4">
        <f t="shared" si="22"/>
        <v>5.991742669575504E-3</v>
      </c>
      <c r="Y25" s="4">
        <f t="shared" si="22"/>
        <v>3.9068614469399167E-3</v>
      </c>
      <c r="Z25" s="4">
        <f t="shared" si="22"/>
        <v>8.2644302965624011E-3</v>
      </c>
    </row>
    <row r="26" spans="1:26">
      <c r="A26" t="s">
        <v>46</v>
      </c>
      <c r="B26">
        <f>ro/(reck-1)*phie/phif^2*dphif</f>
        <v>-3.2332604906156956</v>
      </c>
      <c r="C26">
        <f>ro/(reck-1)*phie/phif^2*dphif</f>
        <v>-2.2651826743696328</v>
      </c>
      <c r="G26">
        <f>G20*G11+2*G18*wa*G6^2*sa/za-2*G18*wa*G6^2*oa/za^2-lz*wa*G6^3*sa/za-2*lz*wa*G6^3*sa/za^2+2*lz*wa*G6^3*oa/za^3</f>
        <v>2.682275587249288E-13</v>
      </c>
    </row>
    <row r="27" spans="1:26">
      <c r="A27" t="s">
        <v>57</v>
      </c>
      <c r="B27">
        <f>-2*ro*phie*dphif^2/(phif^3*(reck-1)) + ro*phie*ddphif/(phif^2*(reck-1))</f>
        <v>-14.961315773022831</v>
      </c>
      <c r="C27">
        <f>-2*ro*phie*dphif^2/(phif^3*(reck-1)) + ro*phie*ddphif/(phif^2*(reck-1))</f>
        <v>-6.8774725676500053</v>
      </c>
      <c r="G27">
        <f t="shared" ref="G27:Z27" si="23">(G15-2*G14+G16)/dh^2</f>
        <v>0</v>
      </c>
      <c r="H27">
        <f t="shared" si="23"/>
        <v>2.2204460492503131E-7</v>
      </c>
      <c r="I27">
        <f t="shared" si="23"/>
        <v>2.8788083028530309E-5</v>
      </c>
      <c r="J27">
        <f t="shared" si="23"/>
        <v>2.778544061499133E-3</v>
      </c>
      <c r="K27">
        <f t="shared" si="23"/>
        <v>9.5206748040865818E-2</v>
      </c>
      <c r="L27">
        <f t="shared" si="23"/>
        <v>0.40540745482875451</v>
      </c>
      <c r="M27">
        <f t="shared" si="23"/>
        <v>0.67347577792364888</v>
      </c>
      <c r="N27">
        <f t="shared" si="23"/>
        <v>0.78584761892264154</v>
      </c>
      <c r="O27">
        <f t="shared" si="23"/>
        <v>0.77215367016991721</v>
      </c>
      <c r="P27">
        <f t="shared" si="23"/>
        <v>0.68544407164083943</v>
      </c>
      <c r="Q27">
        <f t="shared" si="23"/>
        <v>0.5688863121897092</v>
      </c>
      <c r="R27">
        <f t="shared" si="23"/>
        <v>0.45006060250124547</v>
      </c>
      <c r="S27">
        <f t="shared" si="23"/>
        <v>0.34350694866694398</v>
      </c>
      <c r="T27">
        <f t="shared" si="23"/>
        <v>0.25497283360174927</v>
      </c>
      <c r="U27">
        <f t="shared" si="23"/>
        <v>0.18508627581959036</v>
      </c>
      <c r="V27">
        <f t="shared" si="23"/>
        <v>0.13192896137527443</v>
      </c>
      <c r="W27">
        <f t="shared" si="23"/>
        <v>9.2621812726022962E-2</v>
      </c>
      <c r="X27">
        <f t="shared" si="23"/>
        <v>6.4196231062138912E-2</v>
      </c>
      <c r="Y27">
        <f t="shared" si="23"/>
        <v>4.4007501126281517E-2</v>
      </c>
      <c r="Z27">
        <f t="shared" si="23"/>
        <v>8.9318198892790815E-2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9.6761347516890923E-3</v>
      </c>
      <c r="C29">
        <f>f*re*phiq</f>
        <v>9.9260291903437627E-3</v>
      </c>
      <c r="F29">
        <v>0</v>
      </c>
      <c r="G29">
        <f>B29</f>
        <v>9.6761347516890923E-3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2.5332664644051681E-3</v>
      </c>
      <c r="H30">
        <v>-0.12200854482999531</v>
      </c>
      <c r="Z30" s="4">
        <f>Y30*EXP(-Y$8)/oa+Y$14*(Y16)^2*Y$9/oa + 2*Y$14*Y16*Y$9*Z16*sa/oa^2 + 2*Y$14*Y$9*Z16^2*sa/oa^3 + Y$14*Y$9*Z16^2*sa/oa^2</f>
        <v>3.2212128861539305E-10</v>
      </c>
    </row>
    <row r="31" spans="1:26">
      <c r="A31" t="s">
        <v>52</v>
      </c>
      <c r="F31">
        <v>0.20499999999999999</v>
      </c>
      <c r="G31">
        <v>1.9139036594604726E-3</v>
      </c>
      <c r="H31">
        <v>-0.12594889039395998</v>
      </c>
    </row>
    <row r="32" spans="1:26">
      <c r="B32">
        <f>re*phiq+f*phiq*dre+f*re*dphiq</f>
        <v>0</v>
      </c>
      <c r="C32">
        <f>f*phiq*B26+f*re*B24</f>
        <v>-0.11286996774577755</v>
      </c>
      <c r="F32">
        <v>0.21</v>
      </c>
      <c r="G32">
        <v>1.2749826954556317E-3</v>
      </c>
      <c r="H32">
        <v>-0.12976825912000522</v>
      </c>
    </row>
    <row r="33" spans="1:8">
      <c r="B33">
        <f>f*phiq*C26+f*re*C24</f>
        <v>-7.1394093388151184E-2</v>
      </c>
      <c r="C33">
        <f>re*phiq+f*phiq*dre+f*re*dphiq</f>
        <v>0</v>
      </c>
      <c r="F33">
        <v>0.215</v>
      </c>
      <c r="G33">
        <v>6.1708861203812538E-4</v>
      </c>
      <c r="H33">
        <v>-0.13347130155645962</v>
      </c>
    </row>
    <row r="34" spans="1:8">
      <c r="A34" t="s">
        <v>10</v>
      </c>
      <c r="B34">
        <f t="array" ref="B34:C35">-MINVERSE(B32:C33)</f>
        <v>0</v>
      </c>
      <c r="C34">
        <v>14.006760959387202</v>
      </c>
      <c r="F34">
        <v>0.22</v>
      </c>
      <c r="G34">
        <v>-5.921626058198501E-5</v>
      </c>
      <c r="H34">
        <v>-0.13706246205655007</v>
      </c>
    </row>
    <row r="35" spans="1:8">
      <c r="B35">
        <v>8.8597526868471164</v>
      </c>
      <c r="C35">
        <v>0</v>
      </c>
      <c r="F35">
        <v>0.22500000000000001</v>
      </c>
      <c r="G35">
        <v>-7.5339129704824468E-4</v>
      </c>
      <c r="H35">
        <v>-0.14054598923671263</v>
      </c>
    </row>
    <row r="36" spans="1:8">
      <c r="F36">
        <v>0.23</v>
      </c>
      <c r="G36">
        <v>-1.4649166230623889E-3</v>
      </c>
      <c r="H36">
        <v>-0.14392594583737403</v>
      </c>
    </row>
    <row r="37" spans="1:8">
      <c r="A37" t="s">
        <v>11</v>
      </c>
      <c r="B37">
        <f t="array" ref="B37:C37">MMULT(B30:C30,B34:C35)</f>
        <v>0</v>
      </c>
      <c r="C37">
        <v>0</v>
      </c>
      <c r="F37">
        <v>0.23499999999999999</v>
      </c>
      <c r="G37">
        <v>-2.1932922094862846E-3</v>
      </c>
      <c r="H37">
        <v>-0.14720621802418643</v>
      </c>
    </row>
    <row r="38" spans="1:8">
      <c r="A38" t="s">
        <v>54</v>
      </c>
      <c r="B38">
        <f>f+delta</f>
        <v>9.490851166541979E-2</v>
      </c>
      <c r="C38">
        <f>f+delta</f>
        <v>0.12559434822576479</v>
      </c>
      <c r="F38">
        <v>0.24</v>
      </c>
      <c r="G38">
        <v>-2.9380370116317569E-3</v>
      </c>
      <c r="H38">
        <v>-0.15039052416503018</v>
      </c>
    </row>
    <row r="39" spans="1:8">
      <c r="F39">
        <v>0.245</v>
      </c>
      <c r="G39">
        <v>-3.6986881512004631E-3</v>
      </c>
      <c r="H39">
        <v>-0.1534824231156561</v>
      </c>
    </row>
    <row r="40" spans="1:8">
      <c r="A40" t="s">
        <v>9</v>
      </c>
      <c r="B40">
        <f>2*dre*phiq+2*re*dphiq+f*ddre*phiq+2*f*dre*dphiq+f*re*ddphiq</f>
        <v>-2.0209480887513722</v>
      </c>
      <c r="C40">
        <f>f*B27*phiq+2*f*B26*B24+f*re*B25</f>
        <v>0.27071319015919715</v>
      </c>
      <c r="F40">
        <v>0.25</v>
      </c>
      <c r="G40">
        <v>-4.4748001384941572E-3</v>
      </c>
      <c r="H40">
        <v>-0.15648532204456042</v>
      </c>
    </row>
    <row r="41" spans="1:8">
      <c r="B41">
        <f>f*C27*phiq+2*f*C26*C24+f*re*C25</f>
        <v>8.0684924953989698E-2</v>
      </c>
      <c r="C41">
        <f>2*dre*phiq+2*re*dphiq+f*ddre*phiq+2*f*dre*dphiq+f*re*ddphiq</f>
        <v>-1.1048701956688782</v>
      </c>
      <c r="F41">
        <v>0.255</v>
      </c>
      <c r="G41">
        <v>-5.265944132663276E-3</v>
      </c>
      <c r="H41">
        <v>-0.15940248382559835</v>
      </c>
    </row>
    <row r="42" spans="1:8">
      <c r="A42" t="s">
        <v>10</v>
      </c>
      <c r="B42">
        <f t="array" ref="B42:C43">-MINVERSE(B40:C41)</f>
        <v>0.49970546805700089</v>
      </c>
      <c r="C42">
        <v>0.12243688166084535</v>
      </c>
      <c r="F42">
        <v>0.26</v>
      </c>
      <c r="G42">
        <v>-6.071707237899516E-3</v>
      </c>
      <c r="H42">
        <v>-0.1622370340248927</v>
      </c>
    </row>
    <row r="43" spans="1:8">
      <c r="B43">
        <v>3.6491796364249686E-2</v>
      </c>
      <c r="C43">
        <v>0.91402484614677693</v>
      </c>
      <c r="F43">
        <v>0.26500000000000001</v>
      </c>
      <c r="G43">
        <v>-6.8916918336064436E-3</v>
      </c>
      <c r="H43">
        <v>-0.16499196750680378</v>
      </c>
    </row>
    <row r="44" spans="1:8">
      <c r="F44">
        <v>0.27</v>
      </c>
      <c r="G44">
        <v>-7.7255149367013781E-3</v>
      </c>
      <c r="H44">
        <v>-0.1676701546820597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-8.5728075943139661E-3</v>
      </c>
      <c r="H45">
        <v>-0.17027434741960659</v>
      </c>
    </row>
    <row r="46" spans="1:8">
      <c r="A46" s="5" t="s">
        <v>54</v>
      </c>
      <c r="B46" s="5">
        <f>f+dta</f>
        <v>9.490851166541979E-2</v>
      </c>
      <c r="C46" s="5">
        <f>f+dta</f>
        <v>0.12559434822576479</v>
      </c>
      <c r="F46">
        <v>0.28000000000000003</v>
      </c>
      <c r="G46">
        <v>-9.4332143052503325E-3</v>
      </c>
      <c r="H46">
        <v>-0.17280718464230627</v>
      </c>
    </row>
    <row r="47" spans="1:8">
      <c r="F47">
        <v>0.28499999999999998</v>
      </c>
      <c r="G47">
        <v>-1.0306392468689942E-2</v>
      </c>
      <c r="H47">
        <v>-0.17527119762528529</v>
      </c>
    </row>
    <row r="48" spans="1:8">
      <c r="F48">
        <v>0.28999999999999998</v>
      </c>
      <c r="G48">
        <v>-1.1192011858672135E-2</v>
      </c>
      <c r="H48">
        <v>-0.17766881501450743</v>
      </c>
    </row>
    <row r="49" spans="6:8">
      <c r="F49">
        <v>0.29499999999999998</v>
      </c>
      <c r="G49">
        <v>-1.208975412301538E-2</v>
      </c>
      <c r="H49">
        <v>-0.18000236758199872</v>
      </c>
    </row>
    <row r="50" spans="6:8">
      <c r="F50">
        <v>0.29999999999999899</v>
      </c>
      <c r="G50">
        <v>-1.2999312305390084E-2</v>
      </c>
      <c r="H50">
        <v>-0.18227409273308801</v>
      </c>
    </row>
    <row r="51" spans="6:8">
      <c r="F51">
        <v>0.30499999999999999</v>
      </c>
      <c r="G51">
        <v>-1.3920390389343793E-2</v>
      </c>
      <c r="H51">
        <v>-0.18448613878005637</v>
      </c>
    </row>
    <row r="52" spans="6:8">
      <c r="F52">
        <v>0.309999999999999</v>
      </c>
      <c r="G52">
        <v>-1.4852702863139456E-2</v>
      </c>
      <c r="H52">
        <v>-0.18664056899563555</v>
      </c>
    </row>
    <row r="53" spans="6:8">
      <c r="F53">
        <v>0.314999999999999</v>
      </c>
      <c r="G53">
        <v>-1.5795974304345723E-2</v>
      </c>
      <c r="H53">
        <v>-0.18873936545899228</v>
      </c>
    </row>
    <row r="54" spans="6:8">
      <c r="F54">
        <v>0.31999999999999901</v>
      </c>
      <c r="G54">
        <v>-1.6749938983162484E-2</v>
      </c>
      <c r="H54">
        <v>-0.19078443270598489</v>
      </c>
    </row>
    <row r="55" spans="6:8">
      <c r="F55">
        <v>0.32499999999999901</v>
      </c>
      <c r="G55">
        <v>-1.7714340483538003E-2</v>
      </c>
      <c r="H55">
        <v>-0.19277760119478732</v>
      </c>
    </row>
    <row r="56" spans="6:8">
      <c r="F56">
        <v>0.32999999999999902</v>
      </c>
      <c r="G56">
        <v>-1.868893134117652E-2</v>
      </c>
      <c r="H56">
        <v>-0.19472063059725231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topLeftCell="A7" zoomScale="150" zoomScaleNormal="150" zoomScalePageLayoutView="150" workbookViewId="0">
      <selection activeCell="E39" sqref="E39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0.22872054973096828</v>
      </c>
      <c r="C6">
        <f>B6+dh</f>
        <v>0.22873054973096829</v>
      </c>
      <c r="D6">
        <f>B6-dh</f>
        <v>0.22871054973096827</v>
      </c>
      <c r="E6">
        <v>3</v>
      </c>
      <c r="F6" t="s">
        <v>24</v>
      </c>
      <c r="G6">
        <f t="shared" ref="G6:Z6" si="4">1/(1+EXP(-(G1-ah)/(0.5*ah)))</f>
        <v>0.20860852732604496</v>
      </c>
      <c r="H6">
        <f t="shared" si="4"/>
        <v>0.33924363123418283</v>
      </c>
      <c r="I6">
        <f t="shared" si="4"/>
        <v>0.5</v>
      </c>
      <c r="J6">
        <f t="shared" si="4"/>
        <v>0.66075636876581723</v>
      </c>
      <c r="K6">
        <f t="shared" si="4"/>
        <v>0.79139147267395504</v>
      </c>
      <c r="L6">
        <f t="shared" si="4"/>
        <v>0.88079707797788231</v>
      </c>
      <c r="M6">
        <f t="shared" si="4"/>
        <v>0.93503083087133598</v>
      </c>
      <c r="N6">
        <f t="shared" si="4"/>
        <v>0.96555480433378893</v>
      </c>
      <c r="O6">
        <f t="shared" si="4"/>
        <v>0.98201379003790845</v>
      </c>
      <c r="P6">
        <f t="shared" si="4"/>
        <v>0.99068404065493332</v>
      </c>
      <c r="Q6">
        <f t="shared" si="4"/>
        <v>0.99519524711284046</v>
      </c>
      <c r="R6">
        <f t="shared" si="4"/>
        <v>0.99752737684336534</v>
      </c>
      <c r="S6">
        <f t="shared" si="4"/>
        <v>0.99872898373691865</v>
      </c>
      <c r="T6">
        <f t="shared" si="4"/>
        <v>0.99934703466244723</v>
      </c>
      <c r="U6">
        <f t="shared" si="4"/>
        <v>0.99966464986953363</v>
      </c>
      <c r="V6">
        <f t="shared" si="4"/>
        <v>0.99982779740288108</v>
      </c>
      <c r="W6">
        <f t="shared" si="4"/>
        <v>0.99991158082998111</v>
      </c>
      <c r="X6">
        <f t="shared" si="4"/>
        <v>0.99995460213129761</v>
      </c>
      <c r="Y6">
        <f t="shared" si="4"/>
        <v>0.99997669144215851</v>
      </c>
      <c r="Z6">
        <f t="shared" si="4"/>
        <v>0.99998803285165838</v>
      </c>
    </row>
    <row r="7" spans="1:26">
      <c r="A7" t="s">
        <v>28</v>
      </c>
      <c r="B7">
        <v>0.24512022044354057</v>
      </c>
      <c r="C7">
        <f>B7</f>
        <v>0.24512022044354057</v>
      </c>
      <c r="D7">
        <f>C7</f>
        <v>0.24512022044354057</v>
      </c>
      <c r="E7">
        <v>4</v>
      </c>
      <c r="G7">
        <f t="shared" ref="G7:Z7" si="5">1/(1+EXP(-(G1-ah)/(0.5*ah)))</f>
        <v>0.18242552380635635</v>
      </c>
      <c r="H7">
        <f t="shared" si="5"/>
        <v>0.2689414213699951</v>
      </c>
      <c r="I7">
        <f t="shared" si="5"/>
        <v>0.37754066879814541</v>
      </c>
      <c r="J7">
        <f t="shared" si="5"/>
        <v>0.5</v>
      </c>
      <c r="K7">
        <f t="shared" si="5"/>
        <v>0.62245933120185459</v>
      </c>
      <c r="L7">
        <f t="shared" si="5"/>
        <v>0.7310585786300049</v>
      </c>
      <c r="M7">
        <f t="shared" si="5"/>
        <v>0.81757447619364365</v>
      </c>
      <c r="N7">
        <f t="shared" si="5"/>
        <v>0.88079707797788231</v>
      </c>
      <c r="O7">
        <f t="shared" si="5"/>
        <v>0.92414181997875655</v>
      </c>
      <c r="P7">
        <f t="shared" si="5"/>
        <v>0.95257412682243336</v>
      </c>
      <c r="Q7">
        <f t="shared" si="5"/>
        <v>0.97068776924864364</v>
      </c>
      <c r="R7">
        <f t="shared" si="5"/>
        <v>0.98201379003790845</v>
      </c>
      <c r="S7">
        <f t="shared" si="5"/>
        <v>0.98901305736940681</v>
      </c>
      <c r="T7">
        <f t="shared" si="5"/>
        <v>0.99330714907571527</v>
      </c>
      <c r="U7">
        <f t="shared" si="5"/>
        <v>0.99592986228410396</v>
      </c>
      <c r="V7">
        <f t="shared" si="5"/>
        <v>0.99752737684336534</v>
      </c>
      <c r="W7">
        <f t="shared" si="5"/>
        <v>0.99849881774326299</v>
      </c>
      <c r="X7">
        <f t="shared" si="5"/>
        <v>0.9990889488055994</v>
      </c>
      <c r="Y7">
        <f t="shared" si="5"/>
        <v>0.9994472213630764</v>
      </c>
      <c r="Z7">
        <f t="shared" si="5"/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0.39242924165852322</v>
      </c>
      <c r="H8">
        <f t="shared" si="6"/>
        <v>0.44351497032122456</v>
      </c>
      <c r="I8">
        <f t="shared" si="6"/>
        <v>0.50690312682768734</v>
      </c>
      <c r="J8">
        <f t="shared" si="6"/>
        <v>0.57368867012412639</v>
      </c>
      <c r="K8">
        <f t="shared" si="6"/>
        <v>0.63358486116372503</v>
      </c>
      <c r="L8">
        <f t="shared" si="6"/>
        <v>0.68065363182746008</v>
      </c>
      <c r="M8">
        <f t="shared" si="6"/>
        <v>0.71426480148589422</v>
      </c>
      <c r="N8">
        <f t="shared" si="6"/>
        <v>0.73674339956256674</v>
      </c>
      <c r="O8">
        <f t="shared" si="6"/>
        <v>0.75113258053514975</v>
      </c>
      <c r="P8">
        <f t="shared" si="6"/>
        <v>0.76008497834382138</v>
      </c>
      <c r="Q8">
        <f t="shared" si="6"/>
        <v>0.76555680398937187</v>
      </c>
      <c r="R8">
        <f t="shared" si="6"/>
        <v>0.76886644669599424</v>
      </c>
      <c r="S8">
        <f t="shared" si="6"/>
        <v>0.77085694083648837</v>
      </c>
      <c r="T8">
        <f t="shared" si="6"/>
        <v>0.77205087048959209</v>
      </c>
      <c r="U8">
        <f t="shared" si="6"/>
        <v>0.77276639565416028</v>
      </c>
      <c r="V8">
        <f t="shared" si="6"/>
        <v>0.77319529396860265</v>
      </c>
      <c r="W8">
        <f t="shared" si="6"/>
        <v>0.77345257676763812</v>
      </c>
      <c r="X8">
        <f t="shared" si="6"/>
        <v>0.77360706967941584</v>
      </c>
      <c r="Y8">
        <f t="shared" si="6"/>
        <v>0.77369994180700674</v>
      </c>
      <c r="Z8">
        <f t="shared" si="6"/>
        <v>0.77375583194385578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 t="shared" ref="G9:Z9" si="7">EXP(-za)</f>
        <v>0.6754141358458744</v>
      </c>
      <c r="H9" s="7">
        <f t="shared" si="7"/>
        <v>0.64177662606011532</v>
      </c>
      <c r="I9" s="7">
        <f t="shared" si="7"/>
        <v>0.60235811999872102</v>
      </c>
      <c r="J9" s="7">
        <f t="shared" si="7"/>
        <v>0.56344324453398864</v>
      </c>
      <c r="K9" s="7">
        <f t="shared" si="7"/>
        <v>0.53068595148735453</v>
      </c>
      <c r="L9" s="7">
        <f t="shared" si="7"/>
        <v>0.50628595957361744</v>
      </c>
      <c r="M9" s="7">
        <f t="shared" si="7"/>
        <v>0.48955189735073312</v>
      </c>
      <c r="N9" s="7">
        <f t="shared" si="7"/>
        <v>0.47867021765869716</v>
      </c>
      <c r="O9" s="7">
        <f t="shared" si="7"/>
        <v>0.47183186242500225</v>
      </c>
      <c r="P9" s="7">
        <f t="shared" si="7"/>
        <v>0.46762668718001743</v>
      </c>
      <c r="Q9" s="7">
        <f t="shared" si="7"/>
        <v>0.46507490330566864</v>
      </c>
      <c r="R9" s="7">
        <f t="shared" si="7"/>
        <v>0.4635382158897644</v>
      </c>
      <c r="S9" s="7">
        <f t="shared" si="7"/>
        <v>0.46261646346288016</v>
      </c>
      <c r="T9" s="7">
        <f t="shared" si="7"/>
        <v>0.46206446154044145</v>
      </c>
      <c r="U9" s="7">
        <f t="shared" si="7"/>
        <v>0.4617339610453679</v>
      </c>
      <c r="V9" s="7">
        <f t="shared" si="7"/>
        <v>0.46153596659053386</v>
      </c>
      <c r="W9" s="7">
        <f t="shared" si="7"/>
        <v>0.46141723659944106</v>
      </c>
      <c r="X9" s="7">
        <f t="shared" si="7"/>
        <v>0.46134595641329795</v>
      </c>
      <c r="Y9" s="7">
        <f t="shared" si="7"/>
        <v>0.46130311222231674</v>
      </c>
      <c r="Z9" s="7">
        <f t="shared" si="7"/>
        <v>0.46127733064872029</v>
      </c>
    </row>
    <row r="10" spans="1:26">
      <c r="A10" t="s">
        <v>69</v>
      </c>
      <c r="B10">
        <f>Ye/SUM(Ye)</f>
        <v>0.65259972564079094</v>
      </c>
      <c r="C10">
        <f>Ye/SUM(Ye)</f>
        <v>0.347400274359209</v>
      </c>
      <c r="F10" t="s">
        <v>61</v>
      </c>
      <c r="G10">
        <f t="shared" ref="G10:Z10" si="8">1-sa</f>
        <v>0.3245858641541256</v>
      </c>
      <c r="H10">
        <f t="shared" si="8"/>
        <v>0.35822337393988468</v>
      </c>
      <c r="I10">
        <f t="shared" si="8"/>
        <v>0.39764188000127898</v>
      </c>
      <c r="J10">
        <f t="shared" si="8"/>
        <v>0.43655675546601136</v>
      </c>
      <c r="K10">
        <f t="shared" si="8"/>
        <v>0.46931404851264547</v>
      </c>
      <c r="L10">
        <f t="shared" si="8"/>
        <v>0.49371404042638256</v>
      </c>
      <c r="M10">
        <f t="shared" si="8"/>
        <v>0.51044810264926688</v>
      </c>
      <c r="N10">
        <f t="shared" si="8"/>
        <v>0.52132978234130278</v>
      </c>
      <c r="O10">
        <f t="shared" si="8"/>
        <v>0.52816813757499781</v>
      </c>
      <c r="P10">
        <f t="shared" si="8"/>
        <v>0.53237331281998257</v>
      </c>
      <c r="Q10">
        <f t="shared" si="8"/>
        <v>0.5349250966943313</v>
      </c>
      <c r="R10">
        <f t="shared" si="8"/>
        <v>0.5364617841102356</v>
      </c>
      <c r="S10">
        <f t="shared" si="8"/>
        <v>0.53738353653711979</v>
      </c>
      <c r="T10">
        <f t="shared" si="8"/>
        <v>0.53793553845955855</v>
      </c>
      <c r="U10">
        <f t="shared" si="8"/>
        <v>0.5382660389546321</v>
      </c>
      <c r="V10">
        <f t="shared" si="8"/>
        <v>0.53846403340946614</v>
      </c>
      <c r="W10">
        <f t="shared" si="8"/>
        <v>0.53858276340055888</v>
      </c>
      <c r="X10">
        <f t="shared" si="8"/>
        <v>0.53865404358670199</v>
      </c>
      <c r="Y10">
        <f t="shared" si="8"/>
        <v>0.53869688777768321</v>
      </c>
      <c r="Z10">
        <f t="shared" si="8"/>
        <v>0.53872266935127966</v>
      </c>
    </row>
    <row r="11" spans="1:26">
      <c r="A11" t="s">
        <v>70</v>
      </c>
      <c r="B11">
        <f>ak/pk</f>
        <v>0.61293314153210532</v>
      </c>
      <c r="C11">
        <f>ak/pk</f>
        <v>1.727114352764169</v>
      </c>
      <c r="F11" t="s">
        <v>40</v>
      </c>
      <c r="G11">
        <f t="shared" ref="G11:Z11" si="9">wa*G6/za*(1-EXP(-za))</f>
        <v>1.0277149867428071E-3</v>
      </c>
      <c r="H11">
        <f t="shared" si="9"/>
        <v>9.818269805357719E-3</v>
      </c>
      <c r="I11">
        <f t="shared" si="9"/>
        <v>3.6025566992543931E-2</v>
      </c>
      <c r="J11">
        <f t="shared" si="9"/>
        <v>8.3961946868887166E-2</v>
      </c>
      <c r="K11">
        <f t="shared" si="9"/>
        <v>0.14806413556126896</v>
      </c>
      <c r="L11">
        <f t="shared" si="9"/>
        <v>0.21801915777685682</v>
      </c>
      <c r="M11">
        <f t="shared" si="9"/>
        <v>0.28575930047803283</v>
      </c>
      <c r="N11">
        <f t="shared" si="9"/>
        <v>0.34733682330783061</v>
      </c>
      <c r="O11">
        <f t="shared" si="9"/>
        <v>0.40157453081479405</v>
      </c>
      <c r="P11">
        <f t="shared" si="9"/>
        <v>0.44857235697020637</v>
      </c>
      <c r="Q11">
        <f t="shared" si="9"/>
        <v>0.48889723460812923</v>
      </c>
      <c r="R11">
        <f t="shared" si="9"/>
        <v>0.52324917619802802</v>
      </c>
      <c r="S11">
        <f t="shared" si="9"/>
        <v>0.55233962620154264</v>
      </c>
      <c r="T11">
        <f t="shared" si="9"/>
        <v>0.57684740112714206</v>
      </c>
      <c r="U11">
        <f t="shared" si="9"/>
        <v>0.59740093198515287</v>
      </c>
      <c r="V11">
        <f t="shared" si="9"/>
        <v>0.61457027740928194</v>
      </c>
      <c r="W11">
        <f t="shared" si="9"/>
        <v>0.62886403711474625</v>
      </c>
      <c r="X11">
        <f t="shared" si="9"/>
        <v>0.64072954458584885</v>
      </c>
      <c r="Y11">
        <f t="shared" si="9"/>
        <v>0.65055543717696773</v>
      </c>
      <c r="Z11">
        <f t="shared" si="9"/>
        <v>0.65867584249569777</v>
      </c>
    </row>
    <row r="12" spans="1:26">
      <c r="A12" t="s">
        <v>71</v>
      </c>
      <c r="B12">
        <f>B20*lambda</f>
        <v>0.19369222519864432</v>
      </c>
      <c r="C12">
        <f>C20*lambda</f>
        <v>0.35751522484254583</v>
      </c>
      <c r="G12">
        <f t="shared" ref="G12:Z12" si="10">wa*G7/za*(1-EXP(-za))</f>
        <v>8.9872378269165772E-4</v>
      </c>
      <c r="H12">
        <f t="shared" si="10"/>
        <v>7.7836079847412752E-3</v>
      </c>
      <c r="I12">
        <f t="shared" si="10"/>
        <v>2.7202233312394852E-2</v>
      </c>
      <c r="J12">
        <f t="shared" si="10"/>
        <v>6.353472386933938E-2</v>
      </c>
      <c r="K12">
        <f t="shared" si="10"/>
        <v>0.11645804381116799</v>
      </c>
      <c r="L12">
        <f t="shared" si="10"/>
        <v>0.18095515934768125</v>
      </c>
      <c r="M12">
        <f t="shared" si="10"/>
        <v>0.24986289509627735</v>
      </c>
      <c r="N12">
        <f t="shared" si="10"/>
        <v>0.31684712009148386</v>
      </c>
      <c r="O12">
        <f t="shared" si="10"/>
        <v>0.37790896780581168</v>
      </c>
      <c r="P12">
        <f t="shared" si="10"/>
        <v>0.43131654869002595</v>
      </c>
      <c r="Q12">
        <f t="shared" si="10"/>
        <v>0.47685774970324679</v>
      </c>
      <c r="R12">
        <f t="shared" si="10"/>
        <v>0.51511158348200725</v>
      </c>
      <c r="S12">
        <f t="shared" si="10"/>
        <v>0.54696630548549252</v>
      </c>
      <c r="T12">
        <f t="shared" si="10"/>
        <v>0.57336103234536195</v>
      </c>
      <c r="U12">
        <f t="shared" si="10"/>
        <v>0.59516901792818033</v>
      </c>
      <c r="V12">
        <f t="shared" si="10"/>
        <v>0.61315626381104826</v>
      </c>
      <c r="W12">
        <f t="shared" si="10"/>
        <v>0.62797552265483481</v>
      </c>
      <c r="X12">
        <f t="shared" si="10"/>
        <v>0.64017486974364946</v>
      </c>
      <c r="Y12">
        <f t="shared" si="10"/>
        <v>0.65021097950938689</v>
      </c>
      <c r="Z12">
        <f t="shared" si="10"/>
        <v>0.65846283538841022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1.3816368180741874</v>
      </c>
      <c r="C14">
        <v>0.8444896071347866</v>
      </c>
      <c r="F14" t="s">
        <v>25</v>
      </c>
      <c r="G14">
        <f>1</f>
        <v>1</v>
      </c>
      <c r="H14">
        <f t="shared" ref="H14:Y14" si="11">G14*EXP(-m-SUMPRODUCT(G$6:G$7,$B$6:$B$7))</f>
        <v>0.6754141358458744</v>
      </c>
      <c r="I14">
        <f t="shared" si="11"/>
        <v>0.43346500529647364</v>
      </c>
      <c r="J14">
        <f t="shared" si="11"/>
        <v>0.26110116567561953</v>
      </c>
      <c r="K14">
        <f t="shared" si="11"/>
        <v>0.14711568793987759</v>
      </c>
      <c r="L14">
        <f t="shared" si="11"/>
        <v>7.8072228833090659E-2</v>
      </c>
      <c r="M14">
        <f t="shared" si="11"/>
        <v>3.952687329081235E-2</v>
      </c>
      <c r="N14">
        <f t="shared" si="11"/>
        <v>1.9350455815859202E-2</v>
      </c>
      <c r="O14">
        <f t="shared" si="11"/>
        <v>9.2624868971723263E-3</v>
      </c>
      <c r="P14">
        <f t="shared" si="11"/>
        <v>4.3703364433799992E-3</v>
      </c>
      <c r="Q14">
        <f t="shared" si="11"/>
        <v>2.0436859528798887E-3</v>
      </c>
      <c r="R14">
        <f t="shared" si="11"/>
        <v>9.5046704692276752E-4</v>
      </c>
      <c r="S14">
        <f t="shared" si="11"/>
        <v>4.4057779919259263E-4</v>
      </c>
      <c r="T14">
        <f t="shared" si="11"/>
        <v>2.0381854334273618E-4</v>
      </c>
      <c r="U14">
        <f t="shared" si="11"/>
        <v>9.417730548161852E-5</v>
      </c>
      <c r="V14">
        <f t="shared" si="11"/>
        <v>4.3484860300607356E-5</v>
      </c>
      <c r="W14">
        <f t="shared" si="11"/>
        <v>2.006982703089515E-5</v>
      </c>
      <c r="X14">
        <f t="shared" si="11"/>
        <v>9.2605641276244046E-6</v>
      </c>
      <c r="Y14">
        <f t="shared" si="11"/>
        <v>4.2723238143855592E-6</v>
      </c>
      <c r="Z14">
        <f>Y14*EXP(-m-SUMPRODUCT(Y$6:Y$7,$B$6:$B$7))/(1-EXP(-m-SUMPRODUCT(B$6:B$7,Z6:Z7)))</f>
        <v>3.6583503611808731E-6</v>
      </c>
    </row>
    <row r="15" spans="1:26">
      <c r="B15">
        <f>EXP(B14)</f>
        <v>3.9814131459535096</v>
      </c>
      <c r="F15" t="s">
        <v>26</v>
      </c>
      <c r="G15">
        <f>1</f>
        <v>1</v>
      </c>
      <c r="H15">
        <f t="shared" ref="H15:Y15" si="12">G15*EXP(-m-SUMPRODUCT(G$6:G$7,$C$6:$C$7))</f>
        <v>0.67541272687586196</v>
      </c>
      <c r="I15">
        <f t="shared" si="12"/>
        <v>0.4334626305555907</v>
      </c>
      <c r="J15">
        <f t="shared" si="12"/>
        <v>0.26109842973575331</v>
      </c>
      <c r="K15">
        <f t="shared" si="12"/>
        <v>0.14711317433016233</v>
      </c>
      <c r="L15">
        <f t="shared" si="12"/>
        <v>7.8070277051767195E-2</v>
      </c>
      <c r="M15">
        <f t="shared" si="12"/>
        <v>3.9525536990024056E-2</v>
      </c>
      <c r="N15">
        <f t="shared" si="12"/>
        <v>1.9349620701507791E-2</v>
      </c>
      <c r="O15">
        <f t="shared" si="12"/>
        <v>9.261997722708231E-3</v>
      </c>
      <c r="P15">
        <f t="shared" si="12"/>
        <v>4.3700627204522917E-3</v>
      </c>
      <c r="Q15">
        <f t="shared" si="12"/>
        <v>2.0435377076317832E-3</v>
      </c>
      <c r="R15">
        <f t="shared" si="12"/>
        <v>9.5038864350866588E-4</v>
      </c>
      <c r="S15">
        <f t="shared" si="12"/>
        <v>4.4053706171418651E-4</v>
      </c>
      <c r="T15">
        <f t="shared" si="12"/>
        <v>2.0379766211806177E-4</v>
      </c>
      <c r="U15">
        <f t="shared" si="12"/>
        <v>9.4166715952797312E-5</v>
      </c>
      <c r="V15">
        <f t="shared" si="12"/>
        <v>4.3479536103794253E-5</v>
      </c>
      <c r="W15">
        <f t="shared" si="12"/>
        <v>2.0067169084435021E-5</v>
      </c>
      <c r="X15">
        <f t="shared" si="12"/>
        <v>9.2592451205866046E-6</v>
      </c>
      <c r="Y15">
        <f t="shared" si="12"/>
        <v>4.2716725808220643E-6</v>
      </c>
      <c r="Z15">
        <f>Y15*EXP(-m-SUMPRODUCT(Y$6:Y$7,$C$6:$C$7))/(1-EXP(-m-SUMPRODUCT(C$6:C$7,Z6:Z7)))</f>
        <v>3.6577248206965499E-6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0.67541554481882626</v>
      </c>
      <c r="I16">
        <f t="shared" si="13"/>
        <v>0.43346738005036695</v>
      </c>
      <c r="J16">
        <f t="shared" si="13"/>
        <v>0.26110390164415453</v>
      </c>
      <c r="K16">
        <f t="shared" si="13"/>
        <v>0.14711820159254094</v>
      </c>
      <c r="L16">
        <f t="shared" si="13"/>
        <v>7.8074180663209258E-2</v>
      </c>
      <c r="M16">
        <f t="shared" si="13"/>
        <v>3.9528209636779034E-2</v>
      </c>
      <c r="N16">
        <f t="shared" si="13"/>
        <v>1.9351290966253494E-2</v>
      </c>
      <c r="O16">
        <f t="shared" si="13"/>
        <v>9.2629760974722846E-3</v>
      </c>
      <c r="P16">
        <f t="shared" si="13"/>
        <v>4.3706101834525982E-3</v>
      </c>
      <c r="Q16">
        <f t="shared" si="13"/>
        <v>2.0438342088822154E-3</v>
      </c>
      <c r="R16">
        <f t="shared" si="13"/>
        <v>9.5054545680485036E-4</v>
      </c>
      <c r="S16">
        <f t="shared" si="13"/>
        <v>4.4061854043808777E-4</v>
      </c>
      <c r="T16">
        <f t="shared" si="13"/>
        <v>2.0383942670691295E-4</v>
      </c>
      <c r="U16">
        <f t="shared" si="13"/>
        <v>9.4187896201286479E-5</v>
      </c>
      <c r="V16">
        <f t="shared" si="13"/>
        <v>4.3490185149384023E-5</v>
      </c>
      <c r="W16">
        <f t="shared" si="13"/>
        <v>2.0072485329406916E-5</v>
      </c>
      <c r="X16">
        <f t="shared" si="13"/>
        <v>9.2618833225586949E-6</v>
      </c>
      <c r="Y16">
        <f t="shared" si="13"/>
        <v>4.2729751472322193E-6</v>
      </c>
      <c r="Z16">
        <f>Y16*EXP(-m-SUMPRODUCT(Y$6:Y$7,$D$6:$D$7))/(1-EXP(-m-SUMPRODUCT(D$6:D$7,Z6:Z7)))</f>
        <v>3.6589760092260559E-6</v>
      </c>
    </row>
    <row r="17" spans="1:26">
      <c r="A17" t="s">
        <v>51</v>
      </c>
      <c r="B17">
        <f>ro*(reck-phie/phif)/(reck-1)</f>
        <v>0.61237028099451762</v>
      </c>
      <c r="F17" s="3" t="s">
        <v>31</v>
      </c>
      <c r="G17" s="3">
        <f>(G14-G15)/dh</f>
        <v>0</v>
      </c>
      <c r="H17" s="3">
        <f t="shared" ref="H17:Z17" si="14">(H15-H14)/dh</f>
        <v>-0.14089700124397808</v>
      </c>
      <c r="I17" s="3">
        <f t="shared" si="14"/>
        <v>-0.23747408829377645</v>
      </c>
      <c r="J17" s="3">
        <f t="shared" si="14"/>
        <v>-0.27359398662163414</v>
      </c>
      <c r="K17" s="3">
        <f t="shared" si="14"/>
        <v>-0.25136097152600456</v>
      </c>
      <c r="L17" s="3">
        <f t="shared" si="14"/>
        <v>-0.19517813234642964</v>
      </c>
      <c r="M17" s="3">
        <f t="shared" si="14"/>
        <v>-0.13363007882946643</v>
      </c>
      <c r="N17" s="3">
        <f t="shared" si="14"/>
        <v>-8.3511435141139789E-2</v>
      </c>
      <c r="O17" s="3">
        <f t="shared" si="14"/>
        <v>-4.8917446409529879E-2</v>
      </c>
      <c r="P17" s="3">
        <f t="shared" si="14"/>
        <v>-2.7372292770756753E-2</v>
      </c>
      <c r="Q17" s="3">
        <f t="shared" si="14"/>
        <v>-1.4824524810540597E-2</v>
      </c>
      <c r="R17" s="3">
        <f t="shared" si="14"/>
        <v>-7.8403414101638723E-3</v>
      </c>
      <c r="S17" s="3">
        <f t="shared" si="14"/>
        <v>-4.0737478406121901E-3</v>
      </c>
      <c r="T17" s="3">
        <f t="shared" si="14"/>
        <v>-2.0881224674411608E-3</v>
      </c>
      <c r="U17" s="3">
        <f t="shared" si="14"/>
        <v>-1.0589528821208262E-3</v>
      </c>
      <c r="V17" s="3">
        <f t="shared" si="14"/>
        <v>-5.3241968131032143E-4</v>
      </c>
      <c r="W17" s="3">
        <f t="shared" si="14"/>
        <v>-2.6579464601291674E-4</v>
      </c>
      <c r="X17" s="3">
        <f t="shared" si="14"/>
        <v>-1.3190070378000222E-4</v>
      </c>
      <c r="Y17" s="3">
        <f>(Y15-Y14)/dh</f>
        <v>-6.5123356349488376E-5</v>
      </c>
      <c r="Z17" s="3">
        <f t="shared" si="14"/>
        <v>-6.25540484323216E-5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-0.14089714821400112</v>
      </c>
      <c r="I18">
        <f t="shared" si="15"/>
        <v>-0.23747473881199366</v>
      </c>
      <c r="J18">
        <f t="shared" si="15"/>
        <v>-0.27359542005578957</v>
      </c>
      <c r="K18">
        <f t="shared" si="15"/>
        <v>-0.25136311891751223</v>
      </c>
      <c r="L18">
        <f t="shared" si="15"/>
        <v>-0.19518057208272666</v>
      </c>
      <c r="M18">
        <f t="shared" si="15"/>
        <v>-0.13363233772318039</v>
      </c>
      <c r="N18">
        <f t="shared" si="15"/>
        <v>-8.3513237259038808E-2</v>
      </c>
      <c r="O18">
        <f t="shared" si="15"/>
        <v>-4.8918738179810038E-2</v>
      </c>
      <c r="P18">
        <f t="shared" si="15"/>
        <v>-2.7373149997365221E-2</v>
      </c>
      <c r="Q18">
        <f t="shared" si="15"/>
        <v>-1.4825062508578377E-2</v>
      </c>
      <c r="R18">
        <f t="shared" si="15"/>
        <v>-7.8406648003124975E-3</v>
      </c>
      <c r="S18">
        <f t="shared" si="15"/>
        <v>-4.0739361892505408E-3</v>
      </c>
      <c r="T18">
        <f t="shared" si="15"/>
        <v>-2.0882294389039579E-3</v>
      </c>
      <c r="U18">
        <f t="shared" si="15"/>
        <v>-1.0590124222256104E-3</v>
      </c>
      <c r="V18">
        <f t="shared" si="15"/>
        <v>-5.3245227815751286E-4</v>
      </c>
      <c r="W18">
        <f t="shared" si="15"/>
        <v>-2.6581224781731618E-4</v>
      </c>
      <c r="X18">
        <f t="shared" si="15"/>
        <v>-1.3191009815838217E-4</v>
      </c>
      <c r="Y18">
        <f t="shared" si="15"/>
        <v>-6.5128320255440823E-5</v>
      </c>
      <c r="Z18">
        <f>(Y18-Y14*Y6)*Y$9/oa-Y14*Y$9*Z6*sa/oa^2</f>
        <v>-6.2559426165095992E-5</v>
      </c>
    </row>
    <row r="19" spans="1:26">
      <c r="A19" t="s">
        <v>38</v>
      </c>
      <c r="B19">
        <f>SUMPRODUCT(lz,fa)</f>
        <v>0.10157603069331961</v>
      </c>
      <c r="F19" t="s">
        <v>34</v>
      </c>
      <c r="G19">
        <v>0</v>
      </c>
      <c r="H19">
        <f t="shared" ref="H19:X19" si="16">G19*EXP(-G8) - G14*G7*EXP(-G8)</f>
        <v>-0.12321277751790116</v>
      </c>
      <c r="I19">
        <f t="shared" si="16"/>
        <v>-0.19565177528152033</v>
      </c>
      <c r="J19">
        <f t="shared" si="16"/>
        <v>-0.21642874424613756</v>
      </c>
      <c r="K19">
        <f t="shared" si="16"/>
        <v>-0.19550315783839936</v>
      </c>
      <c r="L19">
        <f t="shared" si="16"/>
        <v>-0.15234756668113719</v>
      </c>
      <c r="M19">
        <f t="shared" si="16"/>
        <v>-0.10602789379153479</v>
      </c>
      <c r="N19">
        <f t="shared" si="16"/>
        <v>-6.7726595355507208E-2</v>
      </c>
      <c r="O19">
        <f t="shared" si="16"/>
        <v>-4.0577075533940951E-2</v>
      </c>
      <c r="P19">
        <f t="shared" si="16"/>
        <v>-2.3184367795644031E-2</v>
      </c>
      <c r="Q19">
        <f t="shared" si="16"/>
        <v>-1.2788391468703935E-2</v>
      </c>
      <c r="R19">
        <f t="shared" si="16"/>
        <v>-6.8701666632643267E-3</v>
      </c>
      <c r="S19">
        <f t="shared" si="16"/>
        <v>-3.6172382723465603E-3</v>
      </c>
      <c r="T19">
        <f t="shared" si="16"/>
        <v>-1.8749731777555228E-3</v>
      </c>
      <c r="U19">
        <f t="shared" si="16"/>
        <v>-9.5990546259795532E-4</v>
      </c>
      <c r="V19">
        <f t="shared" si="16"/>
        <v>-4.8652882240506756E-4</v>
      </c>
      <c r="W19">
        <f t="shared" si="16"/>
        <v>-2.4457075223470595E-4</v>
      </c>
      <c r="X19">
        <f t="shared" si="16"/>
        <v>-1.2209582298225324E-4</v>
      </c>
      <c r="Y19">
        <f>X19*EXP(-X8) - X14*X7*EXP(-X8)</f>
        <v>-6.0596845736487943E-5</v>
      </c>
      <c r="Z19">
        <f>Y19*EXP(-Y8)/(1-EXP(-za))-Y14*Y7*EXP(-Y8)/(1-EXP(-za))-Y14*EXP(-Y8)*Z7*EXP(-za)/(1-EXP(-za))^2</f>
        <v>-5.8676217550089053E-5</v>
      </c>
    </row>
    <row r="20" spans="1:26">
      <c r="A20" t="s">
        <v>49</v>
      </c>
      <c r="B20">
        <f>B6*dlam</f>
        <v>0.31600873255847395</v>
      </c>
      <c r="C20">
        <f>B7*dlam</f>
        <v>0.20700147866315785</v>
      </c>
      <c r="D20">
        <f>AVERAGE(f)</f>
        <v>0.26150510561081591</v>
      </c>
      <c r="F20" s="4" t="s">
        <v>58</v>
      </c>
      <c r="G20" s="4">
        <v>0</v>
      </c>
      <c r="H20" s="4">
        <f t="shared" ref="H20:Y20" si="17">G20*EXP(-G$8)+G$14*G6^2*EXP(-G$8)</f>
        <v>2.9392346593362258E-2</v>
      </c>
      <c r="I20" s="4">
        <f t="shared" si="17"/>
        <v>6.8749179237617808E-2</v>
      </c>
      <c r="J20" s="4">
        <f t="shared" si="17"/>
        <v>0.10668691777593145</v>
      </c>
      <c r="K20" s="4">
        <f t="shared" si="17"/>
        <v>0.12434258223051373</v>
      </c>
      <c r="L20" s="4">
        <f t="shared" si="17"/>
        <v>0.11488353462864495</v>
      </c>
      <c r="M20" s="4">
        <f t="shared" si="17"/>
        <v>8.8829006918229453E-2</v>
      </c>
      <c r="N20" s="4">
        <f t="shared" si="17"/>
        <v>6.0404176756556918E-2</v>
      </c>
      <c r="O20" s="4">
        <f t="shared" si="17"/>
        <v>3.7549060662434353E-2</v>
      </c>
      <c r="P20" s="4">
        <f t="shared" si="17"/>
        <v>2.1931381910517515E-2</v>
      </c>
      <c r="Q20" s="4">
        <f t="shared" si="17"/>
        <v>1.2261484996046866E-2</v>
      </c>
      <c r="R20" s="4">
        <f t="shared" si="17"/>
        <v>6.6438644194173396E-3</v>
      </c>
      <c r="S20" s="4">
        <f t="shared" si="17"/>
        <v>3.5180867866789335E-3</v>
      </c>
      <c r="T20" s="4">
        <f t="shared" si="17"/>
        <v>1.8308256266502776E-3</v>
      </c>
      <c r="U20" s="4">
        <f t="shared" si="17"/>
        <v>9.4001381395588052E-4</v>
      </c>
      <c r="V20" s="4">
        <f t="shared" si="17"/>
        <v>4.7749200163896413E-4</v>
      </c>
      <c r="W20" s="4">
        <f t="shared" si="17"/>
        <v>2.4044264798905166E-4</v>
      </c>
      <c r="X20" s="4">
        <f t="shared" si="17"/>
        <v>1.2020330877299525E-4</v>
      </c>
      <c r="Y20" s="4">
        <f t="shared" si="17"/>
        <v>5.9727246364319976E-5</v>
      </c>
      <c r="Z20" s="4">
        <f>Y20*EXP(-Y$8)/oa+2*Y$14*(Y6)*Y$9*sa/oa^2 + 2*Y$14*Y$9*Z6^2*sa^2/oa^3 +Y$14*Y$9*Z6^2*sa/oa^2</f>
        <v>6.5905082146793206E-5</v>
      </c>
    </row>
    <row r="21" spans="1:26">
      <c r="A21" t="s">
        <v>48</v>
      </c>
      <c r="B21">
        <f>SUMPRODUCT(fa,G18:Z18)</f>
        <v>-0.29898092641572127</v>
      </c>
      <c r="C21">
        <f>SUMPRODUCT(fa,G19:Z19)</f>
        <v>-0.24000362645381776</v>
      </c>
      <c r="F21" s="4" t="s">
        <v>59</v>
      </c>
      <c r="G21" s="4">
        <v>0</v>
      </c>
      <c r="H21" s="4">
        <f t="shared" ref="H21:Y21" si="18">G21*EXP(-G$8)+G$14*G7^2*EXP(-G$8)</f>
        <v>2.2477155478339166E-2</v>
      </c>
      <c r="I21" s="4">
        <f t="shared" si="18"/>
        <v>4.5777614961034371E-2</v>
      </c>
      <c r="J21" s="4">
        <f t="shared" si="18"/>
        <v>6.4791083605168623E-2</v>
      </c>
      <c r="K21" s="4">
        <f t="shared" si="18"/>
        <v>7.3285020348338531E-2</v>
      </c>
      <c r="L21" s="4">
        <f t="shared" si="18"/>
        <v>6.9140854502583268E-2</v>
      </c>
      <c r="M21" s="4">
        <f t="shared" si="18"/>
        <v>5.6130048700552104E-2</v>
      </c>
      <c r="N21" s="4">
        <f t="shared" si="18"/>
        <v>4.0412958786624528E-2</v>
      </c>
      <c r="O21" s="4">
        <f t="shared" si="18"/>
        <v>2.6530349463376204E-2</v>
      </c>
      <c r="P21" s="4">
        <f t="shared" si="18"/>
        <v>1.6250298045562165E-2</v>
      </c>
      <c r="Q21" s="4">
        <f t="shared" si="18"/>
        <v>9.4535084979078809E-3</v>
      </c>
      <c r="R21" s="4">
        <f t="shared" si="18"/>
        <v>5.2921526265026367E-3</v>
      </c>
      <c r="S21" s="4">
        <f t="shared" si="18"/>
        <v>2.8779866648658043E-3</v>
      </c>
      <c r="T21" s="4">
        <f t="shared" si="18"/>
        <v>1.5307684743799147E-3</v>
      </c>
      <c r="U21" s="4">
        <f t="shared" si="18"/>
        <v>8.0023460560907345E-4</v>
      </c>
      <c r="V21" s="4">
        <f t="shared" si="18"/>
        <v>4.1262709614521277E-4</v>
      </c>
      <c r="W21" s="4">
        <f t="shared" si="18"/>
        <v>2.1041294515780713E-4</v>
      </c>
      <c r="X21" s="4">
        <f t="shared" si="18"/>
        <v>1.063209411071053E-4</v>
      </c>
      <c r="Y21" s="4">
        <f t="shared" si="18"/>
        <v>5.3315279010866826E-5</v>
      </c>
      <c r="Z21" s="4">
        <f>Y21*EXP(-Y$8)/oa+2*Y$14*(Y7)*Y$9*sa/oa^2 + 2*Y$14*Y$9*Z7^2*sa^2/oa^3 +Y$14*Y$9*Z7^2*sa/oa^2</f>
        <v>6.0405763841989953E-5</v>
      </c>
    </row>
    <row r="22" spans="1:26">
      <c r="A22" t="s">
        <v>64</v>
      </c>
      <c r="B22">
        <f>SUMPRODUCT(fa,G20:Z20)</f>
        <v>0.19491660222897819</v>
      </c>
      <c r="C22">
        <f>SUMPRODUCT(fa,G21:Z21)</f>
        <v>0.12820883986782139</v>
      </c>
      <c r="F22" t="s">
        <v>44</v>
      </c>
      <c r="G22">
        <f t="shared" ref="G22:Z22" si="19">G11*G18+lz*wa*G6/za*(EXP(-za)-(1-EXP(-za))/za)</f>
        <v>-4.803346568223282E-4</v>
      </c>
      <c r="H22">
        <f t="shared" si="19"/>
        <v>-4.4547714020084549E-3</v>
      </c>
      <c r="I22">
        <f t="shared" si="19"/>
        <v>-1.5706238719349466E-2</v>
      </c>
      <c r="J22">
        <f t="shared" si="19"/>
        <v>-3.2890529015509665E-2</v>
      </c>
      <c r="K22">
        <f t="shared" si="19"/>
        <v>-4.6966671826882925E-2</v>
      </c>
      <c r="L22">
        <f t="shared" si="19"/>
        <v>-5.0105634100610953E-2</v>
      </c>
      <c r="M22">
        <f t="shared" si="19"/>
        <v>-4.316760525627493E-2</v>
      </c>
      <c r="N22">
        <f t="shared" si="19"/>
        <v>-3.1958825438835492E-2</v>
      </c>
      <c r="O22">
        <f t="shared" si="19"/>
        <v>-2.1273644338690438E-2</v>
      </c>
      <c r="P22">
        <f t="shared" si="19"/>
        <v>-1.3136050584651875E-2</v>
      </c>
      <c r="Q22">
        <f t="shared" si="19"/>
        <v>-7.6843800107294861E-3</v>
      </c>
      <c r="R22">
        <f t="shared" si="19"/>
        <v>-4.3197314469434894E-3</v>
      </c>
      <c r="S22">
        <f t="shared" si="19"/>
        <v>-2.3563910937848117E-3</v>
      </c>
      <c r="T22">
        <f t="shared" si="19"/>
        <v>-1.2558856094210581E-3</v>
      </c>
      <c r="U22">
        <f t="shared" si="19"/>
        <v>-6.5719827763587502E-4</v>
      </c>
      <c r="V22">
        <f t="shared" si="19"/>
        <v>-3.388865738298764E-4</v>
      </c>
      <c r="W22">
        <f t="shared" si="19"/>
        <v>-1.7266486542305421E-4</v>
      </c>
      <c r="X22">
        <f t="shared" si="19"/>
        <v>-8.7106699919414814E-5</v>
      </c>
      <c r="Y22">
        <f t="shared" si="19"/>
        <v>-4.3581836617521139E-5</v>
      </c>
      <c r="Z22">
        <f t="shared" si="19"/>
        <v>-4.2257370346130301E-5</v>
      </c>
    </row>
    <row r="23" spans="1:26">
      <c r="A23" t="s">
        <v>41</v>
      </c>
      <c r="B23">
        <f>SUMPRODUCT(lz*G11:Z11)</f>
        <v>0.10966171934829808</v>
      </c>
      <c r="C23">
        <f>SUMPRODUCT(lz*G12:Z12)</f>
        <v>8.9117697501004567E-2</v>
      </c>
      <c r="F23" t="s">
        <v>45</v>
      </c>
      <c r="G23">
        <f t="shared" ref="G23:Z23" si="20">G12*G19+lz*wa*G7/za*(EXP(-za)-(1-EXP(-za))/za)</f>
        <v>-4.2004659395445315E-4</v>
      </c>
      <c r="H23">
        <f t="shared" si="20"/>
        <v>-3.3939510383936464E-3</v>
      </c>
      <c r="I23">
        <f t="shared" si="20"/>
        <v>-1.0721809729041333E-2</v>
      </c>
      <c r="J23">
        <f t="shared" si="20"/>
        <v>-2.125647587096097E-2</v>
      </c>
      <c r="K23">
        <f t="shared" si="20"/>
        <v>-3.0435722322918191E-2</v>
      </c>
      <c r="L23">
        <f t="shared" si="20"/>
        <v>-3.3836652547973356E-2</v>
      </c>
      <c r="M23">
        <f t="shared" si="20"/>
        <v>-3.0847666817873626E-2</v>
      </c>
      <c r="N23">
        <f t="shared" si="20"/>
        <v>-2.4151483841788671E-2</v>
      </c>
      <c r="O23">
        <f t="shared" si="20"/>
        <v>-1.6867558253345606E-2</v>
      </c>
      <c r="P23">
        <f t="shared" si="20"/>
        <v>-1.0824038193543278E-2</v>
      </c>
      <c r="Q23">
        <f t="shared" si="20"/>
        <v>-6.5239436461694521E-3</v>
      </c>
      <c r="R23">
        <f t="shared" si="20"/>
        <v>-3.7526359736147702E-3</v>
      </c>
      <c r="S23">
        <f t="shared" si="20"/>
        <v>-2.0836690627496256E-3</v>
      </c>
      <c r="T23">
        <f t="shared" si="20"/>
        <v>-1.1260224177409065E-3</v>
      </c>
      <c r="U23">
        <f t="shared" si="20"/>
        <v>-5.9575756644428767E-4</v>
      </c>
      <c r="V23">
        <f t="shared" si="20"/>
        <v>-3.0994860336852804E-4</v>
      </c>
      <c r="W23">
        <f t="shared" si="20"/>
        <v>-1.5908177001395377E-4</v>
      </c>
      <c r="X23">
        <f t="shared" si="20"/>
        <v>-8.0748439959086734E-5</v>
      </c>
      <c r="Y23">
        <f t="shared" si="20"/>
        <v>-4.0612346315586536E-5</v>
      </c>
      <c r="Z23">
        <f t="shared" si="20"/>
        <v>-3.9686756313112045E-5</v>
      </c>
    </row>
    <row r="24" spans="1:26">
      <c r="A24" t="s">
        <v>43</v>
      </c>
      <c r="B24">
        <f>SUM(G22:Z22)</f>
        <v>-0.27709838912428725</v>
      </c>
      <c r="C24">
        <f>SUM(G23:Z23)</f>
        <v>-0.1974675117924824</v>
      </c>
      <c r="F24" s="4" t="s">
        <v>62</v>
      </c>
      <c r="G24" s="4">
        <f t="shared" ref="G24:Z24" si="21">G20*G11+2*G18*wa*G6^2*sa/za - 2*G18*wa*G6^2*oa/za^2-lz*wa*G6^3*sa/za -2*lz*wa*G6^3*sa/za^2+2*lz*wa*G6^3*oa/za^3</f>
        <v>1.3468099705356046E-5</v>
      </c>
      <c r="H24" s="4">
        <f t="shared" si="21"/>
        <v>9.4999766386057519E-4</v>
      </c>
      <c r="I24" s="4">
        <f t="shared" si="21"/>
        <v>7.534340313362347E-3</v>
      </c>
      <c r="J24" s="4">
        <f t="shared" si="21"/>
        <v>2.5436919063797213E-2</v>
      </c>
      <c r="K24" s="4">
        <f t="shared" si="21"/>
        <v>4.862194549884806E-2</v>
      </c>
      <c r="L24" s="4">
        <f t="shared" si="21"/>
        <v>6.1983275360766234E-2</v>
      </c>
      <c r="M24" s="4">
        <f t="shared" si="21"/>
        <v>5.9597290752232926E-2</v>
      </c>
      <c r="N24" s="4">
        <f t="shared" si="21"/>
        <v>4.7296995918223866E-2</v>
      </c>
      <c r="O24" s="4">
        <f t="shared" si="21"/>
        <v>3.2956069447659012E-2</v>
      </c>
      <c r="P24" s="4">
        <f t="shared" si="21"/>
        <v>2.0999580160048617E-2</v>
      </c>
      <c r="Q24" s="4">
        <f t="shared" si="21"/>
        <v>1.2565163081947578E-2</v>
      </c>
      <c r="R24" s="4">
        <f t="shared" si="21"/>
        <v>7.1839009493983265E-3</v>
      </c>
      <c r="S24" s="4">
        <f t="shared" si="21"/>
        <v>3.9704705030152677E-3</v>
      </c>
      <c r="T24" s="4">
        <f t="shared" si="21"/>
        <v>2.1383787668026702E-3</v>
      </c>
      <c r="U24" s="4">
        <f t="shared" si="21"/>
        <v>1.1286003497354706E-3</v>
      </c>
      <c r="V24" s="4">
        <f t="shared" si="21"/>
        <v>5.8612255601179521E-4</v>
      </c>
      <c r="W24" s="4">
        <f t="shared" si="21"/>
        <v>3.0043772195498952E-4</v>
      </c>
      <c r="X24" s="4">
        <f t="shared" si="21"/>
        <v>1.5235161654571469E-4</v>
      </c>
      <c r="Y24" s="4">
        <f t="shared" si="21"/>
        <v>7.6568337387021833E-5</v>
      </c>
      <c r="Z24" s="4">
        <f t="shared" si="21"/>
        <v>8.0007682976661142E-5</v>
      </c>
    </row>
    <row r="25" spans="1:26">
      <c r="A25" t="s">
        <v>56</v>
      </c>
      <c r="B25">
        <f>SUM(G24:Z24)</f>
        <v>0.3335718838442796</v>
      </c>
      <c r="C25">
        <f>SUM(G25:Z25)</f>
        <v>0.19900849171250393</v>
      </c>
      <c r="F25" s="4" t="s">
        <v>63</v>
      </c>
      <c r="G25" s="4">
        <f t="shared" ref="G25:Z25" si="22">G21*G12+2*G19*wa*G7^2*sa/za - 2*G19*wa*G7^2*oa/za^2-lz*wa*G7^3*sa/za -2*lz*wa*G7^3*sa/za^2+2*lz*wa*G7^3*oa/za^3</f>
        <v>9.0067261272727185E-6</v>
      </c>
      <c r="H25" s="4">
        <f t="shared" si="22"/>
        <v>5.2682357967537632E-4</v>
      </c>
      <c r="I25" s="4">
        <f t="shared" si="22"/>
        <v>3.5762806643189655E-3</v>
      </c>
      <c r="J25" s="4">
        <f t="shared" si="22"/>
        <v>1.1527032729544289E-2</v>
      </c>
      <c r="K25" s="4">
        <f t="shared" si="22"/>
        <v>2.3092011208935191E-2</v>
      </c>
      <c r="L25" s="4">
        <f t="shared" si="22"/>
        <v>3.2497857329301286E-2</v>
      </c>
      <c r="M25" s="4">
        <f t="shared" si="22"/>
        <v>3.4947711883645226E-2</v>
      </c>
      <c r="N25" s="4">
        <f t="shared" si="22"/>
        <v>3.0708773853194184E-2</v>
      </c>
      <c r="O25" s="4">
        <f t="shared" si="22"/>
        <v>2.3255362761605516E-2</v>
      </c>
      <c r="P25" s="4">
        <f t="shared" si="22"/>
        <v>1.5804875579915771E-2</v>
      </c>
      <c r="Q25" s="4">
        <f t="shared" si="22"/>
        <v>9.929002659903886E-3</v>
      </c>
      <c r="R25" s="4">
        <f t="shared" si="22"/>
        <v>5.8884811909763555E-3</v>
      </c>
      <c r="S25" s="4">
        <f t="shared" si="22"/>
        <v>3.3459495536365316E-3</v>
      </c>
      <c r="T25" s="4">
        <f t="shared" si="22"/>
        <v>1.8407425804416908E-3</v>
      </c>
      <c r="U25" s="4">
        <f t="shared" si="22"/>
        <v>9.8777100996752434E-4</v>
      </c>
      <c r="V25" s="4">
        <f t="shared" si="22"/>
        <v>5.1980872602653638E-4</v>
      </c>
      <c r="W25" s="4">
        <f t="shared" si="22"/>
        <v>2.6932090505495598E-4</v>
      </c>
      <c r="X25" s="4">
        <f t="shared" si="22"/>
        <v>1.377902850621608E-4</v>
      </c>
      <c r="Y25" s="4">
        <f t="shared" si="22"/>
        <v>6.9769517163041682E-5</v>
      </c>
      <c r="Z25" s="4">
        <f t="shared" si="22"/>
        <v>7.4118968008162422E-5</v>
      </c>
    </row>
    <row r="26" spans="1:26">
      <c r="A26" t="s">
        <v>46</v>
      </c>
      <c r="B26">
        <f>ro/(reck-1)*phie/phif^2*dphif</f>
        <v>-1.4085407328635207</v>
      </c>
      <c r="C26">
        <f>ro/(reck-1)*phie/phif^2*dphif</f>
        <v>-1.1306904689468753</v>
      </c>
      <c r="G26">
        <f>G20*G11+2*G18*wa*G6^2*sa/za-2*G18*wa*G6^2*oa/za^2-lz*wa*G6^3*sa/za-2*lz*wa*G6^3*sa/za^2+2*lz*wa*G6^3*oa/za^3</f>
        <v>1.3468099705356046E-5</v>
      </c>
    </row>
    <row r="27" spans="1:26">
      <c r="A27" t="s">
        <v>57</v>
      </c>
      <c r="B27">
        <f>-2*ro*phie*dphif^2/(phif^3*(reck-1)) + ro*phie*ddphif/(phif^2*(reck-1))</f>
        <v>-7.3735748723014414</v>
      </c>
      <c r="C27">
        <f>-2*ro*phie*dphif^2/(phif^3*(reck-1)) + ro*phie*ddphif/(phif^2*(reck-1))</f>
        <v>-4.7391763288188828</v>
      </c>
      <c r="Y27">
        <f>(Y15-2*Y14+Y16)/dh^2</f>
        <v>9.9283165273333983E-4</v>
      </c>
      <c r="Z27">
        <f>(Z15-2*Z14+Z16)/dh^2</f>
        <v>1.075608595483971E-3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2.1221117036309991E-2</v>
      </c>
      <c r="C29">
        <f>f*re*phiq</f>
        <v>1.1296697793404914E-2</v>
      </c>
      <c r="D29">
        <f>SUM(Ye)</f>
        <v>3.2517814829714907E-2</v>
      </c>
      <c r="F29">
        <v>0</v>
      </c>
      <c r="G29">
        <f>B29</f>
        <v>2.1221117036309991E-2</v>
      </c>
      <c r="H29">
        <f>B30</f>
        <v>-3.5280594921485137E-2</v>
      </c>
    </row>
    <row r="30" spans="1:26">
      <c r="A30" t="s">
        <v>53</v>
      </c>
      <c r="B30">
        <f>re*phiq+f*phiq*dre+f*re*dphiq</f>
        <v>-3.5280594921485137E-2</v>
      </c>
      <c r="C30">
        <f>re*phiq+f*phiq*dre+f*re*dphiq</f>
        <v>8.683333918198026E-3</v>
      </c>
      <c r="D30">
        <f>SUM(dYe)</f>
        <v>-2.6597261003287111E-2</v>
      </c>
      <c r="F30">
        <v>0.2</v>
      </c>
      <c r="G30">
        <f t="dataTable" ref="G30:H56" dt2D="0" dtr="0" r1="B6"/>
        <v>2.1186431419228338E-2</v>
      </c>
      <c r="H30">
        <v>-2.1668241332298228E-2</v>
      </c>
      <c r="Z30" s="4">
        <f>Y30*EXP(-Y$8)/oa+Y$14*(Y16)^2*Y$9/oa + 2*Y$14*Y16*Y$9*Z16*sa/oa^2 + 2*Y$14*Y$9*Z16^2*sa/oa^3 + Y$14*Y$9*Z16^2*sa/oa^2</f>
        <v>3.6237406798567357E-16</v>
      </c>
    </row>
    <row r="31" spans="1:26">
      <c r="A31" t="s">
        <v>72</v>
      </c>
      <c r="B31">
        <f>ak*SUMPRODUCT(f*re,phiq)</f>
        <v>1.3007125931885964E-2</v>
      </c>
      <c r="C31">
        <f>ak*SUMPRODUCT(f*re,phiq)</f>
        <v>1.9510688897828945E-2</v>
      </c>
      <c r="F31">
        <v>0.20499999999999999</v>
      </c>
      <c r="G31">
        <v>2.1228427590956916E-2</v>
      </c>
      <c r="H31">
        <v>-2.4187287549611934E-2</v>
      </c>
    </row>
    <row r="32" spans="1:26">
      <c r="A32" t="s">
        <v>73</v>
      </c>
      <c r="B32">
        <f>ak*(B30+C20*dre*phiq+C20*re*dphiq)</f>
        <v>-4.0952034535335774E-2</v>
      </c>
      <c r="C32">
        <f>ak*(C30+B20*dre*phiq+B20*re*dphiq)</f>
        <v>-3.6823161787048607E-2</v>
      </c>
      <c r="F32">
        <v>0.21</v>
      </c>
      <c r="G32">
        <v>2.1254817487265681E-2</v>
      </c>
      <c r="H32">
        <v>-2.6640410062579958E-2</v>
      </c>
    </row>
    <row r="33" spans="1:8">
      <c r="A33" t="s">
        <v>52</v>
      </c>
      <c r="F33">
        <v>0.215</v>
      </c>
      <c r="G33">
        <v>2.1265968662032435E-2</v>
      </c>
      <c r="H33">
        <v>-2.9030080264444265E-2</v>
      </c>
    </row>
    <row r="34" spans="1:8">
      <c r="B34">
        <f>re*phiq+f*phiq*dre+f*re*dphiq</f>
        <v>-3.5280594921485137E-2</v>
      </c>
      <c r="C34">
        <f>f*phiq*B26+f*re*B24</f>
        <v>-6.1109470669771612E-2</v>
      </c>
      <c r="F34">
        <v>0.22</v>
      </c>
      <c r="G34">
        <v>2.1262235258749571E-2</v>
      </c>
      <c r="H34">
        <v>-3.1358672235036252E-2</v>
      </c>
    </row>
    <row r="35" spans="1:8">
      <c r="B35">
        <f>f*phiq*C26+f*re*C24</f>
        <v>-7.739581486204905E-2</v>
      </c>
      <c r="C35">
        <f>re*phiq+f*phiq*dre+f*re*dphiq</f>
        <v>8.683333918198026E-3</v>
      </c>
      <c r="F35">
        <v>0.22500000000000001</v>
      </c>
      <c r="G35">
        <v>2.1243958525760959E-2</v>
      </c>
      <c r="H35">
        <v>-3.3628467122645604E-2</v>
      </c>
    </row>
    <row r="36" spans="1:8">
      <c r="A36" t="s">
        <v>10</v>
      </c>
      <c r="B36">
        <f t="array" ref="B36:C37">-MINVERSE(B34:C35)</f>
        <v>1.7242622805023196</v>
      </c>
      <c r="C36">
        <v>12.13459671711165</v>
      </c>
      <c r="F36">
        <v>0.23</v>
      </c>
      <c r="G36">
        <v>2.1211467308656844E-2</v>
      </c>
      <c r="H36">
        <v>-3.5841657306198815E-2</v>
      </c>
    </row>
    <row r="37" spans="1:8">
      <c r="B37">
        <v>15.368599836486057</v>
      </c>
      <c r="C37">
        <v>-7.0057191891824244</v>
      </c>
      <c r="F37">
        <v>0.23499999999999999</v>
      </c>
      <c r="G37">
        <v>2.1165078520958072E-2</v>
      </c>
      <c r="H37">
        <v>-3.8000350349932981E-2</v>
      </c>
    </row>
    <row r="38" spans="1:8">
      <c r="F38">
        <v>0.24</v>
      </c>
      <c r="G38">
        <v>2.1105097594157966E-2</v>
      </c>
      <c r="H38">
        <v>-4.0106572762013751E-2</v>
      </c>
    </row>
    <row r="39" spans="1:8">
      <c r="A39" t="s">
        <v>11</v>
      </c>
      <c r="B39">
        <f t="array" ref="B39:C39">MMULT(B30:C30,B36:C37)</f>
        <v>7.2617685178573504E-2</v>
      </c>
      <c r="C39">
        <v>-0.48894879036879801</v>
      </c>
      <c r="F39">
        <v>0.245</v>
      </c>
      <c r="G39">
        <v>2.1031818908133063E-2</v>
      </c>
      <c r="H39">
        <v>-4.2162273567848872E-2</v>
      </c>
    </row>
    <row r="40" spans="1:8">
      <c r="A40" t="s">
        <v>54</v>
      </c>
      <c r="B40">
        <f>f+delta</f>
        <v>0.38862641773704742</v>
      </c>
      <c r="C40">
        <f>f+delta</f>
        <v>-0.28194731170564014</v>
      </c>
      <c r="F40">
        <v>0.25</v>
      </c>
      <c r="G40">
        <v>2.0945526202877828E-2</v>
      </c>
      <c r="H40">
        <v>-4.4169327708206398E-2</v>
      </c>
    </row>
    <row r="41" spans="1:8">
      <c r="F41">
        <v>0.255</v>
      </c>
      <c r="G41">
        <v>2.0846492972467667E-2</v>
      </c>
      <c r="H41">
        <v>-4.6129539271640062E-2</v>
      </c>
    </row>
    <row r="42" spans="1:8">
      <c r="A42" t="s">
        <v>9</v>
      </c>
      <c r="B42">
        <f>2*dre*phiq+2*re*dphiq+f*ddre*phiq+2*f*dre*dphiq+f*re*ddphiq</f>
        <v>-0.59259382113356807</v>
      </c>
      <c r="C42">
        <f>f*B27*phiq+2*f*B26*B24+f*re*B25</f>
        <v>6.7847266147257543E-2</v>
      </c>
      <c r="D42">
        <f>B42+C43</f>
        <v>-1.0057323030669749</v>
      </c>
      <c r="F42">
        <v>0.26</v>
      </c>
      <c r="G42">
        <v>2.0734982842105766E-2</v>
      </c>
      <c r="H42">
        <v>-4.804464457015957E-2</v>
      </c>
    </row>
    <row r="43" spans="1:8">
      <c r="B43">
        <f>f*C27*phiq+2*f*C26*C24+f*re*C25</f>
        <v>1.5392762767690985E-2</v>
      </c>
      <c r="C43">
        <f>2*dre*phiq+2*re*dphiq+f*ddre*phiq+2*f*dre*dphiq+f*re*ddphiq</f>
        <v>-0.41313848193340691</v>
      </c>
      <c r="F43">
        <v>0.26500000000000001</v>
      </c>
      <c r="G43">
        <v>2.0611249929063526E-2</v>
      </c>
      <c r="H43">
        <v>-4.9916315066555951E-2</v>
      </c>
    </row>
    <row r="44" spans="1:8">
      <c r="A44" t="s">
        <v>10</v>
      </c>
      <c r="B44">
        <f t="array" ref="B44:C45">-MINVERSE(B42:C43)</f>
        <v>1.6947257907579583</v>
      </c>
      <c r="C44">
        <v>0.27831469785646962</v>
      </c>
      <c r="F44">
        <v>0.27</v>
      </c>
      <c r="G44">
        <v>2.0475539188281523E-2</v>
      </c>
      <c r="H44">
        <v>-5.174616016129617E-2</v>
      </c>
    </row>
    <row r="45" spans="1:8">
      <c r="B45">
        <v>6.3142295366301907E-2</v>
      </c>
      <c r="C45">
        <v>2.4308653781633081</v>
      </c>
      <c r="F45">
        <v>0.27500000000000002</v>
      </c>
      <c r="G45">
        <v>2.032808674335719E-2</v>
      </c>
      <c r="H45">
        <v>-5.3535729846440373E-2</v>
      </c>
    </row>
    <row r="46" spans="1:8">
      <c r="F46">
        <v>0.28000000000000003</v>
      </c>
      <c r="G46">
        <v>2.0169120203607609E-2</v>
      </c>
      <c r="H46">
        <v>-5.5286517233599917E-2</v>
      </c>
    </row>
    <row r="47" spans="1:8">
      <c r="A47" t="s">
        <v>65</v>
      </c>
      <c r="B47">
        <f t="array" ref="B47:C47">MMULT(B30:C30,B44:C45)</f>
        <v>-5.9242648491698018E-2</v>
      </c>
      <c r="C47">
        <v>1.1288907673009092E-2</v>
      </c>
      <c r="D47">
        <f>D30/D42</f>
        <v>2.6445666428510761E-2</v>
      </c>
      <c r="F47">
        <v>0.28499999999999998</v>
      </c>
      <c r="G47">
        <v>1.9998858967859655E-2</v>
      </c>
      <c r="H47">
        <v>-5.6999960962547981E-2</v>
      </c>
    </row>
    <row r="48" spans="1:8">
      <c r="A48" s="5" t="s">
        <v>54</v>
      </c>
      <c r="B48" s="5">
        <f>(f+dta)</f>
        <v>0.25676608406677592</v>
      </c>
      <c r="C48" s="5">
        <f>(f+dta)</f>
        <v>0.21829038633616693</v>
      </c>
      <c r="D48" s="5">
        <f>B6-D47</f>
        <v>0.20227488330245752</v>
      </c>
      <c r="F48">
        <v>0.28999999999999998</v>
      </c>
      <c r="G48">
        <v>1.9817514515585593E-2</v>
      </c>
      <c r="H48">
        <v>-5.8677447496718285E-2</v>
      </c>
    </row>
    <row r="49" spans="6:8">
      <c r="F49">
        <v>0.29499999999999998</v>
      </c>
      <c r="G49">
        <v>1.9625290685970992E-2</v>
      </c>
      <c r="H49">
        <v>-6.0320313311463605E-2</v>
      </c>
    </row>
    <row r="50" spans="6:8">
      <c r="F50">
        <v>0.29999999999999899</v>
      </c>
      <c r="G50">
        <v>1.9422383945470887E-2</v>
      </c>
      <c r="H50">
        <v>-6.1929846980618403E-2</v>
      </c>
    </row>
    <row r="51" spans="6:8">
      <c r="F51">
        <v>0.30499999999999999</v>
      </c>
      <c r="G51">
        <v>1.9208983644381811E-2</v>
      </c>
      <c r="H51">
        <v>-6.3507291166594287E-2</v>
      </c>
    </row>
    <row r="52" spans="6:8">
      <c r="F52">
        <v>0.309999999999999</v>
      </c>
      <c r="G52">
        <v>1.8985272262931931E-2</v>
      </c>
      <c r="H52">
        <v>-6.5053844518933604E-2</v>
      </c>
    </row>
    <row r="53" spans="6:8">
      <c r="F53">
        <v>0.314999999999999</v>
      </c>
      <c r="G53">
        <v>1.8751425647362624E-2</v>
      </c>
      <c r="H53">
        <v>-6.6570663485992498E-2</v>
      </c>
    </row>
    <row r="54" spans="6:8">
      <c r="F54">
        <v>0.31999999999999901</v>
      </c>
      <c r="G54">
        <v>1.8507613236455871E-2</v>
      </c>
      <c r="H54">
        <v>-6.8058864044134526E-2</v>
      </c>
    </row>
    <row r="55" spans="6:8">
      <c r="F55">
        <v>0.32499999999999901</v>
      </c>
      <c r="G55">
        <v>1.8253998278934373E-2</v>
      </c>
      <c r="H55">
        <v>-6.9519523348600759E-2</v>
      </c>
    </row>
    <row r="56" spans="6:8">
      <c r="F56">
        <v>0.32999999999999902</v>
      </c>
      <c r="G56">
        <v>1.799073804214342E-2</v>
      </c>
      <c r="H56">
        <v>-7.0953681309974079E-2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B1" sqref="B1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0.4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0.30166048000000001</v>
      </c>
      <c r="G5">
        <f t="shared" si="0"/>
        <v>0.33395359999999996</v>
      </c>
      <c r="H5">
        <f t="shared" si="0"/>
        <v>0.54099600000000003</v>
      </c>
      <c r="I5">
        <f t="shared" si="0"/>
        <v>1.0383600000000002</v>
      </c>
      <c r="J5">
        <f t="shared" si="0"/>
        <v>0.99771999999999994</v>
      </c>
      <c r="K5">
        <f t="shared" si="0"/>
        <v>0.84367999999999999</v>
      </c>
      <c r="L5">
        <f t="shared" si="0"/>
        <v>0.84367999999999999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0.73958912756731154</v>
      </c>
      <c r="G6">
        <f t="shared" si="1"/>
        <v>0.7160870078935333</v>
      </c>
      <c r="H6">
        <f t="shared" si="1"/>
        <v>0.58216812406648033</v>
      </c>
      <c r="I6">
        <f t="shared" si="1"/>
        <v>0.35403482322300017</v>
      </c>
      <c r="J6">
        <f t="shared" si="1"/>
        <v>0.36871916321667725</v>
      </c>
      <c r="K6">
        <f t="shared" si="1"/>
        <v>0.43012474831866354</v>
      </c>
      <c r="L6">
        <f t="shared" si="1"/>
        <v>0.43012474831866354</v>
      </c>
    </row>
    <row r="7" spans="1:22">
      <c r="A7" t="s">
        <v>91</v>
      </c>
      <c r="B7" s="2">
        <f>fe+dh</f>
        <v>0.40001000000000003</v>
      </c>
      <c r="E7" t="s">
        <v>61</v>
      </c>
      <c r="F7">
        <f t="shared" ref="F7:L7" si="2">1-sa</f>
        <v>0.26041087243268846</v>
      </c>
      <c r="G7">
        <f t="shared" si="2"/>
        <v>0.2839129921064667</v>
      </c>
      <c r="H7">
        <f t="shared" si="2"/>
        <v>0.41783187593351967</v>
      </c>
      <c r="I7">
        <f t="shared" si="2"/>
        <v>0.64596517677699983</v>
      </c>
      <c r="J7">
        <f t="shared" si="2"/>
        <v>0.6312808367833227</v>
      </c>
      <c r="K7">
        <f t="shared" si="2"/>
        <v>0.56987525168133646</v>
      </c>
      <c r="L7">
        <f t="shared" si="2"/>
        <v>0.56987525168133646</v>
      </c>
    </row>
    <row r="8" spans="1:22">
      <c r="A8" t="s">
        <v>92</v>
      </c>
      <c r="B8">
        <f>fe-dh</f>
        <v>0.39999000000000001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0.73958912756731154</v>
      </c>
      <c r="G9">
        <f>F9*F6*EXP(-za*zf)</f>
        <v>0.39169392020134913</v>
      </c>
      <c r="H9">
        <f>G9*G6*EXP(-za*zf)</f>
        <v>0.16329054830717299</v>
      </c>
      <c r="I9">
        <f>H9*H6*EXP(-za*zf)</f>
        <v>3.3655453858217686E-2</v>
      </c>
      <c r="J9">
        <f>I9*I6*EXP(-za*zf)</f>
        <v>4.3933635533139909E-3</v>
      </c>
      <c r="K9">
        <f>J9*J6*EXP(-za*zf)</f>
        <v>6.9676653519004672E-4</v>
      </c>
      <c r="L9">
        <f>K9*K6*EXP(-za*zf)/(1-EXP(-za*(1+zf)))</f>
        <v>1.5816938562795437E-4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0.73958912756731154</v>
      </c>
      <c r="G10">
        <f>F10*EXP(-(m+feh*F4)-zf*(m+feh*va))</f>
        <v>0.39169357145603911</v>
      </c>
      <c r="H10">
        <f>G10*EXP(-(m+feh*G4)-zf*(m+feh*va))</f>
        <v>0.16328928050925487</v>
      </c>
      <c r="I10">
        <f>H10*EXP(-(m+feh*H4)-zf*(m+feh*va))</f>
        <v>3.3654368554910434E-2</v>
      </c>
      <c r="J10">
        <f>I10*EXP(-(m+feh*I4)-zf*(m+feh*va))</f>
        <v>4.3930641558250633E-3</v>
      </c>
      <c r="K10">
        <f>J10*EXP(-(m+feh*J4)-zf*(m+feh*va))</f>
        <v>6.9669742983399156E-4</v>
      </c>
      <c r="L10">
        <f>K10*EXP(-(m+feh*K4)-zf*(m+feh*va))/(1-EXP(-(m+feh*K4)-zf*(m+feh*va)))</f>
        <v>1.5814842328015408E-4</v>
      </c>
    </row>
    <row r="11" spans="1:22">
      <c r="A11" t="s">
        <v>38</v>
      </c>
      <c r="B11">
        <f>SUMPRODUCT(lz,fa)</f>
        <v>0.6542350520999165</v>
      </c>
      <c r="E11" t="s">
        <v>26</v>
      </c>
      <c r="F11">
        <f>1*EXP(-za*zf)</f>
        <v>0.73958912756731154</v>
      </c>
      <c r="G11">
        <f>F11*EXP(-(m+fem*F4)-zf*(m+fem*va))</f>
        <v>0.39169426894696963</v>
      </c>
      <c r="H11">
        <f>G11*EXP(-(m+fem*G4)-zf*(m+fem*va))</f>
        <v>0.16329181611493448</v>
      </c>
      <c r="I11">
        <f>H11*EXP(-(m+fem*H4)-zf*(m+fem*va))</f>
        <v>3.3656539196524365E-2</v>
      </c>
      <c r="J11">
        <f>I11*EXP(-(m+fem*I4)-zf*(m+fem*va))</f>
        <v>4.3936629712075514E-3</v>
      </c>
      <c r="K11">
        <f>J11*EXP(-(m+fem*J4)-zf*(m+fem*va))</f>
        <v>6.968356474006559E-4</v>
      </c>
      <c r="L11">
        <f>K11*EXP(-(m+fem*K4)-zf*(m+fem*va))/(1-EXP(-(m+fem*K4)-zf*(m+fem*va)))</f>
        <v>1.5819035078684424E-4</v>
      </c>
    </row>
    <row r="12" spans="1:22">
      <c r="A12" t="s">
        <v>51</v>
      </c>
      <c r="B12">
        <f>ro*(kappa-phie/phif)/(kappa-1)</f>
        <v>2980.029924756494</v>
      </c>
      <c r="E12" t="s">
        <v>79</v>
      </c>
      <c r="F12">
        <f t="shared" ref="F12:L12" si="3">(F10-F9)/dh</f>
        <v>0</v>
      </c>
      <c r="G12">
        <f t="shared" si="3"/>
        <v>-3.4874531001927167E-2</v>
      </c>
      <c r="H12">
        <f t="shared" si="3"/>
        <v>-0.12677979181197063</v>
      </c>
      <c r="I12">
        <f t="shared" si="3"/>
        <v>-0.10853033072522054</v>
      </c>
      <c r="J12">
        <f t="shared" si="3"/>
        <v>-2.9939748892766901E-2</v>
      </c>
      <c r="K12">
        <f t="shared" si="3"/>
        <v>-6.9105356055153963E-3</v>
      </c>
      <c r="L12">
        <f t="shared" si="3"/>
        <v>-2.0962347800287939E-3</v>
      </c>
    </row>
    <row r="13" spans="1:22">
      <c r="A13" t="s">
        <v>41</v>
      </c>
      <c r="B13">
        <f>SUMPRODUCT(lz,qa)</f>
        <v>0.26380905008660777</v>
      </c>
      <c r="E13" t="s">
        <v>78</v>
      </c>
      <c r="F13">
        <f>0</f>
        <v>0</v>
      </c>
      <c r="G13">
        <f>F13*F6*EXP(-zf*za)+F9*(-F4-zf*G4)*EXP(-F5-zf*G5)</f>
        <v>-3.4874546523911157E-2</v>
      </c>
      <c r="H13">
        <f>G13*G6*EXP(-zf*za)+G9*(-G4-zf*H4)*EXP(-G5-zf*H5)</f>
        <v>-0.12678028397873353</v>
      </c>
      <c r="I13">
        <f>H13*H6*EXP(-zf*za)+H9*(-H4-zf*I4)*EXP(-H5-zf*I5)</f>
        <v>-0.1085320806776173</v>
      </c>
      <c r="J13">
        <f>I13*I6*EXP(-zf*za)+I9*(-I4-zf*J4)*EXP(-I5-zf*J5)</f>
        <v>-2.9940769101144002E-2</v>
      </c>
      <c r="K13">
        <f>J13*J6*EXP(-zf*za)+J9*(-J4-zf*K4)*EXP(-J5-zf*K5)</f>
        <v>-6.9108783218692496E-3</v>
      </c>
      <c r="L13">
        <f>K13*K6*EXP(-zf*za)/(1-EXP(-za-zf*za))+K9*(-K4-zf*L4)*EXP(-K5-zf*za)/(1-EXP(-za-zf*za))  + K9*EXP(-K5-zf*za)*(-L4-zf*L4)*EXP(-za-zf*za)/(1-EXP(-za-zf*za))^2</f>
        <v>-2.0963753281322936E-3</v>
      </c>
    </row>
    <row r="14" spans="1:22">
      <c r="E14" t="s">
        <v>93</v>
      </c>
      <c r="F14">
        <v>0</v>
      </c>
      <c r="G14">
        <f>F14*F6+F9*F4^2*F6</f>
        <v>9.4260198854993641E-6</v>
      </c>
      <c r="H14">
        <f t="shared" ref="H14:L14" si="4">G14*G6+G9*G4^2*G6</f>
        <v>2.0277404723394554E-3</v>
      </c>
      <c r="I14">
        <f t="shared" si="4"/>
        <v>3.5687640957015029E-2</v>
      </c>
      <c r="J14">
        <f t="shared" si="4"/>
        <v>5.3233895421921938E-2</v>
      </c>
      <c r="K14">
        <f t="shared" si="4"/>
        <v>2.4557089487625812E-2</v>
      </c>
      <c r="L14">
        <f t="shared" si="4"/>
        <v>1.111627869043009E-2</v>
      </c>
    </row>
    <row r="15" spans="1:22">
      <c r="A15" t="s">
        <v>48</v>
      </c>
      <c r="B15">
        <f>SUMPRODUCT(dlz,fa)</f>
        <v>-0.53165232960459019</v>
      </c>
      <c r="E15" t="s">
        <v>94</v>
      </c>
      <c r="F15">
        <f t="shared" ref="F15:L15" si="5">(F10-2*F9+F11)/dh^2</f>
        <v>0</v>
      </c>
      <c r="G15">
        <f t="shared" si="5"/>
        <v>3.1047386883642498E-3</v>
      </c>
      <c r="H15">
        <f t="shared" si="5"/>
        <v>9.8433761142047146E-2</v>
      </c>
      <c r="I15">
        <f t="shared" si="5"/>
        <v>0.34999426967718955</v>
      </c>
      <c r="J15">
        <f t="shared" si="5"/>
        <v>0.20404632844472911</v>
      </c>
      <c r="K15">
        <f t="shared" si="5"/>
        <v>6.8545540337500141E-2</v>
      </c>
      <c r="L15">
        <f t="shared" si="5"/>
        <v>2.8110895772606722E-2</v>
      </c>
    </row>
    <row r="16" spans="1:22">
      <c r="A16" t="s">
        <v>43</v>
      </c>
      <c r="B16">
        <f>SUM(dqa)</f>
        <v>-0.55841451664336661</v>
      </c>
      <c r="E16" t="s">
        <v>39</v>
      </c>
      <c r="F16">
        <f t="shared" ref="F16:L16" si="6">wa*va/za*oa</f>
        <v>3.6269183380191247E-3</v>
      </c>
      <c r="G16">
        <f t="shared" si="6"/>
        <v>0.10000587887287199</v>
      </c>
      <c r="H16">
        <f t="shared" si="6"/>
        <v>0.80268742089829914</v>
      </c>
      <c r="I16">
        <f t="shared" si="6"/>
        <v>2.3166548937844946</v>
      </c>
      <c r="J16">
        <f t="shared" si="6"/>
        <v>2.4952637800042492</v>
      </c>
      <c r="K16">
        <f t="shared" si="6"/>
        <v>2.2574922904934054</v>
      </c>
      <c r="L16">
        <f t="shared" si="6"/>
        <v>2.4027341792876054</v>
      </c>
    </row>
    <row r="17" spans="1:12">
      <c r="A17" t="s">
        <v>46</v>
      </c>
      <c r="B17">
        <f>ro*phie*dphif/(phif^2*(kappa-1))</f>
        <v>-1023.3775352790319</v>
      </c>
      <c r="E17" t="s">
        <v>80</v>
      </c>
      <c r="F17">
        <f t="shared" ref="F17:L17" si="7">wa*oa*va/za*dlz+lz*wa*va^p*sa/za - lz*wa*va^p*oa/za^2</f>
        <v>-5.2881506786343045E-6</v>
      </c>
      <c r="G17">
        <f t="shared" si="7"/>
        <v>-5.0578219144214939E-3</v>
      </c>
      <c r="H17">
        <f t="shared" si="7"/>
        <v>-0.13770658453316434</v>
      </c>
      <c r="I17">
        <f t="shared" si="7"/>
        <v>-0.31115669441095828</v>
      </c>
      <c r="J17">
        <f t="shared" si="7"/>
        <v>-8.2707044075783623E-2</v>
      </c>
      <c r="K17">
        <f t="shared" si="7"/>
        <v>-1.6521669583537523E-2</v>
      </c>
      <c r="L17">
        <f t="shared" si="7"/>
        <v>-5.2594139748226082E-3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314.46354547187036</v>
      </c>
    </row>
    <row r="21" spans="1:12">
      <c r="A21" t="s">
        <v>82</v>
      </c>
      <c r="B21">
        <f>re*phiq+fe*re*dphiq+fe*phiq*dre</f>
        <v>12.531573488635388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314.46354547187036</v>
      </c>
      <c r="F28">
        <f>dye</f>
        <v>12.531573488635388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 t="shared" ref="H10:K10" si="5">G10*EXP(-G5)</f>
        <v>0.53912542268178343</v>
      </c>
      <c r="I10" s="9">
        <f t="shared" si="5"/>
        <v>0.35405428151159346</v>
      </c>
      <c r="J10" s="9">
        <f t="shared" si="5"/>
        <v>0.18132123532095651</v>
      </c>
      <c r="K10" s="9">
        <f t="shared" si="5"/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6">lw*EXP(-zf*(m+feh*va))</f>
        <v>1</v>
      </c>
      <c r="G12">
        <f t="shared" si="6"/>
        <v>0.74020341901396258</v>
      </c>
      <c r="H12">
        <f t="shared" si="6"/>
        <v>0.53912542268178343</v>
      </c>
      <c r="I12">
        <f t="shared" si="6"/>
        <v>0.35405428151159346</v>
      </c>
      <c r="J12">
        <f t="shared" si="6"/>
        <v>0.18132123532095651</v>
      </c>
      <c r="K12">
        <f t="shared" si="6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7">lw*EXP(-zf*(m+fem*va))</f>
        <v>1</v>
      </c>
      <c r="G13">
        <f t="shared" si="7"/>
        <v>0.74020341901396258</v>
      </c>
      <c r="H13">
        <f t="shared" si="7"/>
        <v>0.53912542268178343</v>
      </c>
      <c r="I13">
        <f t="shared" si="7"/>
        <v>0.35405428151159346</v>
      </c>
      <c r="J13">
        <f t="shared" si="7"/>
        <v>0.18132123532095651</v>
      </c>
      <c r="K13">
        <f t="shared" si="7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8">(F12-F9)/dh</f>
        <v>0</v>
      </c>
      <c r="G14">
        <f t="shared" si="8"/>
        <v>0</v>
      </c>
      <c r="H14">
        <f t="shared" si="8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9">-lw*zf*va*EXP(-zf*za)</f>
        <v>0</v>
      </c>
      <c r="G15">
        <f t="shared" si="9"/>
        <v>0</v>
      </c>
      <c r="H15">
        <f t="shared" si="9"/>
        <v>0</v>
      </c>
      <c r="I15">
        <f t="shared" si="9"/>
        <v>0</v>
      </c>
      <c r="J15">
        <f t="shared" si="9"/>
        <v>0</v>
      </c>
      <c r="K15">
        <f t="shared" si="9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10">lw*zf^2*va^2*EXP(-zf*za)</f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1">(F12-2*F9+F13)/dh^2</f>
        <v>0</v>
      </c>
      <c r="G18">
        <f t="shared" si="11"/>
        <v>0</v>
      </c>
      <c r="H18">
        <f t="shared" si="11"/>
        <v>0</v>
      </c>
      <c r="I18">
        <f t="shared" si="11"/>
        <v>0</v>
      </c>
      <c r="J18">
        <f t="shared" si="11"/>
        <v>0</v>
      </c>
      <c r="K18">
        <f t="shared" si="11"/>
        <v>0</v>
      </c>
      <c r="L18">
        <f t="shared" si="11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2">wa*va/za*oa</f>
        <v>3.6283487476186189E-3</v>
      </c>
      <c r="G19">
        <f t="shared" si="12"/>
        <v>0.10081203445292565</v>
      </c>
      <c r="H19">
        <f t="shared" si="12"/>
        <v>0.84844539941713915</v>
      </c>
      <c r="I19">
        <f t="shared" si="12"/>
        <v>2.7149561220514213</v>
      </c>
      <c r="J19">
        <f t="shared" si="12"/>
        <v>2.9013252761989192</v>
      </c>
      <c r="K19">
        <f t="shared" si="12"/>
        <v>2.5453762834160942</v>
      </c>
      <c r="L19">
        <f t="shared" si="12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3">wa*oa*va/za*dlw+lw*wa*va^p*sa/za - lw*wa*va^p*oa/za^2</f>
        <v>-7.1539768408972919E-6</v>
      </c>
      <c r="G20">
        <f t="shared" si="13"/>
        <v>-3.3098146608241501E-3</v>
      </c>
      <c r="H20">
        <f t="shared" si="13"/>
        <v>-0.16889262838834473</v>
      </c>
      <c r="I20">
        <f t="shared" si="13"/>
        <v>-1.4536848217316871</v>
      </c>
      <c r="J20">
        <f t="shared" si="13"/>
        <v>-1.7444087274615701</v>
      </c>
      <c r="K20">
        <f t="shared" si="13"/>
        <v>-1.1812070470506484</v>
      </c>
      <c r="L20">
        <f t="shared" si="13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4">F27*EXP(-zf*za)</f>
        <v>3172.3868084604778</v>
      </c>
      <c r="G24">
        <f t="shared" si="14"/>
        <v>2348.2115620572386</v>
      </c>
      <c r="H24">
        <f t="shared" si="14"/>
        <v>1710.3143790213689</v>
      </c>
      <c r="I24">
        <f t="shared" si="14"/>
        <v>1123.1971321463316</v>
      </c>
      <c r="J24">
        <f t="shared" si="14"/>
        <v>575.22109502596049</v>
      </c>
      <c r="K24">
        <f t="shared" si="14"/>
        <v>300.6342711533278</v>
      </c>
      <c r="L24">
        <f t="shared" si="14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5">ro*lx</f>
        <v>3598.1</v>
      </c>
      <c r="G25">
        <f t="shared" si="15"/>
        <v>2665.5380398348889</v>
      </c>
      <c r="H25">
        <f t="shared" si="15"/>
        <v>1974.6791478299162</v>
      </c>
      <c r="I25">
        <f t="shared" si="15"/>
        <v>1462.8782927126499</v>
      </c>
      <c r="J25">
        <f t="shared" si="15"/>
        <v>1083.7268938812945</v>
      </c>
      <c r="K25">
        <f t="shared" si="15"/>
        <v>802.84462923006527</v>
      </c>
      <c r="L25">
        <f t="shared" si="15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6">re*lw</f>
        <v>3172.3868084604778</v>
      </c>
      <c r="G27">
        <f t="shared" si="16"/>
        <v>2348.2115620572386</v>
      </c>
      <c r="H27">
        <f t="shared" si="16"/>
        <v>1710.3143790213689</v>
      </c>
      <c r="I27">
        <f t="shared" si="16"/>
        <v>1123.1971321463316</v>
      </c>
      <c r="J27">
        <f t="shared" si="16"/>
        <v>575.22109502596049</v>
      </c>
      <c r="K27">
        <f t="shared" si="16"/>
        <v>300.6342711533278</v>
      </c>
      <c r="L27">
        <f t="shared" si="16"/>
        <v>389.66306223879656</v>
      </c>
      <c r="M27">
        <f t="shared" ref="M27:M58" si="17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8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9">so*M27/(1+beta*M27)</f>
        <v>3172.3868084604774</v>
      </c>
      <c r="G28">
        <f t="shared" ref="G28:K37" si="20">F27*EXP(-m-fe*F$4)</f>
        <v>2348.2115620572386</v>
      </c>
      <c r="H28">
        <f t="shared" si="20"/>
        <v>1710.3143790213692</v>
      </c>
      <c r="I28">
        <f t="shared" si="20"/>
        <v>1123.1971321463313</v>
      </c>
      <c r="J28">
        <f t="shared" si="20"/>
        <v>575.22109502596049</v>
      </c>
      <c r="K28">
        <f t="shared" si="20"/>
        <v>300.6342711533278</v>
      </c>
      <c r="L28">
        <f t="shared" ref="L28:L59" si="21">K27*EXP(-m-fe*K$4)+L27*EXP(-m-fe*va)</f>
        <v>389.6630622387965</v>
      </c>
      <c r="M28">
        <f t="shared" si="17"/>
        <v>9820.4409396352912</v>
      </c>
    </row>
    <row r="29" spans="1:14">
      <c r="A29">
        <f t="shared" si="18"/>
        <v>0.05</v>
      </c>
      <c r="B29">
        <v>755.6449057978981</v>
      </c>
      <c r="C29">
        <v>11353.549980458565</v>
      </c>
      <c r="E29">
        <v>1902</v>
      </c>
      <c r="F29">
        <f t="shared" si="19"/>
        <v>3172.3868084604778</v>
      </c>
      <c r="G29">
        <f t="shared" si="20"/>
        <v>2348.2115620572381</v>
      </c>
      <c r="H29">
        <f t="shared" si="20"/>
        <v>1710.3143790213692</v>
      </c>
      <c r="I29">
        <f t="shared" si="20"/>
        <v>1123.1971321463316</v>
      </c>
      <c r="J29">
        <f t="shared" si="20"/>
        <v>575.22109502596038</v>
      </c>
      <c r="K29">
        <f t="shared" si="20"/>
        <v>300.6342711533278</v>
      </c>
      <c r="L29">
        <f t="shared" si="21"/>
        <v>389.66306223879644</v>
      </c>
      <c r="M29">
        <f t="shared" si="17"/>
        <v>9820.440939635293</v>
      </c>
    </row>
    <row r="30" spans="1:14">
      <c r="A30">
        <f t="shared" si="18"/>
        <v>7.5000000000000011E-2</v>
      </c>
      <c r="B30">
        <v>1005.7194147127842</v>
      </c>
      <c r="C30">
        <v>8782.5081389592469</v>
      </c>
      <c r="E30">
        <v>1903</v>
      </c>
      <c r="F30">
        <f t="shared" si="19"/>
        <v>3172.3868084604774</v>
      </c>
      <c r="G30">
        <f t="shared" si="20"/>
        <v>2348.2115620572386</v>
      </c>
      <c r="H30">
        <f t="shared" si="20"/>
        <v>1710.3143790213687</v>
      </c>
      <c r="I30">
        <f t="shared" si="20"/>
        <v>1123.1971321463316</v>
      </c>
      <c r="J30">
        <f t="shared" si="20"/>
        <v>575.22109502596049</v>
      </c>
      <c r="K30">
        <f t="shared" si="20"/>
        <v>300.63427115332775</v>
      </c>
      <c r="L30">
        <f t="shared" si="21"/>
        <v>389.66306223879644</v>
      </c>
      <c r="M30">
        <f t="shared" si="17"/>
        <v>9820.4409396352912</v>
      </c>
    </row>
    <row r="31" spans="1:14">
      <c r="A31">
        <f t="shared" si="18"/>
        <v>0.1</v>
      </c>
      <c r="B31">
        <v>1200.2172010005124</v>
      </c>
      <c r="C31">
        <v>6868.4260126604886</v>
      </c>
      <c r="E31">
        <v>1904</v>
      </c>
      <c r="F31">
        <f t="shared" si="19"/>
        <v>3172.3868084604778</v>
      </c>
      <c r="G31">
        <f t="shared" si="20"/>
        <v>2348.2115620572381</v>
      </c>
      <c r="H31">
        <f t="shared" si="20"/>
        <v>1710.3143790213692</v>
      </c>
      <c r="I31">
        <f t="shared" si="20"/>
        <v>1123.1971321463313</v>
      </c>
      <c r="J31">
        <f t="shared" si="20"/>
        <v>575.22109502596049</v>
      </c>
      <c r="K31">
        <f t="shared" si="20"/>
        <v>300.6342711533278</v>
      </c>
      <c r="L31">
        <f t="shared" si="21"/>
        <v>389.66306223879644</v>
      </c>
      <c r="M31">
        <f t="shared" si="17"/>
        <v>9820.4409396352912</v>
      </c>
    </row>
    <row r="32" spans="1:14">
      <c r="A32">
        <f t="shared" si="18"/>
        <v>0.125</v>
      </c>
      <c r="B32">
        <v>1353.000668268764</v>
      </c>
      <c r="C32">
        <v>5419.5810602899719</v>
      </c>
      <c r="E32">
        <v>1905</v>
      </c>
      <c r="F32">
        <f t="shared" si="19"/>
        <v>3172.3868084604778</v>
      </c>
      <c r="G32">
        <f t="shared" si="20"/>
        <v>2348.2115620572386</v>
      </c>
      <c r="H32">
        <f t="shared" si="20"/>
        <v>1710.3143790213687</v>
      </c>
      <c r="I32">
        <f t="shared" si="20"/>
        <v>1123.1971321463316</v>
      </c>
      <c r="J32">
        <f t="shared" si="20"/>
        <v>575.22109502596038</v>
      </c>
      <c r="K32">
        <f t="shared" si="20"/>
        <v>300.6342711533278</v>
      </c>
      <c r="L32">
        <f t="shared" si="21"/>
        <v>389.66306223879644</v>
      </c>
      <c r="M32">
        <f t="shared" si="17"/>
        <v>9820.440939635293</v>
      </c>
    </row>
    <row r="33" spans="1:13">
      <c r="A33">
        <f t="shared" si="18"/>
        <v>0.15</v>
      </c>
      <c r="B33">
        <v>1473.9914327471786</v>
      </c>
      <c r="C33">
        <v>4307.4560686730738</v>
      </c>
      <c r="E33">
        <v>1906</v>
      </c>
      <c r="F33">
        <f t="shared" si="19"/>
        <v>3172.3868084604774</v>
      </c>
      <c r="G33">
        <f t="shared" si="20"/>
        <v>2348.2115620572386</v>
      </c>
      <c r="H33">
        <f t="shared" si="20"/>
        <v>1710.3143790213692</v>
      </c>
      <c r="I33">
        <f t="shared" si="20"/>
        <v>1123.1971321463313</v>
      </c>
      <c r="J33">
        <f t="shared" si="20"/>
        <v>575.22109502596049</v>
      </c>
      <c r="K33">
        <f t="shared" si="20"/>
        <v>300.63427115332775</v>
      </c>
      <c r="L33">
        <f t="shared" si="21"/>
        <v>389.66306223879644</v>
      </c>
      <c r="M33">
        <f t="shared" si="17"/>
        <v>9820.4409396352912</v>
      </c>
    </row>
    <row r="34" spans="1:13">
      <c r="A34">
        <f t="shared" si="18"/>
        <v>0.17499999999999999</v>
      </c>
      <c r="B34">
        <v>1570.4347584946968</v>
      </c>
      <c r="C34">
        <v>3443.5368880623846</v>
      </c>
      <c r="E34">
        <v>1907</v>
      </c>
      <c r="F34">
        <f t="shared" si="19"/>
        <v>3172.3868084604778</v>
      </c>
      <c r="G34">
        <f t="shared" si="20"/>
        <v>2348.2115620572381</v>
      </c>
      <c r="H34">
        <f t="shared" si="20"/>
        <v>1710.3143790213692</v>
      </c>
      <c r="I34">
        <f t="shared" si="20"/>
        <v>1123.1971321463316</v>
      </c>
      <c r="J34">
        <f t="shared" si="20"/>
        <v>575.22109502596038</v>
      </c>
      <c r="K34">
        <f t="shared" si="20"/>
        <v>300.6342711533278</v>
      </c>
      <c r="L34">
        <f t="shared" si="21"/>
        <v>389.66306223879644</v>
      </c>
      <c r="M34">
        <f t="shared" si="17"/>
        <v>9820.440939635293</v>
      </c>
    </row>
    <row r="35" spans="1:13">
      <c r="A35">
        <f t="shared" si="18"/>
        <v>0.19999999999999998</v>
      </c>
      <c r="B35">
        <v>1647.7120860014015</v>
      </c>
      <c r="C35">
        <v>2765.4480532879102</v>
      </c>
      <c r="E35">
        <v>1908</v>
      </c>
      <c r="F35">
        <f t="shared" si="19"/>
        <v>3172.3868084604774</v>
      </c>
      <c r="G35">
        <f t="shared" si="20"/>
        <v>2348.2115620572386</v>
      </c>
      <c r="H35">
        <f t="shared" si="20"/>
        <v>1710.3143790213687</v>
      </c>
      <c r="I35">
        <f t="shared" si="20"/>
        <v>1123.1971321463316</v>
      </c>
      <c r="J35">
        <f t="shared" si="20"/>
        <v>575.22109502596049</v>
      </c>
      <c r="K35">
        <f t="shared" si="20"/>
        <v>300.63427115332775</v>
      </c>
      <c r="L35">
        <f t="shared" si="21"/>
        <v>389.66306223879644</v>
      </c>
      <c r="M35">
        <f t="shared" si="17"/>
        <v>9820.4409396352912</v>
      </c>
    </row>
    <row r="36" spans="1:13">
      <c r="A36">
        <f t="shared" si="18"/>
        <v>0.22499999999999998</v>
      </c>
      <c r="B36">
        <v>1709.8789227133198</v>
      </c>
      <c r="C36">
        <v>2228.3655954637543</v>
      </c>
      <c r="E36">
        <v>1909</v>
      </c>
      <c r="F36">
        <f t="shared" si="19"/>
        <v>3172.3868084604778</v>
      </c>
      <c r="G36">
        <f t="shared" si="20"/>
        <v>2348.2115620572381</v>
      </c>
      <c r="H36">
        <f t="shared" si="20"/>
        <v>1710.3143790213692</v>
      </c>
      <c r="I36">
        <f t="shared" si="20"/>
        <v>1123.1971321463313</v>
      </c>
      <c r="J36">
        <f t="shared" si="20"/>
        <v>575.22109502596049</v>
      </c>
      <c r="K36">
        <f t="shared" si="20"/>
        <v>300.6342711533278</v>
      </c>
      <c r="L36">
        <f t="shared" si="21"/>
        <v>389.66306223879644</v>
      </c>
      <c r="M36">
        <f t="shared" si="17"/>
        <v>9820.4409396352912</v>
      </c>
    </row>
    <row r="37" spans="1:13">
      <c r="A37">
        <f t="shared" si="18"/>
        <v>0.24999999999999997</v>
      </c>
      <c r="B37">
        <v>1760.0301177176359</v>
      </c>
      <c r="C37">
        <v>1799.5310080781653</v>
      </c>
      <c r="E37">
        <v>1910</v>
      </c>
      <c r="F37">
        <f t="shared" si="19"/>
        <v>3172.3868084604778</v>
      </c>
      <c r="G37">
        <f t="shared" si="20"/>
        <v>2348.2115620572386</v>
      </c>
      <c r="H37">
        <f t="shared" si="20"/>
        <v>1710.3143790213687</v>
      </c>
      <c r="I37">
        <f t="shared" si="20"/>
        <v>1123.1971321463316</v>
      </c>
      <c r="J37">
        <f t="shared" si="20"/>
        <v>575.22109502596038</v>
      </c>
      <c r="K37">
        <f t="shared" si="20"/>
        <v>300.6342711533278</v>
      </c>
      <c r="L37">
        <f t="shared" si="21"/>
        <v>389.66306223879644</v>
      </c>
      <c r="M37">
        <f t="shared" si="17"/>
        <v>9820.440939635293</v>
      </c>
    </row>
    <row r="38" spans="1:13">
      <c r="A38">
        <f t="shared" si="18"/>
        <v>0.27499999999999997</v>
      </c>
      <c r="B38">
        <v>1800.5534367390185</v>
      </c>
      <c r="C38">
        <v>1454.6506434738612</v>
      </c>
      <c r="E38">
        <v>1911</v>
      </c>
      <c r="F38">
        <f t="shared" si="19"/>
        <v>3172.3868084604774</v>
      </c>
      <c r="G38">
        <f t="shared" ref="G38:K47" si="22">F37*EXP(-m-fe*F$4)</f>
        <v>2348.2115620572386</v>
      </c>
      <c r="H38">
        <f t="shared" si="22"/>
        <v>1710.3143790213692</v>
      </c>
      <c r="I38">
        <f t="shared" si="22"/>
        <v>1123.1971321463313</v>
      </c>
      <c r="J38">
        <f t="shared" si="22"/>
        <v>575.22109502596049</v>
      </c>
      <c r="K38">
        <f t="shared" si="22"/>
        <v>300.63427115332775</v>
      </c>
      <c r="L38">
        <f t="shared" si="21"/>
        <v>389.66306223879644</v>
      </c>
      <c r="M38">
        <f t="shared" si="17"/>
        <v>9820.4409396352912</v>
      </c>
    </row>
    <row r="39" spans="1:13">
      <c r="A39">
        <f t="shared" si="18"/>
        <v>0.3</v>
      </c>
      <c r="B39">
        <v>1833.3089965255731</v>
      </c>
      <c r="C39">
        <v>1175.4761190843574</v>
      </c>
      <c r="E39">
        <v>1912</v>
      </c>
      <c r="F39">
        <f t="shared" si="19"/>
        <v>3172.3868084604778</v>
      </c>
      <c r="G39">
        <f t="shared" si="22"/>
        <v>2348.2115620572381</v>
      </c>
      <c r="H39">
        <f t="shared" si="22"/>
        <v>1710.3143790213692</v>
      </c>
      <c r="I39">
        <f t="shared" si="22"/>
        <v>1123.1971321463316</v>
      </c>
      <c r="J39">
        <f t="shared" si="22"/>
        <v>575.22109502596038</v>
      </c>
      <c r="K39">
        <f t="shared" si="22"/>
        <v>300.6342711533278</v>
      </c>
      <c r="L39">
        <f t="shared" si="21"/>
        <v>389.66306223879644</v>
      </c>
      <c r="M39">
        <f t="shared" si="17"/>
        <v>9820.440939635293</v>
      </c>
    </row>
    <row r="40" spans="1:13">
      <c r="A40">
        <f t="shared" si="18"/>
        <v>0.32500000000000001</v>
      </c>
      <c r="B40">
        <v>1859.7583796963302</v>
      </c>
      <c r="C40">
        <v>948.14423878949935</v>
      </c>
      <c r="E40">
        <v>1913</v>
      </c>
      <c r="F40">
        <f t="shared" si="19"/>
        <v>3172.3868084604774</v>
      </c>
      <c r="G40">
        <f t="shared" si="22"/>
        <v>2348.2115620572386</v>
      </c>
      <c r="H40">
        <f t="shared" si="22"/>
        <v>1710.3143790213687</v>
      </c>
      <c r="I40">
        <f t="shared" si="22"/>
        <v>1123.1971321463316</v>
      </c>
      <c r="J40">
        <f t="shared" si="22"/>
        <v>575.22109502596049</v>
      </c>
      <c r="K40">
        <f t="shared" si="22"/>
        <v>300.63427115332775</v>
      </c>
      <c r="L40">
        <f t="shared" si="21"/>
        <v>389.66306223879644</v>
      </c>
      <c r="M40">
        <f t="shared" si="17"/>
        <v>9820.4409396352912</v>
      </c>
    </row>
    <row r="41" spans="1:13">
      <c r="A41">
        <f t="shared" si="18"/>
        <v>0.35000000000000003</v>
      </c>
      <c r="B41">
        <v>1881.0589202404294</v>
      </c>
      <c r="C41">
        <v>762.01691673349933</v>
      </c>
      <c r="E41">
        <v>1914</v>
      </c>
      <c r="F41">
        <f t="shared" si="19"/>
        <v>3172.3868084604778</v>
      </c>
      <c r="G41">
        <f t="shared" si="22"/>
        <v>2348.2115620572381</v>
      </c>
      <c r="H41">
        <f t="shared" si="22"/>
        <v>1710.3143790213692</v>
      </c>
      <c r="I41">
        <f t="shared" si="22"/>
        <v>1123.1971321463313</v>
      </c>
      <c r="J41">
        <f t="shared" si="22"/>
        <v>575.22109502596049</v>
      </c>
      <c r="K41">
        <f t="shared" si="22"/>
        <v>300.6342711533278</v>
      </c>
      <c r="L41">
        <f t="shared" si="21"/>
        <v>389.66306223879644</v>
      </c>
      <c r="M41">
        <f t="shared" si="17"/>
        <v>9820.4409396352912</v>
      </c>
    </row>
    <row r="42" spans="1:13">
      <c r="A42">
        <f t="shared" si="18"/>
        <v>0.37500000000000006</v>
      </c>
      <c r="B42">
        <v>1898.1334586638307</v>
      </c>
      <c r="C42">
        <v>608.8571910599461</v>
      </c>
      <c r="E42">
        <v>1915</v>
      </c>
      <c r="F42">
        <f t="shared" si="19"/>
        <v>3172.3868084604778</v>
      </c>
      <c r="G42">
        <f t="shared" si="22"/>
        <v>2348.2115620572386</v>
      </c>
      <c r="H42">
        <f t="shared" si="22"/>
        <v>1710.3143790213687</v>
      </c>
      <c r="I42">
        <f t="shared" si="22"/>
        <v>1123.1971321463316</v>
      </c>
      <c r="J42">
        <f t="shared" si="22"/>
        <v>575.22109502596038</v>
      </c>
      <c r="K42">
        <f t="shared" si="22"/>
        <v>300.6342711533278</v>
      </c>
      <c r="L42">
        <f t="shared" si="21"/>
        <v>389.66306223879644</v>
      </c>
      <c r="M42">
        <f t="shared" si="17"/>
        <v>9820.440939635293</v>
      </c>
    </row>
    <row r="43" spans="1:13">
      <c r="A43">
        <f t="shared" si="18"/>
        <v>0.40000000000000008</v>
      </c>
      <c r="B43">
        <v>1911.7225513061003</v>
      </c>
      <c r="C43">
        <v>482.23539754265585</v>
      </c>
      <c r="E43">
        <v>1916</v>
      </c>
      <c r="F43">
        <f t="shared" si="19"/>
        <v>3172.3868084604774</v>
      </c>
      <c r="G43">
        <f t="shared" si="22"/>
        <v>2348.2115620572386</v>
      </c>
      <c r="H43">
        <f t="shared" si="22"/>
        <v>1710.3143790213692</v>
      </c>
      <c r="I43">
        <f t="shared" si="22"/>
        <v>1123.1971321463313</v>
      </c>
      <c r="J43">
        <f t="shared" si="22"/>
        <v>575.22109502596049</v>
      </c>
      <c r="K43">
        <f t="shared" si="22"/>
        <v>300.63427115332775</v>
      </c>
      <c r="L43">
        <f t="shared" si="21"/>
        <v>389.66306223879644</v>
      </c>
      <c r="M43">
        <f t="shared" si="17"/>
        <v>9820.4409396352912</v>
      </c>
    </row>
    <row r="44" spans="1:13">
      <c r="A44">
        <f t="shared" si="18"/>
        <v>0.4250000000000001</v>
      </c>
      <c r="B44">
        <v>1922.4239553129028</v>
      </c>
      <c r="C44">
        <v>377.09561661362488</v>
      </c>
      <c r="E44">
        <v>1917</v>
      </c>
      <c r="F44">
        <f t="shared" si="19"/>
        <v>3172.3868084604778</v>
      </c>
      <c r="G44">
        <f t="shared" si="22"/>
        <v>2348.2115620572381</v>
      </c>
      <c r="H44">
        <f t="shared" si="22"/>
        <v>1710.3143790213692</v>
      </c>
      <c r="I44">
        <f t="shared" si="22"/>
        <v>1123.1971321463316</v>
      </c>
      <c r="J44">
        <f t="shared" si="22"/>
        <v>575.22109502596038</v>
      </c>
      <c r="K44">
        <f t="shared" si="22"/>
        <v>300.6342711533278</v>
      </c>
      <c r="L44">
        <f t="shared" si="21"/>
        <v>389.66306223879644</v>
      </c>
      <c r="M44">
        <f t="shared" si="17"/>
        <v>9820.440939635293</v>
      </c>
    </row>
    <row r="45" spans="1:13">
      <c r="A45">
        <f t="shared" si="18"/>
        <v>0.45000000000000012</v>
      </c>
      <c r="B45">
        <v>1930.7227710137254</v>
      </c>
      <c r="C45">
        <v>289.43541843880234</v>
      </c>
      <c r="E45">
        <v>1918</v>
      </c>
      <c r="F45">
        <f t="shared" si="19"/>
        <v>3172.3868084604774</v>
      </c>
      <c r="G45">
        <f t="shared" si="22"/>
        <v>2348.2115620572386</v>
      </c>
      <c r="H45">
        <f t="shared" si="22"/>
        <v>1710.3143790213687</v>
      </c>
      <c r="I45">
        <f t="shared" si="22"/>
        <v>1123.1971321463316</v>
      </c>
      <c r="J45">
        <f t="shared" si="22"/>
        <v>575.22109502596049</v>
      </c>
      <c r="K45">
        <f t="shared" si="22"/>
        <v>300.63427115332775</v>
      </c>
      <c r="L45">
        <f t="shared" si="21"/>
        <v>389.66306223879644</v>
      </c>
      <c r="M45">
        <f t="shared" si="17"/>
        <v>9820.4409396352912</v>
      </c>
    </row>
    <row r="46" spans="1:13">
      <c r="A46">
        <f t="shared" si="18"/>
        <v>0.47500000000000014</v>
      </c>
      <c r="B46">
        <v>1937.0146478999532</v>
      </c>
      <c r="C46">
        <v>216.06679269768404</v>
      </c>
      <c r="E46">
        <v>1919</v>
      </c>
      <c r="F46">
        <f t="shared" si="19"/>
        <v>3172.3868084604778</v>
      </c>
      <c r="G46">
        <f t="shared" si="22"/>
        <v>2348.2115620572381</v>
      </c>
      <c r="H46">
        <f t="shared" si="22"/>
        <v>1710.3143790213692</v>
      </c>
      <c r="I46">
        <f t="shared" si="22"/>
        <v>1123.1971321463313</v>
      </c>
      <c r="J46">
        <f t="shared" si="22"/>
        <v>575.22109502596049</v>
      </c>
      <c r="K46">
        <f t="shared" si="22"/>
        <v>300.6342711533278</v>
      </c>
      <c r="L46">
        <f t="shared" si="21"/>
        <v>389.66306223879644</v>
      </c>
      <c r="M46">
        <f t="shared" si="17"/>
        <v>9820.4409396352912</v>
      </c>
    </row>
    <row r="47" spans="1:13">
      <c r="A47">
        <f t="shared" si="18"/>
        <v>0.50000000000000011</v>
      </c>
      <c r="B47">
        <v>1941.6237885918556</v>
      </c>
      <c r="C47">
        <v>154.43597038283087</v>
      </c>
      <c r="E47">
        <v>1920</v>
      </c>
      <c r="F47">
        <f t="shared" si="19"/>
        <v>3172.3868084604778</v>
      </c>
      <c r="G47">
        <f t="shared" si="22"/>
        <v>2348.2115620572386</v>
      </c>
      <c r="H47">
        <f t="shared" si="22"/>
        <v>1710.3143790213687</v>
      </c>
      <c r="I47">
        <f t="shared" si="22"/>
        <v>1123.1971321463316</v>
      </c>
      <c r="J47">
        <f t="shared" si="22"/>
        <v>575.22109502596038</v>
      </c>
      <c r="K47">
        <f t="shared" si="22"/>
        <v>300.6342711533278</v>
      </c>
      <c r="L47">
        <f t="shared" si="21"/>
        <v>389.66306223879644</v>
      </c>
      <c r="M47">
        <f t="shared" si="17"/>
        <v>9820.440939635293</v>
      </c>
    </row>
    <row r="48" spans="1:13">
      <c r="A48">
        <f t="shared" si="18"/>
        <v>0.52500000000000013</v>
      </c>
      <c r="B48">
        <v>1944.8170157029019</v>
      </c>
      <c r="C48">
        <v>102.48644491161758</v>
      </c>
      <c r="E48">
        <v>1921</v>
      </c>
      <c r="F48">
        <f t="shared" si="19"/>
        <v>3172.3868084604774</v>
      </c>
      <c r="G48">
        <f t="shared" ref="G48:K57" si="23">F47*EXP(-m-fe*F$4)</f>
        <v>2348.2115620572386</v>
      </c>
      <c r="H48">
        <f t="shared" si="23"/>
        <v>1710.3143790213692</v>
      </c>
      <c r="I48">
        <f t="shared" si="23"/>
        <v>1123.1971321463313</v>
      </c>
      <c r="J48">
        <f t="shared" si="23"/>
        <v>575.22109502596049</v>
      </c>
      <c r="K48">
        <f t="shared" si="23"/>
        <v>300.63427115332775</v>
      </c>
      <c r="L48">
        <f t="shared" si="21"/>
        <v>389.66306223879644</v>
      </c>
      <c r="M48">
        <f t="shared" si="17"/>
        <v>9820.4409396352912</v>
      </c>
    </row>
    <row r="49" spans="1:13">
      <c r="A49">
        <f t="shared" si="18"/>
        <v>0.55000000000000016</v>
      </c>
      <c r="B49">
        <v>1946.8148340053667</v>
      </c>
      <c r="C49">
        <v>58.55400447716795</v>
      </c>
      <c r="E49">
        <v>1922</v>
      </c>
      <c r="F49">
        <f t="shared" si="19"/>
        <v>3172.3868084604778</v>
      </c>
      <c r="G49">
        <f t="shared" si="23"/>
        <v>2348.2115620572381</v>
      </c>
      <c r="H49">
        <f t="shared" si="23"/>
        <v>1710.3143790213692</v>
      </c>
      <c r="I49">
        <f t="shared" si="23"/>
        <v>1123.1971321463316</v>
      </c>
      <c r="J49">
        <f t="shared" si="23"/>
        <v>575.22109502596038</v>
      </c>
      <c r="K49">
        <f t="shared" si="23"/>
        <v>300.6342711533278</v>
      </c>
      <c r="L49">
        <f t="shared" si="21"/>
        <v>389.66306223879644</v>
      </c>
      <c r="M49">
        <f t="shared" si="17"/>
        <v>9820.440939635293</v>
      </c>
    </row>
    <row r="50" spans="1:13">
      <c r="A50">
        <f t="shared" si="18"/>
        <v>0.57500000000000018</v>
      </c>
      <c r="B50">
        <v>1947.8001819185683</v>
      </c>
      <c r="C50">
        <v>21.285705963016539</v>
      </c>
      <c r="E50">
        <v>1923</v>
      </c>
      <c r="F50">
        <f t="shared" si="19"/>
        <v>3172.3868084604774</v>
      </c>
      <c r="G50">
        <f t="shared" si="23"/>
        <v>2348.2115620572386</v>
      </c>
      <c r="H50">
        <f t="shared" si="23"/>
        <v>1710.3143790213687</v>
      </c>
      <c r="I50">
        <f t="shared" si="23"/>
        <v>1123.1971321463316</v>
      </c>
      <c r="J50">
        <f t="shared" si="23"/>
        <v>575.22109502596049</v>
      </c>
      <c r="K50">
        <f t="shared" si="23"/>
        <v>300.63427115332775</v>
      </c>
      <c r="L50">
        <f t="shared" si="21"/>
        <v>389.66306223879644</v>
      </c>
      <c r="M50">
        <f t="shared" si="17"/>
        <v>9820.4409396352912</v>
      </c>
    </row>
    <row r="51" spans="1:13">
      <c r="A51">
        <f t="shared" si="18"/>
        <v>0.6000000000000002</v>
      </c>
      <c r="B51">
        <v>1947.925393521175</v>
      </c>
      <c r="C51">
        <v>-10.423092236585717</v>
      </c>
      <c r="E51">
        <v>1924</v>
      </c>
      <c r="F51">
        <f t="shared" si="19"/>
        <v>3172.3868084604778</v>
      </c>
      <c r="G51">
        <f t="shared" si="23"/>
        <v>2348.2115620572381</v>
      </c>
      <c r="H51">
        <f t="shared" si="23"/>
        <v>1710.3143790213692</v>
      </c>
      <c r="I51">
        <f t="shared" si="23"/>
        <v>1123.1971321463313</v>
      </c>
      <c r="J51">
        <f t="shared" si="23"/>
        <v>575.22109502596049</v>
      </c>
      <c r="K51">
        <f t="shared" si="23"/>
        <v>300.6342711533278</v>
      </c>
      <c r="L51">
        <f t="shared" si="21"/>
        <v>389.66306223879644</v>
      </c>
      <c r="M51">
        <f t="shared" si="17"/>
        <v>9820.4409396352912</v>
      </c>
    </row>
    <row r="52" spans="1:13">
      <c r="A52">
        <f t="shared" si="18"/>
        <v>0.62500000000000022</v>
      </c>
      <c r="B52">
        <v>1947.3177657134981</v>
      </c>
      <c r="C52">
        <v>-37.477968886786925</v>
      </c>
      <c r="E52">
        <v>1925</v>
      </c>
      <c r="F52">
        <f t="shared" si="19"/>
        <v>3172.3868084604778</v>
      </c>
      <c r="G52">
        <f t="shared" si="23"/>
        <v>2348.2115620572386</v>
      </c>
      <c r="H52">
        <f t="shared" si="23"/>
        <v>1710.3143790213687</v>
      </c>
      <c r="I52">
        <f t="shared" si="23"/>
        <v>1123.1971321463316</v>
      </c>
      <c r="J52">
        <f t="shared" si="23"/>
        <v>575.22109502596038</v>
      </c>
      <c r="K52">
        <f t="shared" si="23"/>
        <v>300.6342711533278</v>
      </c>
      <c r="L52">
        <f t="shared" si="21"/>
        <v>389.66306223879644</v>
      </c>
      <c r="M52">
        <f t="shared" si="17"/>
        <v>9820.440939635293</v>
      </c>
    </row>
    <row r="53" spans="1:13">
      <c r="A53">
        <f t="shared" si="18"/>
        <v>0.65000000000000024</v>
      </c>
      <c r="B53">
        <v>1946.0840315761773</v>
      </c>
      <c r="C53">
        <v>-60.624166539448993</v>
      </c>
      <c r="E53">
        <v>1926</v>
      </c>
      <c r="F53">
        <f t="shared" si="19"/>
        <v>3172.3868084604774</v>
      </c>
      <c r="G53">
        <f t="shared" si="23"/>
        <v>2348.2115620572386</v>
      </c>
      <c r="H53">
        <f t="shared" si="23"/>
        <v>1710.3143790213692</v>
      </c>
      <c r="I53">
        <f t="shared" si="23"/>
        <v>1123.1971321463313</v>
      </c>
      <c r="J53">
        <f t="shared" si="23"/>
        <v>575.22109502596049</v>
      </c>
      <c r="K53">
        <f t="shared" si="23"/>
        <v>300.63427115332775</v>
      </c>
      <c r="L53">
        <f t="shared" si="21"/>
        <v>389.66306223879644</v>
      </c>
      <c r="M53">
        <f t="shared" si="17"/>
        <v>9820.4409396352912</v>
      </c>
    </row>
    <row r="54" spans="1:13">
      <c r="A54">
        <f t="shared" si="18"/>
        <v>0.67500000000000027</v>
      </c>
      <c r="B54">
        <v>1944.313971185888</v>
      </c>
      <c r="C54">
        <v>-80.477215056410159</v>
      </c>
      <c r="E54">
        <v>1927</v>
      </c>
      <c r="F54">
        <f t="shared" si="19"/>
        <v>3172.3868084604778</v>
      </c>
      <c r="G54">
        <f t="shared" si="23"/>
        <v>2348.2115620572381</v>
      </c>
      <c r="H54">
        <f t="shared" si="23"/>
        <v>1710.3143790213692</v>
      </c>
      <c r="I54">
        <f t="shared" si="23"/>
        <v>1123.1971321463316</v>
      </c>
      <c r="J54">
        <f t="shared" si="23"/>
        <v>575.22109502596038</v>
      </c>
      <c r="K54">
        <f t="shared" si="23"/>
        <v>300.6342711533278</v>
      </c>
      <c r="L54">
        <f t="shared" si="21"/>
        <v>389.66306223879644</v>
      </c>
      <c r="M54">
        <f t="shared" si="17"/>
        <v>9820.440939635293</v>
      </c>
    </row>
    <row r="55" spans="1:13">
      <c r="A55">
        <f t="shared" si="18"/>
        <v>0.70000000000000029</v>
      </c>
      <c r="B55">
        <v>1942.0833386900886</v>
      </c>
      <c r="C55">
        <v>-97.547270045884034</v>
      </c>
      <c r="E55">
        <v>1928</v>
      </c>
      <c r="F55">
        <f t="shared" si="19"/>
        <v>3172.3868084604774</v>
      </c>
      <c r="G55">
        <f t="shared" si="23"/>
        <v>2348.2115620572386</v>
      </c>
      <c r="H55">
        <f t="shared" si="23"/>
        <v>1710.3143790213687</v>
      </c>
      <c r="I55">
        <f t="shared" si="23"/>
        <v>1123.1971321463316</v>
      </c>
      <c r="J55">
        <f t="shared" si="23"/>
        <v>575.22109502596049</v>
      </c>
      <c r="K55">
        <f t="shared" si="23"/>
        <v>300.63427115332775</v>
      </c>
      <c r="L55">
        <f t="shared" si="21"/>
        <v>389.66306223879644</v>
      </c>
      <c r="M55">
        <f t="shared" si="17"/>
        <v>9820.4409396352912</v>
      </c>
    </row>
    <row r="56" spans="1:13">
      <c r="A56">
        <f t="shared" si="18"/>
        <v>0.72500000000000031</v>
      </c>
      <c r="B56">
        <v>1939.4562447162366</v>
      </c>
      <c r="C56">
        <v>-112.25854804393282</v>
      </c>
      <c r="E56">
        <v>1929</v>
      </c>
      <c r="F56">
        <f t="shared" si="19"/>
        <v>3172.3868084604778</v>
      </c>
      <c r="G56">
        <f t="shared" si="23"/>
        <v>2348.2115620572381</v>
      </c>
      <c r="H56">
        <f t="shared" si="23"/>
        <v>1710.3143790213692</v>
      </c>
      <c r="I56">
        <f t="shared" si="23"/>
        <v>1123.1971321463313</v>
      </c>
      <c r="J56">
        <f t="shared" si="23"/>
        <v>575.22109502596049</v>
      </c>
      <c r="K56">
        <f t="shared" si="23"/>
        <v>300.6342711533278</v>
      </c>
      <c r="L56">
        <f t="shared" si="21"/>
        <v>389.66306223879644</v>
      </c>
      <c r="M56">
        <f t="shared" si="17"/>
        <v>9820.4409396352912</v>
      </c>
    </row>
    <row r="57" spans="1:13">
      <c r="A57">
        <f t="shared" si="18"/>
        <v>0.75000000000000033</v>
      </c>
      <c r="B57">
        <v>1936.48710289924</v>
      </c>
      <c r="C57">
        <v>-124.96491570215477</v>
      </c>
      <c r="E57">
        <v>1930</v>
      </c>
      <c r="F57">
        <f t="shared" si="19"/>
        <v>3172.3868084604778</v>
      </c>
      <c r="G57">
        <f t="shared" si="23"/>
        <v>2348.2115620572386</v>
      </c>
      <c r="H57">
        <f t="shared" si="23"/>
        <v>1710.3143790213687</v>
      </c>
      <c r="I57">
        <f t="shared" si="23"/>
        <v>1123.1971321463316</v>
      </c>
      <c r="J57">
        <f t="shared" si="23"/>
        <v>575.22109502596038</v>
      </c>
      <c r="K57">
        <f t="shared" si="23"/>
        <v>300.6342711533278</v>
      </c>
      <c r="L57">
        <f t="shared" si="21"/>
        <v>389.66306223879644</v>
      </c>
      <c r="M57">
        <f t="shared" si="17"/>
        <v>9820.440939635293</v>
      </c>
    </row>
    <row r="58" spans="1:13">
      <c r="A58">
        <f t="shared" si="18"/>
        <v>0.77500000000000036</v>
      </c>
      <c r="B58">
        <v>1933.2222260649075</v>
      </c>
      <c r="C58">
        <v>-135.96244691115902</v>
      </c>
      <c r="E58">
        <v>1931</v>
      </c>
      <c r="F58">
        <f t="shared" si="19"/>
        <v>3172.3868084604774</v>
      </c>
      <c r="G58">
        <f t="shared" ref="G58:K67" si="24">F57*EXP(-m-fe*F$4)</f>
        <v>2348.2115620572386</v>
      </c>
      <c r="H58">
        <f t="shared" si="24"/>
        <v>1710.3143790213692</v>
      </c>
      <c r="I58">
        <f t="shared" si="24"/>
        <v>1123.1971321463313</v>
      </c>
      <c r="J58">
        <f t="shared" si="24"/>
        <v>575.22109502596049</v>
      </c>
      <c r="K58">
        <f t="shared" si="24"/>
        <v>300.63427115332775</v>
      </c>
      <c r="L58">
        <f t="shared" si="21"/>
        <v>389.66306223879644</v>
      </c>
      <c r="M58">
        <f t="shared" si="17"/>
        <v>9820.4409396352912</v>
      </c>
    </row>
    <row r="59" spans="1:13">
      <c r="A59">
        <f t="shared" si="18"/>
        <v>0.80000000000000038</v>
      </c>
      <c r="B59">
        <v>1929.7011396614548</v>
      </c>
      <c r="C59">
        <v>-145.49957808558389</v>
      </c>
      <c r="E59">
        <v>1932</v>
      </c>
      <c r="F59">
        <f t="shared" si="19"/>
        <v>3172.3868084604778</v>
      </c>
      <c r="G59">
        <f t="shared" si="24"/>
        <v>2348.2115620572381</v>
      </c>
      <c r="H59">
        <f t="shared" si="24"/>
        <v>1710.3143790213692</v>
      </c>
      <c r="I59">
        <f t="shared" si="24"/>
        <v>1123.1971321463316</v>
      </c>
      <c r="J59">
        <f t="shared" si="24"/>
        <v>575.22109502596038</v>
      </c>
      <c r="K59">
        <f t="shared" si="24"/>
        <v>300.6342711533278</v>
      </c>
      <c r="L59">
        <f t="shared" si="21"/>
        <v>389.66306223879644</v>
      </c>
      <c r="M59">
        <f t="shared" ref="M59:M90" si="25">SUMPRODUCT(F59:L59,EXP(-zf*(m+fe*va)),fa)</f>
        <v>9820.440939635293</v>
      </c>
    </row>
    <row r="60" spans="1:13">
      <c r="A60">
        <f t="shared" si="18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6">so*M59/(1+beta*M59)</f>
        <v>3172.3868084604774</v>
      </c>
      <c r="G60">
        <f t="shared" si="24"/>
        <v>2348.2115620572386</v>
      </c>
      <c r="H60">
        <f t="shared" si="24"/>
        <v>1710.3143790213687</v>
      </c>
      <c r="I60">
        <f t="shared" si="24"/>
        <v>1123.1971321463316</v>
      </c>
      <c r="J60">
        <f t="shared" si="24"/>
        <v>575.22109502596049</v>
      </c>
      <c r="K60">
        <f t="shared" si="24"/>
        <v>300.63427115332775</v>
      </c>
      <c r="L60">
        <f t="shared" ref="L60:L91" si="27">K59*EXP(-m-fe*K$4)+L59*EXP(-m-fe*va)</f>
        <v>389.66306223879644</v>
      </c>
      <c r="M60">
        <f t="shared" si="25"/>
        <v>9820.4409396352912</v>
      </c>
    </row>
    <row r="61" spans="1:13">
      <c r="A61">
        <f t="shared" si="18"/>
        <v>0.85000000000000042</v>
      </c>
      <c r="B61">
        <v>1922.0208227854414</v>
      </c>
      <c r="C61">
        <v>-160.9961357775752</v>
      </c>
      <c r="E61">
        <v>1934</v>
      </c>
      <c r="F61">
        <f t="shared" si="26"/>
        <v>3172.3868084604778</v>
      </c>
      <c r="G61">
        <f t="shared" si="24"/>
        <v>2348.2115620572381</v>
      </c>
      <c r="H61">
        <f t="shared" si="24"/>
        <v>1710.3143790213692</v>
      </c>
      <c r="I61">
        <f t="shared" si="24"/>
        <v>1123.1971321463313</v>
      </c>
      <c r="J61">
        <f t="shared" si="24"/>
        <v>575.22109502596049</v>
      </c>
      <c r="K61">
        <f t="shared" si="24"/>
        <v>300.6342711533278</v>
      </c>
      <c r="L61">
        <f t="shared" si="27"/>
        <v>389.66306223879644</v>
      </c>
      <c r="M61">
        <f t="shared" si="25"/>
        <v>9820.4409396352912</v>
      </c>
    </row>
    <row r="62" spans="1:13">
      <c r="A62">
        <f t="shared" si="18"/>
        <v>0.87500000000000044</v>
      </c>
      <c r="B62">
        <v>1917.9155681155617</v>
      </c>
      <c r="C62">
        <v>-167.28110978589268</v>
      </c>
      <c r="E62">
        <v>1935</v>
      </c>
      <c r="F62">
        <f t="shared" si="26"/>
        <v>3172.3868084604778</v>
      </c>
      <c r="G62">
        <f t="shared" si="24"/>
        <v>2348.2115620572386</v>
      </c>
      <c r="H62">
        <f t="shared" si="24"/>
        <v>1710.3143790213687</v>
      </c>
      <c r="I62">
        <f t="shared" si="24"/>
        <v>1123.1971321463316</v>
      </c>
      <c r="J62">
        <f t="shared" si="24"/>
        <v>575.22109502596038</v>
      </c>
      <c r="K62">
        <f t="shared" si="24"/>
        <v>300.6342711533278</v>
      </c>
      <c r="L62">
        <f t="shared" si="27"/>
        <v>389.66306223879644</v>
      </c>
      <c r="M62">
        <f t="shared" si="25"/>
        <v>9820.440939635293</v>
      </c>
    </row>
    <row r="63" spans="1:13">
      <c r="E63">
        <v>1936</v>
      </c>
      <c r="F63">
        <f t="shared" si="26"/>
        <v>3172.3868084604774</v>
      </c>
      <c r="G63">
        <f t="shared" si="24"/>
        <v>2348.2115620572386</v>
      </c>
      <c r="H63">
        <f t="shared" si="24"/>
        <v>1710.3143790213692</v>
      </c>
      <c r="I63">
        <f t="shared" si="24"/>
        <v>1123.1971321463313</v>
      </c>
      <c r="J63">
        <f t="shared" si="24"/>
        <v>575.22109502596049</v>
      </c>
      <c r="K63">
        <f t="shared" si="24"/>
        <v>300.63427115332775</v>
      </c>
      <c r="L63">
        <f t="shared" si="27"/>
        <v>389.66306223879644</v>
      </c>
      <c r="M63">
        <f t="shared" si="25"/>
        <v>9820.4409396352912</v>
      </c>
    </row>
    <row r="64" spans="1:13">
      <c r="E64">
        <v>1937</v>
      </c>
      <c r="F64">
        <f t="shared" si="26"/>
        <v>3172.3868084604778</v>
      </c>
      <c r="G64">
        <f t="shared" si="24"/>
        <v>2348.2115620572381</v>
      </c>
      <c r="H64">
        <f t="shared" si="24"/>
        <v>1710.3143790213692</v>
      </c>
      <c r="I64">
        <f t="shared" si="24"/>
        <v>1123.1971321463316</v>
      </c>
      <c r="J64">
        <f t="shared" si="24"/>
        <v>575.22109502596038</v>
      </c>
      <c r="K64">
        <f t="shared" si="24"/>
        <v>300.6342711533278</v>
      </c>
      <c r="L64">
        <f t="shared" si="27"/>
        <v>389.66306223879644</v>
      </c>
      <c r="M64">
        <f t="shared" si="25"/>
        <v>9820.440939635293</v>
      </c>
    </row>
    <row r="65" spans="5:13">
      <c r="E65">
        <v>1938</v>
      </c>
      <c r="F65">
        <f t="shared" si="26"/>
        <v>3172.3868084604774</v>
      </c>
      <c r="G65">
        <f t="shared" si="24"/>
        <v>2348.2115620572386</v>
      </c>
      <c r="H65">
        <f t="shared" si="24"/>
        <v>1710.3143790213687</v>
      </c>
      <c r="I65">
        <f t="shared" si="24"/>
        <v>1123.1971321463316</v>
      </c>
      <c r="J65">
        <f t="shared" si="24"/>
        <v>575.22109502596049</v>
      </c>
      <c r="K65">
        <f t="shared" si="24"/>
        <v>300.63427115332775</v>
      </c>
      <c r="L65">
        <f t="shared" si="27"/>
        <v>389.66306223879644</v>
      </c>
      <c r="M65">
        <f t="shared" si="25"/>
        <v>9820.4409396352912</v>
      </c>
    </row>
    <row r="66" spans="5:13">
      <c r="E66">
        <v>1939</v>
      </c>
      <c r="F66">
        <f t="shared" si="26"/>
        <v>3172.3868084604778</v>
      </c>
      <c r="G66">
        <f t="shared" si="24"/>
        <v>2348.2115620572381</v>
      </c>
      <c r="H66">
        <f t="shared" si="24"/>
        <v>1710.3143790213692</v>
      </c>
      <c r="I66">
        <f t="shared" si="24"/>
        <v>1123.1971321463313</v>
      </c>
      <c r="J66">
        <f t="shared" si="24"/>
        <v>575.22109502596049</v>
      </c>
      <c r="K66">
        <f t="shared" si="24"/>
        <v>300.6342711533278</v>
      </c>
      <c r="L66">
        <f t="shared" si="27"/>
        <v>389.66306223879644</v>
      </c>
      <c r="M66">
        <f t="shared" si="25"/>
        <v>9820.4409396352912</v>
      </c>
    </row>
    <row r="67" spans="5:13">
      <c r="E67">
        <v>1940</v>
      </c>
      <c r="F67">
        <f t="shared" si="26"/>
        <v>3172.3868084604778</v>
      </c>
      <c r="G67">
        <f t="shared" si="24"/>
        <v>2348.2115620572386</v>
      </c>
      <c r="H67">
        <f t="shared" si="24"/>
        <v>1710.3143790213687</v>
      </c>
      <c r="I67">
        <f t="shared" si="24"/>
        <v>1123.1971321463316</v>
      </c>
      <c r="J67">
        <f t="shared" si="24"/>
        <v>575.22109502596038</v>
      </c>
      <c r="K67">
        <f t="shared" si="24"/>
        <v>300.6342711533278</v>
      </c>
      <c r="L67">
        <f t="shared" si="27"/>
        <v>389.66306223879644</v>
      </c>
      <c r="M67">
        <f t="shared" si="25"/>
        <v>9820.440939635293</v>
      </c>
    </row>
    <row r="68" spans="5:13">
      <c r="E68">
        <v>1941</v>
      </c>
      <c r="F68">
        <f t="shared" si="26"/>
        <v>3172.3868084604774</v>
      </c>
      <c r="G68">
        <f t="shared" ref="G68:K77" si="28">F67*EXP(-m-fe*F$4)</f>
        <v>2348.2115620572386</v>
      </c>
      <c r="H68">
        <f t="shared" si="28"/>
        <v>1710.3143790213692</v>
      </c>
      <c r="I68">
        <f t="shared" si="28"/>
        <v>1123.1971321463313</v>
      </c>
      <c r="J68">
        <f t="shared" si="28"/>
        <v>575.22109502596049</v>
      </c>
      <c r="K68">
        <f t="shared" si="28"/>
        <v>300.63427115332775</v>
      </c>
      <c r="L68">
        <f t="shared" si="27"/>
        <v>389.66306223879644</v>
      </c>
      <c r="M68">
        <f t="shared" si="25"/>
        <v>9820.4409396352912</v>
      </c>
    </row>
    <row r="69" spans="5:13">
      <c r="E69">
        <v>1942</v>
      </c>
      <c r="F69">
        <f t="shared" si="26"/>
        <v>3172.3868084604778</v>
      </c>
      <c r="G69">
        <f t="shared" si="28"/>
        <v>2348.2115620572381</v>
      </c>
      <c r="H69">
        <f t="shared" si="28"/>
        <v>1710.3143790213692</v>
      </c>
      <c r="I69">
        <f t="shared" si="28"/>
        <v>1123.1971321463316</v>
      </c>
      <c r="J69">
        <f t="shared" si="28"/>
        <v>575.22109502596038</v>
      </c>
      <c r="K69">
        <f t="shared" si="28"/>
        <v>300.6342711533278</v>
      </c>
      <c r="L69">
        <f t="shared" si="27"/>
        <v>389.66306223879644</v>
      </c>
      <c r="M69">
        <f t="shared" si="25"/>
        <v>9820.440939635293</v>
      </c>
    </row>
    <row r="70" spans="5:13">
      <c r="E70">
        <v>1943</v>
      </c>
      <c r="F70">
        <f t="shared" si="26"/>
        <v>3172.3868084604774</v>
      </c>
      <c r="G70">
        <f t="shared" si="28"/>
        <v>2348.2115620572386</v>
      </c>
      <c r="H70">
        <f t="shared" si="28"/>
        <v>1710.3143790213687</v>
      </c>
      <c r="I70">
        <f t="shared" si="28"/>
        <v>1123.1971321463316</v>
      </c>
      <c r="J70">
        <f t="shared" si="28"/>
        <v>575.22109502596049</v>
      </c>
      <c r="K70">
        <f t="shared" si="28"/>
        <v>300.63427115332775</v>
      </c>
      <c r="L70">
        <f t="shared" si="27"/>
        <v>389.66306223879644</v>
      </c>
      <c r="M70">
        <f t="shared" si="25"/>
        <v>9820.4409396352912</v>
      </c>
    </row>
    <row r="71" spans="5:13">
      <c r="E71">
        <v>1944</v>
      </c>
      <c r="F71">
        <f t="shared" si="26"/>
        <v>3172.3868084604778</v>
      </c>
      <c r="G71">
        <f t="shared" si="28"/>
        <v>2348.2115620572381</v>
      </c>
      <c r="H71">
        <f t="shared" si="28"/>
        <v>1710.3143790213692</v>
      </c>
      <c r="I71">
        <f t="shared" si="28"/>
        <v>1123.1971321463313</v>
      </c>
      <c r="J71">
        <f t="shared" si="28"/>
        <v>575.22109502596049</v>
      </c>
      <c r="K71">
        <f t="shared" si="28"/>
        <v>300.6342711533278</v>
      </c>
      <c r="L71">
        <f t="shared" si="27"/>
        <v>389.66306223879644</v>
      </c>
      <c r="M71">
        <f t="shared" si="25"/>
        <v>9820.4409396352912</v>
      </c>
    </row>
    <row r="72" spans="5:13">
      <c r="E72">
        <v>1945</v>
      </c>
      <c r="F72">
        <f t="shared" si="26"/>
        <v>3172.3868084604778</v>
      </c>
      <c r="G72">
        <f t="shared" si="28"/>
        <v>2348.2115620572386</v>
      </c>
      <c r="H72">
        <f t="shared" si="28"/>
        <v>1710.3143790213687</v>
      </c>
      <c r="I72">
        <f t="shared" si="28"/>
        <v>1123.1971321463316</v>
      </c>
      <c r="J72">
        <f t="shared" si="28"/>
        <v>575.22109502596038</v>
      </c>
      <c r="K72">
        <f t="shared" si="28"/>
        <v>300.6342711533278</v>
      </c>
      <c r="L72">
        <f t="shared" si="27"/>
        <v>389.66306223879644</v>
      </c>
      <c r="M72">
        <f t="shared" si="25"/>
        <v>9820.440939635293</v>
      </c>
    </row>
    <row r="73" spans="5:13">
      <c r="E73">
        <v>1946</v>
      </c>
      <c r="F73">
        <f t="shared" si="26"/>
        <v>3172.3868084604774</v>
      </c>
      <c r="G73">
        <f t="shared" si="28"/>
        <v>2348.2115620572386</v>
      </c>
      <c r="H73">
        <f t="shared" si="28"/>
        <v>1710.3143790213692</v>
      </c>
      <c r="I73">
        <f t="shared" si="28"/>
        <v>1123.1971321463313</v>
      </c>
      <c r="J73">
        <f t="shared" si="28"/>
        <v>575.22109502596049</v>
      </c>
      <c r="K73">
        <f t="shared" si="28"/>
        <v>300.63427115332775</v>
      </c>
      <c r="L73">
        <f t="shared" si="27"/>
        <v>389.66306223879644</v>
      </c>
      <c r="M73">
        <f t="shared" si="25"/>
        <v>9820.4409396352912</v>
      </c>
    </row>
    <row r="74" spans="5:13">
      <c r="E74">
        <v>1947</v>
      </c>
      <c r="F74">
        <f t="shared" si="26"/>
        <v>3172.3868084604778</v>
      </c>
      <c r="G74">
        <f t="shared" si="28"/>
        <v>2348.2115620572381</v>
      </c>
      <c r="H74">
        <f t="shared" si="28"/>
        <v>1710.3143790213692</v>
      </c>
      <c r="I74">
        <f t="shared" si="28"/>
        <v>1123.1971321463316</v>
      </c>
      <c r="J74">
        <f t="shared" si="28"/>
        <v>575.22109502596038</v>
      </c>
      <c r="K74">
        <f t="shared" si="28"/>
        <v>300.6342711533278</v>
      </c>
      <c r="L74">
        <f t="shared" si="27"/>
        <v>389.66306223879644</v>
      </c>
      <c r="M74">
        <f t="shared" si="25"/>
        <v>9820.440939635293</v>
      </c>
    </row>
    <row r="75" spans="5:13">
      <c r="E75">
        <v>1948</v>
      </c>
      <c r="F75">
        <f t="shared" si="26"/>
        <v>3172.3868084604774</v>
      </c>
      <c r="G75">
        <f t="shared" si="28"/>
        <v>2348.2115620572386</v>
      </c>
      <c r="H75">
        <f t="shared" si="28"/>
        <v>1710.3143790213687</v>
      </c>
      <c r="I75">
        <f t="shared" si="28"/>
        <v>1123.1971321463316</v>
      </c>
      <c r="J75">
        <f t="shared" si="28"/>
        <v>575.22109502596049</v>
      </c>
      <c r="K75">
        <f t="shared" si="28"/>
        <v>300.63427115332775</v>
      </c>
      <c r="L75">
        <f t="shared" si="27"/>
        <v>389.66306223879644</v>
      </c>
      <c r="M75">
        <f t="shared" si="25"/>
        <v>9820.4409396352912</v>
      </c>
    </row>
    <row r="76" spans="5:13">
      <c r="E76">
        <v>1949</v>
      </c>
      <c r="F76">
        <f t="shared" si="26"/>
        <v>3172.3868084604778</v>
      </c>
      <c r="G76">
        <f t="shared" si="28"/>
        <v>2348.2115620572381</v>
      </c>
      <c r="H76">
        <f t="shared" si="28"/>
        <v>1710.3143790213692</v>
      </c>
      <c r="I76">
        <f t="shared" si="28"/>
        <v>1123.1971321463313</v>
      </c>
      <c r="J76">
        <f t="shared" si="28"/>
        <v>575.22109502596049</v>
      </c>
      <c r="K76">
        <f t="shared" si="28"/>
        <v>300.6342711533278</v>
      </c>
      <c r="L76">
        <f t="shared" si="27"/>
        <v>389.66306223879644</v>
      </c>
      <c r="M76">
        <f t="shared" si="25"/>
        <v>9820.4409396352912</v>
      </c>
    </row>
    <row r="77" spans="5:13">
      <c r="E77">
        <v>1950</v>
      </c>
      <c r="F77">
        <f t="shared" si="26"/>
        <v>3172.3868084604778</v>
      </c>
      <c r="G77">
        <f t="shared" si="28"/>
        <v>2348.2115620572386</v>
      </c>
      <c r="H77">
        <f t="shared" si="28"/>
        <v>1710.3143790213687</v>
      </c>
      <c r="I77">
        <f t="shared" si="28"/>
        <v>1123.1971321463316</v>
      </c>
      <c r="J77">
        <f t="shared" si="28"/>
        <v>575.22109502596038</v>
      </c>
      <c r="K77">
        <f t="shared" si="28"/>
        <v>300.6342711533278</v>
      </c>
      <c r="L77">
        <f t="shared" si="27"/>
        <v>389.66306223879644</v>
      </c>
      <c r="M77">
        <f t="shared" si="25"/>
        <v>9820.440939635293</v>
      </c>
    </row>
    <row r="78" spans="5:13">
      <c r="E78">
        <v>1951</v>
      </c>
      <c r="F78">
        <f t="shared" si="26"/>
        <v>3172.3868084604774</v>
      </c>
      <c r="G78">
        <f t="shared" ref="G78:K87" si="29">F77*EXP(-m-fe*F$4)</f>
        <v>2348.2115620572386</v>
      </c>
      <c r="H78">
        <f t="shared" si="29"/>
        <v>1710.3143790213692</v>
      </c>
      <c r="I78">
        <f t="shared" si="29"/>
        <v>1123.1971321463313</v>
      </c>
      <c r="J78">
        <f t="shared" si="29"/>
        <v>575.22109502596049</v>
      </c>
      <c r="K78">
        <f t="shared" si="29"/>
        <v>300.63427115332775</v>
      </c>
      <c r="L78">
        <f t="shared" si="27"/>
        <v>389.66306223879644</v>
      </c>
      <c r="M78">
        <f t="shared" si="25"/>
        <v>9820.4409396352912</v>
      </c>
    </row>
    <row r="79" spans="5:13">
      <c r="E79">
        <v>1952</v>
      </c>
      <c r="F79">
        <f t="shared" si="26"/>
        <v>3172.3868084604778</v>
      </c>
      <c r="G79">
        <f t="shared" si="29"/>
        <v>2348.2115620572381</v>
      </c>
      <c r="H79">
        <f t="shared" si="29"/>
        <v>1710.3143790213692</v>
      </c>
      <c r="I79">
        <f t="shared" si="29"/>
        <v>1123.1971321463316</v>
      </c>
      <c r="J79">
        <f t="shared" si="29"/>
        <v>575.22109502596038</v>
      </c>
      <c r="K79">
        <f t="shared" si="29"/>
        <v>300.6342711533278</v>
      </c>
      <c r="L79">
        <f t="shared" si="27"/>
        <v>389.66306223879644</v>
      </c>
      <c r="M79">
        <f t="shared" si="25"/>
        <v>9820.440939635293</v>
      </c>
    </row>
    <row r="80" spans="5:13">
      <c r="E80">
        <v>1953</v>
      </c>
      <c r="F80">
        <f t="shared" si="26"/>
        <v>3172.3868084604774</v>
      </c>
      <c r="G80">
        <f t="shared" si="29"/>
        <v>2348.2115620572386</v>
      </c>
      <c r="H80">
        <f t="shared" si="29"/>
        <v>1710.3143790213687</v>
      </c>
      <c r="I80">
        <f t="shared" si="29"/>
        <v>1123.1971321463316</v>
      </c>
      <c r="J80">
        <f t="shared" si="29"/>
        <v>575.22109502596049</v>
      </c>
      <c r="K80">
        <f t="shared" si="29"/>
        <v>300.63427115332775</v>
      </c>
      <c r="L80">
        <f t="shared" si="27"/>
        <v>389.66306223879644</v>
      </c>
      <c r="M80">
        <f t="shared" si="25"/>
        <v>9820.4409396352912</v>
      </c>
    </row>
    <row r="81" spans="5:13">
      <c r="E81">
        <v>1954</v>
      </c>
      <c r="F81">
        <f t="shared" si="26"/>
        <v>3172.3868084604778</v>
      </c>
      <c r="G81">
        <f t="shared" si="29"/>
        <v>2348.2115620572381</v>
      </c>
      <c r="H81">
        <f t="shared" si="29"/>
        <v>1710.3143790213692</v>
      </c>
      <c r="I81">
        <f t="shared" si="29"/>
        <v>1123.1971321463313</v>
      </c>
      <c r="J81">
        <f t="shared" si="29"/>
        <v>575.22109502596049</v>
      </c>
      <c r="K81">
        <f t="shared" si="29"/>
        <v>300.6342711533278</v>
      </c>
      <c r="L81">
        <f t="shared" si="27"/>
        <v>389.66306223879644</v>
      </c>
      <c r="M81">
        <f t="shared" si="25"/>
        <v>9820.4409396352912</v>
      </c>
    </row>
    <row r="82" spans="5:13">
      <c r="E82">
        <v>1955</v>
      </c>
      <c r="F82">
        <f t="shared" si="26"/>
        <v>3172.3868084604778</v>
      </c>
      <c r="G82">
        <f t="shared" si="29"/>
        <v>2348.2115620572386</v>
      </c>
      <c r="H82">
        <f t="shared" si="29"/>
        <v>1710.3143790213687</v>
      </c>
      <c r="I82">
        <f t="shared" si="29"/>
        <v>1123.1971321463316</v>
      </c>
      <c r="J82">
        <f t="shared" si="29"/>
        <v>575.22109502596038</v>
      </c>
      <c r="K82">
        <f t="shared" si="29"/>
        <v>300.6342711533278</v>
      </c>
      <c r="L82">
        <f t="shared" si="27"/>
        <v>389.66306223879644</v>
      </c>
      <c r="M82">
        <f t="shared" si="25"/>
        <v>9820.440939635293</v>
      </c>
    </row>
    <row r="83" spans="5:13">
      <c r="E83">
        <v>1956</v>
      </c>
      <c r="F83">
        <f t="shared" si="26"/>
        <v>3172.3868084604774</v>
      </c>
      <c r="G83">
        <f t="shared" si="29"/>
        <v>2348.2115620572386</v>
      </c>
      <c r="H83">
        <f t="shared" si="29"/>
        <v>1710.3143790213692</v>
      </c>
      <c r="I83">
        <f t="shared" si="29"/>
        <v>1123.1971321463313</v>
      </c>
      <c r="J83">
        <f t="shared" si="29"/>
        <v>575.22109502596049</v>
      </c>
      <c r="K83">
        <f t="shared" si="29"/>
        <v>300.63427115332775</v>
      </c>
      <c r="L83">
        <f t="shared" si="27"/>
        <v>389.66306223879644</v>
      </c>
      <c r="M83">
        <f t="shared" si="25"/>
        <v>9820.4409396352912</v>
      </c>
    </row>
    <row r="84" spans="5:13">
      <c r="E84">
        <v>1957</v>
      </c>
      <c r="F84">
        <f t="shared" si="26"/>
        <v>3172.3868084604778</v>
      </c>
      <c r="G84">
        <f t="shared" si="29"/>
        <v>2348.2115620572381</v>
      </c>
      <c r="H84">
        <f t="shared" si="29"/>
        <v>1710.3143790213692</v>
      </c>
      <c r="I84">
        <f t="shared" si="29"/>
        <v>1123.1971321463316</v>
      </c>
      <c r="J84">
        <f t="shared" si="29"/>
        <v>575.22109502596038</v>
      </c>
      <c r="K84">
        <f t="shared" si="29"/>
        <v>300.6342711533278</v>
      </c>
      <c r="L84">
        <f t="shared" si="27"/>
        <v>389.66306223879644</v>
      </c>
      <c r="M84">
        <f t="shared" si="25"/>
        <v>9820.440939635293</v>
      </c>
    </row>
    <row r="85" spans="5:13">
      <c r="E85">
        <v>1958</v>
      </c>
      <c r="F85">
        <f t="shared" si="26"/>
        <v>3172.3868084604774</v>
      </c>
      <c r="G85">
        <f t="shared" si="29"/>
        <v>2348.2115620572386</v>
      </c>
      <c r="H85">
        <f t="shared" si="29"/>
        <v>1710.3143790213687</v>
      </c>
      <c r="I85">
        <f t="shared" si="29"/>
        <v>1123.1971321463316</v>
      </c>
      <c r="J85">
        <f t="shared" si="29"/>
        <v>575.22109502596049</v>
      </c>
      <c r="K85">
        <f t="shared" si="29"/>
        <v>300.63427115332775</v>
      </c>
      <c r="L85">
        <f t="shared" si="27"/>
        <v>389.66306223879644</v>
      </c>
      <c r="M85">
        <f t="shared" si="25"/>
        <v>9820.4409396352912</v>
      </c>
    </row>
    <row r="86" spans="5:13">
      <c r="E86">
        <v>1959</v>
      </c>
      <c r="F86">
        <f t="shared" si="26"/>
        <v>3172.3868084604778</v>
      </c>
      <c r="G86">
        <f t="shared" si="29"/>
        <v>2348.2115620572381</v>
      </c>
      <c r="H86">
        <f t="shared" si="29"/>
        <v>1710.3143790213692</v>
      </c>
      <c r="I86">
        <f t="shared" si="29"/>
        <v>1123.1971321463313</v>
      </c>
      <c r="J86">
        <f t="shared" si="29"/>
        <v>575.22109502596049</v>
      </c>
      <c r="K86">
        <f t="shared" si="29"/>
        <v>300.6342711533278</v>
      </c>
      <c r="L86">
        <f t="shared" si="27"/>
        <v>389.66306223879644</v>
      </c>
      <c r="M86">
        <f t="shared" si="25"/>
        <v>9820.4409396352912</v>
      </c>
    </row>
    <row r="87" spans="5:13">
      <c r="E87">
        <v>1960</v>
      </c>
      <c r="F87">
        <f t="shared" si="26"/>
        <v>3172.3868084604778</v>
      </c>
      <c r="G87">
        <f t="shared" si="29"/>
        <v>2348.2115620572386</v>
      </c>
      <c r="H87">
        <f t="shared" si="29"/>
        <v>1710.3143790213687</v>
      </c>
      <c r="I87">
        <f t="shared" si="29"/>
        <v>1123.1971321463316</v>
      </c>
      <c r="J87">
        <f t="shared" si="29"/>
        <v>575.22109502596038</v>
      </c>
      <c r="K87">
        <f t="shared" si="29"/>
        <v>300.6342711533278</v>
      </c>
      <c r="L87">
        <f t="shared" si="27"/>
        <v>389.66306223879644</v>
      </c>
      <c r="M87">
        <f t="shared" si="25"/>
        <v>9820.440939635293</v>
      </c>
    </row>
    <row r="88" spans="5:13">
      <c r="E88">
        <v>1961</v>
      </c>
      <c r="F88">
        <f t="shared" si="26"/>
        <v>3172.3868084604774</v>
      </c>
      <c r="G88">
        <f t="shared" ref="G88:K97" si="30">F87*EXP(-m-fe*F$4)</f>
        <v>2348.2115620572386</v>
      </c>
      <c r="H88">
        <f t="shared" si="30"/>
        <v>1710.3143790213692</v>
      </c>
      <c r="I88">
        <f t="shared" si="30"/>
        <v>1123.1971321463313</v>
      </c>
      <c r="J88">
        <f t="shared" si="30"/>
        <v>575.22109502596049</v>
      </c>
      <c r="K88">
        <f t="shared" si="30"/>
        <v>300.63427115332775</v>
      </c>
      <c r="L88">
        <f t="shared" si="27"/>
        <v>389.66306223879644</v>
      </c>
      <c r="M88">
        <f t="shared" si="25"/>
        <v>9820.4409396352912</v>
      </c>
    </row>
    <row r="89" spans="5:13">
      <c r="E89">
        <v>1962</v>
      </c>
      <c r="F89">
        <f t="shared" si="26"/>
        <v>3172.3868084604778</v>
      </c>
      <c r="G89">
        <f t="shared" si="30"/>
        <v>2348.2115620572381</v>
      </c>
      <c r="H89">
        <f t="shared" si="30"/>
        <v>1710.3143790213692</v>
      </c>
      <c r="I89">
        <f t="shared" si="30"/>
        <v>1123.1971321463316</v>
      </c>
      <c r="J89">
        <f t="shared" si="30"/>
        <v>575.22109502596038</v>
      </c>
      <c r="K89">
        <f t="shared" si="30"/>
        <v>300.6342711533278</v>
      </c>
      <c r="L89">
        <f t="shared" si="27"/>
        <v>389.66306223879644</v>
      </c>
      <c r="M89">
        <f t="shared" si="25"/>
        <v>9820.440939635293</v>
      </c>
    </row>
    <row r="90" spans="5:13">
      <c r="E90">
        <v>1963</v>
      </c>
      <c r="F90">
        <f t="shared" si="26"/>
        <v>3172.3868084604774</v>
      </c>
      <c r="G90">
        <f t="shared" si="30"/>
        <v>2348.2115620572386</v>
      </c>
      <c r="H90">
        <f t="shared" si="30"/>
        <v>1710.3143790213687</v>
      </c>
      <c r="I90">
        <f t="shared" si="30"/>
        <v>1123.1971321463316</v>
      </c>
      <c r="J90">
        <f t="shared" si="30"/>
        <v>575.22109502596049</v>
      </c>
      <c r="K90">
        <f t="shared" si="30"/>
        <v>300.63427115332775</v>
      </c>
      <c r="L90">
        <f t="shared" si="27"/>
        <v>389.66306223879644</v>
      </c>
      <c r="M90">
        <f t="shared" si="25"/>
        <v>9820.4409396352912</v>
      </c>
    </row>
    <row r="91" spans="5:13">
      <c r="E91">
        <v>1964</v>
      </c>
      <c r="F91">
        <f t="shared" si="26"/>
        <v>3172.3868084604778</v>
      </c>
      <c r="G91">
        <f t="shared" si="30"/>
        <v>2348.2115620572381</v>
      </c>
      <c r="H91">
        <f t="shared" si="30"/>
        <v>1710.3143790213692</v>
      </c>
      <c r="I91">
        <f t="shared" si="30"/>
        <v>1123.1971321463313</v>
      </c>
      <c r="J91">
        <f t="shared" si="30"/>
        <v>575.22109502596049</v>
      </c>
      <c r="K91">
        <f t="shared" si="30"/>
        <v>300.6342711533278</v>
      </c>
      <c r="L91">
        <f t="shared" si="27"/>
        <v>389.66306223879644</v>
      </c>
      <c r="M91">
        <f t="shared" ref="M91:M122" si="31">SUMPRODUCT(F91:L91,EXP(-zf*(m+fe*va)),fa)</f>
        <v>9820.4409396352912</v>
      </c>
    </row>
    <row r="92" spans="5:13">
      <c r="E92">
        <v>1965</v>
      </c>
      <c r="F92">
        <f t="shared" ref="F92:F127" si="32">so*M91/(1+beta*M91)</f>
        <v>3172.3868084604778</v>
      </c>
      <c r="G92">
        <f t="shared" si="30"/>
        <v>2348.2115620572386</v>
      </c>
      <c r="H92">
        <f t="shared" si="30"/>
        <v>1710.3143790213687</v>
      </c>
      <c r="I92">
        <f t="shared" si="30"/>
        <v>1123.1971321463316</v>
      </c>
      <c r="J92">
        <f t="shared" si="30"/>
        <v>575.22109502596038</v>
      </c>
      <c r="K92">
        <f t="shared" si="30"/>
        <v>300.6342711533278</v>
      </c>
      <c r="L92">
        <f t="shared" ref="L92:L123" si="33">K91*EXP(-m-fe*K$4)+L91*EXP(-m-fe*va)</f>
        <v>389.66306223879644</v>
      </c>
      <c r="M92">
        <f t="shared" si="31"/>
        <v>9820.440939635293</v>
      </c>
    </row>
    <row r="93" spans="5:13">
      <c r="E93">
        <v>1966</v>
      </c>
      <c r="F93">
        <f t="shared" si="32"/>
        <v>3172.3868084604774</v>
      </c>
      <c r="G93">
        <f t="shared" si="30"/>
        <v>2348.2115620572386</v>
      </c>
      <c r="H93">
        <f t="shared" si="30"/>
        <v>1710.3143790213692</v>
      </c>
      <c r="I93">
        <f t="shared" si="30"/>
        <v>1123.1971321463313</v>
      </c>
      <c r="J93">
        <f t="shared" si="30"/>
        <v>575.22109502596049</v>
      </c>
      <c r="K93">
        <f t="shared" si="30"/>
        <v>300.63427115332775</v>
      </c>
      <c r="L93">
        <f t="shared" si="33"/>
        <v>389.66306223879644</v>
      </c>
      <c r="M93">
        <f t="shared" si="31"/>
        <v>9820.4409396352912</v>
      </c>
    </row>
    <row r="94" spans="5:13">
      <c r="E94">
        <v>1967</v>
      </c>
      <c r="F94">
        <f t="shared" si="32"/>
        <v>3172.3868084604778</v>
      </c>
      <c r="G94">
        <f t="shared" si="30"/>
        <v>2348.2115620572381</v>
      </c>
      <c r="H94">
        <f t="shared" si="30"/>
        <v>1710.3143790213692</v>
      </c>
      <c r="I94">
        <f t="shared" si="30"/>
        <v>1123.1971321463316</v>
      </c>
      <c r="J94">
        <f t="shared" si="30"/>
        <v>575.22109502596038</v>
      </c>
      <c r="K94">
        <f t="shared" si="30"/>
        <v>300.6342711533278</v>
      </c>
      <c r="L94">
        <f t="shared" si="33"/>
        <v>389.66306223879644</v>
      </c>
      <c r="M94">
        <f t="shared" si="31"/>
        <v>9820.440939635293</v>
      </c>
    </row>
    <row r="95" spans="5:13">
      <c r="E95">
        <v>1968</v>
      </c>
      <c r="F95">
        <f t="shared" si="32"/>
        <v>3172.3868084604774</v>
      </c>
      <c r="G95">
        <f t="shared" si="30"/>
        <v>2348.2115620572386</v>
      </c>
      <c r="H95">
        <f t="shared" si="30"/>
        <v>1710.3143790213687</v>
      </c>
      <c r="I95">
        <f t="shared" si="30"/>
        <v>1123.1971321463316</v>
      </c>
      <c r="J95">
        <f t="shared" si="30"/>
        <v>575.22109502596049</v>
      </c>
      <c r="K95">
        <f t="shared" si="30"/>
        <v>300.63427115332775</v>
      </c>
      <c r="L95">
        <f t="shared" si="33"/>
        <v>389.66306223879644</v>
      </c>
      <c r="M95">
        <f t="shared" si="31"/>
        <v>9820.4409396352912</v>
      </c>
    </row>
    <row r="96" spans="5:13">
      <c r="E96">
        <v>1969</v>
      </c>
      <c r="F96">
        <f t="shared" si="32"/>
        <v>3172.3868084604778</v>
      </c>
      <c r="G96">
        <f t="shared" si="30"/>
        <v>2348.2115620572381</v>
      </c>
      <c r="H96">
        <f t="shared" si="30"/>
        <v>1710.3143790213692</v>
      </c>
      <c r="I96">
        <f t="shared" si="30"/>
        <v>1123.1971321463313</v>
      </c>
      <c r="J96">
        <f t="shared" si="30"/>
        <v>575.22109502596049</v>
      </c>
      <c r="K96">
        <f t="shared" si="30"/>
        <v>300.6342711533278</v>
      </c>
      <c r="L96">
        <f t="shared" si="33"/>
        <v>389.66306223879644</v>
      </c>
      <c r="M96">
        <f t="shared" si="31"/>
        <v>9820.4409396352912</v>
      </c>
    </row>
    <row r="97" spans="5:13">
      <c r="E97">
        <v>1970</v>
      </c>
      <c r="F97">
        <f t="shared" si="32"/>
        <v>3172.3868084604778</v>
      </c>
      <c r="G97">
        <f t="shared" si="30"/>
        <v>2348.2115620572386</v>
      </c>
      <c r="H97">
        <f t="shared" si="30"/>
        <v>1710.3143790213687</v>
      </c>
      <c r="I97">
        <f t="shared" si="30"/>
        <v>1123.1971321463316</v>
      </c>
      <c r="J97">
        <f t="shared" si="30"/>
        <v>575.22109502596038</v>
      </c>
      <c r="K97">
        <f t="shared" si="30"/>
        <v>300.6342711533278</v>
      </c>
      <c r="L97">
        <f t="shared" si="33"/>
        <v>389.66306223879644</v>
      </c>
      <c r="M97">
        <f t="shared" si="31"/>
        <v>9820.440939635293</v>
      </c>
    </row>
    <row r="98" spans="5:13">
      <c r="E98">
        <v>1971</v>
      </c>
      <c r="F98">
        <f t="shared" si="32"/>
        <v>3172.3868084604774</v>
      </c>
      <c r="G98">
        <f t="shared" ref="G98:K107" si="34">F97*EXP(-m-fe*F$4)</f>
        <v>2348.2115620572386</v>
      </c>
      <c r="H98">
        <f t="shared" si="34"/>
        <v>1710.3143790213692</v>
      </c>
      <c r="I98">
        <f t="shared" si="34"/>
        <v>1123.1971321463313</v>
      </c>
      <c r="J98">
        <f t="shared" si="34"/>
        <v>575.22109502596049</v>
      </c>
      <c r="K98">
        <f t="shared" si="34"/>
        <v>300.63427115332775</v>
      </c>
      <c r="L98">
        <f t="shared" si="33"/>
        <v>389.66306223879644</v>
      </c>
      <c r="M98">
        <f t="shared" si="31"/>
        <v>9820.4409396352912</v>
      </c>
    </row>
    <row r="99" spans="5:13">
      <c r="E99">
        <v>1972</v>
      </c>
      <c r="F99">
        <f t="shared" si="32"/>
        <v>3172.3868084604778</v>
      </c>
      <c r="G99">
        <f t="shared" si="34"/>
        <v>2348.2115620572381</v>
      </c>
      <c r="H99">
        <f t="shared" si="34"/>
        <v>1710.3143790213692</v>
      </c>
      <c r="I99">
        <f t="shared" si="34"/>
        <v>1123.1971321463316</v>
      </c>
      <c r="J99">
        <f t="shared" si="34"/>
        <v>575.22109502596038</v>
      </c>
      <c r="K99">
        <f t="shared" si="34"/>
        <v>300.6342711533278</v>
      </c>
      <c r="L99">
        <f t="shared" si="33"/>
        <v>389.66306223879644</v>
      </c>
      <c r="M99">
        <f t="shared" si="31"/>
        <v>9820.440939635293</v>
      </c>
    </row>
    <row r="100" spans="5:13">
      <c r="E100">
        <v>1973</v>
      </c>
      <c r="F100">
        <f t="shared" si="32"/>
        <v>3172.3868084604774</v>
      </c>
      <c r="G100">
        <f t="shared" si="34"/>
        <v>2348.2115620572386</v>
      </c>
      <c r="H100">
        <f t="shared" si="34"/>
        <v>1710.3143790213687</v>
      </c>
      <c r="I100">
        <f t="shared" si="34"/>
        <v>1123.1971321463316</v>
      </c>
      <c r="J100">
        <f t="shared" si="34"/>
        <v>575.22109502596049</v>
      </c>
      <c r="K100">
        <f t="shared" si="34"/>
        <v>300.63427115332775</v>
      </c>
      <c r="L100">
        <f t="shared" si="33"/>
        <v>389.66306223879644</v>
      </c>
      <c r="M100">
        <f t="shared" si="31"/>
        <v>9820.4409396352912</v>
      </c>
    </row>
    <row r="101" spans="5:13">
      <c r="E101">
        <v>1974</v>
      </c>
      <c r="F101">
        <f t="shared" si="32"/>
        <v>3172.3868084604778</v>
      </c>
      <c r="G101">
        <f t="shared" si="34"/>
        <v>2348.2115620572381</v>
      </c>
      <c r="H101">
        <f t="shared" si="34"/>
        <v>1710.3143790213692</v>
      </c>
      <c r="I101">
        <f t="shared" si="34"/>
        <v>1123.1971321463313</v>
      </c>
      <c r="J101">
        <f t="shared" si="34"/>
        <v>575.22109502596049</v>
      </c>
      <c r="K101">
        <f t="shared" si="34"/>
        <v>300.6342711533278</v>
      </c>
      <c r="L101">
        <f t="shared" si="33"/>
        <v>389.66306223879644</v>
      </c>
      <c r="M101">
        <f t="shared" si="31"/>
        <v>9820.4409396352912</v>
      </c>
    </row>
    <row r="102" spans="5:13">
      <c r="E102">
        <v>1975</v>
      </c>
      <c r="F102">
        <f t="shared" si="32"/>
        <v>3172.3868084604778</v>
      </c>
      <c r="G102">
        <f t="shared" si="34"/>
        <v>2348.2115620572386</v>
      </c>
      <c r="H102">
        <f t="shared" si="34"/>
        <v>1710.3143790213687</v>
      </c>
      <c r="I102">
        <f t="shared" si="34"/>
        <v>1123.1971321463316</v>
      </c>
      <c r="J102">
        <f t="shared" si="34"/>
        <v>575.22109502596038</v>
      </c>
      <c r="K102">
        <f t="shared" si="34"/>
        <v>300.6342711533278</v>
      </c>
      <c r="L102">
        <f t="shared" si="33"/>
        <v>389.66306223879644</v>
      </c>
      <c r="M102">
        <f t="shared" si="31"/>
        <v>9820.440939635293</v>
      </c>
    </row>
    <row r="103" spans="5:13">
      <c r="E103">
        <v>1976</v>
      </c>
      <c r="F103">
        <f t="shared" si="32"/>
        <v>3172.3868084604774</v>
      </c>
      <c r="G103">
        <f t="shared" si="34"/>
        <v>2348.2115620572386</v>
      </c>
      <c r="H103">
        <f t="shared" si="34"/>
        <v>1710.3143790213692</v>
      </c>
      <c r="I103">
        <f t="shared" si="34"/>
        <v>1123.1971321463313</v>
      </c>
      <c r="J103">
        <f t="shared" si="34"/>
        <v>575.22109502596049</v>
      </c>
      <c r="K103">
        <f t="shared" si="34"/>
        <v>300.63427115332775</v>
      </c>
      <c r="L103">
        <f t="shared" si="33"/>
        <v>389.66306223879644</v>
      </c>
      <c r="M103">
        <f t="shared" si="31"/>
        <v>9820.4409396352912</v>
      </c>
    </row>
    <row r="104" spans="5:13">
      <c r="E104">
        <v>1977</v>
      </c>
      <c r="F104">
        <f t="shared" si="32"/>
        <v>3172.3868084604778</v>
      </c>
      <c r="G104">
        <f t="shared" si="34"/>
        <v>2348.2115620572381</v>
      </c>
      <c r="H104">
        <f t="shared" si="34"/>
        <v>1710.3143790213692</v>
      </c>
      <c r="I104">
        <f t="shared" si="34"/>
        <v>1123.1971321463316</v>
      </c>
      <c r="J104">
        <f t="shared" si="34"/>
        <v>575.22109502596038</v>
      </c>
      <c r="K104">
        <f t="shared" si="34"/>
        <v>300.6342711533278</v>
      </c>
      <c r="L104">
        <f t="shared" si="33"/>
        <v>389.66306223879644</v>
      </c>
      <c r="M104">
        <f t="shared" si="31"/>
        <v>9820.440939635293</v>
      </c>
    </row>
    <row r="105" spans="5:13">
      <c r="E105">
        <v>1978</v>
      </c>
      <c r="F105">
        <f t="shared" si="32"/>
        <v>3172.3868084604774</v>
      </c>
      <c r="G105">
        <f t="shared" si="34"/>
        <v>2348.2115620572386</v>
      </c>
      <c r="H105">
        <f t="shared" si="34"/>
        <v>1710.3143790213687</v>
      </c>
      <c r="I105">
        <f t="shared" si="34"/>
        <v>1123.1971321463316</v>
      </c>
      <c r="J105">
        <f t="shared" si="34"/>
        <v>575.22109502596049</v>
      </c>
      <c r="K105">
        <f t="shared" si="34"/>
        <v>300.63427115332775</v>
      </c>
      <c r="L105">
        <f t="shared" si="33"/>
        <v>389.66306223879644</v>
      </c>
      <c r="M105">
        <f t="shared" si="31"/>
        <v>9820.4409396352912</v>
      </c>
    </row>
    <row r="106" spans="5:13">
      <c r="E106">
        <v>1979</v>
      </c>
      <c r="F106">
        <f t="shared" si="32"/>
        <v>3172.3868084604778</v>
      </c>
      <c r="G106">
        <f t="shared" si="34"/>
        <v>2348.2115620572381</v>
      </c>
      <c r="H106">
        <f t="shared" si="34"/>
        <v>1710.3143790213692</v>
      </c>
      <c r="I106">
        <f t="shared" si="34"/>
        <v>1123.1971321463313</v>
      </c>
      <c r="J106">
        <f t="shared" si="34"/>
        <v>575.22109502596049</v>
      </c>
      <c r="K106">
        <f t="shared" si="34"/>
        <v>300.6342711533278</v>
      </c>
      <c r="L106">
        <f t="shared" si="33"/>
        <v>389.66306223879644</v>
      </c>
      <c r="M106">
        <f t="shared" si="31"/>
        <v>9820.4409396352912</v>
      </c>
    </row>
    <row r="107" spans="5:13">
      <c r="E107">
        <v>1980</v>
      </c>
      <c r="F107">
        <f t="shared" si="32"/>
        <v>3172.3868084604778</v>
      </c>
      <c r="G107">
        <f t="shared" si="34"/>
        <v>2348.2115620572386</v>
      </c>
      <c r="H107">
        <f t="shared" si="34"/>
        <v>1710.3143790213687</v>
      </c>
      <c r="I107">
        <f t="shared" si="34"/>
        <v>1123.1971321463316</v>
      </c>
      <c r="J107">
        <f t="shared" si="34"/>
        <v>575.22109502596038</v>
      </c>
      <c r="K107">
        <f t="shared" si="34"/>
        <v>300.6342711533278</v>
      </c>
      <c r="L107">
        <f t="shared" si="33"/>
        <v>389.66306223879644</v>
      </c>
      <c r="M107">
        <f t="shared" si="31"/>
        <v>9820.440939635293</v>
      </c>
    </row>
    <row r="108" spans="5:13">
      <c r="E108">
        <v>1981</v>
      </c>
      <c r="F108">
        <f t="shared" si="32"/>
        <v>3172.3868084604774</v>
      </c>
      <c r="G108">
        <f t="shared" ref="G108:K117" si="35">F107*EXP(-m-fe*F$4)</f>
        <v>2348.2115620572386</v>
      </c>
      <c r="H108">
        <f t="shared" si="35"/>
        <v>1710.3143790213692</v>
      </c>
      <c r="I108">
        <f t="shared" si="35"/>
        <v>1123.1971321463313</v>
      </c>
      <c r="J108">
        <f t="shared" si="35"/>
        <v>575.22109502596049</v>
      </c>
      <c r="K108">
        <f t="shared" si="35"/>
        <v>300.63427115332775</v>
      </c>
      <c r="L108">
        <f t="shared" si="33"/>
        <v>389.66306223879644</v>
      </c>
      <c r="M108">
        <f t="shared" si="31"/>
        <v>9820.4409396352912</v>
      </c>
    </row>
    <row r="109" spans="5:13">
      <c r="E109">
        <v>1982</v>
      </c>
      <c r="F109">
        <f t="shared" si="32"/>
        <v>3172.3868084604778</v>
      </c>
      <c r="G109">
        <f t="shared" si="35"/>
        <v>2348.2115620572381</v>
      </c>
      <c r="H109">
        <f t="shared" si="35"/>
        <v>1710.3143790213692</v>
      </c>
      <c r="I109">
        <f t="shared" si="35"/>
        <v>1123.1971321463316</v>
      </c>
      <c r="J109">
        <f t="shared" si="35"/>
        <v>575.22109502596038</v>
      </c>
      <c r="K109">
        <f t="shared" si="35"/>
        <v>300.6342711533278</v>
      </c>
      <c r="L109">
        <f t="shared" si="33"/>
        <v>389.66306223879644</v>
      </c>
      <c r="M109">
        <f t="shared" si="31"/>
        <v>9820.440939635293</v>
      </c>
    </row>
    <row r="110" spans="5:13">
      <c r="E110">
        <v>1983</v>
      </c>
      <c r="F110">
        <f t="shared" si="32"/>
        <v>3172.3868084604774</v>
      </c>
      <c r="G110">
        <f t="shared" si="35"/>
        <v>2348.2115620572386</v>
      </c>
      <c r="H110">
        <f t="shared" si="35"/>
        <v>1710.3143790213687</v>
      </c>
      <c r="I110">
        <f t="shared" si="35"/>
        <v>1123.1971321463316</v>
      </c>
      <c r="J110">
        <f t="shared" si="35"/>
        <v>575.22109502596049</v>
      </c>
      <c r="K110">
        <f t="shared" si="35"/>
        <v>300.63427115332775</v>
      </c>
      <c r="L110">
        <f t="shared" si="33"/>
        <v>389.66306223879644</v>
      </c>
      <c r="M110">
        <f t="shared" si="31"/>
        <v>9820.4409396352912</v>
      </c>
    </row>
    <row r="111" spans="5:13">
      <c r="E111">
        <v>1984</v>
      </c>
      <c r="F111">
        <f t="shared" si="32"/>
        <v>3172.3868084604778</v>
      </c>
      <c r="G111">
        <f t="shared" si="35"/>
        <v>2348.2115620572381</v>
      </c>
      <c r="H111">
        <f t="shared" si="35"/>
        <v>1710.3143790213692</v>
      </c>
      <c r="I111">
        <f t="shared" si="35"/>
        <v>1123.1971321463313</v>
      </c>
      <c r="J111">
        <f t="shared" si="35"/>
        <v>575.22109502596049</v>
      </c>
      <c r="K111">
        <f t="shared" si="35"/>
        <v>300.6342711533278</v>
      </c>
      <c r="L111">
        <f t="shared" si="33"/>
        <v>389.66306223879644</v>
      </c>
      <c r="M111">
        <f t="shared" si="31"/>
        <v>9820.4409396352912</v>
      </c>
    </row>
    <row r="112" spans="5:13">
      <c r="E112">
        <v>1985</v>
      </c>
      <c r="F112">
        <f t="shared" si="32"/>
        <v>3172.3868084604778</v>
      </c>
      <c r="G112">
        <f t="shared" si="35"/>
        <v>2348.2115620572386</v>
      </c>
      <c r="H112">
        <f t="shared" si="35"/>
        <v>1710.3143790213687</v>
      </c>
      <c r="I112">
        <f t="shared" si="35"/>
        <v>1123.1971321463316</v>
      </c>
      <c r="J112">
        <f t="shared" si="35"/>
        <v>575.22109502596038</v>
      </c>
      <c r="K112">
        <f t="shared" si="35"/>
        <v>300.6342711533278</v>
      </c>
      <c r="L112">
        <f t="shared" si="33"/>
        <v>389.66306223879644</v>
      </c>
      <c r="M112">
        <f t="shared" si="31"/>
        <v>9820.440939635293</v>
      </c>
    </row>
    <row r="113" spans="5:13">
      <c r="E113">
        <v>1986</v>
      </c>
      <c r="F113">
        <f t="shared" si="32"/>
        <v>3172.3868084604774</v>
      </c>
      <c r="G113">
        <f t="shared" si="35"/>
        <v>2348.2115620572386</v>
      </c>
      <c r="H113">
        <f t="shared" si="35"/>
        <v>1710.3143790213692</v>
      </c>
      <c r="I113">
        <f t="shared" si="35"/>
        <v>1123.1971321463313</v>
      </c>
      <c r="J113">
        <f t="shared" si="35"/>
        <v>575.22109502596049</v>
      </c>
      <c r="K113">
        <f t="shared" si="35"/>
        <v>300.63427115332775</v>
      </c>
      <c r="L113">
        <f t="shared" si="33"/>
        <v>389.66306223879644</v>
      </c>
      <c r="M113">
        <f t="shared" si="31"/>
        <v>9820.4409396352912</v>
      </c>
    </row>
    <row r="114" spans="5:13">
      <c r="E114">
        <v>1987</v>
      </c>
      <c r="F114">
        <f t="shared" si="32"/>
        <v>3172.3868084604778</v>
      </c>
      <c r="G114">
        <f t="shared" si="35"/>
        <v>2348.2115620572381</v>
      </c>
      <c r="H114">
        <f t="shared" si="35"/>
        <v>1710.3143790213692</v>
      </c>
      <c r="I114">
        <f t="shared" si="35"/>
        <v>1123.1971321463316</v>
      </c>
      <c r="J114">
        <f t="shared" si="35"/>
        <v>575.22109502596038</v>
      </c>
      <c r="K114">
        <f t="shared" si="35"/>
        <v>300.6342711533278</v>
      </c>
      <c r="L114">
        <f t="shared" si="33"/>
        <v>389.66306223879644</v>
      </c>
      <c r="M114">
        <f t="shared" si="31"/>
        <v>9820.440939635293</v>
      </c>
    </row>
    <row r="115" spans="5:13">
      <c r="E115">
        <v>1988</v>
      </c>
      <c r="F115">
        <f t="shared" si="32"/>
        <v>3172.3868084604774</v>
      </c>
      <c r="G115">
        <f t="shared" si="35"/>
        <v>2348.2115620572386</v>
      </c>
      <c r="H115">
        <f t="shared" si="35"/>
        <v>1710.3143790213687</v>
      </c>
      <c r="I115">
        <f t="shared" si="35"/>
        <v>1123.1971321463316</v>
      </c>
      <c r="J115">
        <f t="shared" si="35"/>
        <v>575.22109502596049</v>
      </c>
      <c r="K115">
        <f t="shared" si="35"/>
        <v>300.63427115332775</v>
      </c>
      <c r="L115">
        <f t="shared" si="33"/>
        <v>389.66306223879644</v>
      </c>
      <c r="M115">
        <f t="shared" si="31"/>
        <v>9820.4409396352912</v>
      </c>
    </row>
    <row r="116" spans="5:13">
      <c r="E116">
        <v>1989</v>
      </c>
      <c r="F116">
        <f t="shared" si="32"/>
        <v>3172.3868084604778</v>
      </c>
      <c r="G116">
        <f t="shared" si="35"/>
        <v>2348.2115620572381</v>
      </c>
      <c r="H116">
        <f t="shared" si="35"/>
        <v>1710.3143790213692</v>
      </c>
      <c r="I116">
        <f t="shared" si="35"/>
        <v>1123.1971321463313</v>
      </c>
      <c r="J116">
        <f t="shared" si="35"/>
        <v>575.22109502596049</v>
      </c>
      <c r="K116">
        <f t="shared" si="35"/>
        <v>300.6342711533278</v>
      </c>
      <c r="L116">
        <f t="shared" si="33"/>
        <v>389.66306223879644</v>
      </c>
      <c r="M116">
        <f t="shared" si="31"/>
        <v>9820.4409396352912</v>
      </c>
    </row>
    <row r="117" spans="5:13">
      <c r="E117">
        <v>1990</v>
      </c>
      <c r="F117">
        <f t="shared" si="32"/>
        <v>3172.3868084604778</v>
      </c>
      <c r="G117">
        <f t="shared" si="35"/>
        <v>2348.2115620572386</v>
      </c>
      <c r="H117">
        <f t="shared" si="35"/>
        <v>1710.3143790213687</v>
      </c>
      <c r="I117">
        <f t="shared" si="35"/>
        <v>1123.1971321463316</v>
      </c>
      <c r="J117">
        <f t="shared" si="35"/>
        <v>575.22109502596038</v>
      </c>
      <c r="K117">
        <f t="shared" si="35"/>
        <v>300.6342711533278</v>
      </c>
      <c r="L117">
        <f t="shared" si="33"/>
        <v>389.66306223879644</v>
      </c>
      <c r="M117">
        <f t="shared" si="31"/>
        <v>9820.440939635293</v>
      </c>
    </row>
    <row r="118" spans="5:13">
      <c r="E118">
        <v>1991</v>
      </c>
      <c r="F118">
        <f t="shared" si="32"/>
        <v>3172.3868084604774</v>
      </c>
      <c r="G118">
        <f t="shared" ref="G118:K127" si="36">F117*EXP(-m-fe*F$4)</f>
        <v>2348.2115620572386</v>
      </c>
      <c r="H118">
        <f t="shared" si="36"/>
        <v>1710.3143790213692</v>
      </c>
      <c r="I118">
        <f t="shared" si="36"/>
        <v>1123.1971321463313</v>
      </c>
      <c r="J118">
        <f t="shared" si="36"/>
        <v>575.22109502596049</v>
      </c>
      <c r="K118">
        <f t="shared" si="36"/>
        <v>300.63427115332775</v>
      </c>
      <c r="L118">
        <f t="shared" si="33"/>
        <v>389.66306223879644</v>
      </c>
      <c r="M118">
        <f t="shared" si="31"/>
        <v>9820.4409396352912</v>
      </c>
    </row>
    <row r="119" spans="5:13">
      <c r="E119">
        <v>1992</v>
      </c>
      <c r="F119">
        <f t="shared" si="32"/>
        <v>3172.3868084604778</v>
      </c>
      <c r="G119">
        <f t="shared" si="36"/>
        <v>2348.2115620572381</v>
      </c>
      <c r="H119">
        <f t="shared" si="36"/>
        <v>1710.3143790213692</v>
      </c>
      <c r="I119">
        <f t="shared" si="36"/>
        <v>1123.1971321463316</v>
      </c>
      <c r="J119">
        <f t="shared" si="36"/>
        <v>575.22109502596038</v>
      </c>
      <c r="K119">
        <f t="shared" si="36"/>
        <v>300.6342711533278</v>
      </c>
      <c r="L119">
        <f t="shared" si="33"/>
        <v>389.66306223879644</v>
      </c>
      <c r="M119">
        <f t="shared" si="31"/>
        <v>9820.440939635293</v>
      </c>
    </row>
    <row r="120" spans="5:13">
      <c r="E120">
        <v>1993</v>
      </c>
      <c r="F120">
        <f t="shared" si="32"/>
        <v>3172.3868084604774</v>
      </c>
      <c r="G120">
        <f t="shared" si="36"/>
        <v>2348.2115620572386</v>
      </c>
      <c r="H120">
        <f t="shared" si="36"/>
        <v>1710.3143790213687</v>
      </c>
      <c r="I120">
        <f t="shared" si="36"/>
        <v>1123.1971321463316</v>
      </c>
      <c r="J120">
        <f t="shared" si="36"/>
        <v>575.22109502596049</v>
      </c>
      <c r="K120">
        <f t="shared" si="36"/>
        <v>300.63427115332775</v>
      </c>
      <c r="L120">
        <f t="shared" si="33"/>
        <v>389.66306223879644</v>
      </c>
      <c r="M120">
        <f t="shared" si="31"/>
        <v>9820.4409396352912</v>
      </c>
    </row>
    <row r="121" spans="5:13">
      <c r="E121">
        <v>1994</v>
      </c>
      <c r="F121">
        <f t="shared" si="32"/>
        <v>3172.3868084604778</v>
      </c>
      <c r="G121">
        <f t="shared" si="36"/>
        <v>2348.2115620572381</v>
      </c>
      <c r="H121">
        <f t="shared" si="36"/>
        <v>1710.3143790213692</v>
      </c>
      <c r="I121">
        <f t="shared" si="36"/>
        <v>1123.1971321463313</v>
      </c>
      <c r="J121">
        <f t="shared" si="36"/>
        <v>575.22109502596049</v>
      </c>
      <c r="K121">
        <f t="shared" si="36"/>
        <v>300.6342711533278</v>
      </c>
      <c r="L121">
        <f t="shared" si="33"/>
        <v>389.66306223879644</v>
      </c>
      <c r="M121">
        <f t="shared" si="31"/>
        <v>9820.4409396352912</v>
      </c>
    </row>
    <row r="122" spans="5:13">
      <c r="E122">
        <v>1995</v>
      </c>
      <c r="F122">
        <f t="shared" si="32"/>
        <v>3172.3868084604778</v>
      </c>
      <c r="G122">
        <f t="shared" si="36"/>
        <v>2348.2115620572386</v>
      </c>
      <c r="H122">
        <f t="shared" si="36"/>
        <v>1710.3143790213687</v>
      </c>
      <c r="I122">
        <f t="shared" si="36"/>
        <v>1123.1971321463316</v>
      </c>
      <c r="J122">
        <f t="shared" si="36"/>
        <v>575.22109502596038</v>
      </c>
      <c r="K122">
        <f t="shared" si="36"/>
        <v>300.6342711533278</v>
      </c>
      <c r="L122">
        <f t="shared" si="33"/>
        <v>389.66306223879644</v>
      </c>
      <c r="M122">
        <f t="shared" si="31"/>
        <v>9820.440939635293</v>
      </c>
    </row>
    <row r="123" spans="5:13">
      <c r="E123">
        <v>1996</v>
      </c>
      <c r="F123">
        <f t="shared" si="32"/>
        <v>3172.3868084604774</v>
      </c>
      <c r="G123">
        <f t="shared" si="36"/>
        <v>2348.2115620572386</v>
      </c>
      <c r="H123">
        <f t="shared" si="36"/>
        <v>1710.3143790213692</v>
      </c>
      <c r="I123">
        <f t="shared" si="36"/>
        <v>1123.1971321463313</v>
      </c>
      <c r="J123">
        <f t="shared" si="36"/>
        <v>575.22109502596049</v>
      </c>
      <c r="K123">
        <f t="shared" si="36"/>
        <v>300.63427115332775</v>
      </c>
      <c r="L123">
        <f t="shared" si="33"/>
        <v>389.66306223879644</v>
      </c>
      <c r="M123">
        <f t="shared" ref="M123:M127" si="37">SUMPRODUCT(F123:L123,EXP(-zf*(m+fe*va)),fa)</f>
        <v>9820.4409396352912</v>
      </c>
    </row>
    <row r="124" spans="5:13">
      <c r="E124">
        <v>1997</v>
      </c>
      <c r="F124">
        <f t="shared" si="32"/>
        <v>3172.3868084604778</v>
      </c>
      <c r="G124">
        <f t="shared" si="36"/>
        <v>2348.2115620572381</v>
      </c>
      <c r="H124">
        <f t="shared" si="36"/>
        <v>1710.3143790213692</v>
      </c>
      <c r="I124">
        <f t="shared" si="36"/>
        <v>1123.1971321463316</v>
      </c>
      <c r="J124">
        <f t="shared" si="36"/>
        <v>575.22109502596038</v>
      </c>
      <c r="K124">
        <f t="shared" si="36"/>
        <v>300.6342711533278</v>
      </c>
      <c r="L124">
        <f t="shared" ref="L124:L127" si="38">K123*EXP(-m-fe*K$4)+L123*EXP(-m-fe*va)</f>
        <v>389.66306223879644</v>
      </c>
      <c r="M124">
        <f t="shared" si="37"/>
        <v>9820.440939635293</v>
      </c>
    </row>
    <row r="125" spans="5:13">
      <c r="E125">
        <v>1998</v>
      </c>
      <c r="F125">
        <f t="shared" si="32"/>
        <v>3172.3868084604774</v>
      </c>
      <c r="G125">
        <f t="shared" si="36"/>
        <v>2348.2115620572386</v>
      </c>
      <c r="H125">
        <f t="shared" si="36"/>
        <v>1710.3143790213687</v>
      </c>
      <c r="I125">
        <f t="shared" si="36"/>
        <v>1123.1971321463316</v>
      </c>
      <c r="J125">
        <f t="shared" si="36"/>
        <v>575.22109502596049</v>
      </c>
      <c r="K125">
        <f t="shared" si="36"/>
        <v>300.63427115332775</v>
      </c>
      <c r="L125">
        <f t="shared" si="38"/>
        <v>389.66306223879644</v>
      </c>
      <c r="M125">
        <f t="shared" si="37"/>
        <v>9820.4409396352912</v>
      </c>
    </row>
    <row r="126" spans="5:13">
      <c r="E126">
        <v>1999</v>
      </c>
      <c r="F126">
        <f t="shared" si="32"/>
        <v>3172.3868084604778</v>
      </c>
      <c r="G126">
        <f t="shared" si="36"/>
        <v>2348.2115620572381</v>
      </c>
      <c r="H126">
        <f t="shared" si="36"/>
        <v>1710.3143790213692</v>
      </c>
      <c r="I126">
        <f t="shared" si="36"/>
        <v>1123.1971321463313</v>
      </c>
      <c r="J126">
        <f t="shared" si="36"/>
        <v>575.22109502596049</v>
      </c>
      <c r="K126">
        <f t="shared" si="36"/>
        <v>300.6342711533278</v>
      </c>
      <c r="L126">
        <f t="shared" si="38"/>
        <v>389.66306223879644</v>
      </c>
      <c r="M126">
        <f t="shared" si="37"/>
        <v>9820.4409396352912</v>
      </c>
    </row>
    <row r="127" spans="5:13">
      <c r="E127">
        <v>2000</v>
      </c>
      <c r="F127">
        <f t="shared" si="32"/>
        <v>3172.3868084604778</v>
      </c>
      <c r="G127">
        <f t="shared" si="36"/>
        <v>2348.2115620572386</v>
      </c>
      <c r="H127">
        <f t="shared" si="36"/>
        <v>1710.3143790213687</v>
      </c>
      <c r="I127">
        <f t="shared" si="36"/>
        <v>1123.1971321463316</v>
      </c>
      <c r="J127">
        <f t="shared" si="36"/>
        <v>575.22109502596038</v>
      </c>
      <c r="K127">
        <f t="shared" si="36"/>
        <v>300.6342711533278</v>
      </c>
      <c r="L127">
        <f t="shared" si="38"/>
        <v>389.66306223879644</v>
      </c>
      <c r="M127">
        <f t="shared" si="37"/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Allocation (2)</vt:lpstr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Catarina Wor</cp:lastModifiedBy>
  <dcterms:created xsi:type="dcterms:W3CDTF">2012-07-11T06:54:14Z</dcterms:created>
  <dcterms:modified xsi:type="dcterms:W3CDTF">2014-03-12T20:39:33Z</dcterms:modified>
</cp:coreProperties>
</file>